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Materiál Žádanky" sheetId="420" r:id="rId9"/>
    <sheet name="MŽ Detail" sheetId="403" r:id="rId10"/>
    <sheet name="Osobní náklady" sheetId="419" r:id="rId11"/>
    <sheet name="ON Data" sheetId="418" state="hidden" r:id="rId12"/>
    <sheet name="ZV Vykáz.-A" sheetId="344" r:id="rId13"/>
    <sheet name="ZV Vykáz.-A Detail" sheetId="345" r:id="rId14"/>
    <sheet name="ZV Vykáz.-H" sheetId="410" r:id="rId15"/>
    <sheet name="ZV Vykáz.-H Detail" sheetId="377" r:id="rId16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4" hidden="1">'Man Tab'!$A$5:$A$31</definedName>
    <definedName name="_xlnm._FilterDatabase" localSheetId="8" hidden="1">'Materiál Žádanky'!$A$4:$I$4</definedName>
    <definedName name="_xlnm._FilterDatabase" localSheetId="9" hidden="1">'MŽ Detail'!$A$4:$K$4</definedName>
    <definedName name="_xlnm._FilterDatabase" localSheetId="13" hidden="1">'ZV Vykáz.-A Detail'!$A$5:$P$5</definedName>
    <definedName name="_xlnm._FilterDatabase" localSheetId="15" hidden="1">'ZV Vykáz.-H Detail'!$A$5:$Q$5</definedName>
    <definedName name="doměsíce">'HI Graf'!$C$11</definedName>
  </definedNames>
  <calcPr calcId="145621"/>
</workbook>
</file>

<file path=xl/calcChain.xml><?xml version="1.0" encoding="utf-8"?>
<calcChain xmlns="http://schemas.openxmlformats.org/spreadsheetml/2006/main">
  <c r="AG26" i="419" l="1"/>
  <c r="AG25" i="419"/>
  <c r="C11" i="340" l="1"/>
  <c r="A13" i="383" l="1"/>
  <c r="A11" i="383"/>
  <c r="C12" i="414"/>
  <c r="D12" i="414"/>
  <c r="AH20" i="419" l="1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G20" i="419"/>
  <c r="F20" i="419"/>
  <c r="E20" i="419"/>
  <c r="D20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H16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F16" i="419"/>
  <c r="E16" i="419"/>
  <c r="D16" i="419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D18" i="419" l="1"/>
  <c r="G18" i="419"/>
  <c r="S18" i="419"/>
  <c r="W18" i="419"/>
  <c r="AA18" i="419"/>
  <c r="AH18" i="419"/>
  <c r="I18" i="419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F27" i="419" s="1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H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B20" i="419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8" i="414" l="1"/>
  <c r="A15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7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16" i="414" s="1"/>
  <c r="C11" i="339"/>
  <c r="H11" i="339" l="1"/>
  <c r="G11" i="339"/>
  <c r="A17" i="414"/>
  <c r="A16" i="414"/>
  <c r="A11" i="414"/>
  <c r="A7" i="414"/>
  <c r="A12" i="414"/>
  <c r="A4" i="414"/>
  <c r="A6" i="339" l="1"/>
  <c r="A5" i="339"/>
  <c r="D15" i="414"/>
  <c r="C15" i="414"/>
  <c r="D4" i="414"/>
  <c r="C11" i="414" l="1"/>
  <c r="C7" i="414"/>
  <c r="E17" i="414" l="1"/>
  <c r="E16" i="414"/>
  <c r="E11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N3" i="220"/>
  <c r="L3" i="220" s="1"/>
  <c r="C18" i="414"/>
  <c r="D18" i="414"/>
  <c r="F13" i="339" l="1"/>
  <c r="E13" i="339"/>
  <c r="E15" i="339" s="1"/>
  <c r="H12" i="339"/>
  <c r="G12" i="339"/>
  <c r="A4" i="383"/>
  <c r="A21" i="383"/>
  <c r="A20" i="383"/>
  <c r="A19" i="383"/>
  <c r="A18" i="383"/>
  <c r="A15" i="383"/>
  <c r="A14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4" i="414"/>
  <c r="H13" i="339" l="1"/>
  <c r="F15" i="339"/>
  <c r="E12" i="414"/>
  <c r="E4" i="414"/>
  <c r="C6" i="340"/>
  <c r="D6" i="340" s="1"/>
  <c r="B4" i="340"/>
  <c r="G13" i="339"/>
  <c r="B13" i="340" l="1"/>
  <c r="B12" i="340"/>
  <c r="G15" i="339"/>
  <c r="H15" i="339"/>
  <c r="C4" i="340"/>
  <c r="E15" i="414"/>
  <c r="E18" i="414"/>
  <c r="D4" i="340"/>
  <c r="E6" i="340"/>
  <c r="C14" i="414"/>
  <c r="E14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<sst xmlns="http://schemas.openxmlformats.org/spreadsheetml/2006/main" count="3132" uniqueCount="809">
  <si>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</si>
  <si>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</si>
  <si>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</si>
  <si>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</si>
  <si>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</si>
  <si>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</si>
  <si>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</si>
  <si>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</si>
  <si>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</si>
  <si>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</si>
  <si>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</si>
  <si>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</si>
  <si>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</si>
  <si>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</si>
  <si>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</si>
  <si>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</si>
  <si>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</si>
  <si>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</si>
  <si>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</si>
  <si>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</si>
  <si>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</si>
  <si>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</si>
  <si>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</si>
  <si>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</si>
  <si>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</si>
  <si>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</si>
  <si>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</si>
  <si>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</si>
  <si>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</si>
  <si>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</si>
  <si>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</si>
  <si>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</si>
  <si>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</si>
  <si>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</si>
  <si>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</si>
  <si>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</si>
  <si>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</si>
  <si>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</si>
  <si>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</si>
  <si>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</si>
  <si>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</si>
  <si>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</si>
  <si>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</si>
  <si>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</si>
  <si>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</si>
  <si>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</si>
  <si>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</si>
  <si>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</si>
  <si>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</si>
  <si>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</si>
  <si>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</si>
  <si>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</si>
  <si>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</si>
  <si>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</si>
  <si>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</si>
  <si>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</si>
  <si>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</si>
  <si>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</si>
  <si>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</si>
  <si>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</si>
  <si>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</si>
  <si>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</si>
  <si>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</si>
  <si>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</si>
  <si>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</si>
  <si>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</si>
  <si>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</si>
  <si>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</si>
  <si>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</si>
  <si>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</si>
  <si>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</si>
  <si>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</si>
  <si>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</si>
  <si>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</si>
  <si>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</si>
  <si>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</si>
  <si>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</si>
  <si>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</si>
  <si>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</si>
  <si>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</si>
  <si>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</si>
  <si>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</si>
  <si>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</si>
  <si>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</si>
  <si>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</si>
  <si>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</si>
  <si>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</si>
  <si>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</si>
  <si>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</si>
  <si>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</si>
  <si>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</si>
  <si>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</si>
  <si>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</si>
  <si>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</si>
  <si>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</si>
  <si>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</si>
  <si>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</si>
  <si>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</si>
  <si>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</si>
  <si>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</si>
  <si>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</si>
  <si>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</si>
  <si>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</si>
  <si>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</si>
  <si>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</si>
  <si>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</si>
  <si>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</si>
  <si>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</si>
  <si>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</si>
  <si>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</si>
  <si>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</si>
  <si>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</si>
  <si>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</si>
  <si>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</si>
  <si>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</si>
  <si>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</si>
  <si>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</si>
  <si>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</si>
  <si>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</si>
  <si>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</si>
  <si>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</si>
  <si>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</si>
  <si>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</si>
  <si>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</si>
  <si>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</si>
  <si>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</si>
  <si>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</si>
  <si>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</si>
  <si>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</si>
  <si>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Ambulance = vykázané výkony (body) + vykázaný ZUM a ZULP (Kč)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</si>
  <si>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</si>
  <si>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</si>
  <si>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</si>
  <si>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</si>
  <si>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</si>
  <si>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</si>
  <si>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</si>
  <si>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</si>
  <si>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</si>
  <si>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</si>
  <si>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</si>
  <si>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</si>
  <si>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</si>
  <si>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</si>
  <si>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</si>
  <si>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</si>
  <si>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</si>
  <si>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</si>
  <si>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</si>
  <si>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</si>
  <si>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</si>
  <si>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</si>
  <si>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</si>
  <si>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</si>
  <si>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POMĚROVÉ  PLNĚNÍ = Rozpočet na rok 2014 celkem a 1/12  ročního rozpočtu, skutečnost daných měsíců a % plnění načítané skutečnosti do data k poměrné části rozpočtu do data.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</si>
  <si>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</si>
  <si>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</si>
  <si>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</si>
  <si>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</si>
  <si>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</si>
  <si>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</si>
  <si>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</si>
  <si>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</si>
  <si>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</si>
  <si>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</si>
  <si>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</si>
  <si>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</si>
  <si>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</si>
  <si>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</si>
  <si>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</si>
  <si>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</si>
  <si>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</si>
  <si>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</si>
  <si>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</si>
  <si>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</si>
  <si>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</si>
  <si>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</si>
  <si>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</si>
  <si>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</si>
  <si>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</si>
  <si>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</si>
  <si>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</si>
  <si>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</si>
  <si>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</si>
  <si>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</si>
  <si>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</si>
  <si>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</si>
  <si>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</si>
  <si>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</si>
  <si>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</si>
  <si>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</si>
  <si>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</si>
  <si>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</si>
  <si>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</si>
  <si>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</si>
  <si>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</si>
  <si>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</si>
  <si>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</si>
  <si>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</si>
  <si>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</si>
  <si>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</si>
  <si>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</si>
  <si>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</si>
  <si>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</si>
  <si>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</si>
  <si>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</si>
  <si>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</si>
  <si>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</si>
  <si>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</si>
  <si>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</si>
  <si>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</si>
  <si>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</si>
  <si>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</si>
  <si>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</si>
  <si>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</si>
  <si>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</si>
  <si>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</si>
  <si>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</si>
  <si>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</si>
  <si>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</si>
  <si>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</si>
  <si>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</si>
  <si>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</si>
  <si>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</si>
  <si>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</si>
  <si>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</si>
  <si>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</si>
  <si>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</si>
  <si>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</si>
  <si>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</si>
  <si>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</si>
  <si>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</si>
  <si>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</si>
  <si>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r>
      <t>Zpět na Obsah</t>
    </r>
    <r>
      <rPr>
        <sz val="9"/>
        <rFont val="Calibri"/>
        <family val="2"/>
        <charset val="238"/>
        <scheme val="minor"/>
      </rPr>
      <t xml:space="preserve"> | 1.-5.měsíc | Ústav soudního lékařství a medicínského práva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</si>
  <si>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</si>
  <si>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</si>
  <si>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</si>
  <si>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</si>
  <si>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</si>
  <si>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</si>
  <si>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</si>
  <si>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</si>
  <si>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</si>
  <si>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</si>
  <si>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50113013     léky (paušál) - antibiotika (LEK)</t>
  </si>
  <si>
    <t>50113014     léky (paušál) - antimykotika (LEK)</t>
  </si>
  <si>
    <t>50113190     medicinální plyny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</si>
  <si>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</si>
  <si>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</si>
  <si>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</si>
  <si>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</si>
  <si>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</si>
  <si>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50115065     ostatní ZPr - vpichovací materiál (sk.Z_530)</t>
  </si>
  <si>
    <t>50115067     ostatní ZPr - rukavice (sk.Z_532)</t>
  </si>
  <si>
    <t>50116     Potraviny</t>
  </si>
  <si>
    <t>50116099     nápoje - horké dny (daň.neúčinné)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</si>
  <si>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</si>
  <si>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</si>
  <si>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</si>
  <si>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</si>
  <si>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</si>
  <si>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50117007     údržbový materiál ostatní - sklady (sk.T17)</t>
  </si>
  <si>
    <t>50117015     IT - spotřební materiál (sk. P37, 48)</t>
  </si>
  <si>
    <t>50117023     všeob.mat. - kancel.tech. (V34) od 1tis do 2999,99</t>
  </si>
  <si>
    <t>50117024     všeob.mat. - ostatní-vyjímky (V44) od 0,01 do 999,99</t>
  </si>
  <si>
    <t>50117025     všeob.mat. - razítka ostatní (V111) od 0,01 do 2999,99</t>
  </si>
  <si>
    <t>50117190     technické plyny</t>
  </si>
  <si>
    <t>50118     Náhradní díly</t>
  </si>
  <si>
    <t>50118001     ND - ostatní (všeob.sklad) (sk.V38)</t>
  </si>
  <si>
    <t>50118003     ND - ostatní techn.(dispečink)</t>
  </si>
  <si>
    <t>50118004     ND - zdravot.techn.(dispečink)</t>
  </si>
  <si>
    <t>50118005     ND - výpoč. techn.(sklad) (sk.P47)</t>
  </si>
  <si>
    <t>50119     DDHM a textil</t>
  </si>
  <si>
    <t>50119077     OOPP a prádlo pro zaměstnance (sk.T14)</t>
  </si>
  <si>
    <t>50119092     pokojový textil (sk. T15)</t>
  </si>
  <si>
    <t>50119099     netkaný textil (sk.T18)</t>
  </si>
  <si>
    <t>50119100     jednorázové ochranné pomůcky (sk.T18A)</t>
  </si>
  <si>
    <t>50119102     jednorázové hygienické potřeby (sk.T18C)</t>
  </si>
  <si>
    <t>50180     Materiál z darů, FKSP</t>
  </si>
  <si>
    <t>50180000     spotř.nák.- z fin. darů</t>
  </si>
  <si>
    <t>50180001     věcné dary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</si>
  <si>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</si>
  <si>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</si>
  <si>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</si>
  <si>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</si>
  <si>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</si>
  <si>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</si>
  <si>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</si>
  <si>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</si>
  <si>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</si>
  <si>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</si>
  <si>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</si>
  <si>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</si>
  <si>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</si>
  <si>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</si>
  <si>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</si>
  <si>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</si>
  <si>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</si>
  <si>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</si>
  <si>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</si>
  <si>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</si>
  <si>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</si>
  <si>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</si>
  <si>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</si>
  <si>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51806005     odpad (spalovna)</t>
  </si>
  <si>
    <t>51808     Revize a smluvní servisy majetku</t>
  </si>
  <si>
    <t>51808008     revize, tech.kontroly, prev.prohl.- OHM</t>
  </si>
  <si>
    <t>51808013     revize - kalibrace - metrolog</t>
  </si>
  <si>
    <t>51874     Ostatní služby</t>
  </si>
  <si>
    <t>51874003     znalecké posudky, odměny z klinických hodnocení</t>
  </si>
  <si>
    <t>51874011     zkoušky kvality</t>
  </si>
  <si>
    <t>51874015     organ.rozvoj (certif., akred.)</t>
  </si>
  <si>
    <t>51880     Služby z darů, FKSP</t>
  </si>
  <si>
    <t>51880000     služby z fin.darů</t>
  </si>
  <si>
    <t>521     Mzdové náklady</t>
  </si>
  <si>
    <t>52111     Hrubé mzdy</t>
  </si>
  <si>
    <t>52111000     hrubé mzdy</t>
  </si>
  <si>
    <t>52112     Placené služby</t>
  </si>
  <si>
    <t>52112000     placené služby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</si>
  <si>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</si>
  <si>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</si>
  <si>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</si>
  <si>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</si>
  <si>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</si>
  <si>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</si>
  <si>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</si>
  <si>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</si>
  <si>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</si>
  <si>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</si>
  <si>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</si>
  <si>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</si>
  <si>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</si>
  <si>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</si>
  <si>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</si>
  <si>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54910009     školení, kongresové poplatky tuzemské - ost.zdrav.pracov.</t>
  </si>
  <si>
    <t>54910010     školení - nezdrav.pracov.</t>
  </si>
  <si>
    <t>54920     Náklady účtované od UP</t>
  </si>
  <si>
    <t>54920000     náklady účtované od UP</t>
  </si>
  <si>
    <t>54924     Ostatní výplaty fyzickým osobám</t>
  </si>
  <si>
    <t>54924001     odškod.zaměst. - prac.úraz,...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</si>
  <si>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</si>
  <si>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</si>
  <si>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</si>
  <si>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</si>
  <si>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</si>
  <si>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</si>
  <si>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54999     Přípěvky a poplatky(daň.neúčinné)</t>
  </si>
  <si>
    <t>54999000     členské příspěvky a poplatky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</si>
  <si>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</si>
  <si>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</si>
  <si>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</si>
  <si>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</si>
  <si>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</si>
  <si>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</si>
  <si>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</si>
  <si>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55120     ZC vyřazeného DM</t>
  </si>
  <si>
    <t>55120004     ZC DHM - zdravot.techn. z odpisů</t>
  </si>
  <si>
    <t>55120005     ZC DHM - ostatní z odpisů</t>
  </si>
  <si>
    <t>557     Náklady z vyřazených pohledávek</t>
  </si>
  <si>
    <t>55799     Náklady z vyřazených pohledávek(daň.neúčinné)</t>
  </si>
  <si>
    <t>55799001     náklady z vyřaz.pohled.pro nedobytnost (daň.neúčinné)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</si>
  <si>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</si>
  <si>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</si>
  <si>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</si>
  <si>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</si>
  <si>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55802002     DDHM - ostatní provozní technika (sk.V_35)</t>
  </si>
  <si>
    <t>55806     DDHM ostatní</t>
  </si>
  <si>
    <t>55806081     DDHM ostatní (finanční dary)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</si>
  <si>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</si>
  <si>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</si>
  <si>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</si>
  <si>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</si>
  <si>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</si>
  <si>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</si>
  <si>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</si>
  <si>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</si>
  <si>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</si>
  <si>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</si>
  <si>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60210351     zdr.služby - doprovod (otec u porodu)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</si>
  <si>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</si>
  <si>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</si>
  <si>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</si>
  <si>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</si>
  <si>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</si>
  <si>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</si>
  <si>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60229290     výkony pojištěncům EHS</t>
  </si>
  <si>
    <t>60230     Přepravné pacientů vykázané ZP     OZPI</t>
  </si>
  <si>
    <t>60230002     přepravné pacientů - ostatní ZP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</si>
  <si>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</si>
  <si>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</si>
  <si>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</si>
  <si>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</si>
  <si>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</si>
  <si>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</si>
  <si>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</si>
  <si>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</si>
  <si>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603     Výnosy z pronájmu</t>
  </si>
  <si>
    <t>60325     Výnosy z pronájmu</t>
  </si>
  <si>
    <t>60325424     nájem DM - použití vybavení FNOL (pitevny)</t>
  </si>
  <si>
    <t>64     Jiné provozní výnosy</t>
  </si>
  <si>
    <t>641     Smluvní pokuty a úroky z prodlení</t>
  </si>
  <si>
    <t>64100     Smluvní pokuty a úroky z prodlení</t>
  </si>
  <si>
    <t>64100052     úrok z prodlení - soudní rozh.</t>
  </si>
  <si>
    <t>648     Čerpání fondů</t>
  </si>
  <si>
    <t>64803     Čerpání RF - čerpání fin. darů</t>
  </si>
  <si>
    <t>64803000     čerpání RF - čerpání finančních darů</t>
  </si>
  <si>
    <t>64804     Čerpání FRM</t>
  </si>
  <si>
    <t>64804221     čerp. FRM - opravy ZT</t>
  </si>
  <si>
    <t>64804222     čerp. FRM - opravy VT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</si>
  <si>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</si>
  <si>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</si>
  <si>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</si>
  <si>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</si>
  <si>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</si>
  <si>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</si>
  <si>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64908050     náhrady od pojišť. (zaměstn.)</t>
  </si>
  <si>
    <t>64924     Ostatní služby - mimo zdrav.výkony  FAKTURACE</t>
  </si>
  <si>
    <t>64924442     telekom.služby, soukr. hovory</t>
  </si>
  <si>
    <t>64924443     znalecké posudky - Znaleký ústav</t>
  </si>
  <si>
    <t>64924450     poštovné, balné za odeslání</t>
  </si>
  <si>
    <t>64924459     školení, stáže, odb. semináře, konference</t>
  </si>
  <si>
    <t>64980     Věcné dary</t>
  </si>
  <si>
    <t>64980001     věcné dary</t>
  </si>
  <si>
    <t>7     Účtová třída 7 - Vnitropodnikové účetnictví - náklady</t>
  </si>
  <si>
    <t>79     Vnitropodnikové náklady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</si>
  <si>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</si>
  <si>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</si>
  <si>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</si>
  <si>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</si>
  <si>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</si>
  <si>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</si>
  <si>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</si>
  <si>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</si>
  <si>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</si>
  <si>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</si>
  <si>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</si>
  <si>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</si>
  <si>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</si>
  <si>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</si>
  <si>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</si>
  <si>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</si>
  <si>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89920000     mezistřediskové převody</t>
  </si>
  <si>
    <t>38</t>
  </si>
  <si>
    <t>Ústav soudního lékařství a medicínského práva</t>
  </si>
  <si>
    <t/>
  </si>
  <si>
    <t>Ústav soudního lékařství a medicínského práva Celkem</t>
  </si>
  <si>
    <t>SumaKL</t>
  </si>
  <si>
    <t>3841</t>
  </si>
  <si>
    <t>soudní lékařství - laboratoř</t>
  </si>
  <si>
    <t>soudní lékařství - laboratoř Celkem</t>
  </si>
  <si>
    <t>SumaNS</t>
  </si>
  <si>
    <t>mezeraNS</t>
  </si>
  <si>
    <t>50113001</t>
  </si>
  <si>
    <t>O</t>
  </si>
  <si>
    <t>188219</t>
  </si>
  <si>
    <t>88219</t>
  </si>
  <si>
    <t>LEXAURIN</t>
  </si>
  <si>
    <t>TBL 30X3MG</t>
  </si>
  <si>
    <t>192729</t>
  </si>
  <si>
    <t>92729</t>
  </si>
  <si>
    <t>ACIDUM ASCORBICUM</t>
  </si>
  <si>
    <t>INJ 5X5ML</t>
  </si>
  <si>
    <t>900321</t>
  </si>
  <si>
    <t>KL PRIPRAVEK</t>
  </si>
  <si>
    <t>500565</t>
  </si>
  <si>
    <t>Spofaplast Náplast kusová text.166</t>
  </si>
  <si>
    <t>76x51mm/3ks</t>
  </si>
  <si>
    <t>191583</t>
  </si>
  <si>
    <t>163189</t>
  </si>
  <si>
    <t>DANTROLEN I.V.</t>
  </si>
  <si>
    <t>INF SIC 36X20MG+SOL</t>
  </si>
  <si>
    <t>930224</t>
  </si>
  <si>
    <t>KL BENZINUM 900 ml</t>
  </si>
  <si>
    <t>UN 3295</t>
  </si>
  <si>
    <t>920136</t>
  </si>
  <si>
    <t>KL ETHANOLUM BENZINO DEN. 4 kg</t>
  </si>
  <si>
    <t>UN 1170</t>
  </si>
  <si>
    <t>501319</t>
  </si>
  <si>
    <t>RP PRIPRAVEK</t>
  </si>
  <si>
    <t>pojišťovna nehradí</t>
  </si>
  <si>
    <t>SOUD, soudní lékařství - laboratoř</t>
  </si>
  <si>
    <t>Lékárna - léčiva</t>
  </si>
  <si>
    <t>ZA090</t>
  </si>
  <si>
    <t>Vata buničitá přířezy 37 x 57 cm 2730152</t>
  </si>
  <si>
    <t>ZA321</t>
  </si>
  <si>
    <t>Kompresa gáza 7,5 cm x 7,5 cm / 100 ks 17 nití, 8 vrstev 06002</t>
  </si>
  <si>
    <t>ZA446</t>
  </si>
  <si>
    <t>Vata buničitá přířezy 20 x 30 cm 1230200129</t>
  </si>
  <si>
    <t>ZA447</t>
  </si>
  <si>
    <t>Vata obvazová 200 g nesterilní skládaná 1102352</t>
  </si>
  <si>
    <t>ZL684</t>
  </si>
  <si>
    <t>Náplast santiband standard poinjekční jednotl. baleno 19 mm x 72 mm 652</t>
  </si>
  <si>
    <t>ZL789</t>
  </si>
  <si>
    <t>Obvaz sterilní hotový č. 2 A4091360</t>
  </si>
  <si>
    <t>ZL790</t>
  </si>
  <si>
    <t>Obvaz sterilní hotový č. 3 A4101144</t>
  </si>
  <si>
    <t>ZL999</t>
  </si>
  <si>
    <t>Rychloobvaz 8 x 4 cm / 3 ks ( pro obj. 1 kus = 3 náplasti) 001445510</t>
  </si>
  <si>
    <t>ZA727</t>
  </si>
  <si>
    <t>Kontejner 30 ml sterilní 331690251750</t>
  </si>
  <si>
    <t>ZA751</t>
  </si>
  <si>
    <t>Papír filtrační archy 50 x 50 cm bal. 12,5 kg 624890805050</t>
  </si>
  <si>
    <t>ZA787</t>
  </si>
  <si>
    <t>Stříkačka injekční 2-dílná 10 ml L Inject Solo 4606108V</t>
  </si>
  <si>
    <t>ZA788</t>
  </si>
  <si>
    <t>Stříkačka injekční 2-dílná 20 ml L Inject Solo 4606205V</t>
  </si>
  <si>
    <t>ZA817</t>
  </si>
  <si>
    <t>Zkumavka PS 10 ml sterilní 400914</t>
  </si>
  <si>
    <t>ZA855</t>
  </si>
  <si>
    <t>Pipeta pasteurova P 223 6,5 ml 204523</t>
  </si>
  <si>
    <t>ZB780</t>
  </si>
  <si>
    <t>Kontejner 120 ml sterilní 331690250350</t>
  </si>
  <si>
    <t>ZB830</t>
  </si>
  <si>
    <t>Zrcátko zubní - zvětšovací b397122510020</t>
  </si>
  <si>
    <t>ZC757</t>
  </si>
  <si>
    <t>Čepelka skalpelová 24 BB524</t>
  </si>
  <si>
    <t>ZE159</t>
  </si>
  <si>
    <t>Nádoba na kontaminovaný odpad 2 l 15-0003</t>
  </si>
  <si>
    <t>ZE173</t>
  </si>
  <si>
    <t>Nádoba na histologický mat.   200 ml 333 000 041 002</t>
  </si>
  <si>
    <t>ZF159</t>
  </si>
  <si>
    <t>Nádoba na kontaminovaný odpad 1 l 15-0002</t>
  </si>
  <si>
    <t>ZF192</t>
  </si>
  <si>
    <t>Nádoba na kontaminovaný odpad 4 l 15-0004</t>
  </si>
  <si>
    <t>ZH614</t>
  </si>
  <si>
    <t>Zátka butyl šedá 20 mm á 100 ks 635220100290</t>
  </si>
  <si>
    <t>ZH615</t>
  </si>
  <si>
    <t>Uzávěr Al krimplovací 20 mm á 1000 ks 635220010408</t>
  </si>
  <si>
    <t>ZI179</t>
  </si>
  <si>
    <t>Zkumavka s mediem+ flovakovaný tampon eSwab růžový 490CE.A</t>
  </si>
  <si>
    <t>ZE174</t>
  </si>
  <si>
    <t>Nádoba na histologický mat. 920 ml 333000041024</t>
  </si>
  <si>
    <t>ZC019</t>
  </si>
  <si>
    <t>Fólie plastická silikag. 20 x 20 cm á 25 ks TLC 1057350001</t>
  </si>
  <si>
    <t>ZM215</t>
  </si>
  <si>
    <t>Tyčinky leštící pro MS 13 cm Micro-Mesh Sanding Swabs bal. á 12 ks MMSS-3</t>
  </si>
  <si>
    <t>ZM216</t>
  </si>
  <si>
    <t>Utěrky Tork Premium 510 role 400 útržků 38 x 32 cm 510178</t>
  </si>
  <si>
    <t>ZC754</t>
  </si>
  <si>
    <t>Čepelka skalpelová 21 BB521</t>
  </si>
  <si>
    <t>ZM214</t>
  </si>
  <si>
    <t>Tyčinky leštící pro MS 6 cm Micro-Mesh Sanding Swabs bal á 12 ks MMSS-1</t>
  </si>
  <si>
    <t>ZM218</t>
  </si>
  <si>
    <t xml:space="preserve">Tyčinky s polyesterem na čištění MS-Long Handle AlphaSwab pk/100 TX761-1EA </t>
  </si>
  <si>
    <t>ZM217</t>
  </si>
  <si>
    <t xml:space="preserve">Tyčinky s polyesterem na čištění MS-Large Alpha Swab 127,5 mm pk/100 TX714A-1EA </t>
  </si>
  <si>
    <t>ZM219</t>
  </si>
  <si>
    <t>Tyčinky leštící pro MS 7,5 cm Micro-Mesh Sanding Swabs bal. á 12 ks MMSS-2</t>
  </si>
  <si>
    <t>ZB973</t>
  </si>
  <si>
    <t>Fólie hliniková 20 x 20 cm 25 HPTLC 1055480001</t>
  </si>
  <si>
    <t>ZI381</t>
  </si>
  <si>
    <t>Škrabka okrouhlá rovná ollier 12,0 mm 22,6 cm 397124140050</t>
  </si>
  <si>
    <t>ZB831</t>
  </si>
  <si>
    <t>Držák zubního zrcátka 397122510100</t>
  </si>
  <si>
    <t>ZB426</t>
  </si>
  <si>
    <t>Mikrozkumavka eppendorf 1,5 ml BSA 0220</t>
  </si>
  <si>
    <t>ZC036</t>
  </si>
  <si>
    <t>Baňka erlen 250 ml 632417106250</t>
  </si>
  <si>
    <t>ZC078</t>
  </si>
  <si>
    <t>Válec odměrný vysoký sklo 50 ml 710920</t>
  </si>
  <si>
    <t>ZC716</t>
  </si>
  <si>
    <t>Špička pipetovací žlutá dlouhá manžeta 1123</t>
  </si>
  <si>
    <t>ZC831</t>
  </si>
  <si>
    <t>Sklo podložní mat. okraj 2501</t>
  </si>
  <si>
    <t>ZI560</t>
  </si>
  <si>
    <t>Špička žlutá dlouhá manžeta gilson 1 - 200 ul FLME28063</t>
  </si>
  <si>
    <t>ZD325</t>
  </si>
  <si>
    <t>Válec odměrný vysoký 25 ml d710272</t>
  </si>
  <si>
    <t>ZC776</t>
  </si>
  <si>
    <t>Sklo podložní mat. MS7625011</t>
  </si>
  <si>
    <t>ZC079</t>
  </si>
  <si>
    <t>Sklo mikroskopické SuperFrost plus 9646, bal. á 72 ks 2530</t>
  </si>
  <si>
    <t>ZB605</t>
  </si>
  <si>
    <t>Špička modrá krátká manžeta 1108</t>
  </si>
  <si>
    <t>ZD437</t>
  </si>
  <si>
    <t>Nálevka dělící 250 ml s teflonovým kohoutem 636014920204</t>
  </si>
  <si>
    <t>ZG467</t>
  </si>
  <si>
    <t>Baňka widmarkova 100 ml 632445101100</t>
  </si>
  <si>
    <t>ZA832</t>
  </si>
  <si>
    <t>Jehla injekční 0,9 x   40 mm žlutá 4657519</t>
  </si>
  <si>
    <t>ZA836</t>
  </si>
  <si>
    <t>Jehla injekční 0,9 x   70 mm žlutá</t>
  </si>
  <si>
    <t>ZB556</t>
  </si>
  <si>
    <t>Jehla injekční 1,2 x   40 mm růžová 4665120</t>
  </si>
  <si>
    <t>ZK476</t>
  </si>
  <si>
    <t>Rukavice operační latexové s pudrem ansell medigrip plus vel. 7,5 302925</t>
  </si>
  <si>
    <t>ZK477</t>
  </si>
  <si>
    <t>Rukavice operační latexové s pudrem ansell medigrip plus vel. 8,0 302926</t>
  </si>
  <si>
    <t>ZK478</t>
  </si>
  <si>
    <t>Rukavice operační latexové s pudrem ansell medigrip plus vel. 8,5 302927</t>
  </si>
  <si>
    <t>ZL074</t>
  </si>
  <si>
    <t>Rukavice operační gammex bez pudru PF EnLite vel. 8,0 353386</t>
  </si>
  <si>
    <t>ZL075</t>
  </si>
  <si>
    <t>Rukavice operační gammex bez pudru PF EnLite vel. 8,5 353387</t>
  </si>
  <si>
    <t>ZL289</t>
  </si>
  <si>
    <t>Rukavice operační latexové s pudrem ansell medigrip plus vel. 9,0 bal. á 50 párů 302929</t>
  </si>
  <si>
    <t>ZL949</t>
  </si>
  <si>
    <t>Rukavice nitril promedica bez p. L bílé 6N á 100 ks 9399W4</t>
  </si>
  <si>
    <t>ZL948</t>
  </si>
  <si>
    <t>Rukavice nitril promedica bez p. M bílé 6N á 100 ks 9399W3</t>
  </si>
  <si>
    <t>ZM051</t>
  </si>
  <si>
    <t>Rukavice nitril promedica bez p. S bílé 6N á 100 ks 9399W2</t>
  </si>
  <si>
    <t>ZM292</t>
  </si>
  <si>
    <t>Rukavice nitril sempercare bez p. M bal. á 200 ks 30 803</t>
  </si>
  <si>
    <t>ZM291</t>
  </si>
  <si>
    <t>Rukavice nitril sempercare bez p. S bal. á 200 ks 30 802</t>
  </si>
  <si>
    <t>ZM293</t>
  </si>
  <si>
    <t>Rukavice nitril sempercare bez p. L bal. á 200 ks 30 804</t>
  </si>
  <si>
    <t>801979</t>
  </si>
  <si>
    <t>-KYS.CITRONOVA BEZV. P.A. 1000 G</t>
  </si>
  <si>
    <t>801092</t>
  </si>
  <si>
    <t>-PARAFIN UPRAVENY 56-58, 1 kg PARA009</t>
  </si>
  <si>
    <t>DG382</t>
  </si>
  <si>
    <t>Bactec Plus Aerobic</t>
  </si>
  <si>
    <t>DG383</t>
  </si>
  <si>
    <t>Bactec PEDS</t>
  </si>
  <si>
    <t>DG385</t>
  </si>
  <si>
    <t>Bactec Plus Anaerobic</t>
  </si>
  <si>
    <t>DD341</t>
  </si>
  <si>
    <t>METHANOL  P.A. 1000 ML</t>
  </si>
  <si>
    <t>DF571</t>
  </si>
  <si>
    <t>Formaldehyd 36-38% p.a., 5 L</t>
  </si>
  <si>
    <t>DG184</t>
  </si>
  <si>
    <t>SIRAN SODNY BEZV.,P.A.</t>
  </si>
  <si>
    <t>DD757</t>
  </si>
  <si>
    <t>AXS Cannabinoids Reagent Pack</t>
  </si>
  <si>
    <t>DG227</t>
  </si>
  <si>
    <t>BENZEN p.a., 1L</t>
  </si>
  <si>
    <t>DC236</t>
  </si>
  <si>
    <t>DIETHYLETER P.A. NESTAB.</t>
  </si>
  <si>
    <t>DG235</t>
  </si>
  <si>
    <t>CHLOROFORM P.A.</t>
  </si>
  <si>
    <t>DG415</t>
  </si>
  <si>
    <t>1-Naphthylamine</t>
  </si>
  <si>
    <t>DD759</t>
  </si>
  <si>
    <t>Axs Opiates Reagent Pack</t>
  </si>
  <si>
    <t>DG163</t>
  </si>
  <si>
    <t>HYDROXID SODNY P.A.</t>
  </si>
  <si>
    <t>DD756</t>
  </si>
  <si>
    <t>AXS Amph/metamph. reagent Pack</t>
  </si>
  <si>
    <t>DD758</t>
  </si>
  <si>
    <t>Axs Cocaine Metabolite Reagent Pack</t>
  </si>
  <si>
    <t>DB336</t>
  </si>
  <si>
    <t>SOLUTION 4(LINE DILUENTSOLUTION) 10l</t>
  </si>
  <si>
    <t>DE023</t>
  </si>
  <si>
    <t>BIS/TRIMETHYLSILYL/TRIFLUOROACETAMID pro plyn.ch.</t>
  </si>
  <si>
    <t>DG179</t>
  </si>
  <si>
    <t>SIRAN AMONNY P.A.</t>
  </si>
  <si>
    <t>DG190</t>
  </si>
  <si>
    <t>UHLICITAN SOD.BEZV. P.A.</t>
  </si>
  <si>
    <t>DC753</t>
  </si>
  <si>
    <t>ANHYDRID KYS.OCTOVE P.A.</t>
  </si>
  <si>
    <t>DG143</t>
  </si>
  <si>
    <t>kyselina SIROVA P.A.</t>
  </si>
  <si>
    <t>DG394</t>
  </si>
  <si>
    <t>3,3'-Methylene-bis(4-hydroxycoumarin)</t>
  </si>
  <si>
    <t>DB257</t>
  </si>
  <si>
    <t>CHLOROFORM P.A. - stab. methanolem</t>
  </si>
  <si>
    <t>DG229</t>
  </si>
  <si>
    <t>METHANOL P.A.</t>
  </si>
  <si>
    <t>DC148</t>
  </si>
  <si>
    <t>X-SYS Multiconstituent Control</t>
  </si>
  <si>
    <t>DF908</t>
  </si>
  <si>
    <t>MTD(methadone) test na záchyt drog v moči</t>
  </si>
  <si>
    <t>DG226</t>
  </si>
  <si>
    <t>ETHYLESTER KYS.OCTOVE P.A.</t>
  </si>
  <si>
    <t>DG191</t>
  </si>
  <si>
    <t>UNIV.INDIK.PAPIRKY pH 0-12</t>
  </si>
  <si>
    <t>DD814</t>
  </si>
  <si>
    <t>AXS Benzodiazepines Reagent Pack</t>
  </si>
  <si>
    <t>DC012</t>
  </si>
  <si>
    <t>X-SYS OPIATES CALIBRATORS</t>
  </si>
  <si>
    <t>DC388</t>
  </si>
  <si>
    <t>X-SYS CANNABOIDS STANDART CAL.</t>
  </si>
  <si>
    <t>DG560</t>
  </si>
  <si>
    <t>alfa-naftylamin 100g</t>
  </si>
  <si>
    <t>DB557</t>
  </si>
  <si>
    <t>STANDARDNI ROZTOK ETHANOLU</t>
  </si>
  <si>
    <t>DF907</t>
  </si>
  <si>
    <t>BUP (buprenorfin)  test na záchyt drog v moči</t>
  </si>
  <si>
    <t>DA368</t>
  </si>
  <si>
    <t>Fencyklidin PCP - rychlý test na záchyt drog</t>
  </si>
  <si>
    <t>DG633</t>
  </si>
  <si>
    <t>Beta-glukuronidáza typ HP2, from Helix Pomatia</t>
  </si>
  <si>
    <t>DD079</t>
  </si>
  <si>
    <t>AMONIAK VODNY ROZTOK 25%</t>
  </si>
  <si>
    <t>DC003</t>
  </si>
  <si>
    <t>X-SYS AM/METAMPHETAMIN ST. CAL.</t>
  </si>
  <si>
    <t>DG673</t>
  </si>
  <si>
    <t>Dusičnan draselný</t>
  </si>
  <si>
    <t>DG228</t>
  </si>
  <si>
    <t>TOLUEN P.A.</t>
  </si>
  <si>
    <t>DB757</t>
  </si>
  <si>
    <t>COCAINE METABOLITE ST.CALIBRAT</t>
  </si>
  <si>
    <t>DB720</t>
  </si>
  <si>
    <t>PENTAFLUOROBENZOYL CHLORIDE 99%</t>
  </si>
  <si>
    <t>DF708</t>
  </si>
  <si>
    <t>Reaction Vessels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</si>
  <si>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</si>
  <si>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</si>
  <si>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</si>
  <si>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</si>
  <si>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</si>
  <si>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</si>
  <si>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50115065</t>
  </si>
  <si>
    <t>530 SZM jehly (112 02 107)</t>
  </si>
  <si>
    <t>50115067</t>
  </si>
  <si>
    <t>532 SZM Rukavice (112 02 108)</t>
  </si>
  <si>
    <t>50115020</t>
  </si>
  <si>
    <t>Diagnostika (132 03 001)</t>
  </si>
  <si>
    <t>Spotřeba zdravotnického materiálu - orientační přehled</t>
  </si>
  <si>
    <t>ON Data</t>
  </si>
  <si>
    <t>808 - Pracoviště soudního lékařství</t>
  </si>
  <si>
    <t>814 - Laboratoř toxikologická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</si>
  <si>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</si>
  <si>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</si>
  <si>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</si>
  <si>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</si>
  <si>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808</t>
  </si>
  <si>
    <t>V</t>
  </si>
  <si>
    <t>88101</t>
  </si>
  <si>
    <t>PROVEDENÍ PITVY NA SOUDNĚ LÉKAŘSKÉM PRACOVIŠTI ZDR</t>
  </si>
  <si>
    <t>814</t>
  </si>
  <si>
    <t>92111</t>
  </si>
  <si>
    <t>KONZULTACE OŠETŘUJÍCÍHO LÉKAŘE TOXIKOLOGEM</t>
  </si>
  <si>
    <t>92121</t>
  </si>
  <si>
    <t>STANOVENÍ EXTRAKTIVNÍCH LÁTEK PLYNOVOU CHROMATOGRA</t>
  </si>
  <si>
    <t>92127</t>
  </si>
  <si>
    <t>TĚKAVÉ LÁTKY - PRŮKAZ PLYNOVOU CHROMATOGRAFIÍ -  S</t>
  </si>
  <si>
    <t>92131</t>
  </si>
  <si>
    <t>EXTRAKTIVNÍ LÁTKY - CÍLENÝ PRŮKAZ PLYNOVOU CHROMAT</t>
  </si>
  <si>
    <t>92137</t>
  </si>
  <si>
    <t>IDENTIFIKACE NEZNÁMÉ LÁTKY POMOCÍ PLYNOVÉ CHROMATO</t>
  </si>
  <si>
    <t>92141</t>
  </si>
  <si>
    <t>ETHANOL - SPECIFICKÉ STANOVENÍ PLYNOVOU CHROMATOGR</t>
  </si>
  <si>
    <t>92147</t>
  </si>
  <si>
    <t>EXTRAKTIVNÍ LÁTKY - CÍLENÝ PRŮKAZ CHROMATOGRAFIÍ N</t>
  </si>
  <si>
    <t>92157</t>
  </si>
  <si>
    <t>EXTRAKTIVNÍ LÁTKY - STANOVENÍ POMOCÍ KAPALINOVÉ CH</t>
  </si>
  <si>
    <t>92177</t>
  </si>
  <si>
    <t>TĚKAVÉ LÁTKY - PRŮKAZ PLYNOVOU CHROMATOGRAFIÍ</t>
  </si>
  <si>
    <t>92181</t>
  </si>
  <si>
    <t>TĚKAVÉ LÁTKY - STANOVENÍ PLYNOVOU CHROMATOGRAFIÍ</t>
  </si>
  <si>
    <t>92187</t>
  </si>
  <si>
    <t>EXTRAKTIVNÍ LÁTKY - CÍLENÝ PRŮKAZ (KVALITATIVNÍ VY</t>
  </si>
  <si>
    <t>92191</t>
  </si>
  <si>
    <t>EXTRAKTIVNÍ LÁTKY - STANOVENÍ (KVANTITATIVNÍ VYŠET</t>
  </si>
  <si>
    <t>97111</t>
  </si>
  <si>
    <t>SEPARACE SÉRA NEBO PLAZMY</t>
  </si>
  <si>
    <t>92129</t>
  </si>
  <si>
    <t>92123</t>
  </si>
  <si>
    <t>92125</t>
  </si>
  <si>
    <t>EXTRAKTIVNÍ LÁTKY - PRŮKAZ CHROMATOGRAFIÍ NA TENKÉ</t>
  </si>
  <si>
    <t>92183</t>
  </si>
  <si>
    <t>STANOVENÍ TĚKAVÝCH REDUKUJÍCÍCH LÁTEK</t>
  </si>
  <si>
    <t>92185</t>
  </si>
  <si>
    <t>IZOLACE LÁTKY PRO CÍLENÝ PRŮKAZ PLYNOVOU CHROMATOG</t>
  </si>
  <si>
    <t>92153</t>
  </si>
  <si>
    <t>EXTRAKTIVNÍ LÁTKY - PRŮKAZ V TĚLNÍCH TEKUTINÁCH CH</t>
  </si>
  <si>
    <t>92133</t>
  </si>
  <si>
    <t>DROGY A LÉČIVA - CÍLENÝ IMUNOCHEMICKÝ ZÁCHYT - STA</t>
  </si>
  <si>
    <t>92189</t>
  </si>
  <si>
    <t>IZOLACE LÁTKY A PŘÍPRAVA KALIBRÁTORŮ PRO STANOVENÍ</t>
  </si>
  <si>
    <t>09123</t>
  </si>
  <si>
    <t>ANALÝZA MOČI CHEMICKY</t>
  </si>
  <si>
    <t>92173</t>
  </si>
  <si>
    <t xml:space="preserve">STANOVENÍ LÁTEK SPEKTROFOTOMETRICKY PO JEDNODUCHÉ </t>
  </si>
  <si>
    <t>92135</t>
  </si>
  <si>
    <t>DROGY A LÉČIVA - CÍLENÝ IMUNOCHEMICKÝ ZÁCHYT</t>
  </si>
  <si>
    <t>92155</t>
  </si>
  <si>
    <t>EXTRAKTIVNÍ LÁTKY - STANOVENÍ PLYNOVOU CHROMATOGRA</t>
  </si>
  <si>
    <t>92145</t>
  </si>
  <si>
    <t>92143</t>
  </si>
  <si>
    <t>EXTRAKTIVNÍ LÁTKY - CÍLENÝ PRŮKAZ KAPALINOVOU CHRO</t>
  </si>
  <si>
    <t>92119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</si>
  <si>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</si>
  <si>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</si>
  <si>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</si>
  <si>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</si>
  <si>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</si>
  <si>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</si>
  <si>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</si>
  <si>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</si>
  <si>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</si>
  <si>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16 - Klinika plicních nemocí a tuberkulózy</t>
  </si>
  <si>
    <t>17 - Neurologická klinika</t>
  </si>
  <si>
    <t>18 - Klinika psychiatrie</t>
  </si>
  <si>
    <t>25 - Klinika ústní,čelistní a obličejové chirurgie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</si>
  <si>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</si>
  <si>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</si>
  <si>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</si>
  <si>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</si>
  <si>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</si>
  <si>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</si>
  <si>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</si>
  <si>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06</t>
  </si>
  <si>
    <t>07</t>
  </si>
  <si>
    <t>08</t>
  </si>
  <si>
    <t>09</t>
  </si>
  <si>
    <t>10</t>
  </si>
  <si>
    <t>16</t>
  </si>
  <si>
    <t>17</t>
  </si>
  <si>
    <t>18</t>
  </si>
  <si>
    <t>25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</si>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</sst>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-* #,##0.00\ &quot;Kč&quot;_-;\-* #,##0.00\ &quot;Kč&quot;_-;_-* &quot;-&quot;??\ &quot;Kč&quot;_-;_-@_-"/>
    <numFmt numFmtId="165" formatCode="#\ ###\ ###\ ##0"/>
    <numFmt numFmtId="167" formatCode="#,##0.0"/>
    <numFmt numFmtId="170" formatCode="#,##0,"/>
    <numFmt numFmtId="172" formatCode="0.000"/>
    <numFmt numFmtId="173" formatCode="#.##0"/>
    <numFmt numFmtId="174" formatCode="#,##0;\-#,##0;"/>
    <numFmt numFmtId="175" formatCode="General;\-General;"/>
    <numFmt numFmtId="176" formatCode="0%;\-0%;"/>
    <numFmt numFmtId="177" formatCode="#,##0%"/>
  </numFmts>
  <fonts count="6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7">
    <xf numFmtId="0" fontId="0" fillId="0" borderId="0"/>
    <xf numFmtId="0" fontId="25" fillId="0" borderId="0" applyNumberForma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46">
    <xf numFmtId="0" fontId="0" fillId="0" borderId="0" xfId="0"/>
    <xf numFmtId="0" fontId="27" fillId="2" borderId="16" xfId="80" applyFont="1" applyFill="1" applyBorder="1"/>
    <xf numFmtId="0" fontId="28" fillId="2" borderId="17" xfId="80" applyFont="1" applyFill="1" applyBorder="1"/>
    <xf numFmtId="3" fontId="28" fillId="2" borderId="18" xfId="80" applyNumberFormat="1" applyFont="1" applyFill="1" applyBorder="1"/>
    <xf numFmtId="0" fontId="28" fillId="4" borderId="17" xfId="80" applyFont="1" applyFill="1" applyBorder="1"/>
    <xf numFmtId="3" fontId="28" fillId="4" borderId="18" xfId="80" applyNumberFormat="1" applyFont="1" applyFill="1" applyBorder="1"/>
    <xf numFmtId="172" fontId="28" fillId="3" borderId="18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3" xfId="80" applyNumberFormat="1" applyFont="1" applyFill="1" applyBorder="1"/>
    <xf numFmtId="3" fontId="27" fillId="5" borderId="7" xfId="80" applyNumberFormat="1" applyFont="1" applyFill="1" applyBorder="1"/>
    <xf numFmtId="3" fontId="27" fillId="5" borderId="11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2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4" fillId="2" borderId="33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6" fillId="2" borderId="33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7" fillId="2" borderId="7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 wrapText="1"/>
    </xf>
    <xf numFmtId="0" fontId="38" fillId="2" borderId="22" xfId="0" applyFont="1" applyFill="1" applyBorder="1" applyAlignment="1">
      <alignment horizontal="center" vertical="center" wrapText="1"/>
    </xf>
    <xf numFmtId="0" fontId="36" fillId="2" borderId="22" xfId="0" applyFont="1" applyFill="1" applyBorder="1" applyAlignment="1">
      <alignment horizontal="center" vertical="center" wrapText="1"/>
    </xf>
    <xf numFmtId="3" fontId="27" fillId="5" borderId="3" xfId="80" applyNumberFormat="1" applyFont="1" applyFill="1" applyBorder="1"/>
    <xf numFmtId="3" fontId="27" fillId="5" borderId="28" xfId="80" applyNumberFormat="1" applyFont="1" applyFill="1" applyBorder="1"/>
    <xf numFmtId="3" fontId="27" fillId="5" borderId="24" xfId="80" applyNumberFormat="1" applyFont="1" applyFill="1" applyBorder="1"/>
    <xf numFmtId="3" fontId="27" fillId="5" borderId="8" xfId="80" applyNumberFormat="1" applyFont="1" applyFill="1" applyBorder="1"/>
    <xf numFmtId="3" fontId="27" fillId="5" borderId="9" xfId="80" applyNumberFormat="1" applyFont="1" applyFill="1" applyBorder="1"/>
    <xf numFmtId="3" fontId="27" fillId="5" borderId="12" xfId="80" applyNumberFormat="1" applyFont="1" applyFill="1" applyBorder="1"/>
    <xf numFmtId="3" fontId="27" fillId="5" borderId="13" xfId="80" applyNumberFormat="1" applyFont="1" applyFill="1" applyBorder="1"/>
    <xf numFmtId="3" fontId="28" fillId="2" borderId="26" xfId="80" applyNumberFormat="1" applyFont="1" applyFill="1" applyBorder="1"/>
    <xf numFmtId="3" fontId="28" fillId="2" borderId="19" xfId="80" applyNumberFormat="1" applyFont="1" applyFill="1" applyBorder="1"/>
    <xf numFmtId="3" fontId="28" fillId="4" borderId="26" xfId="80" applyNumberFormat="1" applyFont="1" applyFill="1" applyBorder="1"/>
    <xf numFmtId="3" fontId="28" fillId="4" borderId="19" xfId="80" applyNumberFormat="1" applyFont="1" applyFill="1" applyBorder="1"/>
    <xf numFmtId="172" fontId="28" fillId="3" borderId="26" xfId="80" applyNumberFormat="1" applyFont="1" applyFill="1" applyBorder="1"/>
    <xf numFmtId="172" fontId="28" fillId="3" borderId="19" xfId="80" applyNumberFormat="1" applyFont="1" applyFill="1" applyBorder="1"/>
    <xf numFmtId="0" fontId="31" fillId="2" borderId="24" xfId="80" applyFont="1" applyFill="1" applyBorder="1" applyAlignment="1">
      <alignment horizontal="center"/>
    </xf>
    <xf numFmtId="0" fontId="32" fillId="0" borderId="35" xfId="0" applyFont="1" applyFill="1" applyBorder="1" applyAlignment="1"/>
    <xf numFmtId="0" fontId="40" fillId="0" borderId="0" xfId="0" applyFont="1" applyFill="1" applyBorder="1" applyAlignment="1"/>
    <xf numFmtId="3" fontId="33" fillId="0" borderId="6" xfId="0" applyNumberFormat="1" applyFont="1" applyFill="1" applyBorder="1" applyAlignment="1">
      <alignment horizontal="right" vertical="top"/>
    </xf>
    <xf numFmtId="3" fontId="33" fillId="0" borderId="4" xfId="0" applyNumberFormat="1" applyFont="1" applyFill="1" applyBorder="1" applyAlignment="1">
      <alignment horizontal="right" vertical="top"/>
    </xf>
    <xf numFmtId="3" fontId="34" fillId="0" borderId="4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3" fillId="0" borderId="8" xfId="0" applyNumberFormat="1" applyFont="1" applyFill="1" applyBorder="1" applyAlignment="1">
      <alignment horizontal="right" vertical="top"/>
    </xf>
    <xf numFmtId="3" fontId="34" fillId="0" borderId="8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3" fillId="0" borderId="31" xfId="0" applyNumberFormat="1" applyFont="1" applyFill="1" applyBorder="1" applyAlignment="1">
      <alignment horizontal="right" vertical="top"/>
    </xf>
    <xf numFmtId="3" fontId="33" fillId="0" borderId="22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5" xfId="81" applyFont="1" applyFill="1" applyBorder="1" applyAlignment="1"/>
    <xf numFmtId="0" fontId="29" fillId="0" borderId="0" xfId="49" applyFont="1" applyFill="1"/>
    <xf numFmtId="165" fontId="3" fillId="0" borderId="55" xfId="53" applyNumberFormat="1" applyFont="1" applyFill="1" applyBorder="1"/>
    <xf numFmtId="9" fontId="3" fillId="0" borderId="55" xfId="53" applyNumberFormat="1" applyFont="1" applyFill="1" applyBorder="1"/>
    <xf numFmtId="0" fontId="32" fillId="0" borderId="29" xfId="0" applyFont="1" applyFill="1" applyBorder="1" applyAlignment="1"/>
    <xf numFmtId="0" fontId="32" fillId="0" borderId="30" xfId="0" applyFont="1" applyFill="1" applyBorder="1" applyAlignment="1"/>
    <xf numFmtId="0" fontId="32" fillId="0" borderId="50" xfId="0" applyFont="1" applyFill="1" applyBorder="1" applyAlignment="1"/>
    <xf numFmtId="0" fontId="3" fillId="2" borderId="53" xfId="53" applyFont="1" applyFill="1" applyBorder="1" applyAlignment="1">
      <alignment horizontal="right"/>
    </xf>
    <xf numFmtId="0" fontId="32" fillId="0" borderId="24" xfId="0" applyFont="1" applyBorder="1" applyAlignment="1"/>
    <xf numFmtId="0" fontId="32" fillId="5" borderId="5" xfId="0" applyFont="1" applyFill="1" applyBorder="1"/>
    <xf numFmtId="0" fontId="32" fillId="5" borderId="9" xfId="0" applyFont="1" applyFill="1" applyBorder="1"/>
    <xf numFmtId="0" fontId="32" fillId="5" borderId="21" xfId="0" applyFont="1" applyFill="1" applyBorder="1"/>
    <xf numFmtId="0" fontId="32" fillId="5" borderId="35" xfId="0" applyFont="1" applyFill="1" applyBorder="1"/>
    <xf numFmtId="0" fontId="32" fillId="5" borderId="41" xfId="0" applyFont="1" applyFill="1" applyBorder="1"/>
    <xf numFmtId="9" fontId="34" fillId="0" borderId="5" xfId="0" applyNumberFormat="1" applyFont="1" applyFill="1" applyBorder="1" applyAlignment="1">
      <alignment horizontal="right" vertical="top"/>
    </xf>
    <xf numFmtId="9" fontId="34" fillId="0" borderId="9" xfId="0" applyNumberFormat="1" applyFont="1" applyFill="1" applyBorder="1" applyAlignment="1">
      <alignment horizontal="right" vertical="top"/>
    </xf>
    <xf numFmtId="9" fontId="36" fillId="0" borderId="9" xfId="0" applyNumberFormat="1" applyFont="1" applyFill="1" applyBorder="1" applyAlignment="1">
      <alignment horizontal="right" vertical="top"/>
    </xf>
    <xf numFmtId="9" fontId="34" fillId="0" borderId="21" xfId="0" applyNumberFormat="1" applyFont="1" applyFill="1" applyBorder="1" applyAlignment="1">
      <alignment horizontal="right" vertical="top"/>
    </xf>
    <xf numFmtId="3" fontId="31" fillId="0" borderId="28" xfId="53" applyNumberFormat="1" applyFont="1" applyFill="1" applyBorder="1"/>
    <xf numFmtId="3" fontId="31" fillId="0" borderId="24" xfId="53" applyNumberFormat="1" applyFont="1" applyFill="1" applyBorder="1"/>
    <xf numFmtId="0" fontId="31" fillId="2" borderId="41" xfId="0" applyFont="1" applyFill="1" applyBorder="1" applyAlignment="1">
      <alignment horizontal="center"/>
    </xf>
    <xf numFmtId="3" fontId="3" fillId="0" borderId="54" xfId="53" applyNumberFormat="1" applyFont="1" applyFill="1" applyBorder="1"/>
    <xf numFmtId="3" fontId="3" fillId="0" borderId="55" xfId="53" applyNumberFormat="1" applyFont="1" applyFill="1" applyBorder="1"/>
    <xf numFmtId="3" fontId="3" fillId="0" borderId="56" xfId="53" applyNumberFormat="1" applyFont="1" applyFill="1" applyBorder="1"/>
    <xf numFmtId="0" fontId="31" fillId="2" borderId="41" xfId="0" applyNumberFormat="1" applyFont="1" applyFill="1" applyBorder="1" applyAlignment="1">
      <alignment horizontal="center"/>
    </xf>
    <xf numFmtId="170" fontId="32" fillId="0" borderId="0" xfId="0" applyNumberFormat="1" applyFont="1" applyFill="1"/>
    <xf numFmtId="0" fontId="31" fillId="2" borderId="37" xfId="74" applyFont="1" applyFill="1" applyBorder="1" applyAlignment="1">
      <alignment horizontal="center"/>
    </xf>
    <xf numFmtId="0" fontId="27" fillId="5" borderId="35" xfId="80" applyFont="1" applyFill="1" applyBorder="1"/>
    <xf numFmtId="0" fontId="31" fillId="2" borderId="22" xfId="80" applyFont="1" applyFill="1" applyBorder="1" applyAlignment="1">
      <alignment horizontal="center"/>
    </xf>
    <xf numFmtId="0" fontId="31" fillId="2" borderId="21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6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28" xfId="0" applyNumberFormat="1" applyFont="1" applyFill="1" applyBorder="1"/>
    <xf numFmtId="3" fontId="32" fillId="0" borderId="23" xfId="0" applyNumberFormat="1" applyFont="1" applyFill="1" applyBorder="1"/>
    <xf numFmtId="3" fontId="32" fillId="0" borderId="7" xfId="0" applyNumberFormat="1" applyFont="1" applyFill="1" applyBorder="1"/>
    <xf numFmtId="3" fontId="32" fillId="0" borderId="8" xfId="0" applyNumberFormat="1" applyFont="1" applyFill="1" applyBorder="1"/>
    <xf numFmtId="3" fontId="32" fillId="0" borderId="11" xfId="0" applyNumberFormat="1" applyFont="1" applyFill="1" applyBorder="1"/>
    <xf numFmtId="3" fontId="32" fillId="0" borderId="12" xfId="0" applyNumberFormat="1" applyFont="1" applyFill="1" applyBorder="1"/>
    <xf numFmtId="9" fontId="32" fillId="0" borderId="24" xfId="0" applyNumberFormat="1" applyFont="1" applyFill="1" applyBorder="1"/>
    <xf numFmtId="9" fontId="32" fillId="0" borderId="9" xfId="0" applyNumberFormat="1" applyFont="1" applyFill="1" applyBorder="1"/>
    <xf numFmtId="9" fontId="32" fillId="0" borderId="13" xfId="0" applyNumberFormat="1" applyFont="1" applyFill="1" applyBorder="1"/>
    <xf numFmtId="9" fontId="28" fillId="2" borderId="19" xfId="80" applyNumberFormat="1" applyFont="1" applyFill="1" applyBorder="1"/>
    <xf numFmtId="9" fontId="28" fillId="4" borderId="19" xfId="80" applyNumberFormat="1" applyFont="1" applyFill="1" applyBorder="1"/>
    <xf numFmtId="9" fontId="28" fillId="3" borderId="19" xfId="80" applyNumberFormat="1" applyFont="1" applyFill="1" applyBorder="1"/>
    <xf numFmtId="0" fontId="31" fillId="2" borderId="20" xfId="80" applyFont="1" applyFill="1" applyBorder="1" applyAlignment="1">
      <alignment horizontal="center"/>
    </xf>
    <xf numFmtId="49" fontId="37" fillId="2" borderId="8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1" xfId="0" applyFont="1" applyFill="1" applyBorder="1" applyAlignment="1"/>
    <xf numFmtId="0" fontId="32" fillId="0" borderId="0" xfId="0" applyFont="1" applyFill="1" applyAlignment="1"/>
    <xf numFmtId="0" fontId="45" fillId="4" borderId="32" xfId="1" applyFont="1" applyFill="1" applyBorder="1"/>
    <xf numFmtId="0" fontId="45" fillId="4" borderId="16" xfId="1" applyFont="1" applyFill="1" applyBorder="1"/>
    <xf numFmtId="0" fontId="45" fillId="3" borderId="17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165" fontId="31" fillId="2" borderId="23" xfId="53" applyNumberFormat="1" applyFont="1" applyFill="1" applyBorder="1" applyAlignment="1">
      <alignment horizontal="right"/>
    </xf>
    <xf numFmtId="0" fontId="45" fillId="3" borderId="7" xfId="1" applyFont="1" applyFill="1" applyBorder="1"/>
    <xf numFmtId="0" fontId="45" fillId="3" borderId="3" xfId="1" applyFont="1" applyFill="1" applyBorder="1"/>
    <xf numFmtId="0" fontId="45" fillId="6" borderId="3" xfId="1" applyFont="1" applyFill="1" applyBorder="1"/>
    <xf numFmtId="0" fontId="45" fillId="6" borderId="48" xfId="1" applyFont="1" applyFill="1" applyBorder="1"/>
    <xf numFmtId="0" fontId="45" fillId="2" borderId="3" xfId="1" applyFont="1" applyFill="1" applyBorder="1"/>
    <xf numFmtId="0" fontId="45" fillId="4" borderId="3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4" xfId="0" applyNumberFormat="1" applyFont="1" applyFill="1" applyBorder="1"/>
    <xf numFmtId="3" fontId="39" fillId="2" borderId="45" xfId="0" applyNumberFormat="1" applyFont="1" applyFill="1" applyBorder="1"/>
    <xf numFmtId="9" fontId="39" fillId="2" borderId="49" xfId="0" applyNumberFormat="1" applyFont="1" applyFill="1" applyBorder="1"/>
    <xf numFmtId="0" fontId="49" fillId="2" borderId="17" xfId="1" applyFont="1" applyFill="1" applyBorder="1" applyAlignment="1"/>
    <xf numFmtId="0" fontId="32" fillId="2" borderId="27" xfId="0" applyFont="1" applyFill="1" applyBorder="1" applyAlignment="1"/>
    <xf numFmtId="3" fontId="32" fillId="2" borderId="26" xfId="0" applyNumberFormat="1" applyFont="1" applyFill="1" applyBorder="1" applyAlignment="1"/>
    <xf numFmtId="9" fontId="32" fillId="2" borderId="19" xfId="0" applyNumberFormat="1" applyFont="1" applyFill="1" applyBorder="1" applyAlignment="1"/>
    <xf numFmtId="0" fontId="39" fillId="2" borderId="46" xfId="0" applyFont="1" applyFill="1" applyBorder="1" applyAlignment="1"/>
    <xf numFmtId="0" fontId="32" fillId="0" borderId="6" xfId="0" applyFont="1" applyBorder="1" applyAlignment="1"/>
    <xf numFmtId="3" fontId="32" fillId="0" borderId="4" xfId="0" applyNumberFormat="1" applyFont="1" applyBorder="1" applyAlignment="1"/>
    <xf numFmtId="9" fontId="32" fillId="0" borderId="9" xfId="0" applyNumberFormat="1" applyFont="1" applyBorder="1" applyAlignment="1"/>
    <xf numFmtId="0" fontId="29" fillId="2" borderId="33" xfId="1" applyFont="1" applyFill="1" applyBorder="1" applyAlignment="1">
      <alignment horizontal="left" indent="2"/>
    </xf>
    <xf numFmtId="0" fontId="32" fillId="0" borderId="10" xfId="0" applyFont="1" applyBorder="1" applyAlignment="1"/>
    <xf numFmtId="3" fontId="32" fillId="0" borderId="8" xfId="0" applyNumberFormat="1" applyFont="1" applyBorder="1" applyAlignment="1"/>
    <xf numFmtId="0" fontId="45" fillId="2" borderId="33" xfId="1" applyFont="1" applyFill="1" applyBorder="1" applyAlignment="1">
      <alignment horizontal="left" indent="4"/>
    </xf>
    <xf numFmtId="9" fontId="32" fillId="0" borderId="8" xfId="0" applyNumberFormat="1" applyFont="1" applyBorder="1" applyAlignment="1"/>
    <xf numFmtId="0" fontId="32" fillId="2" borderId="33" xfId="0" applyFont="1" applyFill="1" applyBorder="1" applyAlignment="1">
      <alignment horizontal="left" indent="2"/>
    </xf>
    <xf numFmtId="0" fontId="31" fillId="2" borderId="33" xfId="1" applyFont="1" applyFill="1" applyBorder="1" applyAlignment="1"/>
    <xf numFmtId="0" fontId="45" fillId="2" borderId="33" xfId="1" applyFont="1" applyFill="1" applyBorder="1" applyAlignment="1">
      <alignment horizontal="left" indent="2"/>
    </xf>
    <xf numFmtId="0" fontId="49" fillId="2" borderId="33" xfId="1" applyFont="1" applyFill="1" applyBorder="1" applyAlignment="1"/>
    <xf numFmtId="0" fontId="32" fillId="0" borderId="31" xfId="0" applyFont="1" applyBorder="1" applyAlignment="1"/>
    <xf numFmtId="3" fontId="32" fillId="0" borderId="22" xfId="0" applyNumberFormat="1" applyFont="1" applyBorder="1" applyAlignment="1"/>
    <xf numFmtId="9" fontId="32" fillId="0" borderId="21" xfId="0" applyNumberFormat="1" applyFont="1" applyBorder="1" applyAlignment="1"/>
    <xf numFmtId="0" fontId="39" fillId="0" borderId="35" xfId="0" applyFont="1" applyFill="1" applyBorder="1" applyAlignment="1">
      <alignment horizontal="left" indent="2"/>
    </xf>
    <xf numFmtId="0" fontId="32" fillId="0" borderId="35" xfId="0" applyFont="1" applyBorder="1" applyAlignment="1"/>
    <xf numFmtId="3" fontId="32" fillId="0" borderId="35" xfId="0" applyNumberFormat="1" applyFont="1" applyBorder="1" applyAlignment="1"/>
    <xf numFmtId="9" fontId="32" fillId="0" borderId="35" xfId="0" applyNumberFormat="1" applyFont="1" applyBorder="1" applyAlignment="1"/>
    <xf numFmtId="0" fontId="49" fillId="4" borderId="17" xfId="1" applyFont="1" applyFill="1" applyBorder="1" applyAlignment="1">
      <alignment horizontal="left"/>
    </xf>
    <xf numFmtId="0" fontId="32" fillId="4" borderId="27" xfId="0" applyFont="1" applyFill="1" applyBorder="1" applyAlignment="1"/>
    <xf numFmtId="3" fontId="32" fillId="4" borderId="26" xfId="0" applyNumberFormat="1" applyFont="1" applyFill="1" applyBorder="1" applyAlignment="1"/>
    <xf numFmtId="9" fontId="32" fillId="4" borderId="19" xfId="0" applyNumberFormat="1" applyFont="1" applyFill="1" applyBorder="1" applyAlignment="1"/>
    <xf numFmtId="0" fontId="49" fillId="4" borderId="46" xfId="1" applyFont="1" applyFill="1" applyBorder="1" applyAlignment="1">
      <alignment horizontal="left"/>
    </xf>
    <xf numFmtId="0" fontId="45" fillId="4" borderId="33" xfId="1" applyFont="1" applyFill="1" applyBorder="1" applyAlignment="1">
      <alignment horizontal="left" indent="2"/>
    </xf>
    <xf numFmtId="0" fontId="49" fillId="4" borderId="33" xfId="1" applyFont="1" applyFill="1" applyBorder="1" applyAlignment="1">
      <alignment horizontal="left"/>
    </xf>
    <xf numFmtId="0" fontId="32" fillId="4" borderId="34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1" xfId="0" applyNumberFormat="1" applyFont="1" applyBorder="1" applyAlignment="1"/>
    <xf numFmtId="0" fontId="39" fillId="3" borderId="17" xfId="0" applyFont="1" applyFill="1" applyBorder="1" applyAlignment="1"/>
    <xf numFmtId="0" fontId="32" fillId="3" borderId="27" xfId="0" applyFont="1" applyFill="1" applyBorder="1" applyAlignment="1"/>
    <xf numFmtId="3" fontId="32" fillId="3" borderId="26" xfId="0" applyNumberFormat="1" applyFont="1" applyFill="1" applyBorder="1" applyAlignment="1"/>
    <xf numFmtId="9" fontId="32" fillId="3" borderId="19" xfId="0" applyNumberFormat="1" applyFont="1" applyFill="1" applyBorder="1" applyAlignment="1"/>
    <xf numFmtId="0" fontId="40" fillId="0" borderId="0" xfId="0" applyFont="1" applyFill="1"/>
    <xf numFmtId="16" fontId="40" fillId="0" borderId="0" xfId="0" quotePrefix="1" applyNumberFormat="1" applyFont="1" applyFill="1"/>
    <xf numFmtId="0" fontId="40" fillId="0" borderId="0" xfId="0" quotePrefix="1" applyFont="1" applyFill="1"/>
    <xf numFmtId="172" fontId="40" fillId="0" borderId="0" xfId="0" applyNumberFormat="1" applyFont="1" applyFill="1"/>
    <xf numFmtId="173" fontId="40" fillId="0" borderId="0" xfId="0" applyNumberFormat="1" applyFont="1" applyFill="1"/>
    <xf numFmtId="3" fontId="40" fillId="0" borderId="0" xfId="0" applyNumberFormat="1" applyFont="1" applyFill="1"/>
    <xf numFmtId="0" fontId="7" fillId="0" borderId="0" xfId="80" applyFont="1" applyFill="1"/>
    <xf numFmtId="0" fontId="50" fillId="0" borderId="35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5" fontId="32" fillId="0" borderId="0" xfId="0" applyNumberFormat="1" applyFont="1" applyFill="1"/>
    <xf numFmtId="9" fontId="32" fillId="0" borderId="0" xfId="0" applyNumberFormat="1" applyFont="1" applyFill="1"/>
    <xf numFmtId="165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5" fontId="32" fillId="0" borderId="0" xfId="0" applyNumberFormat="1" applyFont="1" applyFill="1" applyAlignment="1">
      <alignment horizontal="right"/>
    </xf>
    <xf numFmtId="0" fontId="39" fillId="2" borderId="25" xfId="0" applyFont="1" applyFill="1" applyBorder="1" applyAlignment="1">
      <alignment horizontal="right"/>
    </xf>
    <xf numFmtId="170" fontId="39" fillId="0" borderId="18" xfId="0" applyNumberFormat="1" applyFont="1" applyFill="1" applyBorder="1" applyAlignment="1"/>
    <xf numFmtId="170" fontId="39" fillId="0" borderId="26" xfId="0" applyNumberFormat="1" applyFont="1" applyFill="1" applyBorder="1" applyAlignment="1"/>
    <xf numFmtId="9" fontId="39" fillId="0" borderId="19" xfId="0" applyNumberFormat="1" applyFont="1" applyFill="1" applyBorder="1" applyAlignment="1"/>
    <xf numFmtId="170" fontId="39" fillId="0" borderId="27" xfId="0" applyNumberFormat="1" applyFont="1" applyFill="1" applyBorder="1" applyAlignment="1"/>
    <xf numFmtId="9" fontId="39" fillId="0" borderId="43" xfId="0" applyNumberFormat="1" applyFont="1" applyFill="1" applyBorder="1" applyAlignment="1"/>
    <xf numFmtId="170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1" xfId="0" applyNumberFormat="1" applyFont="1" applyFill="1" applyBorder="1" applyAlignment="1"/>
    <xf numFmtId="9" fontId="32" fillId="0" borderId="41" xfId="0" applyNumberFormat="1" applyFont="1" applyFill="1" applyBorder="1" applyAlignment="1"/>
    <xf numFmtId="3" fontId="0" fillId="0" borderId="0" xfId="0" applyNumberFormat="1"/>
    <xf numFmtId="3" fontId="0" fillId="7" borderId="58" xfId="0" applyNumberFormat="1" applyFont="1" applyFill="1" applyBorder="1"/>
    <xf numFmtId="3" fontId="52" fillId="8" borderId="59" xfId="0" applyNumberFormat="1" applyFont="1" applyFill="1" applyBorder="1"/>
    <xf numFmtId="3" fontId="52" fillId="8" borderId="58" xfId="0" applyNumberFormat="1" applyFont="1" applyFill="1" applyBorder="1"/>
    <xf numFmtId="0" fontId="53" fillId="0" borderId="0" xfId="1" applyFont="1" applyFill="1"/>
    <xf numFmtId="3" fontId="51" fillId="0" borderId="0" xfId="26" applyNumberFormat="1" applyFont="1" applyFill="1" applyBorder="1" applyAlignment="1"/>
    <xf numFmtId="3" fontId="39" fillId="2" borderId="62" xfId="0" applyNumberFormat="1" applyFont="1" applyFill="1" applyBorder="1" applyAlignment="1">
      <alignment horizontal="center" vertical="center"/>
    </xf>
    <xf numFmtId="0" fontId="39" fillId="2" borderId="63" xfId="0" applyFont="1" applyFill="1" applyBorder="1" applyAlignment="1">
      <alignment horizontal="center" vertical="center"/>
    </xf>
    <xf numFmtId="3" fontId="54" fillId="2" borderId="65" xfId="0" applyNumberFormat="1" applyFont="1" applyFill="1" applyBorder="1" applyAlignment="1">
      <alignment horizontal="center" vertical="center" wrapText="1"/>
    </xf>
    <xf numFmtId="0" fontId="54" fillId="2" borderId="66" xfId="0" applyFont="1" applyFill="1" applyBorder="1" applyAlignment="1">
      <alignment horizontal="center" vertical="center" wrapText="1"/>
    </xf>
    <xf numFmtId="0" fontId="39" fillId="2" borderId="68" xfId="0" applyFont="1" applyFill="1" applyBorder="1" applyAlignment="1"/>
    <xf numFmtId="0" fontId="39" fillId="2" borderId="70" xfId="0" applyFont="1" applyFill="1" applyBorder="1" applyAlignment="1">
      <alignment horizontal="left" indent="1"/>
    </xf>
    <xf numFmtId="0" fontId="39" fillId="2" borderId="76" xfId="0" applyFont="1" applyFill="1" applyBorder="1" applyAlignment="1">
      <alignment horizontal="left" indent="1"/>
    </xf>
    <xf numFmtId="0" fontId="39" fillId="4" borderId="68" xfId="0" applyFont="1" applyFill="1" applyBorder="1" applyAlignment="1"/>
    <xf numFmtId="0" fontId="39" fillId="4" borderId="70" xfId="0" applyFont="1" applyFill="1" applyBorder="1" applyAlignment="1">
      <alignment horizontal="left" indent="1"/>
    </xf>
    <xf numFmtId="0" fontId="39" fillId="4" borderId="80" xfId="0" applyFont="1" applyFill="1" applyBorder="1" applyAlignment="1">
      <alignment horizontal="left" indent="1"/>
    </xf>
    <xf numFmtId="0" fontId="32" fillId="2" borderId="70" xfId="0" quotePrefix="1" applyFont="1" applyFill="1" applyBorder="1" applyAlignment="1">
      <alignment horizontal="left" indent="2"/>
    </xf>
    <xf numFmtId="0" fontId="32" fillId="2" borderId="76" xfId="0" quotePrefix="1" applyFont="1" applyFill="1" applyBorder="1" applyAlignment="1">
      <alignment horizontal="left" indent="2"/>
    </xf>
    <xf numFmtId="0" fontId="39" fillId="2" borderId="68" xfId="0" applyFont="1" applyFill="1" applyBorder="1" applyAlignment="1">
      <alignment horizontal="left" indent="1"/>
    </xf>
    <xf numFmtId="0" fontId="39" fillId="2" borderId="80" xfId="0" applyFont="1" applyFill="1" applyBorder="1" applyAlignment="1">
      <alignment horizontal="left" indent="1"/>
    </xf>
    <xf numFmtId="0" fontId="39" fillId="4" borderId="76" xfId="0" applyFont="1" applyFill="1" applyBorder="1" applyAlignment="1">
      <alignment horizontal="left" indent="1"/>
    </xf>
    <xf numFmtId="0" fontId="32" fillId="0" borderId="85" xfId="0" applyFont="1" applyBorder="1"/>
    <xf numFmtId="3" fontId="32" fillId="0" borderId="85" xfId="0" applyNumberFormat="1" applyFont="1" applyBorder="1"/>
    <xf numFmtId="0" fontId="39" fillId="4" borderId="60" xfId="0" applyFont="1" applyFill="1" applyBorder="1" applyAlignment="1">
      <alignment horizontal="center" vertical="center"/>
    </xf>
    <xf numFmtId="0" fontId="39" fillId="4" borderId="50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4" xfId="0" applyNumberFormat="1" applyFont="1" applyFill="1" applyBorder="1" applyAlignment="1">
      <alignment horizontal="center" vertical="center"/>
    </xf>
    <xf numFmtId="3" fontId="54" fillId="2" borderId="82" xfId="0" applyNumberFormat="1" applyFont="1" applyFill="1" applyBorder="1" applyAlignment="1">
      <alignment horizontal="center" vertical="center" wrapText="1"/>
    </xf>
    <xf numFmtId="174" fontId="39" fillId="4" borderId="69" xfId="0" applyNumberFormat="1" applyFont="1" applyFill="1" applyBorder="1" applyAlignment="1"/>
    <xf numFmtId="174" fontId="39" fillId="4" borderId="62" xfId="0" applyNumberFormat="1" applyFont="1" applyFill="1" applyBorder="1" applyAlignment="1"/>
    <xf numFmtId="174" fontId="39" fillId="4" borderId="63" xfId="0" applyNumberFormat="1" applyFont="1" applyFill="1" applyBorder="1" applyAlignment="1"/>
    <xf numFmtId="174" fontId="39" fillId="0" borderId="71" xfId="0" applyNumberFormat="1" applyFont="1" applyBorder="1"/>
    <xf numFmtId="174" fontId="32" fillId="0" borderId="75" xfId="0" applyNumberFormat="1" applyFont="1" applyBorder="1"/>
    <xf numFmtId="174" fontId="32" fillId="0" borderId="73" xfId="0" applyNumberFormat="1" applyFont="1" applyBorder="1"/>
    <xf numFmtId="174" fontId="39" fillId="0" borderId="81" xfId="0" applyNumberFormat="1" applyFont="1" applyBorder="1"/>
    <xf numFmtId="174" fontId="32" fillId="0" borderId="82" xfId="0" applyNumberFormat="1" applyFont="1" applyBorder="1"/>
    <xf numFmtId="174" fontId="32" fillId="0" borderId="66" xfId="0" applyNumberFormat="1" applyFont="1" applyBorder="1"/>
    <xf numFmtId="174" fontId="39" fillId="2" borderId="83" xfId="0" applyNumberFormat="1" applyFont="1" applyFill="1" applyBorder="1" applyAlignment="1"/>
    <xf numFmtId="174" fontId="39" fillId="2" borderId="62" xfId="0" applyNumberFormat="1" applyFont="1" applyFill="1" applyBorder="1" applyAlignment="1"/>
    <xf numFmtId="174" fontId="39" fillId="2" borderId="63" xfId="0" applyNumberFormat="1" applyFont="1" applyFill="1" applyBorder="1" applyAlignment="1"/>
    <xf numFmtId="174" fontId="39" fillId="0" borderId="77" xfId="0" applyNumberFormat="1" applyFont="1" applyBorder="1"/>
    <xf numFmtId="174" fontId="32" fillId="0" borderId="78" xfId="0" applyNumberFormat="1" applyFont="1" applyBorder="1"/>
    <xf numFmtId="174" fontId="32" fillId="0" borderId="79" xfId="0" applyNumberFormat="1" applyFont="1" applyBorder="1"/>
    <xf numFmtId="174" fontId="39" fillId="0" borderId="69" xfId="0" applyNumberFormat="1" applyFont="1" applyBorder="1"/>
    <xf numFmtId="174" fontId="32" fillId="0" borderId="84" xfId="0" applyNumberFormat="1" applyFont="1" applyBorder="1"/>
    <xf numFmtId="174" fontId="32" fillId="0" borderId="63" xfId="0" applyNumberFormat="1" applyFont="1" applyBorder="1"/>
    <xf numFmtId="175" fontId="39" fillId="2" borderId="69" xfId="0" applyNumberFormat="1" applyFont="1" applyFill="1" applyBorder="1" applyAlignment="1"/>
    <xf numFmtId="175" fontId="32" fillId="2" borderId="62" xfId="0" applyNumberFormat="1" applyFont="1" applyFill="1" applyBorder="1" applyAlignment="1"/>
    <xf numFmtId="175" fontId="32" fillId="2" borderId="63" xfId="0" applyNumberFormat="1" applyFont="1" applyFill="1" applyBorder="1" applyAlignment="1"/>
    <xf numFmtId="175" fontId="39" fillId="0" borderId="71" xfId="0" applyNumberFormat="1" applyFont="1" applyBorder="1"/>
    <xf numFmtId="175" fontId="32" fillId="0" borderId="72" xfId="0" applyNumberFormat="1" applyFont="1" applyBorder="1"/>
    <xf numFmtId="175" fontId="32" fillId="0" borderId="73" xfId="0" applyNumberFormat="1" applyFont="1" applyBorder="1"/>
    <xf numFmtId="175" fontId="32" fillId="0" borderId="75" xfId="0" applyNumberFormat="1" applyFont="1" applyBorder="1"/>
    <xf numFmtId="175" fontId="39" fillId="0" borderId="77" xfId="0" applyNumberFormat="1" applyFont="1" applyBorder="1"/>
    <xf numFmtId="175" fontId="32" fillId="0" borderId="78" xfId="0" applyNumberFormat="1" applyFont="1" applyBorder="1"/>
    <xf numFmtId="175" fontId="32" fillId="0" borderId="79" xfId="0" applyNumberFormat="1" applyFont="1" applyBorder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174" fontId="39" fillId="4" borderId="69" xfId="0" applyNumberFormat="1" applyFont="1" applyFill="1" applyBorder="1" applyAlignment="1">
      <alignment horizontal="center"/>
    </xf>
    <xf numFmtId="176" fontId="39" fillId="0" borderId="77" xfId="0" applyNumberFormat="1" applyFont="1" applyBorder="1"/>
    <xf numFmtId="0" fontId="31" fillId="2" borderId="91" xfId="74" applyFont="1" applyFill="1" applyBorder="1" applyAlignment="1">
      <alignment horizontal="center"/>
    </xf>
    <xf numFmtId="0" fontId="31" fillId="2" borderId="64" xfId="80" applyFont="1" applyFill="1" applyBorder="1" applyAlignment="1">
      <alignment horizontal="center"/>
    </xf>
    <xf numFmtId="0" fontId="31" fillId="2" borderId="65" xfId="80" applyFont="1" applyFill="1" applyBorder="1" applyAlignment="1">
      <alignment horizontal="center"/>
    </xf>
    <xf numFmtId="0" fontId="31" fillId="2" borderId="66" xfId="80" applyFont="1" applyFill="1" applyBorder="1" applyAlignment="1">
      <alignment horizontal="center"/>
    </xf>
    <xf numFmtId="0" fontId="31" fillId="2" borderId="67" xfId="80" applyFont="1" applyFill="1" applyBorder="1" applyAlignment="1">
      <alignment horizontal="center"/>
    </xf>
    <xf numFmtId="0" fontId="3" fillId="2" borderId="18" xfId="79" applyFont="1" applyFill="1" applyBorder="1" applyAlignment="1"/>
    <xf numFmtId="0" fontId="3" fillId="2" borderId="26" xfId="79" applyFont="1" applyFill="1" applyBorder="1" applyAlignment="1"/>
    <xf numFmtId="0" fontId="29" fillId="5" borderId="0" xfId="74" applyFont="1" applyFill="1" applyAlignment="1">
      <alignment horizontal="center"/>
    </xf>
    <xf numFmtId="0" fontId="39" fillId="3" borderId="25" xfId="0" applyFont="1" applyFill="1" applyBorder="1" applyAlignment="1"/>
    <xf numFmtId="0" fontId="32" fillId="0" borderId="36" xfId="0" applyFont="1" applyBorder="1" applyAlignment="1"/>
    <xf numFmtId="0" fontId="39" fillId="2" borderId="25" xfId="0" applyFont="1" applyFill="1" applyBorder="1" applyAlignment="1"/>
    <xf numFmtId="0" fontId="39" fillId="4" borderId="25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5" xfId="80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39" xfId="80" applyFont="1" applyFill="1" applyBorder="1" applyAlignment="1">
      <alignment horizontal="center"/>
    </xf>
    <xf numFmtId="0" fontId="31" fillId="2" borderId="40" xfId="80" applyFont="1" applyFill="1" applyBorder="1" applyAlignment="1">
      <alignment horizontal="center"/>
    </xf>
    <xf numFmtId="0" fontId="31" fillId="2" borderId="37" xfId="80" applyFont="1" applyFill="1" applyBorder="1" applyAlignment="1">
      <alignment horizontal="center"/>
    </xf>
    <xf numFmtId="0" fontId="31" fillId="2" borderId="57" xfId="80" applyFont="1" applyFill="1" applyBorder="1" applyAlignment="1">
      <alignment horizontal="center"/>
    </xf>
    <xf numFmtId="0" fontId="31" fillId="2" borderId="38" xfId="80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3" xfId="0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7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0" fontId="38" fillId="2" borderId="2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31" fillId="2" borderId="91" xfId="80" applyFont="1" applyFill="1" applyBorder="1" applyAlignment="1">
      <alignment horizontal="center"/>
    </xf>
    <xf numFmtId="0" fontId="31" fillId="2" borderId="89" xfId="80" applyFont="1" applyFill="1" applyBorder="1" applyAlignment="1">
      <alignment horizontal="center"/>
    </xf>
    <xf numFmtId="0" fontId="31" fillId="2" borderId="69" xfId="80" applyFont="1" applyFill="1" applyBorder="1" applyAlignment="1">
      <alignment horizontal="center"/>
    </xf>
    <xf numFmtId="0" fontId="31" fillId="2" borderId="90" xfId="80" applyFont="1" applyFill="1" applyBorder="1" applyAlignment="1">
      <alignment horizontal="center"/>
    </xf>
    <xf numFmtId="0" fontId="31" fillId="2" borderId="81" xfId="80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5" fontId="31" fillId="0" borderId="0" xfId="53" applyNumberFormat="1" applyFont="1" applyFill="1" applyBorder="1" applyAlignment="1">
      <alignment horizontal="center"/>
    </xf>
    <xf numFmtId="165" fontId="29" fillId="0" borderId="0" xfId="79" applyNumberFormat="1" applyFont="1" applyFill="1" applyBorder="1" applyAlignment="1">
      <alignment horizontal="center"/>
    </xf>
    <xf numFmtId="165" fontId="31" fillId="2" borderId="23" xfId="53" applyNumberFormat="1" applyFont="1" applyFill="1" applyBorder="1" applyAlignment="1">
      <alignment horizontal="right"/>
    </xf>
    <xf numFmtId="165" fontId="29" fillId="2" borderId="28" xfId="79" applyNumberFormat="1" applyFont="1" applyFill="1" applyBorder="1" applyAlignment="1">
      <alignment horizontal="right"/>
    </xf>
    <xf numFmtId="165" fontId="42" fillId="0" borderId="1" xfId="14" applyNumberFormat="1" applyFont="1" applyFill="1" applyBorder="1" applyAlignment="1"/>
    <xf numFmtId="0" fontId="2" fillId="0" borderId="1" xfId="26" applyFont="1" applyFill="1" applyBorder="1" applyAlignment="1"/>
    <xf numFmtId="167" fontId="39" fillId="2" borderId="61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39" fillId="2" borderId="49" xfId="0" applyFont="1" applyFill="1" applyBorder="1" applyAlignment="1">
      <alignment vertical="center"/>
    </xf>
    <xf numFmtId="3" fontId="31" fillId="2" borderId="51" xfId="26" applyNumberFormat="1" applyFont="1" applyFill="1" applyBorder="1" applyAlignment="1">
      <alignment horizontal="center"/>
    </xf>
    <xf numFmtId="3" fontId="31" fillId="2" borderId="41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42" xfId="0" applyNumberFormat="1" applyFont="1" applyFill="1" applyBorder="1" applyAlignment="1">
      <alignment horizontal="center" vertical="top"/>
    </xf>
    <xf numFmtId="0" fontId="31" fillId="2" borderId="29" xfId="0" applyFont="1" applyFill="1" applyBorder="1" applyAlignment="1">
      <alignment horizontal="center" vertical="top" wrapText="1"/>
    </xf>
    <xf numFmtId="0" fontId="31" fillId="2" borderId="29" xfId="0" applyFont="1" applyFill="1" applyBorder="1" applyAlignment="1">
      <alignment horizontal="center" vertical="top"/>
    </xf>
    <xf numFmtId="49" fontId="31" fillId="2" borderId="29" xfId="0" applyNumberFormat="1" applyFont="1" applyFill="1" applyBorder="1" applyAlignment="1">
      <alignment horizontal="center" vertical="top"/>
    </xf>
    <xf numFmtId="0" fontId="31" fillId="2" borderId="29" xfId="0" applyFont="1" applyFill="1" applyBorder="1" applyAlignment="1">
      <alignment horizontal="center" vertical="center"/>
    </xf>
    <xf numFmtId="0" fontId="31" fillId="2" borderId="51" xfId="0" quotePrefix="1" applyFont="1" applyFill="1" applyBorder="1" applyAlignment="1">
      <alignment horizontal="center"/>
    </xf>
    <xf numFmtId="0" fontId="31" fillId="2" borderId="42" xfId="0" applyFont="1" applyFill="1" applyBorder="1" applyAlignment="1">
      <alignment horizontal="center"/>
    </xf>
    <xf numFmtId="9" fontId="43" fillId="2" borderId="42" xfId="0" applyNumberFormat="1" applyFont="1" applyFill="1" applyBorder="1" applyAlignment="1">
      <alignment horizontal="center" vertical="top"/>
    </xf>
    <xf numFmtId="0" fontId="31" fillId="2" borderId="51" xfId="0" quotePrefix="1" applyNumberFormat="1" applyFont="1" applyFill="1" applyBorder="1" applyAlignment="1">
      <alignment horizontal="center"/>
    </xf>
    <xf numFmtId="0" fontId="31" fillId="2" borderId="42" xfId="0" applyNumberFormat="1" applyFont="1" applyFill="1" applyBorder="1" applyAlignment="1">
      <alignment horizontal="center"/>
    </xf>
    <xf numFmtId="0" fontId="43" fillId="2" borderId="42" xfId="0" applyNumberFormat="1" applyFont="1" applyFill="1" applyBorder="1" applyAlignment="1">
      <alignment horizontal="center" vertical="top"/>
    </xf>
    <xf numFmtId="3" fontId="33" fillId="9" borderId="93" xfId="0" applyNumberFormat="1" applyFont="1" applyFill="1" applyBorder="1" applyAlignment="1">
      <alignment horizontal="right" vertical="top"/>
    </xf>
    <xf numFmtId="3" fontId="33" fillId="9" borderId="94" xfId="0" applyNumberFormat="1" applyFont="1" applyFill="1" applyBorder="1" applyAlignment="1">
      <alignment horizontal="right" vertical="top"/>
    </xf>
    <xf numFmtId="177" fontId="33" fillId="9" borderId="95" xfId="0" applyNumberFormat="1" applyFont="1" applyFill="1" applyBorder="1" applyAlignment="1">
      <alignment horizontal="right" vertical="top"/>
    </xf>
    <xf numFmtId="3" fontId="33" fillId="0" borderId="93" xfId="0" applyNumberFormat="1" applyFont="1" applyBorder="1" applyAlignment="1">
      <alignment horizontal="right" vertical="top"/>
    </xf>
    <xf numFmtId="177" fontId="33" fillId="9" borderId="96" xfId="0" applyNumberFormat="1" applyFont="1" applyFill="1" applyBorder="1" applyAlignment="1">
      <alignment horizontal="right" vertical="top"/>
    </xf>
    <xf numFmtId="3" fontId="35" fillId="9" borderId="98" xfId="0" applyNumberFormat="1" applyFont="1" applyFill="1" applyBorder="1" applyAlignment="1">
      <alignment horizontal="right" vertical="top"/>
    </xf>
    <xf numFmtId="3" fontId="35" fillId="9" borderId="99" xfId="0" applyNumberFormat="1" applyFont="1" applyFill="1" applyBorder="1" applyAlignment="1">
      <alignment horizontal="right" vertical="top"/>
    </xf>
    <xf numFmtId="0" fontId="35" fillId="9" borderId="100" xfId="0" applyFont="1" applyFill="1" applyBorder="1" applyAlignment="1">
      <alignment horizontal="right" vertical="top"/>
    </xf>
    <xf numFmtId="3" fontId="35" fillId="0" borderId="98" xfId="0" applyNumberFormat="1" applyFont="1" applyBorder="1" applyAlignment="1">
      <alignment horizontal="right" vertical="top"/>
    </xf>
    <xf numFmtId="0" fontId="35" fillId="9" borderId="101" xfId="0" applyFont="1" applyFill="1" applyBorder="1" applyAlignment="1">
      <alignment horizontal="right" vertical="top"/>
    </xf>
    <xf numFmtId="0" fontId="33" fillId="9" borderId="95" xfId="0" applyFont="1" applyFill="1" applyBorder="1" applyAlignment="1">
      <alignment horizontal="right" vertical="top"/>
    </xf>
    <xf numFmtId="0" fontId="33" fillId="9" borderId="96" xfId="0" applyFont="1" applyFill="1" applyBorder="1" applyAlignment="1">
      <alignment horizontal="right" vertical="top"/>
    </xf>
    <xf numFmtId="177" fontId="35" fillId="9" borderId="100" xfId="0" applyNumberFormat="1" applyFont="1" applyFill="1" applyBorder="1" applyAlignment="1">
      <alignment horizontal="right" vertical="top"/>
    </xf>
    <xf numFmtId="177" fontId="35" fillId="9" borderId="101" xfId="0" applyNumberFormat="1" applyFont="1" applyFill="1" applyBorder="1" applyAlignment="1">
      <alignment horizontal="right" vertical="top"/>
    </xf>
    <xf numFmtId="3" fontId="35" fillId="0" borderId="102" xfId="0" applyNumberFormat="1" applyFont="1" applyBorder="1" applyAlignment="1">
      <alignment horizontal="right" vertical="top"/>
    </xf>
    <xf numFmtId="3" fontId="35" fillId="0" borderId="103" xfId="0" applyNumberFormat="1" applyFont="1" applyBorder="1" applyAlignment="1">
      <alignment horizontal="right" vertical="top"/>
    </xf>
    <xf numFmtId="0" fontId="35" fillId="0" borderId="104" xfId="0" applyFont="1" applyBorder="1" applyAlignment="1">
      <alignment horizontal="right" vertical="top"/>
    </xf>
    <xf numFmtId="177" fontId="35" fillId="9" borderId="105" xfId="0" applyNumberFormat="1" applyFont="1" applyFill="1" applyBorder="1" applyAlignment="1">
      <alignment horizontal="right" vertical="top"/>
    </xf>
    <xf numFmtId="0" fontId="37" fillId="10" borderId="92" xfId="0" applyFont="1" applyFill="1" applyBorder="1" applyAlignment="1">
      <alignment vertical="top"/>
    </xf>
    <xf numFmtId="0" fontId="37" fillId="10" borderId="92" xfId="0" applyFont="1" applyFill="1" applyBorder="1" applyAlignment="1">
      <alignment vertical="top" indent="2"/>
    </xf>
    <xf numFmtId="0" fontId="37" fillId="10" borderId="92" xfId="0" applyFont="1" applyFill="1" applyBorder="1" applyAlignment="1">
      <alignment vertical="top" indent="4"/>
    </xf>
    <xf numFmtId="0" fontId="38" fillId="10" borderId="97" xfId="0" applyFont="1" applyFill="1" applyBorder="1" applyAlignment="1">
      <alignment vertical="top" indent="6"/>
    </xf>
    <xf numFmtId="0" fontId="37" fillId="10" borderId="92" xfId="0" applyFont="1" applyFill="1" applyBorder="1" applyAlignment="1">
      <alignment vertical="top" indent="8"/>
    </xf>
    <xf numFmtId="0" fontId="38" fillId="10" borderId="97" xfId="0" applyFont="1" applyFill="1" applyBorder="1" applyAlignment="1">
      <alignment vertical="top" indent="2"/>
    </xf>
    <xf numFmtId="0" fontId="37" fillId="10" borderId="92" xfId="0" applyFont="1" applyFill="1" applyBorder="1" applyAlignment="1">
      <alignment vertical="top" indent="6"/>
    </xf>
    <xf numFmtId="0" fontId="38" fillId="10" borderId="97" xfId="0" applyFont="1" applyFill="1" applyBorder="1" applyAlignment="1">
      <alignment vertical="top" indent="4"/>
    </xf>
    <xf numFmtId="0" fontId="38" fillId="10" borderId="97" xfId="0" applyFont="1" applyFill="1" applyBorder="1" applyAlignment="1">
      <alignment vertical="top"/>
    </xf>
    <xf numFmtId="0" fontId="32" fillId="10" borderId="92" xfId="0" applyFont="1" applyFill="1" applyBorder="1"/>
    <xf numFmtId="0" fontId="38" fillId="10" borderId="17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5" fontId="31" fillId="2" borderId="106" xfId="53" applyNumberFormat="1" applyFont="1" applyFill="1" applyBorder="1" applyAlignment="1">
      <alignment horizontal="left"/>
    </xf>
    <xf numFmtId="165" fontId="31" fillId="2" borderId="107" xfId="53" applyNumberFormat="1" applyFont="1" applyFill="1" applyBorder="1" applyAlignment="1">
      <alignment horizontal="left"/>
    </xf>
    <xf numFmtId="165" fontId="31" fillId="2" borderId="47" xfId="53" applyNumberFormat="1" applyFont="1" applyFill="1" applyBorder="1" applyAlignment="1">
      <alignment horizontal="left"/>
    </xf>
    <xf numFmtId="3" fontId="31" fillId="2" borderId="47" xfId="53" applyNumberFormat="1" applyFont="1" applyFill="1" applyBorder="1" applyAlignment="1">
      <alignment horizontal="left"/>
    </xf>
    <xf numFmtId="3" fontId="31" fillId="2" borderId="52" xfId="53" applyNumberFormat="1" applyFont="1" applyFill="1" applyBorder="1" applyAlignment="1">
      <alignment horizontal="left"/>
    </xf>
    <xf numFmtId="0" fontId="32" fillId="0" borderId="62" xfId="0" applyFont="1" applyFill="1" applyBorder="1"/>
    <xf numFmtId="0" fontId="32" fillId="0" borderId="63" xfId="0" applyFont="1" applyFill="1" applyBorder="1"/>
    <xf numFmtId="165" fontId="32" fillId="0" borderId="63" xfId="0" applyNumberFormat="1" applyFont="1" applyFill="1" applyBorder="1"/>
    <xf numFmtId="165" fontId="32" fillId="0" borderId="63" xfId="0" applyNumberFormat="1" applyFont="1" applyFill="1" applyBorder="1" applyAlignment="1">
      <alignment horizontal="right"/>
    </xf>
    <xf numFmtId="3" fontId="32" fillId="0" borderId="63" xfId="0" applyNumberFormat="1" applyFont="1" applyFill="1" applyBorder="1"/>
    <xf numFmtId="3" fontId="32" fillId="0" borderId="64" xfId="0" applyNumberFormat="1" applyFont="1" applyFill="1" applyBorder="1"/>
    <xf numFmtId="0" fontId="32" fillId="0" borderId="72" xfId="0" applyFont="1" applyFill="1" applyBorder="1"/>
    <xf numFmtId="0" fontId="32" fillId="0" borderId="73" xfId="0" applyFont="1" applyFill="1" applyBorder="1"/>
    <xf numFmtId="165" fontId="32" fillId="0" borderId="73" xfId="0" applyNumberFormat="1" applyFont="1" applyFill="1" applyBorder="1"/>
    <xf numFmtId="165" fontId="32" fillId="0" borderId="73" xfId="0" applyNumberFormat="1" applyFont="1" applyFill="1" applyBorder="1" applyAlignment="1">
      <alignment horizontal="right"/>
    </xf>
    <xf numFmtId="3" fontId="32" fillId="0" borderId="73" xfId="0" applyNumberFormat="1" applyFont="1" applyFill="1" applyBorder="1"/>
    <xf numFmtId="3" fontId="32" fillId="0" borderId="74" xfId="0" applyNumberFormat="1" applyFont="1" applyFill="1" applyBorder="1"/>
    <xf numFmtId="0" fontId="32" fillId="0" borderId="65" xfId="0" applyFont="1" applyFill="1" applyBorder="1"/>
    <xf numFmtId="0" fontId="32" fillId="0" borderId="66" xfId="0" applyFont="1" applyFill="1" applyBorder="1"/>
    <xf numFmtId="165" fontId="32" fillId="0" borderId="66" xfId="0" applyNumberFormat="1" applyFont="1" applyFill="1" applyBorder="1"/>
    <xf numFmtId="165" fontId="32" fillId="0" borderId="66" xfId="0" applyNumberFormat="1" applyFont="1" applyFill="1" applyBorder="1" applyAlignment="1">
      <alignment horizontal="right"/>
    </xf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174" fontId="39" fillId="4" borderId="108" xfId="0" applyNumberFormat="1" applyFont="1" applyFill="1" applyBorder="1" applyAlignment="1">
      <alignment horizontal="center"/>
    </xf>
    <xf numFmtId="174" fontId="39" fillId="4" borderId="109" xfId="0" applyNumberFormat="1" applyFont="1" applyFill="1" applyBorder="1" applyAlignment="1">
      <alignment horizontal="center"/>
    </xf>
    <xf numFmtId="174" fontId="32" fillId="0" borderId="110" xfId="0" applyNumberFormat="1" applyFont="1" applyBorder="1" applyAlignment="1">
      <alignment horizontal="right"/>
    </xf>
    <xf numFmtId="174" fontId="32" fillId="0" borderId="111" xfId="0" applyNumberFormat="1" applyFont="1" applyBorder="1" applyAlignment="1">
      <alignment horizontal="right"/>
    </xf>
    <xf numFmtId="174" fontId="32" fillId="0" borderId="111" xfId="0" applyNumberFormat="1" applyFont="1" applyBorder="1" applyAlignment="1">
      <alignment horizontal="right" wrapText="1"/>
    </xf>
    <xf numFmtId="176" fontId="32" fillId="0" borderId="110" xfId="0" applyNumberFormat="1" applyFont="1" applyBorder="1" applyAlignment="1">
      <alignment horizontal="right"/>
    </xf>
    <xf numFmtId="176" fontId="32" fillId="0" borderId="111" xfId="0" applyNumberFormat="1" applyFont="1" applyBorder="1" applyAlignment="1">
      <alignment horizontal="right"/>
    </xf>
    <xf numFmtId="174" fontId="32" fillId="0" borderId="112" xfId="0" applyNumberFormat="1" applyFont="1" applyBorder="1" applyAlignment="1">
      <alignment horizontal="right"/>
    </xf>
    <xf numFmtId="174" fontId="32" fillId="0" borderId="113" xfId="0" applyNumberFormat="1" applyFont="1" applyBorder="1" applyAlignment="1">
      <alignment horizontal="right"/>
    </xf>
    <xf numFmtId="0" fontId="39" fillId="2" borderId="88" xfId="0" applyFont="1" applyFill="1" applyBorder="1" applyAlignment="1">
      <alignment horizontal="center" vertical="center"/>
    </xf>
    <xf numFmtId="0" fontId="54" fillId="2" borderId="87" xfId="0" applyFont="1" applyFill="1" applyBorder="1" applyAlignment="1">
      <alignment horizontal="center" vertical="center" wrapText="1"/>
    </xf>
    <xf numFmtId="175" fontId="32" fillId="2" borderId="88" xfId="0" applyNumberFormat="1" applyFont="1" applyFill="1" applyBorder="1" applyAlignment="1"/>
    <xf numFmtId="175" fontId="32" fillId="0" borderId="86" xfId="0" applyNumberFormat="1" applyFont="1" applyBorder="1"/>
    <xf numFmtId="175" fontId="32" fillId="0" borderId="115" xfId="0" applyNumberFormat="1" applyFont="1" applyBorder="1"/>
    <xf numFmtId="174" fontId="39" fillId="4" borderId="88" xfId="0" applyNumberFormat="1" applyFont="1" applyFill="1" applyBorder="1" applyAlignment="1"/>
    <xf numFmtId="174" fontId="32" fillId="0" borderId="86" xfId="0" applyNumberFormat="1" applyFont="1" applyBorder="1"/>
    <xf numFmtId="174" fontId="32" fillId="0" borderId="87" xfId="0" applyNumberFormat="1" applyFont="1" applyBorder="1"/>
    <xf numFmtId="174" fontId="39" fillId="2" borderId="88" xfId="0" applyNumberFormat="1" applyFont="1" applyFill="1" applyBorder="1" applyAlignment="1"/>
    <xf numFmtId="174" fontId="32" fillId="0" borderId="115" xfId="0" applyNumberFormat="1" applyFont="1" applyBorder="1"/>
    <xf numFmtId="174" fontId="32" fillId="0" borderId="88" xfId="0" applyNumberFormat="1" applyFont="1" applyBorder="1"/>
    <xf numFmtId="174" fontId="39" fillId="4" borderId="116" xfId="0" applyNumberFormat="1" applyFont="1" applyFill="1" applyBorder="1" applyAlignment="1">
      <alignment horizontal="center"/>
    </xf>
    <xf numFmtId="0" fontId="0" fillId="0" borderId="117" xfId="0" applyBorder="1" applyAlignment="1">
      <alignment horizontal="right"/>
    </xf>
    <xf numFmtId="174" fontId="32" fillId="0" borderId="117" xfId="0" applyNumberFormat="1" applyFont="1" applyBorder="1" applyAlignment="1">
      <alignment horizontal="right"/>
    </xf>
    <xf numFmtId="176" fontId="32" fillId="0" borderId="117" xfId="0" applyNumberFormat="1" applyFont="1" applyBorder="1" applyAlignment="1">
      <alignment horizontal="right"/>
    </xf>
    <xf numFmtId="174" fontId="32" fillId="0" borderId="118" xfId="0" applyNumberFormat="1" applyFont="1" applyBorder="1" applyAlignment="1">
      <alignment horizontal="right"/>
    </xf>
    <xf numFmtId="0" fontId="0" fillId="0" borderId="114" xfId="0" applyBorder="1"/>
    <xf numFmtId="174" fontId="39" fillId="4" borderId="68" xfId="0" applyNumberFormat="1" applyFont="1" applyFill="1" applyBorder="1" applyAlignment="1">
      <alignment horizontal="center"/>
    </xf>
    <xf numFmtId="174" fontId="32" fillId="0" borderId="70" xfId="0" applyNumberFormat="1" applyFont="1" applyBorder="1" applyAlignment="1">
      <alignment horizontal="right"/>
    </xf>
    <xf numFmtId="176" fontId="32" fillId="0" borderId="70" xfId="0" applyNumberFormat="1" applyFont="1" applyBorder="1" applyAlignment="1">
      <alignment horizontal="right"/>
    </xf>
    <xf numFmtId="174" fontId="32" fillId="0" borderId="80" xfId="0" applyNumberFormat="1" applyFont="1" applyBorder="1" applyAlignment="1">
      <alignment horizontal="right"/>
    </xf>
    <xf numFmtId="0" fontId="32" fillId="2" borderId="52" xfId="0" applyFont="1" applyFill="1" applyBorder="1" applyAlignment="1">
      <alignment vertical="center"/>
    </xf>
    <xf numFmtId="0" fontId="31" fillId="2" borderId="14" xfId="26" applyNumberFormat="1" applyFont="1" applyFill="1" applyBorder="1"/>
    <xf numFmtId="0" fontId="31" fillId="2" borderId="0" xfId="26" applyNumberFormat="1" applyFont="1" applyFill="1" applyBorder="1"/>
    <xf numFmtId="0" fontId="31" fillId="2" borderId="15" xfId="26" applyNumberFormat="1" applyFont="1" applyFill="1" applyBorder="1" applyAlignment="1">
      <alignment horizontal="right"/>
    </xf>
    <xf numFmtId="170" fontId="32" fillId="0" borderId="63" xfId="0" applyNumberFormat="1" applyFont="1" applyFill="1" applyBorder="1"/>
    <xf numFmtId="9" fontId="32" fillId="0" borderId="63" xfId="0" applyNumberFormat="1" applyFont="1" applyFill="1" applyBorder="1"/>
    <xf numFmtId="9" fontId="32" fillId="0" borderId="64" xfId="0" applyNumberFormat="1" applyFont="1" applyFill="1" applyBorder="1"/>
    <xf numFmtId="170" fontId="32" fillId="0" borderId="66" xfId="0" applyNumberFormat="1" applyFont="1" applyFill="1" applyBorder="1"/>
    <xf numFmtId="9" fontId="32" fillId="0" borderId="66" xfId="0" applyNumberFormat="1" applyFont="1" applyFill="1" applyBorder="1"/>
    <xf numFmtId="9" fontId="32" fillId="0" borderId="67" xfId="0" applyNumberFormat="1" applyFont="1" applyFill="1" applyBorder="1"/>
    <xf numFmtId="0" fontId="39" fillId="0" borderId="62" xfId="0" applyFont="1" applyFill="1" applyBorder="1"/>
    <xf numFmtId="0" fontId="39" fillId="0" borderId="65" xfId="0" applyFont="1" applyFill="1" applyBorder="1"/>
    <xf numFmtId="0" fontId="58" fillId="0" borderId="0" xfId="0" applyFont="1" applyFill="1"/>
    <xf numFmtId="0" fontId="59" fillId="0" borderId="0" xfId="0" applyFont="1" applyFill="1"/>
    <xf numFmtId="0" fontId="32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49" fontId="31" fillId="2" borderId="30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3" fontId="31" fillId="2" borderId="14" xfId="0" applyNumberFormat="1" applyFont="1" applyFill="1" applyBorder="1" applyAlignment="1">
      <alignment horizontal="left"/>
    </xf>
    <xf numFmtId="3" fontId="31" fillId="2" borderId="15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3" fillId="2" borderId="15" xfId="0" applyNumberFormat="1" applyFont="1" applyFill="1" applyBorder="1" applyAlignment="1">
      <alignment horizontal="center" vertical="top"/>
    </xf>
    <xf numFmtId="3" fontId="31" fillId="2" borderId="15" xfId="0" applyNumberFormat="1" applyFont="1" applyFill="1" applyBorder="1" applyAlignment="1">
      <alignment horizontal="center" vertical="top"/>
    </xf>
    <xf numFmtId="9" fontId="32" fillId="0" borderId="73" xfId="0" applyNumberFormat="1" applyFont="1" applyFill="1" applyBorder="1"/>
    <xf numFmtId="170" fontId="32" fillId="0" borderId="73" xfId="0" applyNumberFormat="1" applyFont="1" applyFill="1" applyBorder="1"/>
    <xf numFmtId="9" fontId="32" fillId="0" borderId="74" xfId="0" applyNumberFormat="1" applyFont="1" applyFill="1" applyBorder="1"/>
    <xf numFmtId="0" fontId="39" fillId="0" borderId="72" xfId="0" applyFont="1" applyFill="1" applyBorder="1"/>
    <xf numFmtId="0" fontId="31" fillId="2" borderId="14" xfId="0" applyNumberFormat="1" applyFont="1" applyFill="1" applyBorder="1" applyAlignment="1">
      <alignment horizontal="left"/>
    </xf>
    <xf numFmtId="0" fontId="31" fillId="2" borderId="15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3" fillId="2" borderId="15" xfId="0" applyNumberFormat="1" applyFont="1" applyFill="1" applyBorder="1" applyAlignment="1">
      <alignment horizontal="center" vertical="top"/>
    </xf>
  </cellXfs>
  <cellStyles count="97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6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47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Graf'!$B$4:$F$4</c:f>
              <c:numCache>
                <c:formatCode>General</c:formatCode>
                <c:ptCount val="5"/>
                <c:pt idx="0">
                  <c:v>0.92379700531631592</c:v>
                </c:pt>
                <c:pt idx="1">
                  <c:v>0.88349473173557724</c:v>
                </c:pt>
                <c:pt idx="2">
                  <c:v>0.87891129602306928</c:v>
                </c:pt>
                <c:pt idx="3">
                  <c:v>0.85503583616372392</c:v>
                </c:pt>
                <c:pt idx="4">
                  <c:v>0.81704055198316683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1636864"/>
        <c:axId val="90406131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0.76587407803960816</c:v>
                </c:pt>
                <c:pt idx="1">
                  <c:v>0.76587407803960816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4063232"/>
        <c:axId val="906432896"/>
      </c:scatterChart>
      <c:catAx>
        <c:axId val="901636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04061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406131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901636864"/>
        <c:crosses val="autoZero"/>
        <c:crossBetween val="between"/>
      </c:valAx>
      <c:valAx>
        <c:axId val="90406323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906432896"/>
        <c:crosses val="max"/>
        <c:crossBetween val="midCat"/>
      </c:valAx>
      <c:valAx>
        <c:axId val="90643289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90406323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1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5" bestFit="1" customWidth="1"/>
    <col min="2" max="2" width="102.21875" style="105" bestFit="1" customWidth="1"/>
    <col min="3" max="3" width="16.109375" style="42" hidden="1" customWidth="1"/>
    <col min="4" max="16384" width="8.88671875" style="105"/>
  </cols>
  <sheetData>
    <row r="1" spans="1:3" ht="18.600000000000001" customHeight="1" thickBot="1" x14ac:dyDescent="0.4">
      <c r="A1" s="272" t="s">
        <v>95</v>
      </c>
      <c r="B1" s="272"/>
    </row>
    <row r="2" spans="1:3" ht="14.4" customHeight="1" thickBot="1" x14ac:dyDescent="0.35">
      <c r="A2" s="202" t="s">
        <v>233</v>
      </c>
      <c r="B2" s="41"/>
    </row>
    <row r="3" spans="1:3" ht="14.4" customHeight="1" thickBot="1" x14ac:dyDescent="0.35">
      <c r="A3" s="268" t="s">
        <v>117</v>
      </c>
      <c r="B3" s="269"/>
    </row>
    <row r="4" spans="1:3" ht="14.4" customHeight="1" x14ac:dyDescent="0.3">
      <c r="A4" s="118" t="str">
        <f t="shared" ref="A4:A8" si="0">HYPERLINK("#'"&amp;C4&amp;"'!A1",C4)</f>
        <v>Motivace</v>
      </c>
      <c r="B4" s="64" t="s">
        <v>106</v>
      </c>
      <c r="C4" s="42" t="s">
        <v>107</v>
      </c>
    </row>
    <row r="5" spans="1:3" ht="14.4" customHeight="1" x14ac:dyDescent="0.3">
      <c r="A5" s="119" t="str">
        <f t="shared" si="0"/>
        <v>HI</v>
      </c>
      <c r="B5" s="65" t="s">
        <v>114</v>
      </c>
      <c r="C5" s="42" t="s">
        <v>98</v>
      </c>
    </row>
    <row r="6" spans="1:3" ht="14.4" customHeight="1" x14ac:dyDescent="0.3">
      <c r="A6" s="120" t="str">
        <f t="shared" si="0"/>
        <v>HI Graf</v>
      </c>
      <c r="B6" s="66" t="s">
        <v>91</v>
      </c>
      <c r="C6" s="42" t="s">
        <v>99</v>
      </c>
    </row>
    <row r="7" spans="1:3" ht="14.4" customHeight="1" x14ac:dyDescent="0.3">
      <c r="A7" s="120" t="str">
        <f t="shared" si="0"/>
        <v>Man Tab</v>
      </c>
      <c r="B7" s="66" t="s">
        <v>235</v>
      </c>
      <c r="C7" s="42" t="s">
        <v>100</v>
      </c>
    </row>
    <row r="8" spans="1:3" ht="14.4" customHeight="1" thickBot="1" x14ac:dyDescent="0.35">
      <c r="A8" s="121" t="str">
        <f t="shared" si="0"/>
        <v>HV</v>
      </c>
      <c r="B8" s="67" t="s">
        <v>47</v>
      </c>
      <c r="C8" s="42" t="s">
        <v>52</v>
      </c>
    </row>
    <row r="9" spans="1:3" ht="14.4" customHeight="1" thickBot="1" x14ac:dyDescent="0.35">
      <c r="A9" s="68"/>
      <c r="B9" s="68"/>
    </row>
    <row r="10" spans="1:3" ht="14.4" customHeight="1" thickBot="1" x14ac:dyDescent="0.35">
      <c r="A10" s="270" t="s">
        <v>96</v>
      </c>
      <c r="B10" s="269"/>
    </row>
    <row r="11" spans="1:3" ht="14.4" customHeight="1" x14ac:dyDescent="0.3">
      <c r="A11" s="122" t="str">
        <f t="shared" ref="A11" si="1">HYPERLINK("#'"&amp;C11&amp;"'!A1",C11)</f>
        <v>Léky Žádanky</v>
      </c>
      <c r="B11" s="65" t="s">
        <v>115</v>
      </c>
      <c r="C11" s="42" t="s">
        <v>101</v>
      </c>
    </row>
    <row r="12" spans="1:3" ht="14.4" customHeight="1" x14ac:dyDescent="0.3">
      <c r="A12" s="120" t="str">
        <f t="shared" ref="A12:A15" si="2">HYPERLINK("#'"&amp;C12&amp;"'!A1",C12)</f>
        <v>LŽ Detail</v>
      </c>
      <c r="B12" s="66" t="s">
        <v>133</v>
      </c>
      <c r="C12" s="42" t="s">
        <v>102</v>
      </c>
    </row>
    <row r="13" spans="1:3" ht="14.4" customHeight="1" x14ac:dyDescent="0.3">
      <c r="A13" s="122" t="str">
        <f t="shared" ref="A13" si="3">HYPERLINK("#'"&amp;C13&amp;"'!A1",C13)</f>
        <v>Materiál Žádanky</v>
      </c>
      <c r="B13" s="66" t="s">
        <v>116</v>
      </c>
      <c r="C13" s="42" t="s">
        <v>103</v>
      </c>
    </row>
    <row r="14" spans="1:3" ht="14.4" customHeight="1" x14ac:dyDescent="0.3">
      <c r="A14" s="120" t="str">
        <f t="shared" si="2"/>
        <v>MŽ Detail</v>
      </c>
      <c r="B14" s="66" t="s">
        <v>710</v>
      </c>
      <c r="C14" s="42" t="s">
        <v>104</v>
      </c>
    </row>
    <row r="15" spans="1:3" ht="14.4" customHeight="1" thickBot="1" x14ac:dyDescent="0.35">
      <c r="A15" s="122" t="str">
        <f t="shared" si="2"/>
        <v>Osobní náklady</v>
      </c>
      <c r="B15" s="66" t="s">
        <v>93</v>
      </c>
      <c r="C15" s="42" t="s">
        <v>105</v>
      </c>
    </row>
    <row r="16" spans="1:3" ht="14.4" customHeight="1" thickBot="1" x14ac:dyDescent="0.35">
      <c r="A16" s="69"/>
      <c r="B16" s="69"/>
    </row>
    <row r="17" spans="1:3" ht="14.4" customHeight="1" thickBot="1" x14ac:dyDescent="0.35">
      <c r="A17" s="271" t="s">
        <v>97</v>
      </c>
      <c r="B17" s="269"/>
    </row>
    <row r="18" spans="1:3" ht="14.4" customHeight="1" x14ac:dyDescent="0.3">
      <c r="A18" s="123" t="str">
        <f t="shared" ref="A18:A21" si="4">HYPERLINK("#'"&amp;C18&amp;"'!A1",C18)</f>
        <v>ZV Vykáz.-A</v>
      </c>
      <c r="B18" s="65" t="s">
        <v>717</v>
      </c>
      <c r="C18" s="42" t="s">
        <v>108</v>
      </c>
    </row>
    <row r="19" spans="1:3" ht="14.4" customHeight="1" x14ac:dyDescent="0.3">
      <c r="A19" s="120" t="str">
        <f t="shared" si="4"/>
        <v>ZV Vykáz.-A Detail</v>
      </c>
      <c r="B19" s="66" t="s">
        <v>775</v>
      </c>
      <c r="C19" s="42" t="s">
        <v>109</v>
      </c>
    </row>
    <row r="20" spans="1:3" ht="14.4" customHeight="1" x14ac:dyDescent="0.3">
      <c r="A20" s="120" t="str">
        <f t="shared" si="4"/>
        <v>ZV Vykáz.-H</v>
      </c>
      <c r="B20" s="66" t="s">
        <v>112</v>
      </c>
      <c r="C20" s="42" t="s">
        <v>110</v>
      </c>
    </row>
    <row r="21" spans="1:3" ht="14.4" customHeight="1" x14ac:dyDescent="0.3">
      <c r="A21" s="120" t="str">
        <f t="shared" si="4"/>
        <v>ZV Vykáz.-H Detail</v>
      </c>
      <c r="B21" s="66" t="s">
        <v>808</v>
      </c>
      <c r="C21" s="42" t="s">
        <v>111</v>
      </c>
    </row>
  </sheetData>
  <mergeCells count="4">
    <mergeCell ref="A3:B3"/>
    <mergeCell ref="A10:B10"/>
    <mergeCell ref="A17:B17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12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5" hidden="1" customWidth="1" outlineLevel="1"/>
    <col min="2" max="2" width="28.33203125" style="105" hidden="1" customWidth="1" outlineLevel="1"/>
    <col min="3" max="3" width="5.33203125" style="183" bestFit="1" customWidth="1" collapsed="1"/>
    <col min="4" max="4" width="18.77734375" style="187" customWidth="1"/>
    <col min="5" max="5" width="9" style="183" bestFit="1" customWidth="1"/>
    <col min="6" max="6" width="18.77734375" style="187" customWidth="1"/>
    <col min="7" max="7" width="12.44140625" style="183" hidden="1" customWidth="1" outlineLevel="1"/>
    <col min="8" max="8" width="25.77734375" style="183" customWidth="1" collapsed="1"/>
    <col min="9" max="9" width="7.77734375" style="181" customWidth="1"/>
    <col min="10" max="10" width="10" style="181" customWidth="1"/>
    <col min="11" max="11" width="11.109375" style="181" customWidth="1"/>
    <col min="12" max="16384" width="8.88671875" style="105"/>
  </cols>
  <sheetData>
    <row r="1" spans="1:11" ht="18.600000000000001" customHeight="1" thickBot="1" x14ac:dyDescent="0.4">
      <c r="A1" s="308" t="s">
        <v>710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</row>
    <row r="2" spans="1:11" ht="14.4" customHeight="1" thickBot="1" x14ac:dyDescent="0.35">
      <c r="A2" s="202" t="s">
        <v>233</v>
      </c>
      <c r="B2" s="57"/>
      <c r="C2" s="185"/>
      <c r="D2" s="185"/>
      <c r="E2" s="185"/>
      <c r="F2" s="185"/>
      <c r="G2" s="185"/>
      <c r="H2" s="185"/>
      <c r="I2" s="186"/>
      <c r="J2" s="186"/>
      <c r="K2" s="186"/>
    </row>
    <row r="3" spans="1:11" ht="14.4" customHeight="1" thickBot="1" x14ac:dyDescent="0.35">
      <c r="A3" s="57"/>
      <c r="B3" s="57"/>
      <c r="C3" s="304"/>
      <c r="D3" s="305"/>
      <c r="E3" s="305"/>
      <c r="F3" s="305"/>
      <c r="G3" s="305"/>
      <c r="H3" s="117" t="s">
        <v>113</v>
      </c>
      <c r="I3" s="74">
        <f>IF(J3&lt;&gt;0,K3/J3,0)</f>
        <v>6.9256021966203329</v>
      </c>
      <c r="J3" s="74">
        <f>SUBTOTAL(9,J5:J1048576)</f>
        <v>61367</v>
      </c>
      <c r="K3" s="75">
        <f>SUBTOTAL(9,K5:K1048576)</f>
        <v>425003.43</v>
      </c>
    </row>
    <row r="4" spans="1:11" s="182" customFormat="1" ht="14.4" customHeight="1" thickBot="1" x14ac:dyDescent="0.35">
      <c r="A4" s="362" t="s">
        <v>4</v>
      </c>
      <c r="B4" s="363" t="s">
        <v>5</v>
      </c>
      <c r="C4" s="363" t="s">
        <v>0</v>
      </c>
      <c r="D4" s="363" t="s">
        <v>6</v>
      </c>
      <c r="E4" s="363" t="s">
        <v>7</v>
      </c>
      <c r="F4" s="363" t="s">
        <v>1</v>
      </c>
      <c r="G4" s="363" t="s">
        <v>57</v>
      </c>
      <c r="H4" s="364" t="s">
        <v>11</v>
      </c>
      <c r="I4" s="365" t="s">
        <v>119</v>
      </c>
      <c r="J4" s="365" t="s">
        <v>13</v>
      </c>
      <c r="K4" s="366" t="s">
        <v>127</v>
      </c>
    </row>
    <row r="5" spans="1:11" ht="14.4" customHeight="1" x14ac:dyDescent="0.3">
      <c r="A5" s="367" t="s">
        <v>442</v>
      </c>
      <c r="B5" s="368" t="s">
        <v>443</v>
      </c>
      <c r="C5" s="369" t="s">
        <v>447</v>
      </c>
      <c r="D5" s="370" t="s">
        <v>480</v>
      </c>
      <c r="E5" s="369" t="s">
        <v>698</v>
      </c>
      <c r="F5" s="370" t="s">
        <v>699</v>
      </c>
      <c r="G5" s="369" t="s">
        <v>482</v>
      </c>
      <c r="H5" s="369" t="s">
        <v>483</v>
      </c>
      <c r="I5" s="371">
        <v>260.3</v>
      </c>
      <c r="J5" s="371">
        <v>41</v>
      </c>
      <c r="K5" s="372">
        <v>10672.28</v>
      </c>
    </row>
    <row r="6" spans="1:11" ht="14.4" customHeight="1" x14ac:dyDescent="0.3">
      <c r="A6" s="373" t="s">
        <v>442</v>
      </c>
      <c r="B6" s="374" t="s">
        <v>443</v>
      </c>
      <c r="C6" s="375" t="s">
        <v>447</v>
      </c>
      <c r="D6" s="376" t="s">
        <v>480</v>
      </c>
      <c r="E6" s="375" t="s">
        <v>698</v>
      </c>
      <c r="F6" s="376" t="s">
        <v>699</v>
      </c>
      <c r="G6" s="375" t="s">
        <v>484</v>
      </c>
      <c r="H6" s="375" t="s">
        <v>485</v>
      </c>
      <c r="I6" s="377">
        <v>0.3</v>
      </c>
      <c r="J6" s="377">
        <v>100</v>
      </c>
      <c r="K6" s="378">
        <v>30</v>
      </c>
    </row>
    <row r="7" spans="1:11" ht="14.4" customHeight="1" x14ac:dyDescent="0.3">
      <c r="A7" s="373" t="s">
        <v>442</v>
      </c>
      <c r="B7" s="374" t="s">
        <v>443</v>
      </c>
      <c r="C7" s="375" t="s">
        <v>447</v>
      </c>
      <c r="D7" s="376" t="s">
        <v>480</v>
      </c>
      <c r="E7" s="375" t="s">
        <v>698</v>
      </c>
      <c r="F7" s="376" t="s">
        <v>699</v>
      </c>
      <c r="G7" s="375" t="s">
        <v>486</v>
      </c>
      <c r="H7" s="375" t="s">
        <v>487</v>
      </c>
      <c r="I7" s="377">
        <v>27.596666666666668</v>
      </c>
      <c r="J7" s="377">
        <v>64</v>
      </c>
      <c r="K7" s="378">
        <v>1765.03</v>
      </c>
    </row>
    <row r="8" spans="1:11" ht="14.4" customHeight="1" x14ac:dyDescent="0.3">
      <c r="A8" s="373" t="s">
        <v>442</v>
      </c>
      <c r="B8" s="374" t="s">
        <v>443</v>
      </c>
      <c r="C8" s="375" t="s">
        <v>447</v>
      </c>
      <c r="D8" s="376" t="s">
        <v>480</v>
      </c>
      <c r="E8" s="375" t="s">
        <v>698</v>
      </c>
      <c r="F8" s="376" t="s">
        <v>699</v>
      </c>
      <c r="G8" s="375" t="s">
        <v>488</v>
      </c>
      <c r="H8" s="375" t="s">
        <v>489</v>
      </c>
      <c r="I8" s="377">
        <v>27.21</v>
      </c>
      <c r="J8" s="377">
        <v>1</v>
      </c>
      <c r="K8" s="378">
        <v>27.21</v>
      </c>
    </row>
    <row r="9" spans="1:11" ht="14.4" customHeight="1" x14ac:dyDescent="0.3">
      <c r="A9" s="373" t="s">
        <v>442</v>
      </c>
      <c r="B9" s="374" t="s">
        <v>443</v>
      </c>
      <c r="C9" s="375" t="s">
        <v>447</v>
      </c>
      <c r="D9" s="376" t="s">
        <v>480</v>
      </c>
      <c r="E9" s="375" t="s">
        <v>698</v>
      </c>
      <c r="F9" s="376" t="s">
        <v>699</v>
      </c>
      <c r="G9" s="375" t="s">
        <v>490</v>
      </c>
      <c r="H9" s="375" t="s">
        <v>491</v>
      </c>
      <c r="I9" s="377">
        <v>0.31</v>
      </c>
      <c r="J9" s="377">
        <v>100</v>
      </c>
      <c r="K9" s="378">
        <v>31</v>
      </c>
    </row>
    <row r="10" spans="1:11" ht="14.4" customHeight="1" x14ac:dyDescent="0.3">
      <c r="A10" s="373" t="s">
        <v>442</v>
      </c>
      <c r="B10" s="374" t="s">
        <v>443</v>
      </c>
      <c r="C10" s="375" t="s">
        <v>447</v>
      </c>
      <c r="D10" s="376" t="s">
        <v>480</v>
      </c>
      <c r="E10" s="375" t="s">
        <v>698</v>
      </c>
      <c r="F10" s="376" t="s">
        <v>699</v>
      </c>
      <c r="G10" s="375" t="s">
        <v>492</v>
      </c>
      <c r="H10" s="375" t="s">
        <v>493</v>
      </c>
      <c r="I10" s="377">
        <v>11.74</v>
      </c>
      <c r="J10" s="377">
        <v>5</v>
      </c>
      <c r="K10" s="378">
        <v>58.7</v>
      </c>
    </row>
    <row r="11" spans="1:11" ht="14.4" customHeight="1" x14ac:dyDescent="0.3">
      <c r="A11" s="373" t="s">
        <v>442</v>
      </c>
      <c r="B11" s="374" t="s">
        <v>443</v>
      </c>
      <c r="C11" s="375" t="s">
        <v>447</v>
      </c>
      <c r="D11" s="376" t="s">
        <v>480</v>
      </c>
      <c r="E11" s="375" t="s">
        <v>698</v>
      </c>
      <c r="F11" s="376" t="s">
        <v>699</v>
      </c>
      <c r="G11" s="375" t="s">
        <v>494</v>
      </c>
      <c r="H11" s="375" t="s">
        <v>495</v>
      </c>
      <c r="I11" s="377">
        <v>14.09</v>
      </c>
      <c r="J11" s="377">
        <v>5</v>
      </c>
      <c r="K11" s="378">
        <v>70.45</v>
      </c>
    </row>
    <row r="12" spans="1:11" ht="14.4" customHeight="1" x14ac:dyDescent="0.3">
      <c r="A12" s="373" t="s">
        <v>442</v>
      </c>
      <c r="B12" s="374" t="s">
        <v>443</v>
      </c>
      <c r="C12" s="375" t="s">
        <v>447</v>
      </c>
      <c r="D12" s="376" t="s">
        <v>480</v>
      </c>
      <c r="E12" s="375" t="s">
        <v>698</v>
      </c>
      <c r="F12" s="376" t="s">
        <v>699</v>
      </c>
      <c r="G12" s="375" t="s">
        <v>496</v>
      </c>
      <c r="H12" s="375" t="s">
        <v>497</v>
      </c>
      <c r="I12" s="377">
        <v>2.29</v>
      </c>
      <c r="J12" s="377">
        <v>9</v>
      </c>
      <c r="K12" s="378">
        <v>20.57</v>
      </c>
    </row>
    <row r="13" spans="1:11" ht="14.4" customHeight="1" x14ac:dyDescent="0.3">
      <c r="A13" s="373" t="s">
        <v>442</v>
      </c>
      <c r="B13" s="374" t="s">
        <v>443</v>
      </c>
      <c r="C13" s="375" t="s">
        <v>447</v>
      </c>
      <c r="D13" s="376" t="s">
        <v>480</v>
      </c>
      <c r="E13" s="375" t="s">
        <v>700</v>
      </c>
      <c r="F13" s="376" t="s">
        <v>701</v>
      </c>
      <c r="G13" s="375" t="s">
        <v>498</v>
      </c>
      <c r="H13" s="375" t="s">
        <v>499</v>
      </c>
      <c r="I13" s="377">
        <v>3.1949999999999998</v>
      </c>
      <c r="J13" s="377">
        <v>80</v>
      </c>
      <c r="K13" s="378">
        <v>249.3</v>
      </c>
    </row>
    <row r="14" spans="1:11" ht="14.4" customHeight="1" x14ac:dyDescent="0.3">
      <c r="A14" s="373" t="s">
        <v>442</v>
      </c>
      <c r="B14" s="374" t="s">
        <v>443</v>
      </c>
      <c r="C14" s="375" t="s">
        <v>447</v>
      </c>
      <c r="D14" s="376" t="s">
        <v>480</v>
      </c>
      <c r="E14" s="375" t="s">
        <v>700</v>
      </c>
      <c r="F14" s="376" t="s">
        <v>701</v>
      </c>
      <c r="G14" s="375" t="s">
        <v>500</v>
      </c>
      <c r="H14" s="375" t="s">
        <v>501</v>
      </c>
      <c r="I14" s="377">
        <v>103.435</v>
      </c>
      <c r="J14" s="377">
        <v>25</v>
      </c>
      <c r="K14" s="378">
        <v>2585.77</v>
      </c>
    </row>
    <row r="15" spans="1:11" ht="14.4" customHeight="1" x14ac:dyDescent="0.3">
      <c r="A15" s="373" t="s">
        <v>442</v>
      </c>
      <c r="B15" s="374" t="s">
        <v>443</v>
      </c>
      <c r="C15" s="375" t="s">
        <v>447</v>
      </c>
      <c r="D15" s="376" t="s">
        <v>480</v>
      </c>
      <c r="E15" s="375" t="s">
        <v>700</v>
      </c>
      <c r="F15" s="376" t="s">
        <v>701</v>
      </c>
      <c r="G15" s="375" t="s">
        <v>502</v>
      </c>
      <c r="H15" s="375" t="s">
        <v>503</v>
      </c>
      <c r="I15" s="377">
        <v>0.93</v>
      </c>
      <c r="J15" s="377">
        <v>100</v>
      </c>
      <c r="K15" s="378">
        <v>93</v>
      </c>
    </row>
    <row r="16" spans="1:11" ht="14.4" customHeight="1" x14ac:dyDescent="0.3">
      <c r="A16" s="373" t="s">
        <v>442</v>
      </c>
      <c r="B16" s="374" t="s">
        <v>443</v>
      </c>
      <c r="C16" s="375" t="s">
        <v>447</v>
      </c>
      <c r="D16" s="376" t="s">
        <v>480</v>
      </c>
      <c r="E16" s="375" t="s">
        <v>700</v>
      </c>
      <c r="F16" s="376" t="s">
        <v>701</v>
      </c>
      <c r="G16" s="375" t="s">
        <v>504</v>
      </c>
      <c r="H16" s="375" t="s">
        <v>505</v>
      </c>
      <c r="I16" s="377">
        <v>1.44</v>
      </c>
      <c r="J16" s="377">
        <v>200</v>
      </c>
      <c r="K16" s="378">
        <v>288</v>
      </c>
    </row>
    <row r="17" spans="1:11" ht="14.4" customHeight="1" x14ac:dyDescent="0.3">
      <c r="A17" s="373" t="s">
        <v>442</v>
      </c>
      <c r="B17" s="374" t="s">
        <v>443</v>
      </c>
      <c r="C17" s="375" t="s">
        <v>447</v>
      </c>
      <c r="D17" s="376" t="s">
        <v>480</v>
      </c>
      <c r="E17" s="375" t="s">
        <v>700</v>
      </c>
      <c r="F17" s="376" t="s">
        <v>701</v>
      </c>
      <c r="G17" s="375" t="s">
        <v>506</v>
      </c>
      <c r="H17" s="375" t="s">
        <v>507</v>
      </c>
      <c r="I17" s="377">
        <v>1.8420000000000001</v>
      </c>
      <c r="J17" s="377">
        <v>1320</v>
      </c>
      <c r="K17" s="378">
        <v>2431.7999999999997</v>
      </c>
    </row>
    <row r="18" spans="1:11" ht="14.4" customHeight="1" x14ac:dyDescent="0.3">
      <c r="A18" s="373" t="s">
        <v>442</v>
      </c>
      <c r="B18" s="374" t="s">
        <v>443</v>
      </c>
      <c r="C18" s="375" t="s">
        <v>447</v>
      </c>
      <c r="D18" s="376" t="s">
        <v>480</v>
      </c>
      <c r="E18" s="375" t="s">
        <v>700</v>
      </c>
      <c r="F18" s="376" t="s">
        <v>701</v>
      </c>
      <c r="G18" s="375" t="s">
        <v>508</v>
      </c>
      <c r="H18" s="375" t="s">
        <v>509</v>
      </c>
      <c r="I18" s="377">
        <v>0.56999999999999995</v>
      </c>
      <c r="J18" s="377">
        <v>1200</v>
      </c>
      <c r="K18" s="378">
        <v>684</v>
      </c>
    </row>
    <row r="19" spans="1:11" ht="14.4" customHeight="1" x14ac:dyDescent="0.3">
      <c r="A19" s="373" t="s">
        <v>442</v>
      </c>
      <c r="B19" s="374" t="s">
        <v>443</v>
      </c>
      <c r="C19" s="375" t="s">
        <v>447</v>
      </c>
      <c r="D19" s="376" t="s">
        <v>480</v>
      </c>
      <c r="E19" s="375" t="s">
        <v>700</v>
      </c>
      <c r="F19" s="376" t="s">
        <v>701</v>
      </c>
      <c r="G19" s="375" t="s">
        <v>510</v>
      </c>
      <c r="H19" s="375" t="s">
        <v>511</v>
      </c>
      <c r="I19" s="377">
        <v>4.24</v>
      </c>
      <c r="J19" s="377">
        <v>125</v>
      </c>
      <c r="K19" s="378">
        <v>530</v>
      </c>
    </row>
    <row r="20" spans="1:11" ht="14.4" customHeight="1" x14ac:dyDescent="0.3">
      <c r="A20" s="373" t="s">
        <v>442</v>
      </c>
      <c r="B20" s="374" t="s">
        <v>443</v>
      </c>
      <c r="C20" s="375" t="s">
        <v>447</v>
      </c>
      <c r="D20" s="376" t="s">
        <v>480</v>
      </c>
      <c r="E20" s="375" t="s">
        <v>700</v>
      </c>
      <c r="F20" s="376" t="s">
        <v>701</v>
      </c>
      <c r="G20" s="375" t="s">
        <v>512</v>
      </c>
      <c r="H20" s="375" t="s">
        <v>513</v>
      </c>
      <c r="I20" s="377">
        <v>38.72</v>
      </c>
      <c r="J20" s="377">
        <v>1</v>
      </c>
      <c r="K20" s="378">
        <v>38.72</v>
      </c>
    </row>
    <row r="21" spans="1:11" ht="14.4" customHeight="1" x14ac:dyDescent="0.3">
      <c r="A21" s="373" t="s">
        <v>442</v>
      </c>
      <c r="B21" s="374" t="s">
        <v>443</v>
      </c>
      <c r="C21" s="375" t="s">
        <v>447</v>
      </c>
      <c r="D21" s="376" t="s">
        <v>480</v>
      </c>
      <c r="E21" s="375" t="s">
        <v>700</v>
      </c>
      <c r="F21" s="376" t="s">
        <v>701</v>
      </c>
      <c r="G21" s="375" t="s">
        <v>514</v>
      </c>
      <c r="H21" s="375" t="s">
        <v>515</v>
      </c>
      <c r="I21" s="377">
        <v>2.9</v>
      </c>
      <c r="J21" s="377">
        <v>200</v>
      </c>
      <c r="K21" s="378">
        <v>580</v>
      </c>
    </row>
    <row r="22" spans="1:11" ht="14.4" customHeight="1" x14ac:dyDescent="0.3">
      <c r="A22" s="373" t="s">
        <v>442</v>
      </c>
      <c r="B22" s="374" t="s">
        <v>443</v>
      </c>
      <c r="C22" s="375" t="s">
        <v>447</v>
      </c>
      <c r="D22" s="376" t="s">
        <v>480</v>
      </c>
      <c r="E22" s="375" t="s">
        <v>700</v>
      </c>
      <c r="F22" s="376" t="s">
        <v>701</v>
      </c>
      <c r="G22" s="375" t="s">
        <v>516</v>
      </c>
      <c r="H22" s="375" t="s">
        <v>517</v>
      </c>
      <c r="I22" s="377">
        <v>15.006666666666666</v>
      </c>
      <c r="J22" s="377">
        <v>21</v>
      </c>
      <c r="K22" s="378">
        <v>315.15999999999997</v>
      </c>
    </row>
    <row r="23" spans="1:11" ht="14.4" customHeight="1" x14ac:dyDescent="0.3">
      <c r="A23" s="373" t="s">
        <v>442</v>
      </c>
      <c r="B23" s="374" t="s">
        <v>443</v>
      </c>
      <c r="C23" s="375" t="s">
        <v>447</v>
      </c>
      <c r="D23" s="376" t="s">
        <v>480</v>
      </c>
      <c r="E23" s="375" t="s">
        <v>700</v>
      </c>
      <c r="F23" s="376" t="s">
        <v>701</v>
      </c>
      <c r="G23" s="375" t="s">
        <v>518</v>
      </c>
      <c r="H23" s="375" t="s">
        <v>519</v>
      </c>
      <c r="I23" s="377">
        <v>5.0150000000000006</v>
      </c>
      <c r="J23" s="377">
        <v>140</v>
      </c>
      <c r="K23" s="378">
        <v>691.66</v>
      </c>
    </row>
    <row r="24" spans="1:11" ht="14.4" customHeight="1" x14ac:dyDescent="0.3">
      <c r="A24" s="373" t="s">
        <v>442</v>
      </c>
      <c r="B24" s="374" t="s">
        <v>443</v>
      </c>
      <c r="C24" s="375" t="s">
        <v>447</v>
      </c>
      <c r="D24" s="376" t="s">
        <v>480</v>
      </c>
      <c r="E24" s="375" t="s">
        <v>700</v>
      </c>
      <c r="F24" s="376" t="s">
        <v>701</v>
      </c>
      <c r="G24" s="375" t="s">
        <v>520</v>
      </c>
      <c r="H24" s="375" t="s">
        <v>521</v>
      </c>
      <c r="I24" s="377">
        <v>12.1</v>
      </c>
      <c r="J24" s="377">
        <v>14</v>
      </c>
      <c r="K24" s="378">
        <v>169.4</v>
      </c>
    </row>
    <row r="25" spans="1:11" ht="14.4" customHeight="1" x14ac:dyDescent="0.3">
      <c r="A25" s="373" t="s">
        <v>442</v>
      </c>
      <c r="B25" s="374" t="s">
        <v>443</v>
      </c>
      <c r="C25" s="375" t="s">
        <v>447</v>
      </c>
      <c r="D25" s="376" t="s">
        <v>480</v>
      </c>
      <c r="E25" s="375" t="s">
        <v>700</v>
      </c>
      <c r="F25" s="376" t="s">
        <v>701</v>
      </c>
      <c r="G25" s="375" t="s">
        <v>522</v>
      </c>
      <c r="H25" s="375" t="s">
        <v>523</v>
      </c>
      <c r="I25" s="377">
        <v>25.53</v>
      </c>
      <c r="J25" s="377">
        <v>15</v>
      </c>
      <c r="K25" s="378">
        <v>382.95000000000005</v>
      </c>
    </row>
    <row r="26" spans="1:11" ht="14.4" customHeight="1" x14ac:dyDescent="0.3">
      <c r="A26" s="373" t="s">
        <v>442</v>
      </c>
      <c r="B26" s="374" t="s">
        <v>443</v>
      </c>
      <c r="C26" s="375" t="s">
        <v>447</v>
      </c>
      <c r="D26" s="376" t="s">
        <v>480</v>
      </c>
      <c r="E26" s="375" t="s">
        <v>700</v>
      </c>
      <c r="F26" s="376" t="s">
        <v>701</v>
      </c>
      <c r="G26" s="375" t="s">
        <v>524</v>
      </c>
      <c r="H26" s="375" t="s">
        <v>525</v>
      </c>
      <c r="I26" s="377">
        <v>1.8099999999999998</v>
      </c>
      <c r="J26" s="377">
        <v>3700</v>
      </c>
      <c r="K26" s="378">
        <v>6706.5499999999993</v>
      </c>
    </row>
    <row r="27" spans="1:11" ht="14.4" customHeight="1" x14ac:dyDescent="0.3">
      <c r="A27" s="373" t="s">
        <v>442</v>
      </c>
      <c r="B27" s="374" t="s">
        <v>443</v>
      </c>
      <c r="C27" s="375" t="s">
        <v>447</v>
      </c>
      <c r="D27" s="376" t="s">
        <v>480</v>
      </c>
      <c r="E27" s="375" t="s">
        <v>700</v>
      </c>
      <c r="F27" s="376" t="s">
        <v>701</v>
      </c>
      <c r="G27" s="375" t="s">
        <v>526</v>
      </c>
      <c r="H27" s="375" t="s">
        <v>527</v>
      </c>
      <c r="I27" s="377">
        <v>1.3674999999999997</v>
      </c>
      <c r="J27" s="377">
        <v>4000</v>
      </c>
      <c r="K27" s="378">
        <v>5482.51</v>
      </c>
    </row>
    <row r="28" spans="1:11" ht="14.4" customHeight="1" x14ac:dyDescent="0.3">
      <c r="A28" s="373" t="s">
        <v>442</v>
      </c>
      <c r="B28" s="374" t="s">
        <v>443</v>
      </c>
      <c r="C28" s="375" t="s">
        <v>447</v>
      </c>
      <c r="D28" s="376" t="s">
        <v>480</v>
      </c>
      <c r="E28" s="375" t="s">
        <v>700</v>
      </c>
      <c r="F28" s="376" t="s">
        <v>701</v>
      </c>
      <c r="G28" s="375" t="s">
        <v>528</v>
      </c>
      <c r="H28" s="375" t="s">
        <v>529</v>
      </c>
      <c r="I28" s="377">
        <v>21.23</v>
      </c>
      <c r="J28" s="377">
        <v>65</v>
      </c>
      <c r="K28" s="378">
        <v>1379.95</v>
      </c>
    </row>
    <row r="29" spans="1:11" ht="14.4" customHeight="1" x14ac:dyDescent="0.3">
      <c r="A29" s="373" t="s">
        <v>442</v>
      </c>
      <c r="B29" s="374" t="s">
        <v>443</v>
      </c>
      <c r="C29" s="375" t="s">
        <v>447</v>
      </c>
      <c r="D29" s="376" t="s">
        <v>480</v>
      </c>
      <c r="E29" s="375" t="s">
        <v>700</v>
      </c>
      <c r="F29" s="376" t="s">
        <v>701</v>
      </c>
      <c r="G29" s="375" t="s">
        <v>530</v>
      </c>
      <c r="H29" s="375" t="s">
        <v>531</v>
      </c>
      <c r="I29" s="377">
        <v>23.5</v>
      </c>
      <c r="J29" s="377">
        <v>25</v>
      </c>
      <c r="K29" s="378">
        <v>587.44000000000005</v>
      </c>
    </row>
    <row r="30" spans="1:11" ht="14.4" customHeight="1" x14ac:dyDescent="0.3">
      <c r="A30" s="373" t="s">
        <v>442</v>
      </c>
      <c r="B30" s="374" t="s">
        <v>443</v>
      </c>
      <c r="C30" s="375" t="s">
        <v>447</v>
      </c>
      <c r="D30" s="376" t="s">
        <v>480</v>
      </c>
      <c r="E30" s="375" t="s">
        <v>700</v>
      </c>
      <c r="F30" s="376" t="s">
        <v>701</v>
      </c>
      <c r="G30" s="375" t="s">
        <v>532</v>
      </c>
      <c r="H30" s="375" t="s">
        <v>533</v>
      </c>
      <c r="I30" s="377">
        <v>153.13999999999999</v>
      </c>
      <c r="J30" s="377">
        <v>150</v>
      </c>
      <c r="K30" s="378">
        <v>22970.639999999999</v>
      </c>
    </row>
    <row r="31" spans="1:11" ht="14.4" customHeight="1" x14ac:dyDescent="0.3">
      <c r="A31" s="373" t="s">
        <v>442</v>
      </c>
      <c r="B31" s="374" t="s">
        <v>443</v>
      </c>
      <c r="C31" s="375" t="s">
        <v>447</v>
      </c>
      <c r="D31" s="376" t="s">
        <v>480</v>
      </c>
      <c r="E31" s="375" t="s">
        <v>700</v>
      </c>
      <c r="F31" s="376" t="s">
        <v>701</v>
      </c>
      <c r="G31" s="375" t="s">
        <v>534</v>
      </c>
      <c r="H31" s="375" t="s">
        <v>535</v>
      </c>
      <c r="I31" s="377">
        <v>51.25</v>
      </c>
      <c r="J31" s="377">
        <v>12</v>
      </c>
      <c r="K31" s="378">
        <v>614.96</v>
      </c>
    </row>
    <row r="32" spans="1:11" ht="14.4" customHeight="1" x14ac:dyDescent="0.3">
      <c r="A32" s="373" t="s">
        <v>442</v>
      </c>
      <c r="B32" s="374" t="s">
        <v>443</v>
      </c>
      <c r="C32" s="375" t="s">
        <v>447</v>
      </c>
      <c r="D32" s="376" t="s">
        <v>480</v>
      </c>
      <c r="E32" s="375" t="s">
        <v>700</v>
      </c>
      <c r="F32" s="376" t="s">
        <v>701</v>
      </c>
      <c r="G32" s="375" t="s">
        <v>536</v>
      </c>
      <c r="H32" s="375" t="s">
        <v>537</v>
      </c>
      <c r="I32" s="377">
        <v>1242.54</v>
      </c>
      <c r="J32" s="377">
        <v>1</v>
      </c>
      <c r="K32" s="378">
        <v>1242.54</v>
      </c>
    </row>
    <row r="33" spans="1:11" ht="14.4" customHeight="1" x14ac:dyDescent="0.3">
      <c r="A33" s="373" t="s">
        <v>442</v>
      </c>
      <c r="B33" s="374" t="s">
        <v>443</v>
      </c>
      <c r="C33" s="375" t="s">
        <v>447</v>
      </c>
      <c r="D33" s="376" t="s">
        <v>480</v>
      </c>
      <c r="E33" s="375" t="s">
        <v>700</v>
      </c>
      <c r="F33" s="376" t="s">
        <v>701</v>
      </c>
      <c r="G33" s="375" t="s">
        <v>538</v>
      </c>
      <c r="H33" s="375" t="s">
        <v>539</v>
      </c>
      <c r="I33" s="377">
        <v>2.82</v>
      </c>
      <c r="J33" s="377">
        <v>100</v>
      </c>
      <c r="K33" s="378">
        <v>282</v>
      </c>
    </row>
    <row r="34" spans="1:11" ht="14.4" customHeight="1" x14ac:dyDescent="0.3">
      <c r="A34" s="373" t="s">
        <v>442</v>
      </c>
      <c r="B34" s="374" t="s">
        <v>443</v>
      </c>
      <c r="C34" s="375" t="s">
        <v>447</v>
      </c>
      <c r="D34" s="376" t="s">
        <v>480</v>
      </c>
      <c r="E34" s="375" t="s">
        <v>700</v>
      </c>
      <c r="F34" s="376" t="s">
        <v>701</v>
      </c>
      <c r="G34" s="375" t="s">
        <v>540</v>
      </c>
      <c r="H34" s="375" t="s">
        <v>541</v>
      </c>
      <c r="I34" s="377">
        <v>34.79</v>
      </c>
      <c r="J34" s="377">
        <v>12</v>
      </c>
      <c r="K34" s="378">
        <v>417.5</v>
      </c>
    </row>
    <row r="35" spans="1:11" ht="14.4" customHeight="1" x14ac:dyDescent="0.3">
      <c r="A35" s="373" t="s">
        <v>442</v>
      </c>
      <c r="B35" s="374" t="s">
        <v>443</v>
      </c>
      <c r="C35" s="375" t="s">
        <v>447</v>
      </c>
      <c r="D35" s="376" t="s">
        <v>480</v>
      </c>
      <c r="E35" s="375" t="s">
        <v>700</v>
      </c>
      <c r="F35" s="376" t="s">
        <v>701</v>
      </c>
      <c r="G35" s="375" t="s">
        <v>542</v>
      </c>
      <c r="H35" s="375" t="s">
        <v>543</v>
      </c>
      <c r="I35" s="377">
        <v>14.04</v>
      </c>
      <c r="J35" s="377">
        <v>100</v>
      </c>
      <c r="K35" s="378">
        <v>1403.6</v>
      </c>
    </row>
    <row r="36" spans="1:11" ht="14.4" customHeight="1" x14ac:dyDescent="0.3">
      <c r="A36" s="373" t="s">
        <v>442</v>
      </c>
      <c r="B36" s="374" t="s">
        <v>443</v>
      </c>
      <c r="C36" s="375" t="s">
        <v>447</v>
      </c>
      <c r="D36" s="376" t="s">
        <v>480</v>
      </c>
      <c r="E36" s="375" t="s">
        <v>700</v>
      </c>
      <c r="F36" s="376" t="s">
        <v>701</v>
      </c>
      <c r="G36" s="375" t="s">
        <v>544</v>
      </c>
      <c r="H36" s="375" t="s">
        <v>545</v>
      </c>
      <c r="I36" s="377">
        <v>20.329999999999998</v>
      </c>
      <c r="J36" s="377">
        <v>100</v>
      </c>
      <c r="K36" s="378">
        <v>2032.8</v>
      </c>
    </row>
    <row r="37" spans="1:11" ht="14.4" customHeight="1" x14ac:dyDescent="0.3">
      <c r="A37" s="373" t="s">
        <v>442</v>
      </c>
      <c r="B37" s="374" t="s">
        <v>443</v>
      </c>
      <c r="C37" s="375" t="s">
        <v>447</v>
      </c>
      <c r="D37" s="376" t="s">
        <v>480</v>
      </c>
      <c r="E37" s="375" t="s">
        <v>700</v>
      </c>
      <c r="F37" s="376" t="s">
        <v>701</v>
      </c>
      <c r="G37" s="375" t="s">
        <v>546</v>
      </c>
      <c r="H37" s="375" t="s">
        <v>547</v>
      </c>
      <c r="I37" s="377">
        <v>44.37</v>
      </c>
      <c r="J37" s="377">
        <v>12</v>
      </c>
      <c r="K37" s="378">
        <v>532.4</v>
      </c>
    </row>
    <row r="38" spans="1:11" ht="14.4" customHeight="1" x14ac:dyDescent="0.3">
      <c r="A38" s="373" t="s">
        <v>442</v>
      </c>
      <c r="B38" s="374" t="s">
        <v>443</v>
      </c>
      <c r="C38" s="375" t="s">
        <v>447</v>
      </c>
      <c r="D38" s="376" t="s">
        <v>480</v>
      </c>
      <c r="E38" s="375" t="s">
        <v>700</v>
      </c>
      <c r="F38" s="376" t="s">
        <v>701</v>
      </c>
      <c r="G38" s="375" t="s">
        <v>548</v>
      </c>
      <c r="H38" s="375" t="s">
        <v>549</v>
      </c>
      <c r="I38" s="377">
        <v>220.9</v>
      </c>
      <c r="J38" s="377">
        <v>50</v>
      </c>
      <c r="K38" s="378">
        <v>11044.88</v>
      </c>
    </row>
    <row r="39" spans="1:11" ht="14.4" customHeight="1" x14ac:dyDescent="0.3">
      <c r="A39" s="373" t="s">
        <v>442</v>
      </c>
      <c r="B39" s="374" t="s">
        <v>443</v>
      </c>
      <c r="C39" s="375" t="s">
        <v>447</v>
      </c>
      <c r="D39" s="376" t="s">
        <v>480</v>
      </c>
      <c r="E39" s="375" t="s">
        <v>700</v>
      </c>
      <c r="F39" s="376" t="s">
        <v>701</v>
      </c>
      <c r="G39" s="375" t="s">
        <v>550</v>
      </c>
      <c r="H39" s="375" t="s">
        <v>551</v>
      </c>
      <c r="I39" s="377">
        <v>762.3</v>
      </c>
      <c r="J39" s="377">
        <v>1</v>
      </c>
      <c r="K39" s="378">
        <v>762.3</v>
      </c>
    </row>
    <row r="40" spans="1:11" ht="14.4" customHeight="1" x14ac:dyDescent="0.3">
      <c r="A40" s="373" t="s">
        <v>442</v>
      </c>
      <c r="B40" s="374" t="s">
        <v>443</v>
      </c>
      <c r="C40" s="375" t="s">
        <v>447</v>
      </c>
      <c r="D40" s="376" t="s">
        <v>480</v>
      </c>
      <c r="E40" s="375" t="s">
        <v>700</v>
      </c>
      <c r="F40" s="376" t="s">
        <v>701</v>
      </c>
      <c r="G40" s="375" t="s">
        <v>552</v>
      </c>
      <c r="H40" s="375" t="s">
        <v>553</v>
      </c>
      <c r="I40" s="377">
        <v>107.69</v>
      </c>
      <c r="J40" s="377">
        <v>1</v>
      </c>
      <c r="K40" s="378">
        <v>107.69</v>
      </c>
    </row>
    <row r="41" spans="1:11" ht="14.4" customHeight="1" x14ac:dyDescent="0.3">
      <c r="A41" s="373" t="s">
        <v>442</v>
      </c>
      <c r="B41" s="374" t="s">
        <v>443</v>
      </c>
      <c r="C41" s="375" t="s">
        <v>447</v>
      </c>
      <c r="D41" s="376" t="s">
        <v>480</v>
      </c>
      <c r="E41" s="375" t="s">
        <v>702</v>
      </c>
      <c r="F41" s="376" t="s">
        <v>703</v>
      </c>
      <c r="G41" s="375" t="s">
        <v>554</v>
      </c>
      <c r="H41" s="375" t="s">
        <v>555</v>
      </c>
      <c r="I41" s="377">
        <v>0.28999999999999998</v>
      </c>
      <c r="J41" s="377">
        <v>1000</v>
      </c>
      <c r="K41" s="378">
        <v>290</v>
      </c>
    </row>
    <row r="42" spans="1:11" ht="14.4" customHeight="1" x14ac:dyDescent="0.3">
      <c r="A42" s="373" t="s">
        <v>442</v>
      </c>
      <c r="B42" s="374" t="s">
        <v>443</v>
      </c>
      <c r="C42" s="375" t="s">
        <v>447</v>
      </c>
      <c r="D42" s="376" t="s">
        <v>480</v>
      </c>
      <c r="E42" s="375" t="s">
        <v>702</v>
      </c>
      <c r="F42" s="376" t="s">
        <v>703</v>
      </c>
      <c r="G42" s="375" t="s">
        <v>556</v>
      </c>
      <c r="H42" s="375" t="s">
        <v>557</v>
      </c>
      <c r="I42" s="377">
        <v>50.82</v>
      </c>
      <c r="J42" s="377">
        <v>20</v>
      </c>
      <c r="K42" s="378">
        <v>1016.4</v>
      </c>
    </row>
    <row r="43" spans="1:11" ht="14.4" customHeight="1" x14ac:dyDescent="0.3">
      <c r="A43" s="373" t="s">
        <v>442</v>
      </c>
      <c r="B43" s="374" t="s">
        <v>443</v>
      </c>
      <c r="C43" s="375" t="s">
        <v>447</v>
      </c>
      <c r="D43" s="376" t="s">
        <v>480</v>
      </c>
      <c r="E43" s="375" t="s">
        <v>702</v>
      </c>
      <c r="F43" s="376" t="s">
        <v>703</v>
      </c>
      <c r="G43" s="375" t="s">
        <v>558</v>
      </c>
      <c r="H43" s="375" t="s">
        <v>559</v>
      </c>
      <c r="I43" s="377">
        <v>95.026666666666657</v>
      </c>
      <c r="J43" s="377">
        <v>8</v>
      </c>
      <c r="K43" s="378">
        <v>760.17</v>
      </c>
    </row>
    <row r="44" spans="1:11" ht="14.4" customHeight="1" x14ac:dyDescent="0.3">
      <c r="A44" s="373" t="s">
        <v>442</v>
      </c>
      <c r="B44" s="374" t="s">
        <v>443</v>
      </c>
      <c r="C44" s="375" t="s">
        <v>447</v>
      </c>
      <c r="D44" s="376" t="s">
        <v>480</v>
      </c>
      <c r="E44" s="375" t="s">
        <v>702</v>
      </c>
      <c r="F44" s="376" t="s">
        <v>703</v>
      </c>
      <c r="G44" s="375" t="s">
        <v>560</v>
      </c>
      <c r="H44" s="375" t="s">
        <v>561</v>
      </c>
      <c r="I44" s="377">
        <v>0.27</v>
      </c>
      <c r="J44" s="377">
        <v>3000</v>
      </c>
      <c r="K44" s="378">
        <v>798.59999999999991</v>
      </c>
    </row>
    <row r="45" spans="1:11" ht="14.4" customHeight="1" x14ac:dyDescent="0.3">
      <c r="A45" s="373" t="s">
        <v>442</v>
      </c>
      <c r="B45" s="374" t="s">
        <v>443</v>
      </c>
      <c r="C45" s="375" t="s">
        <v>447</v>
      </c>
      <c r="D45" s="376" t="s">
        <v>480</v>
      </c>
      <c r="E45" s="375" t="s">
        <v>702</v>
      </c>
      <c r="F45" s="376" t="s">
        <v>703</v>
      </c>
      <c r="G45" s="375" t="s">
        <v>562</v>
      </c>
      <c r="H45" s="375" t="s">
        <v>563</v>
      </c>
      <c r="I45" s="377">
        <v>1.4</v>
      </c>
      <c r="J45" s="377">
        <v>500</v>
      </c>
      <c r="K45" s="378">
        <v>700</v>
      </c>
    </row>
    <row r="46" spans="1:11" ht="14.4" customHeight="1" x14ac:dyDescent="0.3">
      <c r="A46" s="373" t="s">
        <v>442</v>
      </c>
      <c r="B46" s="374" t="s">
        <v>443</v>
      </c>
      <c r="C46" s="375" t="s">
        <v>447</v>
      </c>
      <c r="D46" s="376" t="s">
        <v>480</v>
      </c>
      <c r="E46" s="375" t="s">
        <v>702</v>
      </c>
      <c r="F46" s="376" t="s">
        <v>703</v>
      </c>
      <c r="G46" s="375" t="s">
        <v>564</v>
      </c>
      <c r="H46" s="375" t="s">
        <v>565</v>
      </c>
      <c r="I46" s="377">
        <v>0.14000000000000001</v>
      </c>
      <c r="J46" s="377">
        <v>2000</v>
      </c>
      <c r="K46" s="378">
        <v>280</v>
      </c>
    </row>
    <row r="47" spans="1:11" ht="14.4" customHeight="1" x14ac:dyDescent="0.3">
      <c r="A47" s="373" t="s">
        <v>442</v>
      </c>
      <c r="B47" s="374" t="s">
        <v>443</v>
      </c>
      <c r="C47" s="375" t="s">
        <v>447</v>
      </c>
      <c r="D47" s="376" t="s">
        <v>480</v>
      </c>
      <c r="E47" s="375" t="s">
        <v>702</v>
      </c>
      <c r="F47" s="376" t="s">
        <v>703</v>
      </c>
      <c r="G47" s="375" t="s">
        <v>566</v>
      </c>
      <c r="H47" s="375" t="s">
        <v>567</v>
      </c>
      <c r="I47" s="377">
        <v>95.05</v>
      </c>
      <c r="J47" s="377">
        <v>4</v>
      </c>
      <c r="K47" s="378">
        <v>380.2</v>
      </c>
    </row>
    <row r="48" spans="1:11" ht="14.4" customHeight="1" x14ac:dyDescent="0.3">
      <c r="A48" s="373" t="s">
        <v>442</v>
      </c>
      <c r="B48" s="374" t="s">
        <v>443</v>
      </c>
      <c r="C48" s="375" t="s">
        <v>447</v>
      </c>
      <c r="D48" s="376" t="s">
        <v>480</v>
      </c>
      <c r="E48" s="375" t="s">
        <v>702</v>
      </c>
      <c r="F48" s="376" t="s">
        <v>703</v>
      </c>
      <c r="G48" s="375" t="s">
        <v>568</v>
      </c>
      <c r="H48" s="375" t="s">
        <v>569</v>
      </c>
      <c r="I48" s="377">
        <v>0.66</v>
      </c>
      <c r="J48" s="377">
        <v>1000</v>
      </c>
      <c r="K48" s="378">
        <v>660</v>
      </c>
    </row>
    <row r="49" spans="1:11" ht="14.4" customHeight="1" x14ac:dyDescent="0.3">
      <c r="A49" s="373" t="s">
        <v>442</v>
      </c>
      <c r="B49" s="374" t="s">
        <v>443</v>
      </c>
      <c r="C49" s="375" t="s">
        <v>447</v>
      </c>
      <c r="D49" s="376" t="s">
        <v>480</v>
      </c>
      <c r="E49" s="375" t="s">
        <v>702</v>
      </c>
      <c r="F49" s="376" t="s">
        <v>703</v>
      </c>
      <c r="G49" s="375" t="s">
        <v>570</v>
      </c>
      <c r="H49" s="375" t="s">
        <v>571</v>
      </c>
      <c r="I49" s="377">
        <v>7.58</v>
      </c>
      <c r="J49" s="377">
        <v>216</v>
      </c>
      <c r="K49" s="378">
        <v>1636.67</v>
      </c>
    </row>
    <row r="50" spans="1:11" ht="14.4" customHeight="1" x14ac:dyDescent="0.3">
      <c r="A50" s="373" t="s">
        <v>442</v>
      </c>
      <c r="B50" s="374" t="s">
        <v>443</v>
      </c>
      <c r="C50" s="375" t="s">
        <v>447</v>
      </c>
      <c r="D50" s="376" t="s">
        <v>480</v>
      </c>
      <c r="E50" s="375" t="s">
        <v>702</v>
      </c>
      <c r="F50" s="376" t="s">
        <v>703</v>
      </c>
      <c r="G50" s="375" t="s">
        <v>572</v>
      </c>
      <c r="H50" s="375" t="s">
        <v>573</v>
      </c>
      <c r="I50" s="377">
        <v>0.28000000000000003</v>
      </c>
      <c r="J50" s="377">
        <v>4000</v>
      </c>
      <c r="K50" s="378">
        <v>1113.2</v>
      </c>
    </row>
    <row r="51" spans="1:11" ht="14.4" customHeight="1" x14ac:dyDescent="0.3">
      <c r="A51" s="373" t="s">
        <v>442</v>
      </c>
      <c r="B51" s="374" t="s">
        <v>443</v>
      </c>
      <c r="C51" s="375" t="s">
        <v>447</v>
      </c>
      <c r="D51" s="376" t="s">
        <v>480</v>
      </c>
      <c r="E51" s="375" t="s">
        <v>702</v>
      </c>
      <c r="F51" s="376" t="s">
        <v>703</v>
      </c>
      <c r="G51" s="375" t="s">
        <v>574</v>
      </c>
      <c r="H51" s="375" t="s">
        <v>575</v>
      </c>
      <c r="I51" s="377">
        <v>713.9</v>
      </c>
      <c r="J51" s="377">
        <v>2</v>
      </c>
      <c r="K51" s="378">
        <v>1427.8</v>
      </c>
    </row>
    <row r="52" spans="1:11" ht="14.4" customHeight="1" x14ac:dyDescent="0.3">
      <c r="A52" s="373" t="s">
        <v>442</v>
      </c>
      <c r="B52" s="374" t="s">
        <v>443</v>
      </c>
      <c r="C52" s="375" t="s">
        <v>447</v>
      </c>
      <c r="D52" s="376" t="s">
        <v>480</v>
      </c>
      <c r="E52" s="375" t="s">
        <v>702</v>
      </c>
      <c r="F52" s="376" t="s">
        <v>703</v>
      </c>
      <c r="G52" s="375" t="s">
        <v>576</v>
      </c>
      <c r="H52" s="375" t="s">
        <v>577</v>
      </c>
      <c r="I52" s="377">
        <v>268.62</v>
      </c>
      <c r="J52" s="377">
        <v>10</v>
      </c>
      <c r="K52" s="378">
        <v>2686.2</v>
      </c>
    </row>
    <row r="53" spans="1:11" ht="14.4" customHeight="1" x14ac:dyDescent="0.3">
      <c r="A53" s="373" t="s">
        <v>442</v>
      </c>
      <c r="B53" s="374" t="s">
        <v>443</v>
      </c>
      <c r="C53" s="375" t="s">
        <v>447</v>
      </c>
      <c r="D53" s="376" t="s">
        <v>480</v>
      </c>
      <c r="E53" s="375" t="s">
        <v>704</v>
      </c>
      <c r="F53" s="376" t="s">
        <v>705</v>
      </c>
      <c r="G53" s="375" t="s">
        <v>578</v>
      </c>
      <c r="H53" s="375" t="s">
        <v>579</v>
      </c>
      <c r="I53" s="377">
        <v>0.31</v>
      </c>
      <c r="J53" s="377">
        <v>200</v>
      </c>
      <c r="K53" s="378">
        <v>62</v>
      </c>
    </row>
    <row r="54" spans="1:11" ht="14.4" customHeight="1" x14ac:dyDescent="0.3">
      <c r="A54" s="373" t="s">
        <v>442</v>
      </c>
      <c r="B54" s="374" t="s">
        <v>443</v>
      </c>
      <c r="C54" s="375" t="s">
        <v>447</v>
      </c>
      <c r="D54" s="376" t="s">
        <v>480</v>
      </c>
      <c r="E54" s="375" t="s">
        <v>704</v>
      </c>
      <c r="F54" s="376" t="s">
        <v>705</v>
      </c>
      <c r="G54" s="375" t="s">
        <v>580</v>
      </c>
      <c r="H54" s="375" t="s">
        <v>581</v>
      </c>
      <c r="I54" s="377">
        <v>0.67</v>
      </c>
      <c r="J54" s="377">
        <v>300</v>
      </c>
      <c r="K54" s="378">
        <v>201</v>
      </c>
    </row>
    <row r="55" spans="1:11" ht="14.4" customHeight="1" x14ac:dyDescent="0.3">
      <c r="A55" s="373" t="s">
        <v>442</v>
      </c>
      <c r="B55" s="374" t="s">
        <v>443</v>
      </c>
      <c r="C55" s="375" t="s">
        <v>447</v>
      </c>
      <c r="D55" s="376" t="s">
        <v>480</v>
      </c>
      <c r="E55" s="375" t="s">
        <v>704</v>
      </c>
      <c r="F55" s="376" t="s">
        <v>705</v>
      </c>
      <c r="G55" s="375" t="s">
        <v>582</v>
      </c>
      <c r="H55" s="375" t="s">
        <v>583</v>
      </c>
      <c r="I55" s="377">
        <v>0.3</v>
      </c>
      <c r="J55" s="377">
        <v>500</v>
      </c>
      <c r="K55" s="378">
        <v>150</v>
      </c>
    </row>
    <row r="56" spans="1:11" ht="14.4" customHeight="1" x14ac:dyDescent="0.3">
      <c r="A56" s="373" t="s">
        <v>442</v>
      </c>
      <c r="B56" s="374" t="s">
        <v>443</v>
      </c>
      <c r="C56" s="375" t="s">
        <v>447</v>
      </c>
      <c r="D56" s="376" t="s">
        <v>480</v>
      </c>
      <c r="E56" s="375" t="s">
        <v>706</v>
      </c>
      <c r="F56" s="376" t="s">
        <v>707</v>
      </c>
      <c r="G56" s="375" t="s">
        <v>584</v>
      </c>
      <c r="H56" s="375" t="s">
        <v>585</v>
      </c>
      <c r="I56" s="377">
        <v>7.5</v>
      </c>
      <c r="J56" s="377">
        <v>50</v>
      </c>
      <c r="K56" s="378">
        <v>375</v>
      </c>
    </row>
    <row r="57" spans="1:11" ht="14.4" customHeight="1" x14ac:dyDescent="0.3">
      <c r="A57" s="373" t="s">
        <v>442</v>
      </c>
      <c r="B57" s="374" t="s">
        <v>443</v>
      </c>
      <c r="C57" s="375" t="s">
        <v>447</v>
      </c>
      <c r="D57" s="376" t="s">
        <v>480</v>
      </c>
      <c r="E57" s="375" t="s">
        <v>706</v>
      </c>
      <c r="F57" s="376" t="s">
        <v>707</v>
      </c>
      <c r="G57" s="375" t="s">
        <v>586</v>
      </c>
      <c r="H57" s="375" t="s">
        <v>587</v>
      </c>
      <c r="I57" s="377">
        <v>7.5</v>
      </c>
      <c r="J57" s="377">
        <v>100</v>
      </c>
      <c r="K57" s="378">
        <v>750</v>
      </c>
    </row>
    <row r="58" spans="1:11" ht="14.4" customHeight="1" x14ac:dyDescent="0.3">
      <c r="A58" s="373" t="s">
        <v>442</v>
      </c>
      <c r="B58" s="374" t="s">
        <v>443</v>
      </c>
      <c r="C58" s="375" t="s">
        <v>447</v>
      </c>
      <c r="D58" s="376" t="s">
        <v>480</v>
      </c>
      <c r="E58" s="375" t="s">
        <v>706</v>
      </c>
      <c r="F58" s="376" t="s">
        <v>707</v>
      </c>
      <c r="G58" s="375" t="s">
        <v>588</v>
      </c>
      <c r="H58" s="375" t="s">
        <v>589</v>
      </c>
      <c r="I58" s="377">
        <v>7.5</v>
      </c>
      <c r="J58" s="377">
        <v>100</v>
      </c>
      <c r="K58" s="378">
        <v>750</v>
      </c>
    </row>
    <row r="59" spans="1:11" ht="14.4" customHeight="1" x14ac:dyDescent="0.3">
      <c r="A59" s="373" t="s">
        <v>442</v>
      </c>
      <c r="B59" s="374" t="s">
        <v>443</v>
      </c>
      <c r="C59" s="375" t="s">
        <v>447</v>
      </c>
      <c r="D59" s="376" t="s">
        <v>480</v>
      </c>
      <c r="E59" s="375" t="s">
        <v>706</v>
      </c>
      <c r="F59" s="376" t="s">
        <v>707</v>
      </c>
      <c r="G59" s="375" t="s">
        <v>590</v>
      </c>
      <c r="H59" s="375" t="s">
        <v>591</v>
      </c>
      <c r="I59" s="377">
        <v>11.01</v>
      </c>
      <c r="J59" s="377">
        <v>100</v>
      </c>
      <c r="K59" s="378">
        <v>1101</v>
      </c>
    </row>
    <row r="60" spans="1:11" ht="14.4" customHeight="1" x14ac:dyDescent="0.3">
      <c r="A60" s="373" t="s">
        <v>442</v>
      </c>
      <c r="B60" s="374" t="s">
        <v>443</v>
      </c>
      <c r="C60" s="375" t="s">
        <v>447</v>
      </c>
      <c r="D60" s="376" t="s">
        <v>480</v>
      </c>
      <c r="E60" s="375" t="s">
        <v>706</v>
      </c>
      <c r="F60" s="376" t="s">
        <v>707</v>
      </c>
      <c r="G60" s="375" t="s">
        <v>592</v>
      </c>
      <c r="H60" s="375" t="s">
        <v>593</v>
      </c>
      <c r="I60" s="377">
        <v>11</v>
      </c>
      <c r="J60" s="377">
        <v>100</v>
      </c>
      <c r="K60" s="378">
        <v>1100</v>
      </c>
    </row>
    <row r="61" spans="1:11" ht="14.4" customHeight="1" x14ac:dyDescent="0.3">
      <c r="A61" s="373" t="s">
        <v>442</v>
      </c>
      <c r="B61" s="374" t="s">
        <v>443</v>
      </c>
      <c r="C61" s="375" t="s">
        <v>447</v>
      </c>
      <c r="D61" s="376" t="s">
        <v>480</v>
      </c>
      <c r="E61" s="375" t="s">
        <v>706</v>
      </c>
      <c r="F61" s="376" t="s">
        <v>707</v>
      </c>
      <c r="G61" s="375" t="s">
        <v>594</v>
      </c>
      <c r="H61" s="375" t="s">
        <v>595</v>
      </c>
      <c r="I61" s="377">
        <v>7.5</v>
      </c>
      <c r="J61" s="377">
        <v>150</v>
      </c>
      <c r="K61" s="378">
        <v>1125.3000000000002</v>
      </c>
    </row>
    <row r="62" spans="1:11" ht="14.4" customHeight="1" x14ac:dyDescent="0.3">
      <c r="A62" s="373" t="s">
        <v>442</v>
      </c>
      <c r="B62" s="374" t="s">
        <v>443</v>
      </c>
      <c r="C62" s="375" t="s">
        <v>447</v>
      </c>
      <c r="D62" s="376" t="s">
        <v>480</v>
      </c>
      <c r="E62" s="375" t="s">
        <v>706</v>
      </c>
      <c r="F62" s="376" t="s">
        <v>707</v>
      </c>
      <c r="G62" s="375" t="s">
        <v>596</v>
      </c>
      <c r="H62" s="375" t="s">
        <v>597</v>
      </c>
      <c r="I62" s="377">
        <v>0.77400000000000013</v>
      </c>
      <c r="J62" s="377">
        <v>3900</v>
      </c>
      <c r="K62" s="378">
        <v>3018</v>
      </c>
    </row>
    <row r="63" spans="1:11" ht="14.4" customHeight="1" x14ac:dyDescent="0.3">
      <c r="A63" s="373" t="s">
        <v>442</v>
      </c>
      <c r="B63" s="374" t="s">
        <v>443</v>
      </c>
      <c r="C63" s="375" t="s">
        <v>447</v>
      </c>
      <c r="D63" s="376" t="s">
        <v>480</v>
      </c>
      <c r="E63" s="375" t="s">
        <v>706</v>
      </c>
      <c r="F63" s="376" t="s">
        <v>707</v>
      </c>
      <c r="G63" s="375" t="s">
        <v>598</v>
      </c>
      <c r="H63" s="375" t="s">
        <v>599</v>
      </c>
      <c r="I63" s="377">
        <v>0.77250000000000008</v>
      </c>
      <c r="J63" s="377">
        <v>2900</v>
      </c>
      <c r="K63" s="378">
        <v>2238</v>
      </c>
    </row>
    <row r="64" spans="1:11" ht="14.4" customHeight="1" x14ac:dyDescent="0.3">
      <c r="A64" s="373" t="s">
        <v>442</v>
      </c>
      <c r="B64" s="374" t="s">
        <v>443</v>
      </c>
      <c r="C64" s="375" t="s">
        <v>447</v>
      </c>
      <c r="D64" s="376" t="s">
        <v>480</v>
      </c>
      <c r="E64" s="375" t="s">
        <v>706</v>
      </c>
      <c r="F64" s="376" t="s">
        <v>707</v>
      </c>
      <c r="G64" s="375" t="s">
        <v>600</v>
      </c>
      <c r="H64" s="375" t="s">
        <v>601</v>
      </c>
      <c r="I64" s="377">
        <v>0.77666666666666673</v>
      </c>
      <c r="J64" s="377">
        <v>1600</v>
      </c>
      <c r="K64" s="378">
        <v>1243</v>
      </c>
    </row>
    <row r="65" spans="1:11" ht="14.4" customHeight="1" x14ac:dyDescent="0.3">
      <c r="A65" s="373" t="s">
        <v>442</v>
      </c>
      <c r="B65" s="374" t="s">
        <v>443</v>
      </c>
      <c r="C65" s="375" t="s">
        <v>447</v>
      </c>
      <c r="D65" s="376" t="s">
        <v>480</v>
      </c>
      <c r="E65" s="375" t="s">
        <v>706</v>
      </c>
      <c r="F65" s="376" t="s">
        <v>707</v>
      </c>
      <c r="G65" s="375" t="s">
        <v>602</v>
      </c>
      <c r="H65" s="375" t="s">
        <v>603</v>
      </c>
      <c r="I65" s="377">
        <v>0.71</v>
      </c>
      <c r="J65" s="377">
        <v>1000</v>
      </c>
      <c r="K65" s="378">
        <v>710</v>
      </c>
    </row>
    <row r="66" spans="1:11" ht="14.4" customHeight="1" x14ac:dyDescent="0.3">
      <c r="A66" s="373" t="s">
        <v>442</v>
      </c>
      <c r="B66" s="374" t="s">
        <v>443</v>
      </c>
      <c r="C66" s="375" t="s">
        <v>447</v>
      </c>
      <c r="D66" s="376" t="s">
        <v>480</v>
      </c>
      <c r="E66" s="375" t="s">
        <v>706</v>
      </c>
      <c r="F66" s="376" t="s">
        <v>707</v>
      </c>
      <c r="G66" s="375" t="s">
        <v>604</v>
      </c>
      <c r="H66" s="375" t="s">
        <v>605</v>
      </c>
      <c r="I66" s="377">
        <v>0.71</v>
      </c>
      <c r="J66" s="377">
        <v>800</v>
      </c>
      <c r="K66" s="378">
        <v>568</v>
      </c>
    </row>
    <row r="67" spans="1:11" ht="14.4" customHeight="1" x14ac:dyDescent="0.3">
      <c r="A67" s="373" t="s">
        <v>442</v>
      </c>
      <c r="B67" s="374" t="s">
        <v>443</v>
      </c>
      <c r="C67" s="375" t="s">
        <v>447</v>
      </c>
      <c r="D67" s="376" t="s">
        <v>480</v>
      </c>
      <c r="E67" s="375" t="s">
        <v>706</v>
      </c>
      <c r="F67" s="376" t="s">
        <v>707</v>
      </c>
      <c r="G67" s="375" t="s">
        <v>606</v>
      </c>
      <c r="H67" s="375" t="s">
        <v>607</v>
      </c>
      <c r="I67" s="377">
        <v>0.71</v>
      </c>
      <c r="J67" s="377">
        <v>2400</v>
      </c>
      <c r="K67" s="378">
        <v>1704</v>
      </c>
    </row>
    <row r="68" spans="1:11" ht="14.4" customHeight="1" x14ac:dyDescent="0.3">
      <c r="A68" s="373" t="s">
        <v>442</v>
      </c>
      <c r="B68" s="374" t="s">
        <v>443</v>
      </c>
      <c r="C68" s="375" t="s">
        <v>447</v>
      </c>
      <c r="D68" s="376" t="s">
        <v>480</v>
      </c>
      <c r="E68" s="375" t="s">
        <v>708</v>
      </c>
      <c r="F68" s="376" t="s">
        <v>709</v>
      </c>
      <c r="G68" s="375" t="s">
        <v>608</v>
      </c>
      <c r="H68" s="375" t="s">
        <v>609</v>
      </c>
      <c r="I68" s="377">
        <v>159.72</v>
      </c>
      <c r="J68" s="377">
        <v>1</v>
      </c>
      <c r="K68" s="378">
        <v>159.72</v>
      </c>
    </row>
    <row r="69" spans="1:11" ht="14.4" customHeight="1" x14ac:dyDescent="0.3">
      <c r="A69" s="373" t="s">
        <v>442</v>
      </c>
      <c r="B69" s="374" t="s">
        <v>443</v>
      </c>
      <c r="C69" s="375" t="s">
        <v>447</v>
      </c>
      <c r="D69" s="376" t="s">
        <v>480</v>
      </c>
      <c r="E69" s="375" t="s">
        <v>708</v>
      </c>
      <c r="F69" s="376" t="s">
        <v>709</v>
      </c>
      <c r="G69" s="375" t="s">
        <v>610</v>
      </c>
      <c r="H69" s="375" t="s">
        <v>611</v>
      </c>
      <c r="I69" s="377">
        <v>83.49</v>
      </c>
      <c r="J69" s="377">
        <v>30</v>
      </c>
      <c r="K69" s="378">
        <v>2504.6999999999998</v>
      </c>
    </row>
    <row r="70" spans="1:11" ht="14.4" customHeight="1" x14ac:dyDescent="0.3">
      <c r="A70" s="373" t="s">
        <v>442</v>
      </c>
      <c r="B70" s="374" t="s">
        <v>443</v>
      </c>
      <c r="C70" s="375" t="s">
        <v>447</v>
      </c>
      <c r="D70" s="376" t="s">
        <v>480</v>
      </c>
      <c r="E70" s="375" t="s">
        <v>708</v>
      </c>
      <c r="F70" s="376" t="s">
        <v>709</v>
      </c>
      <c r="G70" s="375" t="s">
        <v>612</v>
      </c>
      <c r="H70" s="375" t="s">
        <v>613</v>
      </c>
      <c r="I70" s="377">
        <v>139.44</v>
      </c>
      <c r="J70" s="377">
        <v>1</v>
      </c>
      <c r="K70" s="378">
        <v>139.44</v>
      </c>
    </row>
    <row r="71" spans="1:11" ht="14.4" customHeight="1" x14ac:dyDescent="0.3">
      <c r="A71" s="373" t="s">
        <v>442</v>
      </c>
      <c r="B71" s="374" t="s">
        <v>443</v>
      </c>
      <c r="C71" s="375" t="s">
        <v>447</v>
      </c>
      <c r="D71" s="376" t="s">
        <v>480</v>
      </c>
      <c r="E71" s="375" t="s">
        <v>708</v>
      </c>
      <c r="F71" s="376" t="s">
        <v>709</v>
      </c>
      <c r="G71" s="375" t="s">
        <v>614</v>
      </c>
      <c r="H71" s="375" t="s">
        <v>615</v>
      </c>
      <c r="I71" s="377">
        <v>139.44</v>
      </c>
      <c r="J71" s="377">
        <v>2</v>
      </c>
      <c r="K71" s="378">
        <v>278.88</v>
      </c>
    </row>
    <row r="72" spans="1:11" ht="14.4" customHeight="1" x14ac:dyDescent="0.3">
      <c r="A72" s="373" t="s">
        <v>442</v>
      </c>
      <c r="B72" s="374" t="s">
        <v>443</v>
      </c>
      <c r="C72" s="375" t="s">
        <v>447</v>
      </c>
      <c r="D72" s="376" t="s">
        <v>480</v>
      </c>
      <c r="E72" s="375" t="s">
        <v>708</v>
      </c>
      <c r="F72" s="376" t="s">
        <v>709</v>
      </c>
      <c r="G72" s="375" t="s">
        <v>616</v>
      </c>
      <c r="H72" s="375" t="s">
        <v>617</v>
      </c>
      <c r="I72" s="377">
        <v>139.44</v>
      </c>
      <c r="J72" s="377">
        <v>1</v>
      </c>
      <c r="K72" s="378">
        <v>139.44</v>
      </c>
    </row>
    <row r="73" spans="1:11" ht="14.4" customHeight="1" x14ac:dyDescent="0.3">
      <c r="A73" s="373" t="s">
        <v>442</v>
      </c>
      <c r="B73" s="374" t="s">
        <v>443</v>
      </c>
      <c r="C73" s="375" t="s">
        <v>447</v>
      </c>
      <c r="D73" s="376" t="s">
        <v>480</v>
      </c>
      <c r="E73" s="375" t="s">
        <v>708</v>
      </c>
      <c r="F73" s="376" t="s">
        <v>709</v>
      </c>
      <c r="G73" s="375" t="s">
        <v>618</v>
      </c>
      <c r="H73" s="375" t="s">
        <v>619</v>
      </c>
      <c r="I73" s="377">
        <v>93.17</v>
      </c>
      <c r="J73" s="377">
        <v>4</v>
      </c>
      <c r="K73" s="378">
        <v>372.68</v>
      </c>
    </row>
    <row r="74" spans="1:11" ht="14.4" customHeight="1" x14ac:dyDescent="0.3">
      <c r="A74" s="373" t="s">
        <v>442</v>
      </c>
      <c r="B74" s="374" t="s">
        <v>443</v>
      </c>
      <c r="C74" s="375" t="s">
        <v>447</v>
      </c>
      <c r="D74" s="376" t="s">
        <v>480</v>
      </c>
      <c r="E74" s="375" t="s">
        <v>708</v>
      </c>
      <c r="F74" s="376" t="s">
        <v>709</v>
      </c>
      <c r="G74" s="375" t="s">
        <v>620</v>
      </c>
      <c r="H74" s="375" t="s">
        <v>621</v>
      </c>
      <c r="I74" s="377">
        <v>643.59</v>
      </c>
      <c r="J74" s="377">
        <v>14</v>
      </c>
      <c r="K74" s="378">
        <v>8645.08</v>
      </c>
    </row>
    <row r="75" spans="1:11" ht="14.4" customHeight="1" x14ac:dyDescent="0.3">
      <c r="A75" s="373" t="s">
        <v>442</v>
      </c>
      <c r="B75" s="374" t="s">
        <v>443</v>
      </c>
      <c r="C75" s="375" t="s">
        <v>447</v>
      </c>
      <c r="D75" s="376" t="s">
        <v>480</v>
      </c>
      <c r="E75" s="375" t="s">
        <v>708</v>
      </c>
      <c r="F75" s="376" t="s">
        <v>709</v>
      </c>
      <c r="G75" s="375" t="s">
        <v>622</v>
      </c>
      <c r="H75" s="375" t="s">
        <v>623</v>
      </c>
      <c r="I75" s="377">
        <v>0.1125</v>
      </c>
      <c r="J75" s="377">
        <v>16000</v>
      </c>
      <c r="K75" s="378">
        <v>1785.9</v>
      </c>
    </row>
    <row r="76" spans="1:11" ht="14.4" customHeight="1" x14ac:dyDescent="0.3">
      <c r="A76" s="373" t="s">
        <v>442</v>
      </c>
      <c r="B76" s="374" t="s">
        <v>443</v>
      </c>
      <c r="C76" s="375" t="s">
        <v>447</v>
      </c>
      <c r="D76" s="376" t="s">
        <v>480</v>
      </c>
      <c r="E76" s="375" t="s">
        <v>708</v>
      </c>
      <c r="F76" s="376" t="s">
        <v>709</v>
      </c>
      <c r="G76" s="375" t="s">
        <v>624</v>
      </c>
      <c r="H76" s="375" t="s">
        <v>625</v>
      </c>
      <c r="I76" s="377">
        <v>13652.43</v>
      </c>
      <c r="J76" s="377">
        <v>3</v>
      </c>
      <c r="K76" s="378">
        <v>40957.29</v>
      </c>
    </row>
    <row r="77" spans="1:11" ht="14.4" customHeight="1" x14ac:dyDescent="0.3">
      <c r="A77" s="373" t="s">
        <v>442</v>
      </c>
      <c r="B77" s="374" t="s">
        <v>443</v>
      </c>
      <c r="C77" s="375" t="s">
        <v>447</v>
      </c>
      <c r="D77" s="376" t="s">
        <v>480</v>
      </c>
      <c r="E77" s="375" t="s">
        <v>708</v>
      </c>
      <c r="F77" s="376" t="s">
        <v>709</v>
      </c>
      <c r="G77" s="375" t="s">
        <v>626</v>
      </c>
      <c r="H77" s="375" t="s">
        <v>627</v>
      </c>
      <c r="I77" s="377">
        <v>139.15</v>
      </c>
      <c r="J77" s="377">
        <v>1</v>
      </c>
      <c r="K77" s="378">
        <v>139.15</v>
      </c>
    </row>
    <row r="78" spans="1:11" ht="14.4" customHeight="1" x14ac:dyDescent="0.3">
      <c r="A78" s="373" t="s">
        <v>442</v>
      </c>
      <c r="B78" s="374" t="s">
        <v>443</v>
      </c>
      <c r="C78" s="375" t="s">
        <v>447</v>
      </c>
      <c r="D78" s="376" t="s">
        <v>480</v>
      </c>
      <c r="E78" s="375" t="s">
        <v>708</v>
      </c>
      <c r="F78" s="376" t="s">
        <v>709</v>
      </c>
      <c r="G78" s="375" t="s">
        <v>628</v>
      </c>
      <c r="H78" s="375" t="s">
        <v>629</v>
      </c>
      <c r="I78" s="377">
        <v>246.23500000000001</v>
      </c>
      <c r="J78" s="377">
        <v>114</v>
      </c>
      <c r="K78" s="378">
        <v>27094.32</v>
      </c>
    </row>
    <row r="79" spans="1:11" ht="14.4" customHeight="1" x14ac:dyDescent="0.3">
      <c r="A79" s="373" t="s">
        <v>442</v>
      </c>
      <c r="B79" s="374" t="s">
        <v>443</v>
      </c>
      <c r="C79" s="375" t="s">
        <v>447</v>
      </c>
      <c r="D79" s="376" t="s">
        <v>480</v>
      </c>
      <c r="E79" s="375" t="s">
        <v>708</v>
      </c>
      <c r="F79" s="376" t="s">
        <v>709</v>
      </c>
      <c r="G79" s="375" t="s">
        <v>630</v>
      </c>
      <c r="H79" s="375" t="s">
        <v>631</v>
      </c>
      <c r="I79" s="377">
        <v>183.92</v>
      </c>
      <c r="J79" s="377">
        <v>1</v>
      </c>
      <c r="K79" s="378">
        <v>183.92</v>
      </c>
    </row>
    <row r="80" spans="1:11" ht="14.4" customHeight="1" x14ac:dyDescent="0.3">
      <c r="A80" s="373" t="s">
        <v>442</v>
      </c>
      <c r="B80" s="374" t="s">
        <v>443</v>
      </c>
      <c r="C80" s="375" t="s">
        <v>447</v>
      </c>
      <c r="D80" s="376" t="s">
        <v>480</v>
      </c>
      <c r="E80" s="375" t="s">
        <v>708</v>
      </c>
      <c r="F80" s="376" t="s">
        <v>709</v>
      </c>
      <c r="G80" s="375" t="s">
        <v>632</v>
      </c>
      <c r="H80" s="375" t="s">
        <v>633</v>
      </c>
      <c r="I80" s="377">
        <v>2529.4</v>
      </c>
      <c r="J80" s="377">
        <v>1</v>
      </c>
      <c r="K80" s="378">
        <v>2529.4</v>
      </c>
    </row>
    <row r="81" spans="1:11" ht="14.4" customHeight="1" x14ac:dyDescent="0.3">
      <c r="A81" s="373" t="s">
        <v>442</v>
      </c>
      <c r="B81" s="374" t="s">
        <v>443</v>
      </c>
      <c r="C81" s="375" t="s">
        <v>447</v>
      </c>
      <c r="D81" s="376" t="s">
        <v>480</v>
      </c>
      <c r="E81" s="375" t="s">
        <v>708</v>
      </c>
      <c r="F81" s="376" t="s">
        <v>709</v>
      </c>
      <c r="G81" s="375" t="s">
        <v>634</v>
      </c>
      <c r="H81" s="375" t="s">
        <v>635</v>
      </c>
      <c r="I81" s="377">
        <v>13652.43</v>
      </c>
      <c r="J81" s="377">
        <v>4</v>
      </c>
      <c r="K81" s="378">
        <v>54609.72</v>
      </c>
    </row>
    <row r="82" spans="1:11" ht="14.4" customHeight="1" x14ac:dyDescent="0.3">
      <c r="A82" s="373" t="s">
        <v>442</v>
      </c>
      <c r="B82" s="374" t="s">
        <v>443</v>
      </c>
      <c r="C82" s="375" t="s">
        <v>447</v>
      </c>
      <c r="D82" s="376" t="s">
        <v>480</v>
      </c>
      <c r="E82" s="375" t="s">
        <v>708</v>
      </c>
      <c r="F82" s="376" t="s">
        <v>709</v>
      </c>
      <c r="G82" s="375" t="s">
        <v>636</v>
      </c>
      <c r="H82" s="375" t="s">
        <v>637</v>
      </c>
      <c r="I82" s="377">
        <v>113.74</v>
      </c>
      <c r="J82" s="377">
        <v>4</v>
      </c>
      <c r="K82" s="378">
        <v>454.96</v>
      </c>
    </row>
    <row r="83" spans="1:11" ht="14.4" customHeight="1" x14ac:dyDescent="0.3">
      <c r="A83" s="373" t="s">
        <v>442</v>
      </c>
      <c r="B83" s="374" t="s">
        <v>443</v>
      </c>
      <c r="C83" s="375" t="s">
        <v>447</v>
      </c>
      <c r="D83" s="376" t="s">
        <v>480</v>
      </c>
      <c r="E83" s="375" t="s">
        <v>708</v>
      </c>
      <c r="F83" s="376" t="s">
        <v>709</v>
      </c>
      <c r="G83" s="375" t="s">
        <v>638</v>
      </c>
      <c r="H83" s="375" t="s">
        <v>639</v>
      </c>
      <c r="I83" s="377">
        <v>13652.43</v>
      </c>
      <c r="J83" s="377">
        <v>4</v>
      </c>
      <c r="K83" s="378">
        <v>54609.72</v>
      </c>
    </row>
    <row r="84" spans="1:11" ht="14.4" customHeight="1" x14ac:dyDescent="0.3">
      <c r="A84" s="373" t="s">
        <v>442</v>
      </c>
      <c r="B84" s="374" t="s">
        <v>443</v>
      </c>
      <c r="C84" s="375" t="s">
        <v>447</v>
      </c>
      <c r="D84" s="376" t="s">
        <v>480</v>
      </c>
      <c r="E84" s="375" t="s">
        <v>708</v>
      </c>
      <c r="F84" s="376" t="s">
        <v>709</v>
      </c>
      <c r="G84" s="375" t="s">
        <v>640</v>
      </c>
      <c r="H84" s="375" t="s">
        <v>641</v>
      </c>
      <c r="I84" s="377">
        <v>13652.43</v>
      </c>
      <c r="J84" s="377">
        <v>2</v>
      </c>
      <c r="K84" s="378">
        <v>27304.86</v>
      </c>
    </row>
    <row r="85" spans="1:11" ht="14.4" customHeight="1" x14ac:dyDescent="0.3">
      <c r="A85" s="373" t="s">
        <v>442</v>
      </c>
      <c r="B85" s="374" t="s">
        <v>443</v>
      </c>
      <c r="C85" s="375" t="s">
        <v>447</v>
      </c>
      <c r="D85" s="376" t="s">
        <v>480</v>
      </c>
      <c r="E85" s="375" t="s">
        <v>708</v>
      </c>
      <c r="F85" s="376" t="s">
        <v>709</v>
      </c>
      <c r="G85" s="375" t="s">
        <v>642</v>
      </c>
      <c r="H85" s="375" t="s">
        <v>643</v>
      </c>
      <c r="I85" s="377">
        <v>981.31</v>
      </c>
      <c r="J85" s="377">
        <v>8</v>
      </c>
      <c r="K85" s="378">
        <v>7850.4799999999987</v>
      </c>
    </row>
    <row r="86" spans="1:11" ht="14.4" customHeight="1" x14ac:dyDescent="0.3">
      <c r="A86" s="373" t="s">
        <v>442</v>
      </c>
      <c r="B86" s="374" t="s">
        <v>443</v>
      </c>
      <c r="C86" s="375" t="s">
        <v>447</v>
      </c>
      <c r="D86" s="376" t="s">
        <v>480</v>
      </c>
      <c r="E86" s="375" t="s">
        <v>708</v>
      </c>
      <c r="F86" s="376" t="s">
        <v>709</v>
      </c>
      <c r="G86" s="375" t="s">
        <v>644</v>
      </c>
      <c r="H86" s="375" t="s">
        <v>645</v>
      </c>
      <c r="I86" s="377">
        <v>1547.59</v>
      </c>
      <c r="J86" s="377">
        <v>2</v>
      </c>
      <c r="K86" s="378">
        <v>3095.18</v>
      </c>
    </row>
    <row r="87" spans="1:11" ht="14.4" customHeight="1" x14ac:dyDescent="0.3">
      <c r="A87" s="373" t="s">
        <v>442</v>
      </c>
      <c r="B87" s="374" t="s">
        <v>443</v>
      </c>
      <c r="C87" s="375" t="s">
        <v>447</v>
      </c>
      <c r="D87" s="376" t="s">
        <v>480</v>
      </c>
      <c r="E87" s="375" t="s">
        <v>708</v>
      </c>
      <c r="F87" s="376" t="s">
        <v>709</v>
      </c>
      <c r="G87" s="375" t="s">
        <v>646</v>
      </c>
      <c r="H87" s="375" t="s">
        <v>647</v>
      </c>
      <c r="I87" s="377">
        <v>0.13</v>
      </c>
      <c r="J87" s="377">
        <v>6000</v>
      </c>
      <c r="K87" s="378">
        <v>798.59999999999991</v>
      </c>
    </row>
    <row r="88" spans="1:11" ht="14.4" customHeight="1" x14ac:dyDescent="0.3">
      <c r="A88" s="373" t="s">
        <v>442</v>
      </c>
      <c r="B88" s="374" t="s">
        <v>443</v>
      </c>
      <c r="C88" s="375" t="s">
        <v>447</v>
      </c>
      <c r="D88" s="376" t="s">
        <v>480</v>
      </c>
      <c r="E88" s="375" t="s">
        <v>708</v>
      </c>
      <c r="F88" s="376" t="s">
        <v>709</v>
      </c>
      <c r="G88" s="375" t="s">
        <v>648</v>
      </c>
      <c r="H88" s="375" t="s">
        <v>649</v>
      </c>
      <c r="I88" s="377">
        <v>0.34</v>
      </c>
      <c r="J88" s="377">
        <v>1000</v>
      </c>
      <c r="K88" s="378">
        <v>336.4</v>
      </c>
    </row>
    <row r="89" spans="1:11" ht="14.4" customHeight="1" x14ac:dyDescent="0.3">
      <c r="A89" s="373" t="s">
        <v>442</v>
      </c>
      <c r="B89" s="374" t="s">
        <v>443</v>
      </c>
      <c r="C89" s="375" t="s">
        <v>447</v>
      </c>
      <c r="D89" s="376" t="s">
        <v>480</v>
      </c>
      <c r="E89" s="375" t="s">
        <v>708</v>
      </c>
      <c r="F89" s="376" t="s">
        <v>709</v>
      </c>
      <c r="G89" s="375" t="s">
        <v>650</v>
      </c>
      <c r="H89" s="375" t="s">
        <v>651</v>
      </c>
      <c r="I89" s="377">
        <v>186.34</v>
      </c>
      <c r="J89" s="377">
        <v>1</v>
      </c>
      <c r="K89" s="378">
        <v>186.34</v>
      </c>
    </row>
    <row r="90" spans="1:11" ht="14.4" customHeight="1" x14ac:dyDescent="0.3">
      <c r="A90" s="373" t="s">
        <v>442</v>
      </c>
      <c r="B90" s="374" t="s">
        <v>443</v>
      </c>
      <c r="C90" s="375" t="s">
        <v>447</v>
      </c>
      <c r="D90" s="376" t="s">
        <v>480</v>
      </c>
      <c r="E90" s="375" t="s">
        <v>708</v>
      </c>
      <c r="F90" s="376" t="s">
        <v>709</v>
      </c>
      <c r="G90" s="375" t="s">
        <v>652</v>
      </c>
      <c r="H90" s="375" t="s">
        <v>653</v>
      </c>
      <c r="I90" s="377">
        <v>111.32</v>
      </c>
      <c r="J90" s="377">
        <v>7</v>
      </c>
      <c r="K90" s="378">
        <v>779.24</v>
      </c>
    </row>
    <row r="91" spans="1:11" ht="14.4" customHeight="1" x14ac:dyDescent="0.3">
      <c r="A91" s="373" t="s">
        <v>442</v>
      </c>
      <c r="B91" s="374" t="s">
        <v>443</v>
      </c>
      <c r="C91" s="375" t="s">
        <v>447</v>
      </c>
      <c r="D91" s="376" t="s">
        <v>480</v>
      </c>
      <c r="E91" s="375" t="s">
        <v>708</v>
      </c>
      <c r="F91" s="376" t="s">
        <v>709</v>
      </c>
      <c r="G91" s="375" t="s">
        <v>654</v>
      </c>
      <c r="H91" s="375" t="s">
        <v>655</v>
      </c>
      <c r="I91" s="377">
        <v>987.9</v>
      </c>
      <c r="J91" s="377">
        <v>1</v>
      </c>
      <c r="K91" s="378">
        <v>987.9</v>
      </c>
    </row>
    <row r="92" spans="1:11" ht="14.4" customHeight="1" x14ac:dyDescent="0.3">
      <c r="A92" s="373" t="s">
        <v>442</v>
      </c>
      <c r="B92" s="374" t="s">
        <v>443</v>
      </c>
      <c r="C92" s="375" t="s">
        <v>447</v>
      </c>
      <c r="D92" s="376" t="s">
        <v>480</v>
      </c>
      <c r="E92" s="375" t="s">
        <v>708</v>
      </c>
      <c r="F92" s="376" t="s">
        <v>709</v>
      </c>
      <c r="G92" s="375" t="s">
        <v>656</v>
      </c>
      <c r="H92" s="375" t="s">
        <v>657</v>
      </c>
      <c r="I92" s="377">
        <v>194.69</v>
      </c>
      <c r="J92" s="377">
        <v>3</v>
      </c>
      <c r="K92" s="378">
        <v>584.05999999999995</v>
      </c>
    </row>
    <row r="93" spans="1:11" ht="14.4" customHeight="1" x14ac:dyDescent="0.3">
      <c r="A93" s="373" t="s">
        <v>442</v>
      </c>
      <c r="B93" s="374" t="s">
        <v>443</v>
      </c>
      <c r="C93" s="375" t="s">
        <v>447</v>
      </c>
      <c r="D93" s="376" t="s">
        <v>480</v>
      </c>
      <c r="E93" s="375" t="s">
        <v>708</v>
      </c>
      <c r="F93" s="376" t="s">
        <v>709</v>
      </c>
      <c r="G93" s="375" t="s">
        <v>658</v>
      </c>
      <c r="H93" s="375" t="s">
        <v>659</v>
      </c>
      <c r="I93" s="377">
        <v>91.96</v>
      </c>
      <c r="J93" s="377">
        <v>8</v>
      </c>
      <c r="K93" s="378">
        <v>735.68</v>
      </c>
    </row>
    <row r="94" spans="1:11" ht="14.4" customHeight="1" x14ac:dyDescent="0.3">
      <c r="A94" s="373" t="s">
        <v>442</v>
      </c>
      <c r="B94" s="374" t="s">
        <v>443</v>
      </c>
      <c r="C94" s="375" t="s">
        <v>447</v>
      </c>
      <c r="D94" s="376" t="s">
        <v>480</v>
      </c>
      <c r="E94" s="375" t="s">
        <v>708</v>
      </c>
      <c r="F94" s="376" t="s">
        <v>709</v>
      </c>
      <c r="G94" s="375" t="s">
        <v>660</v>
      </c>
      <c r="H94" s="375" t="s">
        <v>661</v>
      </c>
      <c r="I94" s="377">
        <v>9353.2999999999993</v>
      </c>
      <c r="J94" s="377">
        <v>1</v>
      </c>
      <c r="K94" s="378">
        <v>9353.2999999999993</v>
      </c>
    </row>
    <row r="95" spans="1:11" ht="14.4" customHeight="1" x14ac:dyDescent="0.3">
      <c r="A95" s="373" t="s">
        <v>442</v>
      </c>
      <c r="B95" s="374" t="s">
        <v>443</v>
      </c>
      <c r="C95" s="375" t="s">
        <v>447</v>
      </c>
      <c r="D95" s="376" t="s">
        <v>480</v>
      </c>
      <c r="E95" s="375" t="s">
        <v>708</v>
      </c>
      <c r="F95" s="376" t="s">
        <v>709</v>
      </c>
      <c r="G95" s="375" t="s">
        <v>662</v>
      </c>
      <c r="H95" s="375" t="s">
        <v>663</v>
      </c>
      <c r="I95" s="377">
        <v>27.83</v>
      </c>
      <c r="J95" s="377">
        <v>20</v>
      </c>
      <c r="K95" s="378">
        <v>556.6</v>
      </c>
    </row>
    <row r="96" spans="1:11" ht="14.4" customHeight="1" x14ac:dyDescent="0.3">
      <c r="A96" s="373" t="s">
        <v>442</v>
      </c>
      <c r="B96" s="374" t="s">
        <v>443</v>
      </c>
      <c r="C96" s="375" t="s">
        <v>447</v>
      </c>
      <c r="D96" s="376" t="s">
        <v>480</v>
      </c>
      <c r="E96" s="375" t="s">
        <v>708</v>
      </c>
      <c r="F96" s="376" t="s">
        <v>709</v>
      </c>
      <c r="G96" s="375" t="s">
        <v>664</v>
      </c>
      <c r="H96" s="375" t="s">
        <v>665</v>
      </c>
      <c r="I96" s="377">
        <v>131.88999999999999</v>
      </c>
      <c r="J96" s="377">
        <v>3</v>
      </c>
      <c r="K96" s="378">
        <v>395.67</v>
      </c>
    </row>
    <row r="97" spans="1:11" ht="14.4" customHeight="1" x14ac:dyDescent="0.3">
      <c r="A97" s="373" t="s">
        <v>442</v>
      </c>
      <c r="B97" s="374" t="s">
        <v>443</v>
      </c>
      <c r="C97" s="375" t="s">
        <v>447</v>
      </c>
      <c r="D97" s="376" t="s">
        <v>480</v>
      </c>
      <c r="E97" s="375" t="s">
        <v>708</v>
      </c>
      <c r="F97" s="376" t="s">
        <v>709</v>
      </c>
      <c r="G97" s="375" t="s">
        <v>666</v>
      </c>
      <c r="H97" s="375" t="s">
        <v>667</v>
      </c>
      <c r="I97" s="377">
        <v>53.24</v>
      </c>
      <c r="J97" s="377">
        <v>10</v>
      </c>
      <c r="K97" s="378">
        <v>532.4</v>
      </c>
    </row>
    <row r="98" spans="1:11" ht="14.4" customHeight="1" x14ac:dyDescent="0.3">
      <c r="A98" s="373" t="s">
        <v>442</v>
      </c>
      <c r="B98" s="374" t="s">
        <v>443</v>
      </c>
      <c r="C98" s="375" t="s">
        <v>447</v>
      </c>
      <c r="D98" s="376" t="s">
        <v>480</v>
      </c>
      <c r="E98" s="375" t="s">
        <v>708</v>
      </c>
      <c r="F98" s="376" t="s">
        <v>709</v>
      </c>
      <c r="G98" s="375" t="s">
        <v>668</v>
      </c>
      <c r="H98" s="375" t="s">
        <v>669</v>
      </c>
      <c r="I98" s="377">
        <v>13652.43</v>
      </c>
      <c r="J98" s="377">
        <v>2</v>
      </c>
      <c r="K98" s="378">
        <v>27304.86</v>
      </c>
    </row>
    <row r="99" spans="1:11" ht="14.4" customHeight="1" x14ac:dyDescent="0.3">
      <c r="A99" s="373" t="s">
        <v>442</v>
      </c>
      <c r="B99" s="374" t="s">
        <v>443</v>
      </c>
      <c r="C99" s="375" t="s">
        <v>447</v>
      </c>
      <c r="D99" s="376" t="s">
        <v>480</v>
      </c>
      <c r="E99" s="375" t="s">
        <v>708</v>
      </c>
      <c r="F99" s="376" t="s">
        <v>709</v>
      </c>
      <c r="G99" s="375" t="s">
        <v>670</v>
      </c>
      <c r="H99" s="375" t="s">
        <v>671</v>
      </c>
      <c r="I99" s="377">
        <v>4967.05</v>
      </c>
      <c r="J99" s="377">
        <v>1</v>
      </c>
      <c r="K99" s="378">
        <v>4967.05</v>
      </c>
    </row>
    <row r="100" spans="1:11" ht="14.4" customHeight="1" x14ac:dyDescent="0.3">
      <c r="A100" s="373" t="s">
        <v>442</v>
      </c>
      <c r="B100" s="374" t="s">
        <v>443</v>
      </c>
      <c r="C100" s="375" t="s">
        <v>447</v>
      </c>
      <c r="D100" s="376" t="s">
        <v>480</v>
      </c>
      <c r="E100" s="375" t="s">
        <v>708</v>
      </c>
      <c r="F100" s="376" t="s">
        <v>709</v>
      </c>
      <c r="G100" s="375" t="s">
        <v>672</v>
      </c>
      <c r="H100" s="375" t="s">
        <v>673</v>
      </c>
      <c r="I100" s="377">
        <v>4440.7</v>
      </c>
      <c r="J100" s="377">
        <v>1</v>
      </c>
      <c r="K100" s="378">
        <v>4440.7</v>
      </c>
    </row>
    <row r="101" spans="1:11" ht="14.4" customHeight="1" x14ac:dyDescent="0.3">
      <c r="A101" s="373" t="s">
        <v>442</v>
      </c>
      <c r="B101" s="374" t="s">
        <v>443</v>
      </c>
      <c r="C101" s="375" t="s">
        <v>447</v>
      </c>
      <c r="D101" s="376" t="s">
        <v>480</v>
      </c>
      <c r="E101" s="375" t="s">
        <v>708</v>
      </c>
      <c r="F101" s="376" t="s">
        <v>709</v>
      </c>
      <c r="G101" s="375" t="s">
        <v>674</v>
      </c>
      <c r="H101" s="375" t="s">
        <v>675</v>
      </c>
      <c r="I101" s="377">
        <v>3507.8</v>
      </c>
      <c r="J101" s="377">
        <v>1</v>
      </c>
      <c r="K101" s="378">
        <v>3507.8</v>
      </c>
    </row>
    <row r="102" spans="1:11" ht="14.4" customHeight="1" x14ac:dyDescent="0.3">
      <c r="A102" s="373" t="s">
        <v>442</v>
      </c>
      <c r="B102" s="374" t="s">
        <v>443</v>
      </c>
      <c r="C102" s="375" t="s">
        <v>447</v>
      </c>
      <c r="D102" s="376" t="s">
        <v>480</v>
      </c>
      <c r="E102" s="375" t="s">
        <v>708</v>
      </c>
      <c r="F102" s="376" t="s">
        <v>709</v>
      </c>
      <c r="G102" s="375" t="s">
        <v>676</v>
      </c>
      <c r="H102" s="375" t="s">
        <v>677</v>
      </c>
      <c r="I102" s="377">
        <v>592.9</v>
      </c>
      <c r="J102" s="377">
        <v>20</v>
      </c>
      <c r="K102" s="378">
        <v>11858</v>
      </c>
    </row>
    <row r="103" spans="1:11" ht="14.4" customHeight="1" x14ac:dyDescent="0.3">
      <c r="A103" s="373" t="s">
        <v>442</v>
      </c>
      <c r="B103" s="374" t="s">
        <v>443</v>
      </c>
      <c r="C103" s="375" t="s">
        <v>447</v>
      </c>
      <c r="D103" s="376" t="s">
        <v>480</v>
      </c>
      <c r="E103" s="375" t="s">
        <v>708</v>
      </c>
      <c r="F103" s="376" t="s">
        <v>709</v>
      </c>
      <c r="G103" s="375" t="s">
        <v>678</v>
      </c>
      <c r="H103" s="375" t="s">
        <v>679</v>
      </c>
      <c r="I103" s="377">
        <v>30.25</v>
      </c>
      <c r="J103" s="377">
        <v>10</v>
      </c>
      <c r="K103" s="378">
        <v>302.5</v>
      </c>
    </row>
    <row r="104" spans="1:11" ht="14.4" customHeight="1" x14ac:dyDescent="0.3">
      <c r="A104" s="373" t="s">
        <v>442</v>
      </c>
      <c r="B104" s="374" t="s">
        <v>443</v>
      </c>
      <c r="C104" s="375" t="s">
        <v>447</v>
      </c>
      <c r="D104" s="376" t="s">
        <v>480</v>
      </c>
      <c r="E104" s="375" t="s">
        <v>708</v>
      </c>
      <c r="F104" s="376" t="s">
        <v>709</v>
      </c>
      <c r="G104" s="375" t="s">
        <v>680</v>
      </c>
      <c r="H104" s="375" t="s">
        <v>681</v>
      </c>
      <c r="I104" s="377">
        <v>30.25</v>
      </c>
      <c r="J104" s="377">
        <v>10</v>
      </c>
      <c r="K104" s="378">
        <v>302.5</v>
      </c>
    </row>
    <row r="105" spans="1:11" ht="14.4" customHeight="1" x14ac:dyDescent="0.3">
      <c r="A105" s="373" t="s">
        <v>442</v>
      </c>
      <c r="B105" s="374" t="s">
        <v>443</v>
      </c>
      <c r="C105" s="375" t="s">
        <v>447</v>
      </c>
      <c r="D105" s="376" t="s">
        <v>480</v>
      </c>
      <c r="E105" s="375" t="s">
        <v>708</v>
      </c>
      <c r="F105" s="376" t="s">
        <v>709</v>
      </c>
      <c r="G105" s="375" t="s">
        <v>682</v>
      </c>
      <c r="H105" s="375" t="s">
        <v>683</v>
      </c>
      <c r="I105" s="377">
        <v>10822.3</v>
      </c>
      <c r="J105" s="377">
        <v>1</v>
      </c>
      <c r="K105" s="378">
        <v>10822.3</v>
      </c>
    </row>
    <row r="106" spans="1:11" ht="14.4" customHeight="1" x14ac:dyDescent="0.3">
      <c r="A106" s="373" t="s">
        <v>442</v>
      </c>
      <c r="B106" s="374" t="s">
        <v>443</v>
      </c>
      <c r="C106" s="375" t="s">
        <v>447</v>
      </c>
      <c r="D106" s="376" t="s">
        <v>480</v>
      </c>
      <c r="E106" s="375" t="s">
        <v>708</v>
      </c>
      <c r="F106" s="376" t="s">
        <v>709</v>
      </c>
      <c r="G106" s="375" t="s">
        <v>684</v>
      </c>
      <c r="H106" s="375" t="s">
        <v>685</v>
      </c>
      <c r="I106" s="377">
        <v>107.69</v>
      </c>
      <c r="J106" s="377">
        <v>1</v>
      </c>
      <c r="K106" s="378">
        <v>107.69</v>
      </c>
    </row>
    <row r="107" spans="1:11" ht="14.4" customHeight="1" x14ac:dyDescent="0.3">
      <c r="A107" s="373" t="s">
        <v>442</v>
      </c>
      <c r="B107" s="374" t="s">
        <v>443</v>
      </c>
      <c r="C107" s="375" t="s">
        <v>447</v>
      </c>
      <c r="D107" s="376" t="s">
        <v>480</v>
      </c>
      <c r="E107" s="375" t="s">
        <v>708</v>
      </c>
      <c r="F107" s="376" t="s">
        <v>709</v>
      </c>
      <c r="G107" s="375" t="s">
        <v>686</v>
      </c>
      <c r="H107" s="375" t="s">
        <v>687</v>
      </c>
      <c r="I107" s="377">
        <v>1936</v>
      </c>
      <c r="J107" s="377">
        <v>1</v>
      </c>
      <c r="K107" s="378">
        <v>1936</v>
      </c>
    </row>
    <row r="108" spans="1:11" ht="14.4" customHeight="1" x14ac:dyDescent="0.3">
      <c r="A108" s="373" t="s">
        <v>442</v>
      </c>
      <c r="B108" s="374" t="s">
        <v>443</v>
      </c>
      <c r="C108" s="375" t="s">
        <v>447</v>
      </c>
      <c r="D108" s="376" t="s">
        <v>480</v>
      </c>
      <c r="E108" s="375" t="s">
        <v>708</v>
      </c>
      <c r="F108" s="376" t="s">
        <v>709</v>
      </c>
      <c r="G108" s="375" t="s">
        <v>688</v>
      </c>
      <c r="H108" s="375" t="s">
        <v>689</v>
      </c>
      <c r="I108" s="377">
        <v>246.84</v>
      </c>
      <c r="J108" s="377">
        <v>1</v>
      </c>
      <c r="K108" s="378">
        <v>246.84</v>
      </c>
    </row>
    <row r="109" spans="1:11" ht="14.4" customHeight="1" x14ac:dyDescent="0.3">
      <c r="A109" s="373" t="s">
        <v>442</v>
      </c>
      <c r="B109" s="374" t="s">
        <v>443</v>
      </c>
      <c r="C109" s="375" t="s">
        <v>447</v>
      </c>
      <c r="D109" s="376" t="s">
        <v>480</v>
      </c>
      <c r="E109" s="375" t="s">
        <v>708</v>
      </c>
      <c r="F109" s="376" t="s">
        <v>709</v>
      </c>
      <c r="G109" s="375" t="s">
        <v>690</v>
      </c>
      <c r="H109" s="375" t="s">
        <v>691</v>
      </c>
      <c r="I109" s="377">
        <v>83.49</v>
      </c>
      <c r="J109" s="377">
        <v>4</v>
      </c>
      <c r="K109" s="378">
        <v>333.96</v>
      </c>
    </row>
    <row r="110" spans="1:11" ht="14.4" customHeight="1" x14ac:dyDescent="0.3">
      <c r="A110" s="373" t="s">
        <v>442</v>
      </c>
      <c r="B110" s="374" t="s">
        <v>443</v>
      </c>
      <c r="C110" s="375" t="s">
        <v>447</v>
      </c>
      <c r="D110" s="376" t="s">
        <v>480</v>
      </c>
      <c r="E110" s="375" t="s">
        <v>708</v>
      </c>
      <c r="F110" s="376" t="s">
        <v>709</v>
      </c>
      <c r="G110" s="375" t="s">
        <v>692</v>
      </c>
      <c r="H110" s="375" t="s">
        <v>693</v>
      </c>
      <c r="I110" s="377">
        <v>2341.35</v>
      </c>
      <c r="J110" s="377">
        <v>1</v>
      </c>
      <c r="K110" s="378">
        <v>2341.35</v>
      </c>
    </row>
    <row r="111" spans="1:11" ht="14.4" customHeight="1" x14ac:dyDescent="0.3">
      <c r="A111" s="373" t="s">
        <v>442</v>
      </c>
      <c r="B111" s="374" t="s">
        <v>443</v>
      </c>
      <c r="C111" s="375" t="s">
        <v>447</v>
      </c>
      <c r="D111" s="376" t="s">
        <v>480</v>
      </c>
      <c r="E111" s="375" t="s">
        <v>708</v>
      </c>
      <c r="F111" s="376" t="s">
        <v>709</v>
      </c>
      <c r="G111" s="375" t="s">
        <v>694</v>
      </c>
      <c r="H111" s="375" t="s">
        <v>695</v>
      </c>
      <c r="I111" s="377">
        <v>811.7</v>
      </c>
      <c r="J111" s="377">
        <v>2</v>
      </c>
      <c r="K111" s="378">
        <v>1623.4</v>
      </c>
    </row>
    <row r="112" spans="1:11" ht="14.4" customHeight="1" thickBot="1" x14ac:dyDescent="0.35">
      <c r="A112" s="379" t="s">
        <v>442</v>
      </c>
      <c r="B112" s="380" t="s">
        <v>443</v>
      </c>
      <c r="C112" s="381" t="s">
        <v>447</v>
      </c>
      <c r="D112" s="382" t="s">
        <v>480</v>
      </c>
      <c r="E112" s="381" t="s">
        <v>708</v>
      </c>
      <c r="F112" s="382" t="s">
        <v>709</v>
      </c>
      <c r="G112" s="381" t="s">
        <v>696</v>
      </c>
      <c r="H112" s="381" t="s">
        <v>697</v>
      </c>
      <c r="I112" s="383">
        <v>536.03</v>
      </c>
      <c r="J112" s="383">
        <v>5</v>
      </c>
      <c r="K112" s="384">
        <v>2680.1499999999996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4" width="13.109375" customWidth="1"/>
    <col min="5" max="8" width="13.109375" hidden="1" customWidth="1"/>
    <col min="9" max="9" width="13.109375" customWidth="1"/>
    <col min="10" max="20" width="13.109375" hidden="1" customWidth="1"/>
    <col min="21" max="21" width="13.109375" customWidth="1"/>
    <col min="22" max="27" width="13.109375" hidden="1" customWidth="1"/>
    <col min="28" max="29" width="13.109375" customWidth="1"/>
    <col min="30" max="32" width="13.109375" hidden="1" customWidth="1"/>
    <col min="33" max="34" width="13.109375" customWidth="1"/>
  </cols>
  <sheetData>
    <row r="1" spans="1:35" ht="18.600000000000001" thickBot="1" x14ac:dyDescent="0.4">
      <c r="A1" s="309" t="s">
        <v>93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  <c r="V1" s="303"/>
      <c r="W1" s="303"/>
      <c r="X1" s="303"/>
      <c r="Y1" s="303"/>
      <c r="Z1" s="303"/>
      <c r="AA1" s="303"/>
      <c r="AB1" s="303"/>
      <c r="AC1" s="303"/>
      <c r="AD1" s="303"/>
      <c r="AE1" s="303"/>
      <c r="AF1" s="303"/>
      <c r="AG1" s="303"/>
      <c r="AH1" s="303"/>
    </row>
    <row r="2" spans="1:35" ht="15" thickBot="1" x14ac:dyDescent="0.35">
      <c r="A2" s="202" t="s">
        <v>233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3"/>
      <c r="AC2" s="203"/>
      <c r="AD2" s="203"/>
      <c r="AE2" s="203"/>
      <c r="AF2" s="203"/>
      <c r="AG2" s="203"/>
      <c r="AH2" s="203"/>
    </row>
    <row r="3" spans="1:35" x14ac:dyDescent="0.3">
      <c r="A3" s="221" t="s">
        <v>193</v>
      </c>
      <c r="B3" s="310" t="s">
        <v>173</v>
      </c>
      <c r="C3" s="204">
        <v>0</v>
      </c>
      <c r="D3" s="205">
        <v>101</v>
      </c>
      <c r="E3" s="205">
        <v>102</v>
      </c>
      <c r="F3" s="224">
        <v>305</v>
      </c>
      <c r="G3" s="224">
        <v>306</v>
      </c>
      <c r="H3" s="224">
        <v>408</v>
      </c>
      <c r="I3" s="224">
        <v>409</v>
      </c>
      <c r="J3" s="224">
        <v>410</v>
      </c>
      <c r="K3" s="224">
        <v>415</v>
      </c>
      <c r="L3" s="224">
        <v>416</v>
      </c>
      <c r="M3" s="224">
        <v>418</v>
      </c>
      <c r="N3" s="224">
        <v>419</v>
      </c>
      <c r="O3" s="224">
        <v>420</v>
      </c>
      <c r="P3" s="224">
        <v>421</v>
      </c>
      <c r="Q3" s="224">
        <v>522</v>
      </c>
      <c r="R3" s="224">
        <v>523</v>
      </c>
      <c r="S3" s="224">
        <v>524</v>
      </c>
      <c r="T3" s="224">
        <v>525</v>
      </c>
      <c r="U3" s="224">
        <v>526</v>
      </c>
      <c r="V3" s="224">
        <v>527</v>
      </c>
      <c r="W3" s="224">
        <v>528</v>
      </c>
      <c r="X3" s="224">
        <v>629</v>
      </c>
      <c r="Y3" s="224">
        <v>630</v>
      </c>
      <c r="Z3" s="224">
        <v>636</v>
      </c>
      <c r="AA3" s="224">
        <v>637</v>
      </c>
      <c r="AB3" s="224">
        <v>640</v>
      </c>
      <c r="AC3" s="224">
        <v>642</v>
      </c>
      <c r="AD3" s="224">
        <v>743</v>
      </c>
      <c r="AE3" s="205">
        <v>745</v>
      </c>
      <c r="AF3" s="205">
        <v>746</v>
      </c>
      <c r="AG3" s="205">
        <v>930</v>
      </c>
      <c r="AH3" s="394">
        <v>940</v>
      </c>
      <c r="AI3" s="410"/>
    </row>
    <row r="4" spans="1:35" ht="36.6" outlineLevel="1" thickBot="1" x14ac:dyDescent="0.35">
      <c r="A4" s="222">
        <v>2014</v>
      </c>
      <c r="B4" s="311"/>
      <c r="C4" s="206" t="s">
        <v>174</v>
      </c>
      <c r="D4" s="207" t="s">
        <v>175</v>
      </c>
      <c r="E4" s="207" t="s">
        <v>176</v>
      </c>
      <c r="F4" s="225" t="s">
        <v>205</v>
      </c>
      <c r="G4" s="225" t="s">
        <v>206</v>
      </c>
      <c r="H4" s="225" t="s">
        <v>207</v>
      </c>
      <c r="I4" s="225" t="s">
        <v>208</v>
      </c>
      <c r="J4" s="225" t="s">
        <v>209</v>
      </c>
      <c r="K4" s="225" t="s">
        <v>210</v>
      </c>
      <c r="L4" s="225" t="s">
        <v>211</v>
      </c>
      <c r="M4" s="225" t="s">
        <v>212</v>
      </c>
      <c r="N4" s="225" t="s">
        <v>213</v>
      </c>
      <c r="O4" s="225" t="s">
        <v>214</v>
      </c>
      <c r="P4" s="225" t="s">
        <v>215</v>
      </c>
      <c r="Q4" s="225" t="s">
        <v>216</v>
      </c>
      <c r="R4" s="225" t="s">
        <v>217</v>
      </c>
      <c r="S4" s="225" t="s">
        <v>218</v>
      </c>
      <c r="T4" s="225" t="s">
        <v>219</v>
      </c>
      <c r="U4" s="225" t="s">
        <v>220</v>
      </c>
      <c r="V4" s="225" t="s">
        <v>221</v>
      </c>
      <c r="W4" s="225" t="s">
        <v>230</v>
      </c>
      <c r="X4" s="225" t="s">
        <v>222</v>
      </c>
      <c r="Y4" s="225" t="s">
        <v>231</v>
      </c>
      <c r="Z4" s="225" t="s">
        <v>223</v>
      </c>
      <c r="AA4" s="225" t="s">
        <v>224</v>
      </c>
      <c r="AB4" s="225" t="s">
        <v>225</v>
      </c>
      <c r="AC4" s="225" t="s">
        <v>226</v>
      </c>
      <c r="AD4" s="225" t="s">
        <v>227</v>
      </c>
      <c r="AE4" s="207" t="s">
        <v>228</v>
      </c>
      <c r="AF4" s="207" t="s">
        <v>229</v>
      </c>
      <c r="AG4" s="207" t="s">
        <v>195</v>
      </c>
      <c r="AH4" s="395" t="s">
        <v>177</v>
      </c>
      <c r="AI4" s="410"/>
    </row>
    <row r="5" spans="1:35" x14ac:dyDescent="0.3">
      <c r="A5" s="208" t="s">
        <v>178</v>
      </c>
      <c r="B5" s="244"/>
      <c r="C5" s="245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396"/>
      <c r="AI5" s="410"/>
    </row>
    <row r="6" spans="1:35" ht="15" collapsed="1" thickBot="1" x14ac:dyDescent="0.35">
      <c r="A6" s="209" t="s">
        <v>59</v>
      </c>
      <c r="B6" s="247">
        <f xml:space="preserve">
TRUNC(IF($A$4&lt;=12,SUMIFS('ON Data'!F:F,'ON Data'!$D:$D,$A$4,'ON Data'!$E:$E,1),SUMIFS('ON Data'!F:F,'ON Data'!$E:$E,1)/'ON Data'!$D$3),1)</f>
        <v>28.4</v>
      </c>
      <c r="C6" s="248">
        <f xml:space="preserve">
TRUNC(IF($A$4&lt;=12,SUMIFS('ON Data'!G:G,'ON Data'!$D:$D,$A$4,'ON Data'!$E:$E,1),SUMIFS('ON Data'!G:G,'ON Data'!$E:$E,1)/'ON Data'!$D$3),1)</f>
        <v>0</v>
      </c>
      <c r="D6" s="249">
        <f xml:space="preserve">
TRUNC(IF($A$4&lt;=12,SUMIFS('ON Data'!H:H,'ON Data'!$D:$D,$A$4,'ON Data'!$E:$E,1),SUMIFS('ON Data'!H:H,'ON Data'!$E:$E,1)/'ON Data'!$D$3),1)</f>
        <v>6.6</v>
      </c>
      <c r="E6" s="249">
        <f xml:space="preserve">
TRUNC(IF($A$4&lt;=12,SUMIFS('ON Data'!I:I,'ON Data'!$D:$D,$A$4,'ON Data'!$E:$E,1),SUMIFS('ON Data'!I:I,'ON Data'!$E:$E,1)/'ON Data'!$D$3),1)</f>
        <v>0</v>
      </c>
      <c r="F6" s="249">
        <f xml:space="preserve">
TRUNC(IF($A$4&lt;=12,SUMIFS('ON Data'!K:K,'ON Data'!$D:$D,$A$4,'ON Data'!$E:$E,1),SUMIFS('ON Data'!K:K,'ON Data'!$E:$E,1)/'ON Data'!$D$3),1)</f>
        <v>0</v>
      </c>
      <c r="G6" s="249">
        <f xml:space="preserve">
TRUNC(IF($A$4&lt;=12,SUMIFS('ON Data'!L:L,'ON Data'!$D:$D,$A$4,'ON Data'!$E:$E,1),SUMIFS('ON Data'!L:L,'ON Data'!$E:$E,1)/'ON Data'!$D$3),1)</f>
        <v>0</v>
      </c>
      <c r="H6" s="249">
        <f xml:space="preserve">
TRUNC(IF($A$4&lt;=12,SUMIFS('ON Data'!M:M,'ON Data'!$D:$D,$A$4,'ON Data'!$E:$E,1),SUMIFS('ON Data'!M:M,'ON Data'!$E:$E,1)/'ON Data'!$D$3),1)</f>
        <v>0</v>
      </c>
      <c r="I6" s="249">
        <f xml:space="preserve">
TRUNC(IF($A$4&lt;=12,SUMIFS('ON Data'!N:N,'ON Data'!$D:$D,$A$4,'ON Data'!$E:$E,1),SUMIFS('ON Data'!N:N,'ON Data'!$E:$E,1)/'ON Data'!$D$3),1)</f>
        <v>9</v>
      </c>
      <c r="J6" s="249">
        <f xml:space="preserve">
TRUNC(IF($A$4&lt;=12,SUMIFS('ON Data'!O:O,'ON Data'!$D:$D,$A$4,'ON Data'!$E:$E,1),SUMIFS('ON Data'!O:O,'ON Data'!$E:$E,1)/'ON Data'!$D$3),1)</f>
        <v>0</v>
      </c>
      <c r="K6" s="249">
        <f xml:space="preserve">
TRUNC(IF($A$4&lt;=12,SUMIFS('ON Data'!P:P,'ON Data'!$D:$D,$A$4,'ON Data'!$E:$E,1),SUMIFS('ON Data'!P:P,'ON Data'!$E:$E,1)/'ON Data'!$D$3),1)</f>
        <v>0</v>
      </c>
      <c r="L6" s="249">
        <f xml:space="preserve">
TRUNC(IF($A$4&lt;=12,SUMIFS('ON Data'!Q:Q,'ON Data'!$D:$D,$A$4,'ON Data'!$E:$E,1),SUMIFS('ON Data'!Q:Q,'ON Data'!$E:$E,1)/'ON Data'!$D$3),1)</f>
        <v>0</v>
      </c>
      <c r="M6" s="249">
        <f xml:space="preserve">
TRUNC(IF($A$4&lt;=12,SUMIFS('ON Data'!R:R,'ON Data'!$D:$D,$A$4,'ON Data'!$E:$E,1),SUMIFS('ON Data'!R:R,'ON Data'!$E:$E,1)/'ON Data'!$D$3),1)</f>
        <v>0</v>
      </c>
      <c r="N6" s="249">
        <f xml:space="preserve">
TRUNC(IF($A$4&lt;=12,SUMIFS('ON Data'!S:S,'ON Data'!$D:$D,$A$4,'ON Data'!$E:$E,1),SUMIFS('ON Data'!S:S,'ON Data'!$E:$E,1)/'ON Data'!$D$3),1)</f>
        <v>0</v>
      </c>
      <c r="O6" s="249">
        <f xml:space="preserve">
TRUNC(IF($A$4&lt;=12,SUMIFS('ON Data'!T:T,'ON Data'!$D:$D,$A$4,'ON Data'!$E:$E,1),SUMIFS('ON Data'!T:T,'ON Data'!$E:$E,1)/'ON Data'!$D$3),1)</f>
        <v>0</v>
      </c>
      <c r="P6" s="249">
        <f xml:space="preserve">
TRUNC(IF($A$4&lt;=12,SUMIFS('ON Data'!U:U,'ON Data'!$D:$D,$A$4,'ON Data'!$E:$E,1),SUMIFS('ON Data'!U:U,'ON Data'!$E:$E,1)/'ON Data'!$D$3),1)</f>
        <v>0</v>
      </c>
      <c r="Q6" s="249">
        <f xml:space="preserve">
TRUNC(IF($A$4&lt;=12,SUMIFS('ON Data'!V:V,'ON Data'!$D:$D,$A$4,'ON Data'!$E:$E,1),SUMIFS('ON Data'!V:V,'ON Data'!$E:$E,1)/'ON Data'!$D$3),1)</f>
        <v>0</v>
      </c>
      <c r="R6" s="249">
        <f xml:space="preserve">
TRUNC(IF($A$4&lt;=12,SUMIFS('ON Data'!W:W,'ON Data'!$D:$D,$A$4,'ON Data'!$E:$E,1),SUMIFS('ON Data'!W:W,'ON Data'!$E:$E,1)/'ON Data'!$D$3),1)</f>
        <v>0</v>
      </c>
      <c r="S6" s="249">
        <f xml:space="preserve">
TRUNC(IF($A$4&lt;=12,SUMIFS('ON Data'!X:X,'ON Data'!$D:$D,$A$4,'ON Data'!$E:$E,1),SUMIFS('ON Data'!X:X,'ON Data'!$E:$E,1)/'ON Data'!$D$3),1)</f>
        <v>0</v>
      </c>
      <c r="T6" s="249">
        <f xml:space="preserve">
TRUNC(IF($A$4&lt;=12,SUMIFS('ON Data'!Y:Y,'ON Data'!$D:$D,$A$4,'ON Data'!$E:$E,1),SUMIFS('ON Data'!Y:Y,'ON Data'!$E:$E,1)/'ON Data'!$D$3),1)</f>
        <v>0</v>
      </c>
      <c r="U6" s="249">
        <f xml:space="preserve">
TRUNC(IF($A$4&lt;=12,SUMIFS('ON Data'!Z:Z,'ON Data'!$D:$D,$A$4,'ON Data'!$E:$E,1),SUMIFS('ON Data'!Z:Z,'ON Data'!$E:$E,1)/'ON Data'!$D$3),1)</f>
        <v>4</v>
      </c>
      <c r="V6" s="249">
        <f xml:space="preserve">
TRUNC(IF($A$4&lt;=12,SUMIFS('ON Data'!AA:AA,'ON Data'!$D:$D,$A$4,'ON Data'!$E:$E,1),SUMIFS('ON Data'!AA:AA,'ON Data'!$E:$E,1)/'ON Data'!$D$3),1)</f>
        <v>0</v>
      </c>
      <c r="W6" s="249">
        <f xml:space="preserve">
TRUNC(IF($A$4&lt;=12,SUMIFS('ON Data'!AB:AB,'ON Data'!$D:$D,$A$4,'ON Data'!$E:$E,1),SUMIFS('ON Data'!AB:AB,'ON Data'!$E:$E,1)/'ON Data'!$D$3),1)</f>
        <v>0</v>
      </c>
      <c r="X6" s="249">
        <f xml:space="preserve">
TRUNC(IF($A$4&lt;=12,SUMIFS('ON Data'!AC:AC,'ON Data'!$D:$D,$A$4,'ON Data'!$E:$E,1),SUMIFS('ON Data'!AC:AC,'ON Data'!$E:$E,1)/'ON Data'!$D$3),1)</f>
        <v>0</v>
      </c>
      <c r="Y6" s="249">
        <f xml:space="preserve">
TRUNC(IF($A$4&lt;=12,SUMIFS('ON Data'!AD:AD,'ON Data'!$D:$D,$A$4,'ON Data'!$E:$E,1),SUMIFS('ON Data'!AD:AD,'ON Data'!$E:$E,1)/'ON Data'!$D$3),1)</f>
        <v>0</v>
      </c>
      <c r="Z6" s="249">
        <f xml:space="preserve">
TRUNC(IF($A$4&lt;=12,SUMIFS('ON Data'!AE:AE,'ON Data'!$D:$D,$A$4,'ON Data'!$E:$E,1),SUMIFS('ON Data'!AE:AE,'ON Data'!$E:$E,1)/'ON Data'!$D$3),1)</f>
        <v>0</v>
      </c>
      <c r="AA6" s="249">
        <f xml:space="preserve">
TRUNC(IF($A$4&lt;=12,SUMIFS('ON Data'!AF:AF,'ON Data'!$D:$D,$A$4,'ON Data'!$E:$E,1),SUMIFS('ON Data'!AF:AF,'ON Data'!$E:$E,1)/'ON Data'!$D$3),1)</f>
        <v>0</v>
      </c>
      <c r="AB6" s="249">
        <f xml:space="preserve">
TRUNC(IF($A$4&lt;=12,SUMIFS('ON Data'!AG:AG,'ON Data'!$D:$D,$A$4,'ON Data'!$E:$E,1),SUMIFS('ON Data'!AG:AG,'ON Data'!$E:$E,1)/'ON Data'!$D$3),1)</f>
        <v>0</v>
      </c>
      <c r="AC6" s="249">
        <f xml:space="preserve">
TRUNC(IF($A$4&lt;=12,SUMIFS('ON Data'!AH:AH,'ON Data'!$D:$D,$A$4,'ON Data'!$E:$E,1),SUMIFS('ON Data'!AH:AH,'ON Data'!$E:$E,1)/'ON Data'!$D$3),1)</f>
        <v>5.8</v>
      </c>
      <c r="AD6" s="249">
        <f xml:space="preserve">
TRUNC(IF($A$4&lt;=12,SUMIFS('ON Data'!AI:AI,'ON Data'!$D:$D,$A$4,'ON Data'!$E:$E,1),SUMIFS('ON Data'!AI:AI,'ON Data'!$E:$E,1)/'ON Data'!$D$3),1)</f>
        <v>0</v>
      </c>
      <c r="AE6" s="249">
        <f xml:space="preserve">
TRUNC(IF($A$4&lt;=12,SUMIFS('ON Data'!AJ:AJ,'ON Data'!$D:$D,$A$4,'ON Data'!$E:$E,1),SUMIFS('ON Data'!AJ:AJ,'ON Data'!$E:$E,1)/'ON Data'!$D$3),1)</f>
        <v>0</v>
      </c>
      <c r="AF6" s="249">
        <f xml:space="preserve">
TRUNC(IF($A$4&lt;=12,SUMIFS('ON Data'!AK:AK,'ON Data'!$D:$D,$A$4,'ON Data'!$E:$E,1),SUMIFS('ON Data'!AK:AK,'ON Data'!$E:$E,1)/'ON Data'!$D$3),1)</f>
        <v>0</v>
      </c>
      <c r="AG6" s="249">
        <f xml:space="preserve">
TRUNC(IF($A$4&lt;=12,SUMIFS('ON Data'!AM:AM,'ON Data'!$D:$D,$A$4,'ON Data'!$E:$E,1),SUMIFS('ON Data'!AM:AM,'ON Data'!$E:$E,1)/'ON Data'!$D$3),1)</f>
        <v>2.5</v>
      </c>
      <c r="AH6" s="397">
        <f xml:space="preserve">
TRUNC(IF($A$4&lt;=12,SUMIFS('ON Data'!AN:AN,'ON Data'!$D:$D,$A$4,'ON Data'!$E:$E,1),SUMIFS('ON Data'!AN:AN,'ON Data'!$E:$E,1)/'ON Data'!$D$3),1)</f>
        <v>0.5</v>
      </c>
      <c r="AI6" s="410"/>
    </row>
    <row r="7" spans="1:35" ht="15" hidden="1" outlineLevel="1" thickBot="1" x14ac:dyDescent="0.35">
      <c r="A7" s="209" t="s">
        <v>94</v>
      </c>
      <c r="B7" s="247"/>
      <c r="C7" s="250"/>
      <c r="D7" s="249"/>
      <c r="E7" s="249"/>
      <c r="F7" s="249"/>
      <c r="G7" s="249"/>
      <c r="H7" s="249"/>
      <c r="I7" s="249"/>
      <c r="J7" s="249"/>
      <c r="K7" s="249"/>
      <c r="L7" s="249"/>
      <c r="M7" s="249"/>
      <c r="N7" s="249"/>
      <c r="O7" s="249"/>
      <c r="P7" s="249"/>
      <c r="Q7" s="249"/>
      <c r="R7" s="249"/>
      <c r="S7" s="249"/>
      <c r="T7" s="249"/>
      <c r="U7" s="249"/>
      <c r="V7" s="249"/>
      <c r="W7" s="249"/>
      <c r="X7" s="249"/>
      <c r="Y7" s="249"/>
      <c r="Z7" s="249"/>
      <c r="AA7" s="249"/>
      <c r="AB7" s="249"/>
      <c r="AC7" s="249"/>
      <c r="AD7" s="249"/>
      <c r="AE7" s="249"/>
      <c r="AF7" s="249"/>
      <c r="AG7" s="249"/>
      <c r="AH7" s="397"/>
      <c r="AI7" s="410"/>
    </row>
    <row r="8" spans="1:35" ht="15" hidden="1" outlineLevel="1" thickBot="1" x14ac:dyDescent="0.35">
      <c r="A8" s="209" t="s">
        <v>61</v>
      </c>
      <c r="B8" s="247"/>
      <c r="C8" s="250"/>
      <c r="D8" s="249"/>
      <c r="E8" s="249"/>
      <c r="F8" s="249"/>
      <c r="G8" s="249"/>
      <c r="H8" s="249"/>
      <c r="I8" s="249"/>
      <c r="J8" s="249"/>
      <c r="K8" s="249"/>
      <c r="L8" s="249"/>
      <c r="M8" s="249"/>
      <c r="N8" s="249"/>
      <c r="O8" s="249"/>
      <c r="P8" s="249"/>
      <c r="Q8" s="249"/>
      <c r="R8" s="249"/>
      <c r="S8" s="249"/>
      <c r="T8" s="249"/>
      <c r="U8" s="249"/>
      <c r="V8" s="249"/>
      <c r="W8" s="249"/>
      <c r="X8" s="249"/>
      <c r="Y8" s="249"/>
      <c r="Z8" s="249"/>
      <c r="AA8" s="249"/>
      <c r="AB8" s="249"/>
      <c r="AC8" s="249"/>
      <c r="AD8" s="249"/>
      <c r="AE8" s="249"/>
      <c r="AF8" s="249"/>
      <c r="AG8" s="249"/>
      <c r="AH8" s="397"/>
      <c r="AI8" s="410"/>
    </row>
    <row r="9" spans="1:35" ht="15" hidden="1" outlineLevel="1" thickBot="1" x14ac:dyDescent="0.35">
      <c r="A9" s="210" t="s">
        <v>54</v>
      </c>
      <c r="B9" s="251"/>
      <c r="C9" s="252"/>
      <c r="D9" s="253"/>
      <c r="E9" s="253"/>
      <c r="F9" s="253"/>
      <c r="G9" s="253"/>
      <c r="H9" s="253"/>
      <c r="I9" s="253"/>
      <c r="J9" s="253"/>
      <c r="K9" s="253"/>
      <c r="L9" s="253"/>
      <c r="M9" s="253"/>
      <c r="N9" s="253"/>
      <c r="O9" s="253"/>
      <c r="P9" s="253"/>
      <c r="Q9" s="253"/>
      <c r="R9" s="253"/>
      <c r="S9" s="253"/>
      <c r="T9" s="253"/>
      <c r="U9" s="253"/>
      <c r="V9" s="253"/>
      <c r="W9" s="253"/>
      <c r="X9" s="253"/>
      <c r="Y9" s="253"/>
      <c r="Z9" s="253"/>
      <c r="AA9" s="253"/>
      <c r="AB9" s="253"/>
      <c r="AC9" s="253"/>
      <c r="AD9" s="253"/>
      <c r="AE9" s="253"/>
      <c r="AF9" s="253"/>
      <c r="AG9" s="253"/>
      <c r="AH9" s="398"/>
      <c r="AI9" s="410"/>
    </row>
    <row r="10" spans="1:35" x14ac:dyDescent="0.3">
      <c r="A10" s="211" t="s">
        <v>179</v>
      </c>
      <c r="B10" s="226"/>
      <c r="C10" s="227"/>
      <c r="D10" s="228"/>
      <c r="E10" s="228"/>
      <c r="F10" s="228"/>
      <c r="G10" s="228"/>
      <c r="H10" s="228"/>
      <c r="I10" s="228"/>
      <c r="J10" s="228"/>
      <c r="K10" s="228"/>
      <c r="L10" s="228"/>
      <c r="M10" s="228"/>
      <c r="N10" s="228"/>
      <c r="O10" s="228"/>
      <c r="P10" s="228"/>
      <c r="Q10" s="228"/>
      <c r="R10" s="228"/>
      <c r="S10" s="228"/>
      <c r="T10" s="228"/>
      <c r="U10" s="228"/>
      <c r="V10" s="228"/>
      <c r="W10" s="228"/>
      <c r="X10" s="228"/>
      <c r="Y10" s="228"/>
      <c r="Z10" s="228"/>
      <c r="AA10" s="228"/>
      <c r="AB10" s="228"/>
      <c r="AC10" s="228"/>
      <c r="AD10" s="228"/>
      <c r="AE10" s="228"/>
      <c r="AF10" s="228"/>
      <c r="AG10" s="228"/>
      <c r="AH10" s="399"/>
      <c r="AI10" s="410"/>
    </row>
    <row r="11" spans="1:35" x14ac:dyDescent="0.3">
      <c r="A11" s="212" t="s">
        <v>180</v>
      </c>
      <c r="B11" s="229">
        <f xml:space="preserve">
IF($A$4&lt;=12,SUMIFS('ON Data'!F:F,'ON Data'!$D:$D,$A$4,'ON Data'!$E:$E,2),SUMIFS('ON Data'!F:F,'ON Data'!$E:$E,2))</f>
        <v>21876.799999999999</v>
      </c>
      <c r="C11" s="230">
        <f xml:space="preserve">
IF($A$4&lt;=12,SUMIFS('ON Data'!G:G,'ON Data'!$D:$D,$A$4,'ON Data'!$E:$E,2),SUMIFS('ON Data'!G:G,'ON Data'!$E:$E,2))</f>
        <v>0</v>
      </c>
      <c r="D11" s="231">
        <f xml:space="preserve">
IF($A$4&lt;=12,SUMIFS('ON Data'!H:H,'ON Data'!$D:$D,$A$4,'ON Data'!$E:$E,2),SUMIFS('ON Data'!H:H,'ON Data'!$E:$E,2))</f>
        <v>5088</v>
      </c>
      <c r="E11" s="231">
        <f xml:space="preserve">
IF($A$4&lt;=12,SUMIFS('ON Data'!I:I,'ON Data'!$D:$D,$A$4,'ON Data'!$E:$E,2),SUMIFS('ON Data'!I:I,'ON Data'!$E:$E,2))</f>
        <v>0</v>
      </c>
      <c r="F11" s="231">
        <f xml:space="preserve">
IF($A$4&lt;=12,SUMIFS('ON Data'!K:K,'ON Data'!$D:$D,$A$4,'ON Data'!$E:$E,2),SUMIFS('ON Data'!K:K,'ON Data'!$E:$E,2))</f>
        <v>0</v>
      </c>
      <c r="G11" s="231">
        <f xml:space="preserve">
IF($A$4&lt;=12,SUMIFS('ON Data'!L:L,'ON Data'!$D:$D,$A$4,'ON Data'!$E:$E,2),SUMIFS('ON Data'!L:L,'ON Data'!$E:$E,2))</f>
        <v>0</v>
      </c>
      <c r="H11" s="231">
        <f xml:space="preserve">
IF($A$4&lt;=12,SUMIFS('ON Data'!M:M,'ON Data'!$D:$D,$A$4,'ON Data'!$E:$E,2),SUMIFS('ON Data'!M:M,'ON Data'!$E:$E,2))</f>
        <v>0</v>
      </c>
      <c r="I11" s="231">
        <f xml:space="preserve">
IF($A$4&lt;=12,SUMIFS('ON Data'!N:N,'ON Data'!$D:$D,$A$4,'ON Data'!$E:$E,2),SUMIFS('ON Data'!N:N,'ON Data'!$E:$E,2))</f>
        <v>6696</v>
      </c>
      <c r="J11" s="231">
        <f xml:space="preserve">
IF($A$4&lt;=12,SUMIFS('ON Data'!O:O,'ON Data'!$D:$D,$A$4,'ON Data'!$E:$E,2),SUMIFS('ON Data'!O:O,'ON Data'!$E:$E,2))</f>
        <v>0</v>
      </c>
      <c r="K11" s="231">
        <f xml:space="preserve">
IF($A$4&lt;=12,SUMIFS('ON Data'!P:P,'ON Data'!$D:$D,$A$4,'ON Data'!$E:$E,2),SUMIFS('ON Data'!P:P,'ON Data'!$E:$E,2))</f>
        <v>0</v>
      </c>
      <c r="L11" s="231">
        <f xml:space="preserve">
IF($A$4&lt;=12,SUMIFS('ON Data'!Q:Q,'ON Data'!$D:$D,$A$4,'ON Data'!$E:$E,2),SUMIFS('ON Data'!Q:Q,'ON Data'!$E:$E,2))</f>
        <v>0</v>
      </c>
      <c r="M11" s="231">
        <f xml:space="preserve">
IF($A$4&lt;=12,SUMIFS('ON Data'!R:R,'ON Data'!$D:$D,$A$4,'ON Data'!$E:$E,2),SUMIFS('ON Data'!R:R,'ON Data'!$E:$E,2))</f>
        <v>0</v>
      </c>
      <c r="N11" s="231">
        <f xml:space="preserve">
IF($A$4&lt;=12,SUMIFS('ON Data'!S:S,'ON Data'!$D:$D,$A$4,'ON Data'!$E:$E,2),SUMIFS('ON Data'!S:S,'ON Data'!$E:$E,2))</f>
        <v>0</v>
      </c>
      <c r="O11" s="231">
        <f xml:space="preserve">
IF($A$4&lt;=12,SUMIFS('ON Data'!T:T,'ON Data'!$D:$D,$A$4,'ON Data'!$E:$E,2),SUMIFS('ON Data'!T:T,'ON Data'!$E:$E,2))</f>
        <v>0</v>
      </c>
      <c r="P11" s="231">
        <f xml:space="preserve">
IF($A$4&lt;=12,SUMIFS('ON Data'!U:U,'ON Data'!$D:$D,$A$4,'ON Data'!$E:$E,2),SUMIFS('ON Data'!U:U,'ON Data'!$E:$E,2))</f>
        <v>0</v>
      </c>
      <c r="Q11" s="231">
        <f xml:space="preserve">
IF($A$4&lt;=12,SUMIFS('ON Data'!V:V,'ON Data'!$D:$D,$A$4,'ON Data'!$E:$E,2),SUMIFS('ON Data'!V:V,'ON Data'!$E:$E,2))</f>
        <v>0</v>
      </c>
      <c r="R11" s="231">
        <f xml:space="preserve">
IF($A$4&lt;=12,SUMIFS('ON Data'!W:W,'ON Data'!$D:$D,$A$4,'ON Data'!$E:$E,2),SUMIFS('ON Data'!W:W,'ON Data'!$E:$E,2))</f>
        <v>0</v>
      </c>
      <c r="S11" s="231">
        <f xml:space="preserve">
IF($A$4&lt;=12,SUMIFS('ON Data'!X:X,'ON Data'!$D:$D,$A$4,'ON Data'!$E:$E,2),SUMIFS('ON Data'!X:X,'ON Data'!$E:$E,2))</f>
        <v>0</v>
      </c>
      <c r="T11" s="231">
        <f xml:space="preserve">
IF($A$4&lt;=12,SUMIFS('ON Data'!Y:Y,'ON Data'!$D:$D,$A$4,'ON Data'!$E:$E,2),SUMIFS('ON Data'!Y:Y,'ON Data'!$E:$E,2))</f>
        <v>0</v>
      </c>
      <c r="U11" s="231">
        <f xml:space="preserve">
IF($A$4&lt;=12,SUMIFS('ON Data'!Z:Z,'ON Data'!$D:$D,$A$4,'ON Data'!$E:$E,2),SUMIFS('ON Data'!Z:Z,'ON Data'!$E:$E,2))</f>
        <v>3116.8</v>
      </c>
      <c r="V11" s="231">
        <f xml:space="preserve">
IF($A$4&lt;=12,SUMIFS('ON Data'!AA:AA,'ON Data'!$D:$D,$A$4,'ON Data'!$E:$E,2),SUMIFS('ON Data'!AA:AA,'ON Data'!$E:$E,2))</f>
        <v>0</v>
      </c>
      <c r="W11" s="231">
        <f xml:space="preserve">
IF($A$4&lt;=12,SUMIFS('ON Data'!AB:AB,'ON Data'!$D:$D,$A$4,'ON Data'!$E:$E,2),SUMIFS('ON Data'!AB:AB,'ON Data'!$E:$E,2))</f>
        <v>0</v>
      </c>
      <c r="X11" s="231">
        <f xml:space="preserve">
IF($A$4&lt;=12,SUMIFS('ON Data'!AC:AC,'ON Data'!$D:$D,$A$4,'ON Data'!$E:$E,2),SUMIFS('ON Data'!AC:AC,'ON Data'!$E:$E,2))</f>
        <v>0</v>
      </c>
      <c r="Y11" s="231">
        <f xml:space="preserve">
IF($A$4&lt;=12,SUMIFS('ON Data'!AD:AD,'ON Data'!$D:$D,$A$4,'ON Data'!$E:$E,2),SUMIFS('ON Data'!AD:AD,'ON Data'!$E:$E,2))</f>
        <v>0</v>
      </c>
      <c r="Z11" s="231">
        <f xml:space="preserve">
IF($A$4&lt;=12,SUMIFS('ON Data'!AE:AE,'ON Data'!$D:$D,$A$4,'ON Data'!$E:$E,2),SUMIFS('ON Data'!AE:AE,'ON Data'!$E:$E,2))</f>
        <v>0</v>
      </c>
      <c r="AA11" s="231">
        <f xml:space="preserve">
IF($A$4&lt;=12,SUMIFS('ON Data'!AF:AF,'ON Data'!$D:$D,$A$4,'ON Data'!$E:$E,2),SUMIFS('ON Data'!AF:AF,'ON Data'!$E:$E,2))</f>
        <v>0</v>
      </c>
      <c r="AB11" s="231">
        <f xml:space="preserve">
IF($A$4&lt;=12,SUMIFS('ON Data'!AG:AG,'ON Data'!$D:$D,$A$4,'ON Data'!$E:$E,2),SUMIFS('ON Data'!AG:AG,'ON Data'!$E:$E,2))</f>
        <v>0</v>
      </c>
      <c r="AC11" s="231">
        <f xml:space="preserve">
IF($A$4&lt;=12,SUMIFS('ON Data'!AH:AH,'ON Data'!$D:$D,$A$4,'ON Data'!$E:$E,2),SUMIFS('ON Data'!AH:AH,'ON Data'!$E:$E,2))</f>
        <v>4672</v>
      </c>
      <c r="AD11" s="231">
        <f xml:space="preserve">
IF($A$4&lt;=12,SUMIFS('ON Data'!AI:AI,'ON Data'!$D:$D,$A$4,'ON Data'!$E:$E,2),SUMIFS('ON Data'!AI:AI,'ON Data'!$E:$E,2))</f>
        <v>0</v>
      </c>
      <c r="AE11" s="231">
        <f xml:space="preserve">
IF($A$4&lt;=12,SUMIFS('ON Data'!AJ:AJ,'ON Data'!$D:$D,$A$4,'ON Data'!$E:$E,2),SUMIFS('ON Data'!AJ:AJ,'ON Data'!$E:$E,2))</f>
        <v>0</v>
      </c>
      <c r="AF11" s="231">
        <f xml:space="preserve">
IF($A$4&lt;=12,SUMIFS('ON Data'!AK:AK,'ON Data'!$D:$D,$A$4,'ON Data'!$E:$E,2),SUMIFS('ON Data'!AK:AK,'ON Data'!$E:$E,2))</f>
        <v>0</v>
      </c>
      <c r="AG11" s="231">
        <f xml:space="preserve">
IF($A$4&lt;=12,SUMIFS('ON Data'!AM:AM,'ON Data'!$D:$D,$A$4,'ON Data'!$E:$E,2),SUMIFS('ON Data'!AM:AM,'ON Data'!$E:$E,2))</f>
        <v>1920</v>
      </c>
      <c r="AH11" s="400">
        <f xml:space="preserve">
IF($A$4&lt;=12,SUMIFS('ON Data'!AN:AN,'ON Data'!$D:$D,$A$4,'ON Data'!$E:$E,2),SUMIFS('ON Data'!AN:AN,'ON Data'!$E:$E,2))</f>
        <v>384</v>
      </c>
      <c r="AI11" s="410"/>
    </row>
    <row r="12" spans="1:35" x14ac:dyDescent="0.3">
      <c r="A12" s="212" t="s">
        <v>181</v>
      </c>
      <c r="B12" s="229">
        <f xml:space="preserve">
IF($A$4&lt;=12,SUMIFS('ON Data'!F:F,'ON Data'!$D:$D,$A$4,'ON Data'!$E:$E,3),SUMIFS('ON Data'!F:F,'ON Data'!$E:$E,3))</f>
        <v>153</v>
      </c>
      <c r="C12" s="230">
        <f xml:space="preserve">
IF($A$4&lt;=12,SUMIFS('ON Data'!G:G,'ON Data'!$D:$D,$A$4,'ON Data'!$E:$E,3),SUMIFS('ON Data'!G:G,'ON Data'!$E:$E,3))</f>
        <v>0</v>
      </c>
      <c r="D12" s="231">
        <f xml:space="preserve">
IF($A$4&lt;=12,SUMIFS('ON Data'!H:H,'ON Data'!$D:$D,$A$4,'ON Data'!$E:$E,3),SUMIFS('ON Data'!H:H,'ON Data'!$E:$E,3))</f>
        <v>0</v>
      </c>
      <c r="E12" s="231">
        <f xml:space="preserve">
IF($A$4&lt;=12,SUMIFS('ON Data'!I:I,'ON Data'!$D:$D,$A$4,'ON Data'!$E:$E,3),SUMIFS('ON Data'!I:I,'ON Data'!$E:$E,3))</f>
        <v>0</v>
      </c>
      <c r="F12" s="231">
        <f xml:space="preserve">
IF($A$4&lt;=12,SUMIFS('ON Data'!K:K,'ON Data'!$D:$D,$A$4,'ON Data'!$E:$E,3),SUMIFS('ON Data'!K:K,'ON Data'!$E:$E,3))</f>
        <v>0</v>
      </c>
      <c r="G12" s="231">
        <f xml:space="preserve">
IF($A$4&lt;=12,SUMIFS('ON Data'!L:L,'ON Data'!$D:$D,$A$4,'ON Data'!$E:$E,3),SUMIFS('ON Data'!L:L,'ON Data'!$E:$E,3))</f>
        <v>0</v>
      </c>
      <c r="H12" s="231">
        <f xml:space="preserve">
IF($A$4&lt;=12,SUMIFS('ON Data'!M:M,'ON Data'!$D:$D,$A$4,'ON Data'!$E:$E,3),SUMIFS('ON Data'!M:M,'ON Data'!$E:$E,3))</f>
        <v>0</v>
      </c>
      <c r="I12" s="231">
        <f xml:space="preserve">
IF($A$4&lt;=12,SUMIFS('ON Data'!N:N,'ON Data'!$D:$D,$A$4,'ON Data'!$E:$E,3),SUMIFS('ON Data'!N:N,'ON Data'!$E:$E,3))</f>
        <v>0</v>
      </c>
      <c r="J12" s="231">
        <f xml:space="preserve">
IF($A$4&lt;=12,SUMIFS('ON Data'!O:O,'ON Data'!$D:$D,$A$4,'ON Data'!$E:$E,3),SUMIFS('ON Data'!O:O,'ON Data'!$E:$E,3))</f>
        <v>0</v>
      </c>
      <c r="K12" s="231">
        <f xml:space="preserve">
IF($A$4&lt;=12,SUMIFS('ON Data'!P:P,'ON Data'!$D:$D,$A$4,'ON Data'!$E:$E,3),SUMIFS('ON Data'!P:P,'ON Data'!$E:$E,3))</f>
        <v>0</v>
      </c>
      <c r="L12" s="231">
        <f xml:space="preserve">
IF($A$4&lt;=12,SUMIFS('ON Data'!Q:Q,'ON Data'!$D:$D,$A$4,'ON Data'!$E:$E,3),SUMIFS('ON Data'!Q:Q,'ON Data'!$E:$E,3))</f>
        <v>0</v>
      </c>
      <c r="M12" s="231">
        <f xml:space="preserve">
IF($A$4&lt;=12,SUMIFS('ON Data'!R:R,'ON Data'!$D:$D,$A$4,'ON Data'!$E:$E,3),SUMIFS('ON Data'!R:R,'ON Data'!$E:$E,3))</f>
        <v>0</v>
      </c>
      <c r="N12" s="231">
        <f xml:space="preserve">
IF($A$4&lt;=12,SUMIFS('ON Data'!S:S,'ON Data'!$D:$D,$A$4,'ON Data'!$E:$E,3),SUMIFS('ON Data'!S:S,'ON Data'!$E:$E,3))</f>
        <v>0</v>
      </c>
      <c r="O12" s="231">
        <f xml:space="preserve">
IF($A$4&lt;=12,SUMIFS('ON Data'!T:T,'ON Data'!$D:$D,$A$4,'ON Data'!$E:$E,3),SUMIFS('ON Data'!T:T,'ON Data'!$E:$E,3))</f>
        <v>0</v>
      </c>
      <c r="P12" s="231">
        <f xml:space="preserve">
IF($A$4&lt;=12,SUMIFS('ON Data'!U:U,'ON Data'!$D:$D,$A$4,'ON Data'!$E:$E,3),SUMIFS('ON Data'!U:U,'ON Data'!$E:$E,3))</f>
        <v>0</v>
      </c>
      <c r="Q12" s="231">
        <f xml:space="preserve">
IF($A$4&lt;=12,SUMIFS('ON Data'!V:V,'ON Data'!$D:$D,$A$4,'ON Data'!$E:$E,3),SUMIFS('ON Data'!V:V,'ON Data'!$E:$E,3))</f>
        <v>0</v>
      </c>
      <c r="R12" s="231">
        <f xml:space="preserve">
IF($A$4&lt;=12,SUMIFS('ON Data'!W:W,'ON Data'!$D:$D,$A$4,'ON Data'!$E:$E,3),SUMIFS('ON Data'!W:W,'ON Data'!$E:$E,3))</f>
        <v>0</v>
      </c>
      <c r="S12" s="231">
        <f xml:space="preserve">
IF($A$4&lt;=12,SUMIFS('ON Data'!X:X,'ON Data'!$D:$D,$A$4,'ON Data'!$E:$E,3),SUMIFS('ON Data'!X:X,'ON Data'!$E:$E,3))</f>
        <v>0</v>
      </c>
      <c r="T12" s="231">
        <f xml:space="preserve">
IF($A$4&lt;=12,SUMIFS('ON Data'!Y:Y,'ON Data'!$D:$D,$A$4,'ON Data'!$E:$E,3),SUMIFS('ON Data'!Y:Y,'ON Data'!$E:$E,3))</f>
        <v>0</v>
      </c>
      <c r="U12" s="231">
        <f xml:space="preserve">
IF($A$4&lt;=12,SUMIFS('ON Data'!Z:Z,'ON Data'!$D:$D,$A$4,'ON Data'!$E:$E,3),SUMIFS('ON Data'!Z:Z,'ON Data'!$E:$E,3))</f>
        <v>153</v>
      </c>
      <c r="V12" s="231">
        <f xml:space="preserve">
IF($A$4&lt;=12,SUMIFS('ON Data'!AA:AA,'ON Data'!$D:$D,$A$4,'ON Data'!$E:$E,3),SUMIFS('ON Data'!AA:AA,'ON Data'!$E:$E,3))</f>
        <v>0</v>
      </c>
      <c r="W12" s="231">
        <f xml:space="preserve">
IF($A$4&lt;=12,SUMIFS('ON Data'!AB:AB,'ON Data'!$D:$D,$A$4,'ON Data'!$E:$E,3),SUMIFS('ON Data'!AB:AB,'ON Data'!$E:$E,3))</f>
        <v>0</v>
      </c>
      <c r="X12" s="231">
        <f xml:space="preserve">
IF($A$4&lt;=12,SUMIFS('ON Data'!AC:AC,'ON Data'!$D:$D,$A$4,'ON Data'!$E:$E,3),SUMIFS('ON Data'!AC:AC,'ON Data'!$E:$E,3))</f>
        <v>0</v>
      </c>
      <c r="Y12" s="231">
        <f xml:space="preserve">
IF($A$4&lt;=12,SUMIFS('ON Data'!AD:AD,'ON Data'!$D:$D,$A$4,'ON Data'!$E:$E,3),SUMIFS('ON Data'!AD:AD,'ON Data'!$E:$E,3))</f>
        <v>0</v>
      </c>
      <c r="Z12" s="231">
        <f xml:space="preserve">
IF($A$4&lt;=12,SUMIFS('ON Data'!AE:AE,'ON Data'!$D:$D,$A$4,'ON Data'!$E:$E,3),SUMIFS('ON Data'!AE:AE,'ON Data'!$E:$E,3))</f>
        <v>0</v>
      </c>
      <c r="AA12" s="231">
        <f xml:space="preserve">
IF($A$4&lt;=12,SUMIFS('ON Data'!AF:AF,'ON Data'!$D:$D,$A$4,'ON Data'!$E:$E,3),SUMIFS('ON Data'!AF:AF,'ON Data'!$E:$E,3))</f>
        <v>0</v>
      </c>
      <c r="AB12" s="231">
        <f xml:space="preserve">
IF($A$4&lt;=12,SUMIFS('ON Data'!AG:AG,'ON Data'!$D:$D,$A$4,'ON Data'!$E:$E,3),SUMIFS('ON Data'!AG:AG,'ON Data'!$E:$E,3))</f>
        <v>0</v>
      </c>
      <c r="AC12" s="231">
        <f xml:space="preserve">
IF($A$4&lt;=12,SUMIFS('ON Data'!AH:AH,'ON Data'!$D:$D,$A$4,'ON Data'!$E:$E,3),SUMIFS('ON Data'!AH:AH,'ON Data'!$E:$E,3))</f>
        <v>0</v>
      </c>
      <c r="AD12" s="231">
        <f xml:space="preserve">
IF($A$4&lt;=12,SUMIFS('ON Data'!AI:AI,'ON Data'!$D:$D,$A$4,'ON Data'!$E:$E,3),SUMIFS('ON Data'!AI:AI,'ON Data'!$E:$E,3))</f>
        <v>0</v>
      </c>
      <c r="AE12" s="231">
        <f xml:space="preserve">
IF($A$4&lt;=12,SUMIFS('ON Data'!AJ:AJ,'ON Data'!$D:$D,$A$4,'ON Data'!$E:$E,3),SUMIFS('ON Data'!AJ:AJ,'ON Data'!$E:$E,3))</f>
        <v>0</v>
      </c>
      <c r="AF12" s="231">
        <f xml:space="preserve">
IF($A$4&lt;=12,SUMIFS('ON Data'!AK:AK,'ON Data'!$D:$D,$A$4,'ON Data'!$E:$E,3),SUMIFS('ON Data'!AK:AK,'ON Data'!$E:$E,3))</f>
        <v>0</v>
      </c>
      <c r="AG12" s="231">
        <f xml:space="preserve">
IF($A$4&lt;=12,SUMIFS('ON Data'!AM:AM,'ON Data'!$D:$D,$A$4,'ON Data'!$E:$E,3),SUMIFS('ON Data'!AM:AM,'ON Data'!$E:$E,3))</f>
        <v>0</v>
      </c>
      <c r="AH12" s="400">
        <f xml:space="preserve">
IF($A$4&lt;=12,SUMIFS('ON Data'!AN:AN,'ON Data'!$D:$D,$A$4,'ON Data'!$E:$E,3),SUMIFS('ON Data'!AN:AN,'ON Data'!$E:$E,3))</f>
        <v>0</v>
      </c>
      <c r="AI12" s="410"/>
    </row>
    <row r="13" spans="1:35" x14ac:dyDescent="0.3">
      <c r="A13" s="212" t="s">
        <v>188</v>
      </c>
      <c r="B13" s="229">
        <f xml:space="preserve">
IF($A$4&lt;=12,SUMIFS('ON Data'!F:F,'ON Data'!$D:$D,$A$4,'ON Data'!$E:$E,4),SUMIFS('ON Data'!F:F,'ON Data'!$E:$E,4))</f>
        <v>443</v>
      </c>
      <c r="C13" s="230">
        <f xml:space="preserve">
IF($A$4&lt;=12,SUMIFS('ON Data'!G:G,'ON Data'!$D:$D,$A$4,'ON Data'!$E:$E,4),SUMIFS('ON Data'!G:G,'ON Data'!$E:$E,4))</f>
        <v>0</v>
      </c>
      <c r="D13" s="231">
        <f xml:space="preserve">
IF($A$4&lt;=12,SUMIFS('ON Data'!H:H,'ON Data'!$D:$D,$A$4,'ON Data'!$E:$E,4),SUMIFS('ON Data'!H:H,'ON Data'!$E:$E,4))</f>
        <v>0</v>
      </c>
      <c r="E13" s="231">
        <f xml:space="preserve">
IF($A$4&lt;=12,SUMIFS('ON Data'!I:I,'ON Data'!$D:$D,$A$4,'ON Data'!$E:$E,4),SUMIFS('ON Data'!I:I,'ON Data'!$E:$E,4))</f>
        <v>0</v>
      </c>
      <c r="F13" s="231">
        <f xml:space="preserve">
IF($A$4&lt;=12,SUMIFS('ON Data'!K:K,'ON Data'!$D:$D,$A$4,'ON Data'!$E:$E,4),SUMIFS('ON Data'!K:K,'ON Data'!$E:$E,4))</f>
        <v>0</v>
      </c>
      <c r="G13" s="231">
        <f xml:space="preserve">
IF($A$4&lt;=12,SUMIFS('ON Data'!L:L,'ON Data'!$D:$D,$A$4,'ON Data'!$E:$E,4),SUMIFS('ON Data'!L:L,'ON Data'!$E:$E,4))</f>
        <v>0</v>
      </c>
      <c r="H13" s="231">
        <f xml:space="preserve">
IF($A$4&lt;=12,SUMIFS('ON Data'!M:M,'ON Data'!$D:$D,$A$4,'ON Data'!$E:$E,4),SUMIFS('ON Data'!M:M,'ON Data'!$E:$E,4))</f>
        <v>0</v>
      </c>
      <c r="I13" s="231">
        <f xml:space="preserve">
IF($A$4&lt;=12,SUMIFS('ON Data'!N:N,'ON Data'!$D:$D,$A$4,'ON Data'!$E:$E,4),SUMIFS('ON Data'!N:N,'ON Data'!$E:$E,4))</f>
        <v>0</v>
      </c>
      <c r="J13" s="231">
        <f xml:space="preserve">
IF($A$4&lt;=12,SUMIFS('ON Data'!O:O,'ON Data'!$D:$D,$A$4,'ON Data'!$E:$E,4),SUMIFS('ON Data'!O:O,'ON Data'!$E:$E,4))</f>
        <v>0</v>
      </c>
      <c r="K13" s="231">
        <f xml:space="preserve">
IF($A$4&lt;=12,SUMIFS('ON Data'!P:P,'ON Data'!$D:$D,$A$4,'ON Data'!$E:$E,4),SUMIFS('ON Data'!P:P,'ON Data'!$E:$E,4))</f>
        <v>0</v>
      </c>
      <c r="L13" s="231">
        <f xml:space="preserve">
IF($A$4&lt;=12,SUMIFS('ON Data'!Q:Q,'ON Data'!$D:$D,$A$4,'ON Data'!$E:$E,4),SUMIFS('ON Data'!Q:Q,'ON Data'!$E:$E,4))</f>
        <v>0</v>
      </c>
      <c r="M13" s="231">
        <f xml:space="preserve">
IF($A$4&lt;=12,SUMIFS('ON Data'!R:R,'ON Data'!$D:$D,$A$4,'ON Data'!$E:$E,4),SUMIFS('ON Data'!R:R,'ON Data'!$E:$E,4))</f>
        <v>0</v>
      </c>
      <c r="N13" s="231">
        <f xml:space="preserve">
IF($A$4&lt;=12,SUMIFS('ON Data'!S:S,'ON Data'!$D:$D,$A$4,'ON Data'!$E:$E,4),SUMIFS('ON Data'!S:S,'ON Data'!$E:$E,4))</f>
        <v>0</v>
      </c>
      <c r="O13" s="231">
        <f xml:space="preserve">
IF($A$4&lt;=12,SUMIFS('ON Data'!T:T,'ON Data'!$D:$D,$A$4,'ON Data'!$E:$E,4),SUMIFS('ON Data'!T:T,'ON Data'!$E:$E,4))</f>
        <v>0</v>
      </c>
      <c r="P13" s="231">
        <f xml:space="preserve">
IF($A$4&lt;=12,SUMIFS('ON Data'!U:U,'ON Data'!$D:$D,$A$4,'ON Data'!$E:$E,4),SUMIFS('ON Data'!U:U,'ON Data'!$E:$E,4))</f>
        <v>0</v>
      </c>
      <c r="Q13" s="231">
        <f xml:space="preserve">
IF($A$4&lt;=12,SUMIFS('ON Data'!V:V,'ON Data'!$D:$D,$A$4,'ON Data'!$E:$E,4),SUMIFS('ON Data'!V:V,'ON Data'!$E:$E,4))</f>
        <v>0</v>
      </c>
      <c r="R13" s="231">
        <f xml:space="preserve">
IF($A$4&lt;=12,SUMIFS('ON Data'!W:W,'ON Data'!$D:$D,$A$4,'ON Data'!$E:$E,4),SUMIFS('ON Data'!W:W,'ON Data'!$E:$E,4))</f>
        <v>0</v>
      </c>
      <c r="S13" s="231">
        <f xml:space="preserve">
IF($A$4&lt;=12,SUMIFS('ON Data'!X:X,'ON Data'!$D:$D,$A$4,'ON Data'!$E:$E,4),SUMIFS('ON Data'!X:X,'ON Data'!$E:$E,4))</f>
        <v>0</v>
      </c>
      <c r="T13" s="231">
        <f xml:space="preserve">
IF($A$4&lt;=12,SUMIFS('ON Data'!Y:Y,'ON Data'!$D:$D,$A$4,'ON Data'!$E:$E,4),SUMIFS('ON Data'!Y:Y,'ON Data'!$E:$E,4))</f>
        <v>0</v>
      </c>
      <c r="U13" s="231">
        <f xml:space="preserve">
IF($A$4&lt;=12,SUMIFS('ON Data'!Z:Z,'ON Data'!$D:$D,$A$4,'ON Data'!$E:$E,4),SUMIFS('ON Data'!Z:Z,'ON Data'!$E:$E,4))</f>
        <v>366</v>
      </c>
      <c r="V13" s="231">
        <f xml:space="preserve">
IF($A$4&lt;=12,SUMIFS('ON Data'!AA:AA,'ON Data'!$D:$D,$A$4,'ON Data'!$E:$E,4),SUMIFS('ON Data'!AA:AA,'ON Data'!$E:$E,4))</f>
        <v>0</v>
      </c>
      <c r="W13" s="231">
        <f xml:space="preserve">
IF($A$4&lt;=12,SUMIFS('ON Data'!AB:AB,'ON Data'!$D:$D,$A$4,'ON Data'!$E:$E,4),SUMIFS('ON Data'!AB:AB,'ON Data'!$E:$E,4))</f>
        <v>0</v>
      </c>
      <c r="X13" s="231">
        <f xml:space="preserve">
IF($A$4&lt;=12,SUMIFS('ON Data'!AC:AC,'ON Data'!$D:$D,$A$4,'ON Data'!$E:$E,4),SUMIFS('ON Data'!AC:AC,'ON Data'!$E:$E,4))</f>
        <v>0</v>
      </c>
      <c r="Y13" s="231">
        <f xml:space="preserve">
IF($A$4&lt;=12,SUMIFS('ON Data'!AD:AD,'ON Data'!$D:$D,$A$4,'ON Data'!$E:$E,4),SUMIFS('ON Data'!AD:AD,'ON Data'!$E:$E,4))</f>
        <v>0</v>
      </c>
      <c r="Z13" s="231">
        <f xml:space="preserve">
IF($A$4&lt;=12,SUMIFS('ON Data'!AE:AE,'ON Data'!$D:$D,$A$4,'ON Data'!$E:$E,4),SUMIFS('ON Data'!AE:AE,'ON Data'!$E:$E,4))</f>
        <v>0</v>
      </c>
      <c r="AA13" s="231">
        <f xml:space="preserve">
IF($A$4&lt;=12,SUMIFS('ON Data'!AF:AF,'ON Data'!$D:$D,$A$4,'ON Data'!$E:$E,4),SUMIFS('ON Data'!AF:AF,'ON Data'!$E:$E,4))</f>
        <v>0</v>
      </c>
      <c r="AB13" s="231">
        <f xml:space="preserve">
IF($A$4&lt;=12,SUMIFS('ON Data'!AG:AG,'ON Data'!$D:$D,$A$4,'ON Data'!$E:$E,4),SUMIFS('ON Data'!AG:AG,'ON Data'!$E:$E,4))</f>
        <v>22</v>
      </c>
      <c r="AC13" s="231">
        <f xml:space="preserve">
IF($A$4&lt;=12,SUMIFS('ON Data'!AH:AH,'ON Data'!$D:$D,$A$4,'ON Data'!$E:$E,4),SUMIFS('ON Data'!AH:AH,'ON Data'!$E:$E,4))</f>
        <v>55</v>
      </c>
      <c r="AD13" s="231">
        <f xml:space="preserve">
IF($A$4&lt;=12,SUMIFS('ON Data'!AI:AI,'ON Data'!$D:$D,$A$4,'ON Data'!$E:$E,4),SUMIFS('ON Data'!AI:AI,'ON Data'!$E:$E,4))</f>
        <v>0</v>
      </c>
      <c r="AE13" s="231">
        <f xml:space="preserve">
IF($A$4&lt;=12,SUMIFS('ON Data'!AJ:AJ,'ON Data'!$D:$D,$A$4,'ON Data'!$E:$E,4),SUMIFS('ON Data'!AJ:AJ,'ON Data'!$E:$E,4))</f>
        <v>0</v>
      </c>
      <c r="AF13" s="231">
        <f xml:space="preserve">
IF($A$4&lt;=12,SUMIFS('ON Data'!AK:AK,'ON Data'!$D:$D,$A$4,'ON Data'!$E:$E,4),SUMIFS('ON Data'!AK:AK,'ON Data'!$E:$E,4))</f>
        <v>0</v>
      </c>
      <c r="AG13" s="231">
        <f xml:space="preserve">
IF($A$4&lt;=12,SUMIFS('ON Data'!AM:AM,'ON Data'!$D:$D,$A$4,'ON Data'!$E:$E,4),SUMIFS('ON Data'!AM:AM,'ON Data'!$E:$E,4))</f>
        <v>0</v>
      </c>
      <c r="AH13" s="400">
        <f xml:space="preserve">
IF($A$4&lt;=12,SUMIFS('ON Data'!AN:AN,'ON Data'!$D:$D,$A$4,'ON Data'!$E:$E,4),SUMIFS('ON Data'!AN:AN,'ON Data'!$E:$E,4))</f>
        <v>0</v>
      </c>
      <c r="AI13" s="410"/>
    </row>
    <row r="14" spans="1:35" ht="15" thickBot="1" x14ac:dyDescent="0.35">
      <c r="A14" s="213" t="s">
        <v>182</v>
      </c>
      <c r="B14" s="232">
        <f xml:space="preserve">
IF($A$4&lt;=12,SUMIFS('ON Data'!F:F,'ON Data'!$D:$D,$A$4,'ON Data'!$E:$E,5),SUMIFS('ON Data'!F:F,'ON Data'!$E:$E,5))</f>
        <v>3949</v>
      </c>
      <c r="C14" s="233">
        <f xml:space="preserve">
IF($A$4&lt;=12,SUMIFS('ON Data'!G:G,'ON Data'!$D:$D,$A$4,'ON Data'!$E:$E,5),SUMIFS('ON Data'!G:G,'ON Data'!$E:$E,5))</f>
        <v>3949</v>
      </c>
      <c r="D14" s="234">
        <f xml:space="preserve">
IF($A$4&lt;=12,SUMIFS('ON Data'!H:H,'ON Data'!$D:$D,$A$4,'ON Data'!$E:$E,5),SUMIFS('ON Data'!H:H,'ON Data'!$E:$E,5))</f>
        <v>0</v>
      </c>
      <c r="E14" s="234">
        <f xml:space="preserve">
IF($A$4&lt;=12,SUMIFS('ON Data'!I:I,'ON Data'!$D:$D,$A$4,'ON Data'!$E:$E,5),SUMIFS('ON Data'!I:I,'ON Data'!$E:$E,5))</f>
        <v>0</v>
      </c>
      <c r="F14" s="234">
        <f xml:space="preserve">
IF($A$4&lt;=12,SUMIFS('ON Data'!K:K,'ON Data'!$D:$D,$A$4,'ON Data'!$E:$E,5),SUMIFS('ON Data'!K:K,'ON Data'!$E:$E,5))</f>
        <v>0</v>
      </c>
      <c r="G14" s="234">
        <f xml:space="preserve">
IF($A$4&lt;=12,SUMIFS('ON Data'!L:L,'ON Data'!$D:$D,$A$4,'ON Data'!$E:$E,5),SUMIFS('ON Data'!L:L,'ON Data'!$E:$E,5))</f>
        <v>0</v>
      </c>
      <c r="H14" s="234">
        <f xml:space="preserve">
IF($A$4&lt;=12,SUMIFS('ON Data'!M:M,'ON Data'!$D:$D,$A$4,'ON Data'!$E:$E,5),SUMIFS('ON Data'!M:M,'ON Data'!$E:$E,5))</f>
        <v>0</v>
      </c>
      <c r="I14" s="234">
        <f xml:space="preserve">
IF($A$4&lt;=12,SUMIFS('ON Data'!N:N,'ON Data'!$D:$D,$A$4,'ON Data'!$E:$E,5),SUMIFS('ON Data'!N:N,'ON Data'!$E:$E,5))</f>
        <v>0</v>
      </c>
      <c r="J14" s="234">
        <f xml:space="preserve">
IF($A$4&lt;=12,SUMIFS('ON Data'!O:O,'ON Data'!$D:$D,$A$4,'ON Data'!$E:$E,5),SUMIFS('ON Data'!O:O,'ON Data'!$E:$E,5))</f>
        <v>0</v>
      </c>
      <c r="K14" s="234">
        <f xml:space="preserve">
IF($A$4&lt;=12,SUMIFS('ON Data'!P:P,'ON Data'!$D:$D,$A$4,'ON Data'!$E:$E,5),SUMIFS('ON Data'!P:P,'ON Data'!$E:$E,5))</f>
        <v>0</v>
      </c>
      <c r="L14" s="234">
        <f xml:space="preserve">
IF($A$4&lt;=12,SUMIFS('ON Data'!Q:Q,'ON Data'!$D:$D,$A$4,'ON Data'!$E:$E,5),SUMIFS('ON Data'!Q:Q,'ON Data'!$E:$E,5))</f>
        <v>0</v>
      </c>
      <c r="M14" s="234">
        <f xml:space="preserve">
IF($A$4&lt;=12,SUMIFS('ON Data'!R:R,'ON Data'!$D:$D,$A$4,'ON Data'!$E:$E,5),SUMIFS('ON Data'!R:R,'ON Data'!$E:$E,5))</f>
        <v>0</v>
      </c>
      <c r="N14" s="234">
        <f xml:space="preserve">
IF($A$4&lt;=12,SUMIFS('ON Data'!S:S,'ON Data'!$D:$D,$A$4,'ON Data'!$E:$E,5),SUMIFS('ON Data'!S:S,'ON Data'!$E:$E,5))</f>
        <v>0</v>
      </c>
      <c r="O14" s="234">
        <f xml:space="preserve">
IF($A$4&lt;=12,SUMIFS('ON Data'!T:T,'ON Data'!$D:$D,$A$4,'ON Data'!$E:$E,5),SUMIFS('ON Data'!T:T,'ON Data'!$E:$E,5))</f>
        <v>0</v>
      </c>
      <c r="P14" s="234">
        <f xml:space="preserve">
IF($A$4&lt;=12,SUMIFS('ON Data'!U:U,'ON Data'!$D:$D,$A$4,'ON Data'!$E:$E,5),SUMIFS('ON Data'!U:U,'ON Data'!$E:$E,5))</f>
        <v>0</v>
      </c>
      <c r="Q14" s="234">
        <f xml:space="preserve">
IF($A$4&lt;=12,SUMIFS('ON Data'!V:V,'ON Data'!$D:$D,$A$4,'ON Data'!$E:$E,5),SUMIFS('ON Data'!V:V,'ON Data'!$E:$E,5))</f>
        <v>0</v>
      </c>
      <c r="R14" s="234">
        <f xml:space="preserve">
IF($A$4&lt;=12,SUMIFS('ON Data'!W:W,'ON Data'!$D:$D,$A$4,'ON Data'!$E:$E,5),SUMIFS('ON Data'!W:W,'ON Data'!$E:$E,5))</f>
        <v>0</v>
      </c>
      <c r="S14" s="234">
        <f xml:space="preserve">
IF($A$4&lt;=12,SUMIFS('ON Data'!X:X,'ON Data'!$D:$D,$A$4,'ON Data'!$E:$E,5),SUMIFS('ON Data'!X:X,'ON Data'!$E:$E,5))</f>
        <v>0</v>
      </c>
      <c r="T14" s="234">
        <f xml:space="preserve">
IF($A$4&lt;=12,SUMIFS('ON Data'!Y:Y,'ON Data'!$D:$D,$A$4,'ON Data'!$E:$E,5),SUMIFS('ON Data'!Y:Y,'ON Data'!$E:$E,5))</f>
        <v>0</v>
      </c>
      <c r="U14" s="234">
        <f xml:space="preserve">
IF($A$4&lt;=12,SUMIFS('ON Data'!Z:Z,'ON Data'!$D:$D,$A$4,'ON Data'!$E:$E,5),SUMIFS('ON Data'!Z:Z,'ON Data'!$E:$E,5))</f>
        <v>0</v>
      </c>
      <c r="V14" s="234">
        <f xml:space="preserve">
IF($A$4&lt;=12,SUMIFS('ON Data'!AA:AA,'ON Data'!$D:$D,$A$4,'ON Data'!$E:$E,5),SUMIFS('ON Data'!AA:AA,'ON Data'!$E:$E,5))</f>
        <v>0</v>
      </c>
      <c r="W14" s="234">
        <f xml:space="preserve">
IF($A$4&lt;=12,SUMIFS('ON Data'!AB:AB,'ON Data'!$D:$D,$A$4,'ON Data'!$E:$E,5),SUMIFS('ON Data'!AB:AB,'ON Data'!$E:$E,5))</f>
        <v>0</v>
      </c>
      <c r="X14" s="234">
        <f xml:space="preserve">
IF($A$4&lt;=12,SUMIFS('ON Data'!AC:AC,'ON Data'!$D:$D,$A$4,'ON Data'!$E:$E,5),SUMIFS('ON Data'!AC:AC,'ON Data'!$E:$E,5))</f>
        <v>0</v>
      </c>
      <c r="Y14" s="234">
        <f xml:space="preserve">
IF($A$4&lt;=12,SUMIFS('ON Data'!AD:AD,'ON Data'!$D:$D,$A$4,'ON Data'!$E:$E,5),SUMIFS('ON Data'!AD:AD,'ON Data'!$E:$E,5))</f>
        <v>0</v>
      </c>
      <c r="Z14" s="234">
        <f xml:space="preserve">
IF($A$4&lt;=12,SUMIFS('ON Data'!AE:AE,'ON Data'!$D:$D,$A$4,'ON Data'!$E:$E,5),SUMIFS('ON Data'!AE:AE,'ON Data'!$E:$E,5))</f>
        <v>0</v>
      </c>
      <c r="AA14" s="234">
        <f xml:space="preserve">
IF($A$4&lt;=12,SUMIFS('ON Data'!AF:AF,'ON Data'!$D:$D,$A$4,'ON Data'!$E:$E,5),SUMIFS('ON Data'!AF:AF,'ON Data'!$E:$E,5))</f>
        <v>0</v>
      </c>
      <c r="AB14" s="234">
        <f xml:space="preserve">
IF($A$4&lt;=12,SUMIFS('ON Data'!AG:AG,'ON Data'!$D:$D,$A$4,'ON Data'!$E:$E,5),SUMIFS('ON Data'!AG:AG,'ON Data'!$E:$E,5))</f>
        <v>0</v>
      </c>
      <c r="AC14" s="234">
        <f xml:space="preserve">
IF($A$4&lt;=12,SUMIFS('ON Data'!AH:AH,'ON Data'!$D:$D,$A$4,'ON Data'!$E:$E,5),SUMIFS('ON Data'!AH:AH,'ON Data'!$E:$E,5))</f>
        <v>0</v>
      </c>
      <c r="AD14" s="234">
        <f xml:space="preserve">
IF($A$4&lt;=12,SUMIFS('ON Data'!AI:AI,'ON Data'!$D:$D,$A$4,'ON Data'!$E:$E,5),SUMIFS('ON Data'!AI:AI,'ON Data'!$E:$E,5))</f>
        <v>0</v>
      </c>
      <c r="AE14" s="234">
        <f xml:space="preserve">
IF($A$4&lt;=12,SUMIFS('ON Data'!AJ:AJ,'ON Data'!$D:$D,$A$4,'ON Data'!$E:$E,5),SUMIFS('ON Data'!AJ:AJ,'ON Data'!$E:$E,5))</f>
        <v>0</v>
      </c>
      <c r="AF14" s="234">
        <f xml:space="preserve">
IF($A$4&lt;=12,SUMIFS('ON Data'!AK:AK,'ON Data'!$D:$D,$A$4,'ON Data'!$E:$E,5),SUMIFS('ON Data'!AK:AK,'ON Data'!$E:$E,5))</f>
        <v>0</v>
      </c>
      <c r="AG14" s="234">
        <f xml:space="preserve">
IF($A$4&lt;=12,SUMIFS('ON Data'!AM:AM,'ON Data'!$D:$D,$A$4,'ON Data'!$E:$E,5),SUMIFS('ON Data'!AM:AM,'ON Data'!$E:$E,5))</f>
        <v>0</v>
      </c>
      <c r="AH14" s="401">
        <f xml:space="preserve">
IF($A$4&lt;=12,SUMIFS('ON Data'!AN:AN,'ON Data'!$D:$D,$A$4,'ON Data'!$E:$E,5),SUMIFS('ON Data'!AN:AN,'ON Data'!$E:$E,5))</f>
        <v>0</v>
      </c>
      <c r="AI14" s="410"/>
    </row>
    <row r="15" spans="1:35" x14ac:dyDescent="0.3">
      <c r="A15" s="136" t="s">
        <v>192</v>
      </c>
      <c r="B15" s="235"/>
      <c r="C15" s="236"/>
      <c r="D15" s="237"/>
      <c r="E15" s="237"/>
      <c r="F15" s="237"/>
      <c r="G15" s="237"/>
      <c r="H15" s="237"/>
      <c r="I15" s="237"/>
      <c r="J15" s="237"/>
      <c r="K15" s="237"/>
      <c r="L15" s="237"/>
      <c r="M15" s="237"/>
      <c r="N15" s="237"/>
      <c r="O15" s="237"/>
      <c r="P15" s="237"/>
      <c r="Q15" s="237"/>
      <c r="R15" s="237"/>
      <c r="S15" s="237"/>
      <c r="T15" s="237"/>
      <c r="U15" s="237"/>
      <c r="V15" s="237"/>
      <c r="W15" s="237"/>
      <c r="X15" s="237"/>
      <c r="Y15" s="237"/>
      <c r="Z15" s="237"/>
      <c r="AA15" s="237"/>
      <c r="AB15" s="237"/>
      <c r="AC15" s="237"/>
      <c r="AD15" s="237"/>
      <c r="AE15" s="237"/>
      <c r="AF15" s="237"/>
      <c r="AG15" s="237"/>
      <c r="AH15" s="402"/>
      <c r="AI15" s="410"/>
    </row>
    <row r="16" spans="1:35" x14ac:dyDescent="0.3">
      <c r="A16" s="214" t="s">
        <v>183</v>
      </c>
      <c r="B16" s="229">
        <f xml:space="preserve">
IF($A$4&lt;=12,SUMIFS('ON Data'!F:F,'ON Data'!$D:$D,$A$4,'ON Data'!$E:$E,7),SUMIFS('ON Data'!F:F,'ON Data'!$E:$E,7))</f>
        <v>0</v>
      </c>
      <c r="C16" s="230">
        <f xml:space="preserve">
IF($A$4&lt;=12,SUMIFS('ON Data'!G:G,'ON Data'!$D:$D,$A$4,'ON Data'!$E:$E,7),SUMIFS('ON Data'!G:G,'ON Data'!$E:$E,7))</f>
        <v>0</v>
      </c>
      <c r="D16" s="231">
        <f xml:space="preserve">
IF($A$4&lt;=12,SUMIFS('ON Data'!H:H,'ON Data'!$D:$D,$A$4,'ON Data'!$E:$E,7),SUMIFS('ON Data'!H:H,'ON Data'!$E:$E,7))</f>
        <v>0</v>
      </c>
      <c r="E16" s="231">
        <f xml:space="preserve">
IF($A$4&lt;=12,SUMIFS('ON Data'!I:I,'ON Data'!$D:$D,$A$4,'ON Data'!$E:$E,7),SUMIFS('ON Data'!I:I,'ON Data'!$E:$E,7))</f>
        <v>0</v>
      </c>
      <c r="F16" s="231">
        <f xml:space="preserve">
IF($A$4&lt;=12,SUMIFS('ON Data'!K:K,'ON Data'!$D:$D,$A$4,'ON Data'!$E:$E,7),SUMIFS('ON Data'!K:K,'ON Data'!$E:$E,7))</f>
        <v>0</v>
      </c>
      <c r="G16" s="231">
        <f xml:space="preserve">
IF($A$4&lt;=12,SUMIFS('ON Data'!L:L,'ON Data'!$D:$D,$A$4,'ON Data'!$E:$E,7),SUMIFS('ON Data'!L:L,'ON Data'!$E:$E,7))</f>
        <v>0</v>
      </c>
      <c r="H16" s="231">
        <f xml:space="preserve">
IF($A$4&lt;=12,SUMIFS('ON Data'!M:M,'ON Data'!$D:$D,$A$4,'ON Data'!$E:$E,7),SUMIFS('ON Data'!M:M,'ON Data'!$E:$E,7))</f>
        <v>0</v>
      </c>
      <c r="I16" s="231">
        <f xml:space="preserve">
IF($A$4&lt;=12,SUMIFS('ON Data'!N:N,'ON Data'!$D:$D,$A$4,'ON Data'!$E:$E,7),SUMIFS('ON Data'!N:N,'ON Data'!$E:$E,7))</f>
        <v>0</v>
      </c>
      <c r="J16" s="231">
        <f xml:space="preserve">
IF($A$4&lt;=12,SUMIFS('ON Data'!O:O,'ON Data'!$D:$D,$A$4,'ON Data'!$E:$E,7),SUMIFS('ON Data'!O:O,'ON Data'!$E:$E,7))</f>
        <v>0</v>
      </c>
      <c r="K16" s="231">
        <f xml:space="preserve">
IF($A$4&lt;=12,SUMIFS('ON Data'!P:P,'ON Data'!$D:$D,$A$4,'ON Data'!$E:$E,7),SUMIFS('ON Data'!P:P,'ON Data'!$E:$E,7))</f>
        <v>0</v>
      </c>
      <c r="L16" s="231">
        <f xml:space="preserve">
IF($A$4&lt;=12,SUMIFS('ON Data'!Q:Q,'ON Data'!$D:$D,$A$4,'ON Data'!$E:$E,7),SUMIFS('ON Data'!Q:Q,'ON Data'!$E:$E,7))</f>
        <v>0</v>
      </c>
      <c r="M16" s="231">
        <f xml:space="preserve">
IF($A$4&lt;=12,SUMIFS('ON Data'!R:R,'ON Data'!$D:$D,$A$4,'ON Data'!$E:$E,7),SUMIFS('ON Data'!R:R,'ON Data'!$E:$E,7))</f>
        <v>0</v>
      </c>
      <c r="N16" s="231">
        <f xml:space="preserve">
IF($A$4&lt;=12,SUMIFS('ON Data'!S:S,'ON Data'!$D:$D,$A$4,'ON Data'!$E:$E,7),SUMIFS('ON Data'!S:S,'ON Data'!$E:$E,7))</f>
        <v>0</v>
      </c>
      <c r="O16" s="231">
        <f xml:space="preserve">
IF($A$4&lt;=12,SUMIFS('ON Data'!T:T,'ON Data'!$D:$D,$A$4,'ON Data'!$E:$E,7),SUMIFS('ON Data'!T:T,'ON Data'!$E:$E,7))</f>
        <v>0</v>
      </c>
      <c r="P16" s="231">
        <f xml:space="preserve">
IF($A$4&lt;=12,SUMIFS('ON Data'!U:U,'ON Data'!$D:$D,$A$4,'ON Data'!$E:$E,7),SUMIFS('ON Data'!U:U,'ON Data'!$E:$E,7))</f>
        <v>0</v>
      </c>
      <c r="Q16" s="231">
        <f xml:space="preserve">
IF($A$4&lt;=12,SUMIFS('ON Data'!V:V,'ON Data'!$D:$D,$A$4,'ON Data'!$E:$E,7),SUMIFS('ON Data'!V:V,'ON Data'!$E:$E,7))</f>
        <v>0</v>
      </c>
      <c r="R16" s="231">
        <f xml:space="preserve">
IF($A$4&lt;=12,SUMIFS('ON Data'!W:W,'ON Data'!$D:$D,$A$4,'ON Data'!$E:$E,7),SUMIFS('ON Data'!W:W,'ON Data'!$E:$E,7))</f>
        <v>0</v>
      </c>
      <c r="S16" s="231">
        <f xml:space="preserve">
IF($A$4&lt;=12,SUMIFS('ON Data'!X:X,'ON Data'!$D:$D,$A$4,'ON Data'!$E:$E,7),SUMIFS('ON Data'!X:X,'ON Data'!$E:$E,7))</f>
        <v>0</v>
      </c>
      <c r="T16" s="231">
        <f xml:space="preserve">
IF($A$4&lt;=12,SUMIFS('ON Data'!Y:Y,'ON Data'!$D:$D,$A$4,'ON Data'!$E:$E,7),SUMIFS('ON Data'!Y:Y,'ON Data'!$E:$E,7))</f>
        <v>0</v>
      </c>
      <c r="U16" s="231">
        <f xml:space="preserve">
IF($A$4&lt;=12,SUMIFS('ON Data'!Z:Z,'ON Data'!$D:$D,$A$4,'ON Data'!$E:$E,7),SUMIFS('ON Data'!Z:Z,'ON Data'!$E:$E,7))</f>
        <v>0</v>
      </c>
      <c r="V16" s="231">
        <f xml:space="preserve">
IF($A$4&lt;=12,SUMIFS('ON Data'!AA:AA,'ON Data'!$D:$D,$A$4,'ON Data'!$E:$E,7),SUMIFS('ON Data'!AA:AA,'ON Data'!$E:$E,7))</f>
        <v>0</v>
      </c>
      <c r="W16" s="231">
        <f xml:space="preserve">
IF($A$4&lt;=12,SUMIFS('ON Data'!AB:AB,'ON Data'!$D:$D,$A$4,'ON Data'!$E:$E,7),SUMIFS('ON Data'!AB:AB,'ON Data'!$E:$E,7))</f>
        <v>0</v>
      </c>
      <c r="X16" s="231">
        <f xml:space="preserve">
IF($A$4&lt;=12,SUMIFS('ON Data'!AC:AC,'ON Data'!$D:$D,$A$4,'ON Data'!$E:$E,7),SUMIFS('ON Data'!AC:AC,'ON Data'!$E:$E,7))</f>
        <v>0</v>
      </c>
      <c r="Y16" s="231">
        <f xml:space="preserve">
IF($A$4&lt;=12,SUMIFS('ON Data'!AD:AD,'ON Data'!$D:$D,$A$4,'ON Data'!$E:$E,7),SUMIFS('ON Data'!AD:AD,'ON Data'!$E:$E,7))</f>
        <v>0</v>
      </c>
      <c r="Z16" s="231">
        <f xml:space="preserve">
IF($A$4&lt;=12,SUMIFS('ON Data'!AE:AE,'ON Data'!$D:$D,$A$4,'ON Data'!$E:$E,7),SUMIFS('ON Data'!AE:AE,'ON Data'!$E:$E,7))</f>
        <v>0</v>
      </c>
      <c r="AA16" s="231">
        <f xml:space="preserve">
IF($A$4&lt;=12,SUMIFS('ON Data'!AF:AF,'ON Data'!$D:$D,$A$4,'ON Data'!$E:$E,7),SUMIFS('ON Data'!AF:AF,'ON Data'!$E:$E,7))</f>
        <v>0</v>
      </c>
      <c r="AB16" s="231">
        <f xml:space="preserve">
IF($A$4&lt;=12,SUMIFS('ON Data'!AG:AG,'ON Data'!$D:$D,$A$4,'ON Data'!$E:$E,7),SUMIFS('ON Data'!AG:AG,'ON Data'!$E:$E,7))</f>
        <v>0</v>
      </c>
      <c r="AC16" s="231">
        <f xml:space="preserve">
IF($A$4&lt;=12,SUMIFS('ON Data'!AH:AH,'ON Data'!$D:$D,$A$4,'ON Data'!$E:$E,7),SUMIFS('ON Data'!AH:AH,'ON Data'!$E:$E,7))</f>
        <v>0</v>
      </c>
      <c r="AD16" s="231">
        <f xml:space="preserve">
IF($A$4&lt;=12,SUMIFS('ON Data'!AI:AI,'ON Data'!$D:$D,$A$4,'ON Data'!$E:$E,7),SUMIFS('ON Data'!AI:AI,'ON Data'!$E:$E,7))</f>
        <v>0</v>
      </c>
      <c r="AE16" s="231">
        <f xml:space="preserve">
IF($A$4&lt;=12,SUMIFS('ON Data'!AJ:AJ,'ON Data'!$D:$D,$A$4,'ON Data'!$E:$E,7),SUMIFS('ON Data'!AJ:AJ,'ON Data'!$E:$E,7))</f>
        <v>0</v>
      </c>
      <c r="AF16" s="231">
        <f xml:space="preserve">
IF($A$4&lt;=12,SUMIFS('ON Data'!AK:AK,'ON Data'!$D:$D,$A$4,'ON Data'!$E:$E,7),SUMIFS('ON Data'!AK:AK,'ON Data'!$E:$E,7))</f>
        <v>0</v>
      </c>
      <c r="AG16" s="231">
        <f xml:space="preserve">
IF($A$4&lt;=12,SUMIFS('ON Data'!AM:AM,'ON Data'!$D:$D,$A$4,'ON Data'!$E:$E,7),SUMIFS('ON Data'!AM:AM,'ON Data'!$E:$E,7))</f>
        <v>0</v>
      </c>
      <c r="AH16" s="400">
        <f xml:space="preserve">
IF($A$4&lt;=12,SUMIFS('ON Data'!AN:AN,'ON Data'!$D:$D,$A$4,'ON Data'!$E:$E,7),SUMIFS('ON Data'!AN:AN,'ON Data'!$E:$E,7))</f>
        <v>0</v>
      </c>
      <c r="AI16" s="410"/>
    </row>
    <row r="17" spans="1:35" x14ac:dyDescent="0.3">
      <c r="A17" s="214" t="s">
        <v>184</v>
      </c>
      <c r="B17" s="229">
        <f xml:space="preserve">
IF($A$4&lt;=12,SUMIFS('ON Data'!F:F,'ON Data'!$D:$D,$A$4,'ON Data'!$E:$E,8),SUMIFS('ON Data'!F:F,'ON Data'!$E:$E,8))</f>
        <v>0</v>
      </c>
      <c r="C17" s="230">
        <f xml:space="preserve">
IF($A$4&lt;=12,SUMIFS('ON Data'!G:G,'ON Data'!$D:$D,$A$4,'ON Data'!$E:$E,8),SUMIFS('ON Data'!G:G,'ON Data'!$E:$E,8))</f>
        <v>0</v>
      </c>
      <c r="D17" s="231">
        <f xml:space="preserve">
IF($A$4&lt;=12,SUMIFS('ON Data'!H:H,'ON Data'!$D:$D,$A$4,'ON Data'!$E:$E,8),SUMIFS('ON Data'!H:H,'ON Data'!$E:$E,8))</f>
        <v>0</v>
      </c>
      <c r="E17" s="231">
        <f xml:space="preserve">
IF($A$4&lt;=12,SUMIFS('ON Data'!I:I,'ON Data'!$D:$D,$A$4,'ON Data'!$E:$E,8),SUMIFS('ON Data'!I:I,'ON Data'!$E:$E,8))</f>
        <v>0</v>
      </c>
      <c r="F17" s="231">
        <f xml:space="preserve">
IF($A$4&lt;=12,SUMIFS('ON Data'!K:K,'ON Data'!$D:$D,$A$4,'ON Data'!$E:$E,8),SUMIFS('ON Data'!K:K,'ON Data'!$E:$E,8))</f>
        <v>0</v>
      </c>
      <c r="G17" s="231">
        <f xml:space="preserve">
IF($A$4&lt;=12,SUMIFS('ON Data'!L:L,'ON Data'!$D:$D,$A$4,'ON Data'!$E:$E,8),SUMIFS('ON Data'!L:L,'ON Data'!$E:$E,8))</f>
        <v>0</v>
      </c>
      <c r="H17" s="231">
        <f xml:space="preserve">
IF($A$4&lt;=12,SUMIFS('ON Data'!M:M,'ON Data'!$D:$D,$A$4,'ON Data'!$E:$E,8),SUMIFS('ON Data'!M:M,'ON Data'!$E:$E,8))</f>
        <v>0</v>
      </c>
      <c r="I17" s="231">
        <f xml:space="preserve">
IF($A$4&lt;=12,SUMIFS('ON Data'!N:N,'ON Data'!$D:$D,$A$4,'ON Data'!$E:$E,8),SUMIFS('ON Data'!N:N,'ON Data'!$E:$E,8))</f>
        <v>0</v>
      </c>
      <c r="J17" s="231">
        <f xml:space="preserve">
IF($A$4&lt;=12,SUMIFS('ON Data'!O:O,'ON Data'!$D:$D,$A$4,'ON Data'!$E:$E,8),SUMIFS('ON Data'!O:O,'ON Data'!$E:$E,8))</f>
        <v>0</v>
      </c>
      <c r="K17" s="231">
        <f xml:space="preserve">
IF($A$4&lt;=12,SUMIFS('ON Data'!P:P,'ON Data'!$D:$D,$A$4,'ON Data'!$E:$E,8),SUMIFS('ON Data'!P:P,'ON Data'!$E:$E,8))</f>
        <v>0</v>
      </c>
      <c r="L17" s="231">
        <f xml:space="preserve">
IF($A$4&lt;=12,SUMIFS('ON Data'!Q:Q,'ON Data'!$D:$D,$A$4,'ON Data'!$E:$E,8),SUMIFS('ON Data'!Q:Q,'ON Data'!$E:$E,8))</f>
        <v>0</v>
      </c>
      <c r="M17" s="231">
        <f xml:space="preserve">
IF($A$4&lt;=12,SUMIFS('ON Data'!R:R,'ON Data'!$D:$D,$A$4,'ON Data'!$E:$E,8),SUMIFS('ON Data'!R:R,'ON Data'!$E:$E,8))</f>
        <v>0</v>
      </c>
      <c r="N17" s="231">
        <f xml:space="preserve">
IF($A$4&lt;=12,SUMIFS('ON Data'!S:S,'ON Data'!$D:$D,$A$4,'ON Data'!$E:$E,8),SUMIFS('ON Data'!S:S,'ON Data'!$E:$E,8))</f>
        <v>0</v>
      </c>
      <c r="O17" s="231">
        <f xml:space="preserve">
IF($A$4&lt;=12,SUMIFS('ON Data'!T:T,'ON Data'!$D:$D,$A$4,'ON Data'!$E:$E,8),SUMIFS('ON Data'!T:T,'ON Data'!$E:$E,8))</f>
        <v>0</v>
      </c>
      <c r="P17" s="231">
        <f xml:space="preserve">
IF($A$4&lt;=12,SUMIFS('ON Data'!U:U,'ON Data'!$D:$D,$A$4,'ON Data'!$E:$E,8),SUMIFS('ON Data'!U:U,'ON Data'!$E:$E,8))</f>
        <v>0</v>
      </c>
      <c r="Q17" s="231">
        <f xml:space="preserve">
IF($A$4&lt;=12,SUMIFS('ON Data'!V:V,'ON Data'!$D:$D,$A$4,'ON Data'!$E:$E,8),SUMIFS('ON Data'!V:V,'ON Data'!$E:$E,8))</f>
        <v>0</v>
      </c>
      <c r="R17" s="231">
        <f xml:space="preserve">
IF($A$4&lt;=12,SUMIFS('ON Data'!W:W,'ON Data'!$D:$D,$A$4,'ON Data'!$E:$E,8),SUMIFS('ON Data'!W:W,'ON Data'!$E:$E,8))</f>
        <v>0</v>
      </c>
      <c r="S17" s="231">
        <f xml:space="preserve">
IF($A$4&lt;=12,SUMIFS('ON Data'!X:X,'ON Data'!$D:$D,$A$4,'ON Data'!$E:$E,8),SUMIFS('ON Data'!X:X,'ON Data'!$E:$E,8))</f>
        <v>0</v>
      </c>
      <c r="T17" s="231">
        <f xml:space="preserve">
IF($A$4&lt;=12,SUMIFS('ON Data'!Y:Y,'ON Data'!$D:$D,$A$4,'ON Data'!$E:$E,8),SUMIFS('ON Data'!Y:Y,'ON Data'!$E:$E,8))</f>
        <v>0</v>
      </c>
      <c r="U17" s="231">
        <f xml:space="preserve">
IF($A$4&lt;=12,SUMIFS('ON Data'!Z:Z,'ON Data'!$D:$D,$A$4,'ON Data'!$E:$E,8),SUMIFS('ON Data'!Z:Z,'ON Data'!$E:$E,8))</f>
        <v>0</v>
      </c>
      <c r="V17" s="231">
        <f xml:space="preserve">
IF($A$4&lt;=12,SUMIFS('ON Data'!AA:AA,'ON Data'!$D:$D,$A$4,'ON Data'!$E:$E,8),SUMIFS('ON Data'!AA:AA,'ON Data'!$E:$E,8))</f>
        <v>0</v>
      </c>
      <c r="W17" s="231">
        <f xml:space="preserve">
IF($A$4&lt;=12,SUMIFS('ON Data'!AB:AB,'ON Data'!$D:$D,$A$4,'ON Data'!$E:$E,8),SUMIFS('ON Data'!AB:AB,'ON Data'!$E:$E,8))</f>
        <v>0</v>
      </c>
      <c r="X17" s="231">
        <f xml:space="preserve">
IF($A$4&lt;=12,SUMIFS('ON Data'!AC:AC,'ON Data'!$D:$D,$A$4,'ON Data'!$E:$E,8),SUMIFS('ON Data'!AC:AC,'ON Data'!$E:$E,8))</f>
        <v>0</v>
      </c>
      <c r="Y17" s="231">
        <f xml:space="preserve">
IF($A$4&lt;=12,SUMIFS('ON Data'!AD:AD,'ON Data'!$D:$D,$A$4,'ON Data'!$E:$E,8),SUMIFS('ON Data'!AD:AD,'ON Data'!$E:$E,8))</f>
        <v>0</v>
      </c>
      <c r="Z17" s="231">
        <f xml:space="preserve">
IF($A$4&lt;=12,SUMIFS('ON Data'!AE:AE,'ON Data'!$D:$D,$A$4,'ON Data'!$E:$E,8),SUMIFS('ON Data'!AE:AE,'ON Data'!$E:$E,8))</f>
        <v>0</v>
      </c>
      <c r="AA17" s="231">
        <f xml:space="preserve">
IF($A$4&lt;=12,SUMIFS('ON Data'!AF:AF,'ON Data'!$D:$D,$A$4,'ON Data'!$E:$E,8),SUMIFS('ON Data'!AF:AF,'ON Data'!$E:$E,8))</f>
        <v>0</v>
      </c>
      <c r="AB17" s="231">
        <f xml:space="preserve">
IF($A$4&lt;=12,SUMIFS('ON Data'!AG:AG,'ON Data'!$D:$D,$A$4,'ON Data'!$E:$E,8),SUMIFS('ON Data'!AG:AG,'ON Data'!$E:$E,8))</f>
        <v>0</v>
      </c>
      <c r="AC17" s="231">
        <f xml:space="preserve">
IF($A$4&lt;=12,SUMIFS('ON Data'!AH:AH,'ON Data'!$D:$D,$A$4,'ON Data'!$E:$E,8),SUMIFS('ON Data'!AH:AH,'ON Data'!$E:$E,8))</f>
        <v>0</v>
      </c>
      <c r="AD17" s="231">
        <f xml:space="preserve">
IF($A$4&lt;=12,SUMIFS('ON Data'!AI:AI,'ON Data'!$D:$D,$A$4,'ON Data'!$E:$E,8),SUMIFS('ON Data'!AI:AI,'ON Data'!$E:$E,8))</f>
        <v>0</v>
      </c>
      <c r="AE17" s="231">
        <f xml:space="preserve">
IF($A$4&lt;=12,SUMIFS('ON Data'!AJ:AJ,'ON Data'!$D:$D,$A$4,'ON Data'!$E:$E,8),SUMIFS('ON Data'!AJ:AJ,'ON Data'!$E:$E,8))</f>
        <v>0</v>
      </c>
      <c r="AF17" s="231">
        <f xml:space="preserve">
IF($A$4&lt;=12,SUMIFS('ON Data'!AK:AK,'ON Data'!$D:$D,$A$4,'ON Data'!$E:$E,8),SUMIFS('ON Data'!AK:AK,'ON Data'!$E:$E,8))</f>
        <v>0</v>
      </c>
      <c r="AG17" s="231">
        <f xml:space="preserve">
IF($A$4&lt;=12,SUMIFS('ON Data'!AM:AM,'ON Data'!$D:$D,$A$4,'ON Data'!$E:$E,8),SUMIFS('ON Data'!AM:AM,'ON Data'!$E:$E,8))</f>
        <v>0</v>
      </c>
      <c r="AH17" s="400">
        <f xml:space="preserve">
IF($A$4&lt;=12,SUMIFS('ON Data'!AN:AN,'ON Data'!$D:$D,$A$4,'ON Data'!$E:$E,8),SUMIFS('ON Data'!AN:AN,'ON Data'!$E:$E,8))</f>
        <v>0</v>
      </c>
      <c r="AI17" s="410"/>
    </row>
    <row r="18" spans="1:35" x14ac:dyDescent="0.3">
      <c r="A18" s="214" t="s">
        <v>185</v>
      </c>
      <c r="B18" s="229">
        <f xml:space="preserve">
B19-B16-B17</f>
        <v>109642</v>
      </c>
      <c r="C18" s="230">
        <f t="shared" ref="C18" si="0" xml:space="preserve">
C19-C16-C17</f>
        <v>0</v>
      </c>
      <c r="D18" s="231">
        <f t="shared" ref="D18:AH18" si="1" xml:space="preserve">
D19-D16-D17</f>
        <v>32024</v>
      </c>
      <c r="E18" s="231">
        <f t="shared" si="1"/>
        <v>0</v>
      </c>
      <c r="F18" s="231">
        <f t="shared" si="1"/>
        <v>0</v>
      </c>
      <c r="G18" s="231">
        <f t="shared" si="1"/>
        <v>0</v>
      </c>
      <c r="H18" s="231">
        <f t="shared" si="1"/>
        <v>0</v>
      </c>
      <c r="I18" s="231">
        <f t="shared" si="1"/>
        <v>0</v>
      </c>
      <c r="J18" s="231">
        <f t="shared" si="1"/>
        <v>0</v>
      </c>
      <c r="K18" s="231">
        <f t="shared" si="1"/>
        <v>0</v>
      </c>
      <c r="L18" s="231">
        <f t="shared" si="1"/>
        <v>0</v>
      </c>
      <c r="M18" s="231">
        <f t="shared" si="1"/>
        <v>0</v>
      </c>
      <c r="N18" s="231">
        <f t="shared" si="1"/>
        <v>0</v>
      </c>
      <c r="O18" s="231">
        <f t="shared" si="1"/>
        <v>0</v>
      </c>
      <c r="P18" s="231">
        <f t="shared" si="1"/>
        <v>0</v>
      </c>
      <c r="Q18" s="231">
        <f t="shared" si="1"/>
        <v>0</v>
      </c>
      <c r="R18" s="231">
        <f t="shared" si="1"/>
        <v>0</v>
      </c>
      <c r="S18" s="231">
        <f t="shared" si="1"/>
        <v>0</v>
      </c>
      <c r="T18" s="231">
        <f t="shared" si="1"/>
        <v>0</v>
      </c>
      <c r="U18" s="231">
        <f t="shared" si="1"/>
        <v>60989</v>
      </c>
      <c r="V18" s="231">
        <f t="shared" si="1"/>
        <v>0</v>
      </c>
      <c r="W18" s="231">
        <f t="shared" si="1"/>
        <v>0</v>
      </c>
      <c r="X18" s="231">
        <f t="shared" si="1"/>
        <v>0</v>
      </c>
      <c r="Y18" s="231">
        <f t="shared" si="1"/>
        <v>0</v>
      </c>
      <c r="Z18" s="231">
        <f t="shared" si="1"/>
        <v>0</v>
      </c>
      <c r="AA18" s="231">
        <f t="shared" si="1"/>
        <v>0</v>
      </c>
      <c r="AB18" s="231">
        <f t="shared" si="1"/>
        <v>7004</v>
      </c>
      <c r="AC18" s="231">
        <f t="shared" si="1"/>
        <v>8425</v>
      </c>
      <c r="AD18" s="231">
        <f t="shared" si="1"/>
        <v>0</v>
      </c>
      <c r="AE18" s="231">
        <f t="shared" si="1"/>
        <v>0</v>
      </c>
      <c r="AF18" s="231">
        <f t="shared" si="1"/>
        <v>0</v>
      </c>
      <c r="AG18" s="231">
        <f t="shared" si="1"/>
        <v>1200</v>
      </c>
      <c r="AH18" s="400">
        <f t="shared" si="1"/>
        <v>0</v>
      </c>
      <c r="AI18" s="410"/>
    </row>
    <row r="19" spans="1:35" ht="15" thickBot="1" x14ac:dyDescent="0.35">
      <c r="A19" s="215" t="s">
        <v>186</v>
      </c>
      <c r="B19" s="238">
        <f xml:space="preserve">
IF($A$4&lt;=12,SUMIFS('ON Data'!F:F,'ON Data'!$D:$D,$A$4,'ON Data'!$E:$E,9),SUMIFS('ON Data'!F:F,'ON Data'!$E:$E,9))</f>
        <v>109642</v>
      </c>
      <c r="C19" s="239">
        <f xml:space="preserve">
IF($A$4&lt;=12,SUMIFS('ON Data'!G:G,'ON Data'!$D:$D,$A$4,'ON Data'!$E:$E,9),SUMIFS('ON Data'!G:G,'ON Data'!$E:$E,9))</f>
        <v>0</v>
      </c>
      <c r="D19" s="240">
        <f xml:space="preserve">
IF($A$4&lt;=12,SUMIFS('ON Data'!H:H,'ON Data'!$D:$D,$A$4,'ON Data'!$E:$E,9),SUMIFS('ON Data'!H:H,'ON Data'!$E:$E,9))</f>
        <v>32024</v>
      </c>
      <c r="E19" s="240">
        <f xml:space="preserve">
IF($A$4&lt;=12,SUMIFS('ON Data'!I:I,'ON Data'!$D:$D,$A$4,'ON Data'!$E:$E,9),SUMIFS('ON Data'!I:I,'ON Data'!$E:$E,9))</f>
        <v>0</v>
      </c>
      <c r="F19" s="240">
        <f xml:space="preserve">
IF($A$4&lt;=12,SUMIFS('ON Data'!K:K,'ON Data'!$D:$D,$A$4,'ON Data'!$E:$E,9),SUMIFS('ON Data'!K:K,'ON Data'!$E:$E,9))</f>
        <v>0</v>
      </c>
      <c r="G19" s="240">
        <f xml:space="preserve">
IF($A$4&lt;=12,SUMIFS('ON Data'!L:L,'ON Data'!$D:$D,$A$4,'ON Data'!$E:$E,9),SUMIFS('ON Data'!L:L,'ON Data'!$E:$E,9))</f>
        <v>0</v>
      </c>
      <c r="H19" s="240">
        <f xml:space="preserve">
IF($A$4&lt;=12,SUMIFS('ON Data'!M:M,'ON Data'!$D:$D,$A$4,'ON Data'!$E:$E,9),SUMIFS('ON Data'!M:M,'ON Data'!$E:$E,9))</f>
        <v>0</v>
      </c>
      <c r="I19" s="240">
        <f xml:space="preserve">
IF($A$4&lt;=12,SUMIFS('ON Data'!N:N,'ON Data'!$D:$D,$A$4,'ON Data'!$E:$E,9),SUMIFS('ON Data'!N:N,'ON Data'!$E:$E,9))</f>
        <v>0</v>
      </c>
      <c r="J19" s="240">
        <f xml:space="preserve">
IF($A$4&lt;=12,SUMIFS('ON Data'!O:O,'ON Data'!$D:$D,$A$4,'ON Data'!$E:$E,9),SUMIFS('ON Data'!O:O,'ON Data'!$E:$E,9))</f>
        <v>0</v>
      </c>
      <c r="K19" s="240">
        <f xml:space="preserve">
IF($A$4&lt;=12,SUMIFS('ON Data'!P:P,'ON Data'!$D:$D,$A$4,'ON Data'!$E:$E,9),SUMIFS('ON Data'!P:P,'ON Data'!$E:$E,9))</f>
        <v>0</v>
      </c>
      <c r="L19" s="240">
        <f xml:space="preserve">
IF($A$4&lt;=12,SUMIFS('ON Data'!Q:Q,'ON Data'!$D:$D,$A$4,'ON Data'!$E:$E,9),SUMIFS('ON Data'!Q:Q,'ON Data'!$E:$E,9))</f>
        <v>0</v>
      </c>
      <c r="M19" s="240">
        <f xml:space="preserve">
IF($A$4&lt;=12,SUMIFS('ON Data'!R:R,'ON Data'!$D:$D,$A$4,'ON Data'!$E:$E,9),SUMIFS('ON Data'!R:R,'ON Data'!$E:$E,9))</f>
        <v>0</v>
      </c>
      <c r="N19" s="240">
        <f xml:space="preserve">
IF($A$4&lt;=12,SUMIFS('ON Data'!S:S,'ON Data'!$D:$D,$A$4,'ON Data'!$E:$E,9),SUMIFS('ON Data'!S:S,'ON Data'!$E:$E,9))</f>
        <v>0</v>
      </c>
      <c r="O19" s="240">
        <f xml:space="preserve">
IF($A$4&lt;=12,SUMIFS('ON Data'!T:T,'ON Data'!$D:$D,$A$4,'ON Data'!$E:$E,9),SUMIFS('ON Data'!T:T,'ON Data'!$E:$E,9))</f>
        <v>0</v>
      </c>
      <c r="P19" s="240">
        <f xml:space="preserve">
IF($A$4&lt;=12,SUMIFS('ON Data'!U:U,'ON Data'!$D:$D,$A$4,'ON Data'!$E:$E,9),SUMIFS('ON Data'!U:U,'ON Data'!$E:$E,9))</f>
        <v>0</v>
      </c>
      <c r="Q19" s="240">
        <f xml:space="preserve">
IF($A$4&lt;=12,SUMIFS('ON Data'!V:V,'ON Data'!$D:$D,$A$4,'ON Data'!$E:$E,9),SUMIFS('ON Data'!V:V,'ON Data'!$E:$E,9))</f>
        <v>0</v>
      </c>
      <c r="R19" s="240">
        <f xml:space="preserve">
IF($A$4&lt;=12,SUMIFS('ON Data'!W:W,'ON Data'!$D:$D,$A$4,'ON Data'!$E:$E,9),SUMIFS('ON Data'!W:W,'ON Data'!$E:$E,9))</f>
        <v>0</v>
      </c>
      <c r="S19" s="240">
        <f xml:space="preserve">
IF($A$4&lt;=12,SUMIFS('ON Data'!X:X,'ON Data'!$D:$D,$A$4,'ON Data'!$E:$E,9),SUMIFS('ON Data'!X:X,'ON Data'!$E:$E,9))</f>
        <v>0</v>
      </c>
      <c r="T19" s="240">
        <f xml:space="preserve">
IF($A$4&lt;=12,SUMIFS('ON Data'!Y:Y,'ON Data'!$D:$D,$A$4,'ON Data'!$E:$E,9),SUMIFS('ON Data'!Y:Y,'ON Data'!$E:$E,9))</f>
        <v>0</v>
      </c>
      <c r="U19" s="240">
        <f xml:space="preserve">
IF($A$4&lt;=12,SUMIFS('ON Data'!Z:Z,'ON Data'!$D:$D,$A$4,'ON Data'!$E:$E,9),SUMIFS('ON Data'!Z:Z,'ON Data'!$E:$E,9))</f>
        <v>60989</v>
      </c>
      <c r="V19" s="240">
        <f xml:space="preserve">
IF($A$4&lt;=12,SUMIFS('ON Data'!AA:AA,'ON Data'!$D:$D,$A$4,'ON Data'!$E:$E,9),SUMIFS('ON Data'!AA:AA,'ON Data'!$E:$E,9))</f>
        <v>0</v>
      </c>
      <c r="W19" s="240">
        <f xml:space="preserve">
IF($A$4&lt;=12,SUMIFS('ON Data'!AB:AB,'ON Data'!$D:$D,$A$4,'ON Data'!$E:$E,9),SUMIFS('ON Data'!AB:AB,'ON Data'!$E:$E,9))</f>
        <v>0</v>
      </c>
      <c r="X19" s="240">
        <f xml:space="preserve">
IF($A$4&lt;=12,SUMIFS('ON Data'!AC:AC,'ON Data'!$D:$D,$A$4,'ON Data'!$E:$E,9),SUMIFS('ON Data'!AC:AC,'ON Data'!$E:$E,9))</f>
        <v>0</v>
      </c>
      <c r="Y19" s="240">
        <f xml:space="preserve">
IF($A$4&lt;=12,SUMIFS('ON Data'!AD:AD,'ON Data'!$D:$D,$A$4,'ON Data'!$E:$E,9),SUMIFS('ON Data'!AD:AD,'ON Data'!$E:$E,9))</f>
        <v>0</v>
      </c>
      <c r="Z19" s="240">
        <f xml:space="preserve">
IF($A$4&lt;=12,SUMIFS('ON Data'!AE:AE,'ON Data'!$D:$D,$A$4,'ON Data'!$E:$E,9),SUMIFS('ON Data'!AE:AE,'ON Data'!$E:$E,9))</f>
        <v>0</v>
      </c>
      <c r="AA19" s="240">
        <f xml:space="preserve">
IF($A$4&lt;=12,SUMIFS('ON Data'!AF:AF,'ON Data'!$D:$D,$A$4,'ON Data'!$E:$E,9),SUMIFS('ON Data'!AF:AF,'ON Data'!$E:$E,9))</f>
        <v>0</v>
      </c>
      <c r="AB19" s="240">
        <f xml:space="preserve">
IF($A$4&lt;=12,SUMIFS('ON Data'!AG:AG,'ON Data'!$D:$D,$A$4,'ON Data'!$E:$E,9),SUMIFS('ON Data'!AG:AG,'ON Data'!$E:$E,9))</f>
        <v>7004</v>
      </c>
      <c r="AC19" s="240">
        <f xml:space="preserve">
IF($A$4&lt;=12,SUMIFS('ON Data'!AH:AH,'ON Data'!$D:$D,$A$4,'ON Data'!$E:$E,9),SUMIFS('ON Data'!AH:AH,'ON Data'!$E:$E,9))</f>
        <v>8425</v>
      </c>
      <c r="AD19" s="240">
        <f xml:space="preserve">
IF($A$4&lt;=12,SUMIFS('ON Data'!AI:AI,'ON Data'!$D:$D,$A$4,'ON Data'!$E:$E,9),SUMIFS('ON Data'!AI:AI,'ON Data'!$E:$E,9))</f>
        <v>0</v>
      </c>
      <c r="AE19" s="240">
        <f xml:space="preserve">
IF($A$4&lt;=12,SUMIFS('ON Data'!AJ:AJ,'ON Data'!$D:$D,$A$4,'ON Data'!$E:$E,9),SUMIFS('ON Data'!AJ:AJ,'ON Data'!$E:$E,9))</f>
        <v>0</v>
      </c>
      <c r="AF19" s="240">
        <f xml:space="preserve">
IF($A$4&lt;=12,SUMIFS('ON Data'!AK:AK,'ON Data'!$D:$D,$A$4,'ON Data'!$E:$E,9),SUMIFS('ON Data'!AK:AK,'ON Data'!$E:$E,9))</f>
        <v>0</v>
      </c>
      <c r="AG19" s="240">
        <f xml:space="preserve">
IF($A$4&lt;=12,SUMIFS('ON Data'!AM:AM,'ON Data'!$D:$D,$A$4,'ON Data'!$E:$E,9),SUMIFS('ON Data'!AM:AM,'ON Data'!$E:$E,9))</f>
        <v>1200</v>
      </c>
      <c r="AH19" s="403">
        <f xml:space="preserve">
IF($A$4&lt;=12,SUMIFS('ON Data'!AN:AN,'ON Data'!$D:$D,$A$4,'ON Data'!$E:$E,9),SUMIFS('ON Data'!AN:AN,'ON Data'!$E:$E,9))</f>
        <v>0</v>
      </c>
      <c r="AI19" s="410"/>
    </row>
    <row r="20" spans="1:35" ht="15" collapsed="1" thickBot="1" x14ac:dyDescent="0.35">
      <c r="A20" s="216" t="s">
        <v>59</v>
      </c>
      <c r="B20" s="241">
        <f xml:space="preserve">
IF($A$4&lt;=12,SUMIFS('ON Data'!F:F,'ON Data'!$D:$D,$A$4,'ON Data'!$E:$E,6),SUMIFS('ON Data'!F:F,'ON Data'!$E:$E,6))</f>
        <v>5048801</v>
      </c>
      <c r="C20" s="242">
        <f xml:space="preserve">
IF($A$4&lt;=12,SUMIFS('ON Data'!G:G,'ON Data'!$D:$D,$A$4,'ON Data'!$E:$E,6),SUMIFS('ON Data'!G:G,'ON Data'!$E:$E,6))</f>
        <v>516900</v>
      </c>
      <c r="D20" s="243">
        <f xml:space="preserve">
IF($A$4&lt;=12,SUMIFS('ON Data'!H:H,'ON Data'!$D:$D,$A$4,'ON Data'!$E:$E,6),SUMIFS('ON Data'!H:H,'ON Data'!$E:$E,6))</f>
        <v>1473487</v>
      </c>
      <c r="E20" s="243">
        <f xml:space="preserve">
IF($A$4&lt;=12,SUMIFS('ON Data'!I:I,'ON Data'!$D:$D,$A$4,'ON Data'!$E:$E,6),SUMIFS('ON Data'!I:I,'ON Data'!$E:$E,6))</f>
        <v>0</v>
      </c>
      <c r="F20" s="243">
        <f xml:space="preserve">
IF($A$4&lt;=12,SUMIFS('ON Data'!K:K,'ON Data'!$D:$D,$A$4,'ON Data'!$E:$E,6),SUMIFS('ON Data'!K:K,'ON Data'!$E:$E,6))</f>
        <v>0</v>
      </c>
      <c r="G20" s="243">
        <f xml:space="preserve">
IF($A$4&lt;=12,SUMIFS('ON Data'!L:L,'ON Data'!$D:$D,$A$4,'ON Data'!$E:$E,6),SUMIFS('ON Data'!L:L,'ON Data'!$E:$E,6))</f>
        <v>0</v>
      </c>
      <c r="H20" s="243">
        <f xml:space="preserve">
IF($A$4&lt;=12,SUMIFS('ON Data'!M:M,'ON Data'!$D:$D,$A$4,'ON Data'!$E:$E,6),SUMIFS('ON Data'!M:M,'ON Data'!$E:$E,6))</f>
        <v>0</v>
      </c>
      <c r="I20" s="243">
        <f xml:space="preserve">
IF($A$4&lt;=12,SUMIFS('ON Data'!N:N,'ON Data'!$D:$D,$A$4,'ON Data'!$E:$E,6),SUMIFS('ON Data'!N:N,'ON Data'!$E:$E,6))</f>
        <v>1044621</v>
      </c>
      <c r="J20" s="243">
        <f xml:space="preserve">
IF($A$4&lt;=12,SUMIFS('ON Data'!O:O,'ON Data'!$D:$D,$A$4,'ON Data'!$E:$E,6),SUMIFS('ON Data'!O:O,'ON Data'!$E:$E,6))</f>
        <v>0</v>
      </c>
      <c r="K20" s="243">
        <f xml:space="preserve">
IF($A$4&lt;=12,SUMIFS('ON Data'!P:P,'ON Data'!$D:$D,$A$4,'ON Data'!$E:$E,6),SUMIFS('ON Data'!P:P,'ON Data'!$E:$E,6))</f>
        <v>0</v>
      </c>
      <c r="L20" s="243">
        <f xml:space="preserve">
IF($A$4&lt;=12,SUMIFS('ON Data'!Q:Q,'ON Data'!$D:$D,$A$4,'ON Data'!$E:$E,6),SUMIFS('ON Data'!Q:Q,'ON Data'!$E:$E,6))</f>
        <v>0</v>
      </c>
      <c r="M20" s="243">
        <f xml:space="preserve">
IF($A$4&lt;=12,SUMIFS('ON Data'!R:R,'ON Data'!$D:$D,$A$4,'ON Data'!$E:$E,6),SUMIFS('ON Data'!R:R,'ON Data'!$E:$E,6))</f>
        <v>0</v>
      </c>
      <c r="N20" s="243">
        <f xml:space="preserve">
IF($A$4&lt;=12,SUMIFS('ON Data'!S:S,'ON Data'!$D:$D,$A$4,'ON Data'!$E:$E,6),SUMIFS('ON Data'!S:S,'ON Data'!$E:$E,6))</f>
        <v>0</v>
      </c>
      <c r="O20" s="243">
        <f xml:space="preserve">
IF($A$4&lt;=12,SUMIFS('ON Data'!T:T,'ON Data'!$D:$D,$A$4,'ON Data'!$E:$E,6),SUMIFS('ON Data'!T:T,'ON Data'!$E:$E,6))</f>
        <v>0</v>
      </c>
      <c r="P20" s="243">
        <f xml:space="preserve">
IF($A$4&lt;=12,SUMIFS('ON Data'!U:U,'ON Data'!$D:$D,$A$4,'ON Data'!$E:$E,6),SUMIFS('ON Data'!U:U,'ON Data'!$E:$E,6))</f>
        <v>0</v>
      </c>
      <c r="Q20" s="243">
        <f xml:space="preserve">
IF($A$4&lt;=12,SUMIFS('ON Data'!V:V,'ON Data'!$D:$D,$A$4,'ON Data'!$E:$E,6),SUMIFS('ON Data'!V:V,'ON Data'!$E:$E,6))</f>
        <v>0</v>
      </c>
      <c r="R20" s="243">
        <f xml:space="preserve">
IF($A$4&lt;=12,SUMIFS('ON Data'!W:W,'ON Data'!$D:$D,$A$4,'ON Data'!$E:$E,6),SUMIFS('ON Data'!W:W,'ON Data'!$E:$E,6))</f>
        <v>0</v>
      </c>
      <c r="S20" s="243">
        <f xml:space="preserve">
IF($A$4&lt;=12,SUMIFS('ON Data'!X:X,'ON Data'!$D:$D,$A$4,'ON Data'!$E:$E,6),SUMIFS('ON Data'!X:X,'ON Data'!$E:$E,6))</f>
        <v>0</v>
      </c>
      <c r="T20" s="243">
        <f xml:space="preserve">
IF($A$4&lt;=12,SUMIFS('ON Data'!Y:Y,'ON Data'!$D:$D,$A$4,'ON Data'!$E:$E,6),SUMIFS('ON Data'!Y:Y,'ON Data'!$E:$E,6))</f>
        <v>0</v>
      </c>
      <c r="U20" s="243">
        <f xml:space="preserve">
IF($A$4&lt;=12,SUMIFS('ON Data'!Z:Z,'ON Data'!$D:$D,$A$4,'ON Data'!$E:$E,6),SUMIFS('ON Data'!Z:Z,'ON Data'!$E:$E,6))</f>
        <v>1165970</v>
      </c>
      <c r="V20" s="243">
        <f xml:space="preserve">
IF($A$4&lt;=12,SUMIFS('ON Data'!AA:AA,'ON Data'!$D:$D,$A$4,'ON Data'!$E:$E,6),SUMIFS('ON Data'!AA:AA,'ON Data'!$E:$E,6))</f>
        <v>0</v>
      </c>
      <c r="W20" s="243">
        <f xml:space="preserve">
IF($A$4&lt;=12,SUMIFS('ON Data'!AB:AB,'ON Data'!$D:$D,$A$4,'ON Data'!$E:$E,6),SUMIFS('ON Data'!AB:AB,'ON Data'!$E:$E,6))</f>
        <v>0</v>
      </c>
      <c r="X20" s="243">
        <f xml:space="preserve">
IF($A$4&lt;=12,SUMIFS('ON Data'!AC:AC,'ON Data'!$D:$D,$A$4,'ON Data'!$E:$E,6),SUMIFS('ON Data'!AC:AC,'ON Data'!$E:$E,6))</f>
        <v>0</v>
      </c>
      <c r="Y20" s="243">
        <f xml:space="preserve">
IF($A$4&lt;=12,SUMIFS('ON Data'!AD:AD,'ON Data'!$D:$D,$A$4,'ON Data'!$E:$E,6),SUMIFS('ON Data'!AD:AD,'ON Data'!$E:$E,6))</f>
        <v>0</v>
      </c>
      <c r="Z20" s="243">
        <f xml:space="preserve">
IF($A$4&lt;=12,SUMIFS('ON Data'!AE:AE,'ON Data'!$D:$D,$A$4,'ON Data'!$E:$E,6),SUMIFS('ON Data'!AE:AE,'ON Data'!$E:$E,6))</f>
        <v>0</v>
      </c>
      <c r="AA20" s="243">
        <f xml:space="preserve">
IF($A$4&lt;=12,SUMIFS('ON Data'!AF:AF,'ON Data'!$D:$D,$A$4,'ON Data'!$E:$E,6),SUMIFS('ON Data'!AF:AF,'ON Data'!$E:$E,6))</f>
        <v>0</v>
      </c>
      <c r="AB20" s="243">
        <f xml:space="preserve">
IF($A$4&lt;=12,SUMIFS('ON Data'!AG:AG,'ON Data'!$D:$D,$A$4,'ON Data'!$E:$E,6),SUMIFS('ON Data'!AG:AG,'ON Data'!$E:$E,6))</f>
        <v>15700</v>
      </c>
      <c r="AC20" s="243">
        <f xml:space="preserve">
IF($A$4&lt;=12,SUMIFS('ON Data'!AH:AH,'ON Data'!$D:$D,$A$4,'ON Data'!$E:$E,6),SUMIFS('ON Data'!AH:AH,'ON Data'!$E:$E,6))</f>
        <v>522462</v>
      </c>
      <c r="AD20" s="243">
        <f xml:space="preserve">
IF($A$4&lt;=12,SUMIFS('ON Data'!AI:AI,'ON Data'!$D:$D,$A$4,'ON Data'!$E:$E,6),SUMIFS('ON Data'!AI:AI,'ON Data'!$E:$E,6))</f>
        <v>0</v>
      </c>
      <c r="AE20" s="243">
        <f xml:space="preserve">
IF($A$4&lt;=12,SUMIFS('ON Data'!AJ:AJ,'ON Data'!$D:$D,$A$4,'ON Data'!$E:$E,6),SUMIFS('ON Data'!AJ:AJ,'ON Data'!$E:$E,6))</f>
        <v>0</v>
      </c>
      <c r="AF20" s="243">
        <f xml:space="preserve">
IF($A$4&lt;=12,SUMIFS('ON Data'!AK:AK,'ON Data'!$D:$D,$A$4,'ON Data'!$E:$E,6),SUMIFS('ON Data'!AK:AK,'ON Data'!$E:$E,6))</f>
        <v>0</v>
      </c>
      <c r="AG20" s="243">
        <f xml:space="preserve">
IF($A$4&lt;=12,SUMIFS('ON Data'!AM:AM,'ON Data'!$D:$D,$A$4,'ON Data'!$E:$E,6),SUMIFS('ON Data'!AM:AM,'ON Data'!$E:$E,6))</f>
        <v>267464</v>
      </c>
      <c r="AH20" s="404">
        <f xml:space="preserve">
IF($A$4&lt;=12,SUMIFS('ON Data'!AN:AN,'ON Data'!$D:$D,$A$4,'ON Data'!$E:$E,6),SUMIFS('ON Data'!AN:AN,'ON Data'!$E:$E,6))</f>
        <v>42197</v>
      </c>
      <c r="AI20" s="410"/>
    </row>
    <row r="21" spans="1:35" ht="15" hidden="1" outlineLevel="1" thickBot="1" x14ac:dyDescent="0.35">
      <c r="A21" s="209" t="s">
        <v>94</v>
      </c>
      <c r="B21" s="229"/>
      <c r="C21" s="230"/>
      <c r="D21" s="231"/>
      <c r="E21" s="231"/>
      <c r="F21" s="231"/>
      <c r="G21" s="231"/>
      <c r="H21" s="231"/>
      <c r="I21" s="231"/>
      <c r="J21" s="231"/>
      <c r="K21" s="231"/>
      <c r="L21" s="231"/>
      <c r="M21" s="231"/>
      <c r="N21" s="231"/>
      <c r="O21" s="231"/>
      <c r="P21" s="231"/>
      <c r="Q21" s="231"/>
      <c r="R21" s="231"/>
      <c r="S21" s="231"/>
      <c r="T21" s="231"/>
      <c r="U21" s="231"/>
      <c r="V21" s="231"/>
      <c r="W21" s="231"/>
      <c r="X21" s="231"/>
      <c r="Y21" s="231"/>
      <c r="Z21" s="231"/>
      <c r="AA21" s="231"/>
      <c r="AB21" s="231"/>
      <c r="AC21" s="231"/>
      <c r="AD21" s="231"/>
      <c r="AE21" s="231"/>
      <c r="AF21" s="231"/>
      <c r="AG21" s="231"/>
      <c r="AH21" s="400"/>
      <c r="AI21" s="410"/>
    </row>
    <row r="22" spans="1:35" ht="15" hidden="1" outlineLevel="1" thickBot="1" x14ac:dyDescent="0.35">
      <c r="A22" s="209" t="s">
        <v>61</v>
      </c>
      <c r="B22" s="229"/>
      <c r="C22" s="230"/>
      <c r="D22" s="231"/>
      <c r="E22" s="231"/>
      <c r="F22" s="231"/>
      <c r="G22" s="231"/>
      <c r="H22" s="231"/>
      <c r="I22" s="231"/>
      <c r="J22" s="231"/>
      <c r="K22" s="231"/>
      <c r="L22" s="231"/>
      <c r="M22" s="231"/>
      <c r="N22" s="231"/>
      <c r="O22" s="231"/>
      <c r="P22" s="231"/>
      <c r="Q22" s="231"/>
      <c r="R22" s="231"/>
      <c r="S22" s="231"/>
      <c r="T22" s="231"/>
      <c r="U22" s="231"/>
      <c r="V22" s="231"/>
      <c r="W22" s="231"/>
      <c r="X22" s="231"/>
      <c r="Y22" s="231"/>
      <c r="Z22" s="231"/>
      <c r="AA22" s="231"/>
      <c r="AB22" s="231"/>
      <c r="AC22" s="231"/>
      <c r="AD22" s="231"/>
      <c r="AE22" s="231"/>
      <c r="AF22" s="231"/>
      <c r="AG22" s="231"/>
      <c r="AH22" s="400"/>
      <c r="AI22" s="410"/>
    </row>
    <row r="23" spans="1:35" ht="15" hidden="1" outlineLevel="1" thickBot="1" x14ac:dyDescent="0.35">
      <c r="A23" s="217" t="s">
        <v>54</v>
      </c>
      <c r="B23" s="232"/>
      <c r="C23" s="233"/>
      <c r="D23" s="234"/>
      <c r="E23" s="234"/>
      <c r="F23" s="234"/>
      <c r="G23" s="234"/>
      <c r="H23" s="234"/>
      <c r="I23" s="234"/>
      <c r="J23" s="234"/>
      <c r="K23" s="234"/>
      <c r="L23" s="234"/>
      <c r="M23" s="234"/>
      <c r="N23" s="234"/>
      <c r="O23" s="234"/>
      <c r="P23" s="234"/>
      <c r="Q23" s="234"/>
      <c r="R23" s="234"/>
      <c r="S23" s="234"/>
      <c r="T23" s="234"/>
      <c r="U23" s="234"/>
      <c r="V23" s="234"/>
      <c r="W23" s="234"/>
      <c r="X23" s="234"/>
      <c r="Y23" s="234"/>
      <c r="Z23" s="234"/>
      <c r="AA23" s="234"/>
      <c r="AB23" s="234"/>
      <c r="AC23" s="234"/>
      <c r="AD23" s="234"/>
      <c r="AE23" s="234"/>
      <c r="AF23" s="234"/>
      <c r="AG23" s="234"/>
      <c r="AH23" s="401"/>
      <c r="AI23" s="410"/>
    </row>
    <row r="24" spans="1:35" x14ac:dyDescent="0.3">
      <c r="A24" s="211" t="s">
        <v>187</v>
      </c>
      <c r="B24" s="258" t="s">
        <v>3</v>
      </c>
      <c r="C24" s="411" t="s">
        <v>198</v>
      </c>
      <c r="D24" s="385"/>
      <c r="E24" s="386"/>
      <c r="F24" s="386" t="s">
        <v>199</v>
      </c>
      <c r="G24" s="386"/>
      <c r="H24" s="386"/>
      <c r="I24" s="386"/>
      <c r="J24" s="386"/>
      <c r="K24" s="386"/>
      <c r="L24" s="386"/>
      <c r="M24" s="386"/>
      <c r="N24" s="386"/>
      <c r="O24" s="386"/>
      <c r="P24" s="386"/>
      <c r="Q24" s="386"/>
      <c r="R24" s="386"/>
      <c r="S24" s="386"/>
      <c r="T24" s="386"/>
      <c r="U24" s="386"/>
      <c r="V24" s="386"/>
      <c r="W24" s="386"/>
      <c r="X24" s="386"/>
      <c r="Y24" s="386"/>
      <c r="Z24" s="386"/>
      <c r="AA24" s="386"/>
      <c r="AB24" s="386"/>
      <c r="AC24" s="386"/>
      <c r="AD24" s="386"/>
      <c r="AE24" s="386"/>
      <c r="AF24" s="386"/>
      <c r="AG24" s="386" t="s">
        <v>200</v>
      </c>
      <c r="AH24" s="405"/>
      <c r="AI24" s="410"/>
    </row>
    <row r="25" spans="1:35" x14ac:dyDescent="0.3">
      <c r="A25" s="212" t="s">
        <v>59</v>
      </c>
      <c r="B25" s="229">
        <f xml:space="preserve">
SUM(C25:AH25)</f>
        <v>16610</v>
      </c>
      <c r="C25" s="412">
        <f xml:space="preserve">
IF($A$4&lt;=12,SUMIFS('ON Data'!H:H,'ON Data'!$D:$D,$A$4,'ON Data'!$E:$E,10),SUMIFS('ON Data'!H:H,'ON Data'!$E:$E,10))</f>
        <v>2200</v>
      </c>
      <c r="D25" s="387"/>
      <c r="E25" s="388"/>
      <c r="F25" s="388">
        <f xml:space="preserve">
IF($A$4&lt;=12,SUMIFS('ON Data'!K:K,'ON Data'!$D:$D,$A$4,'ON Data'!$E:$E,10),SUMIFS('ON Data'!K:K,'ON Data'!$E:$E,10))</f>
        <v>14410</v>
      </c>
      <c r="G25" s="388"/>
      <c r="H25" s="388"/>
      <c r="I25" s="388"/>
      <c r="J25" s="388"/>
      <c r="K25" s="388"/>
      <c r="L25" s="388"/>
      <c r="M25" s="388"/>
      <c r="N25" s="388"/>
      <c r="O25" s="388"/>
      <c r="P25" s="388"/>
      <c r="Q25" s="388"/>
      <c r="R25" s="388"/>
      <c r="S25" s="388"/>
      <c r="T25" s="388"/>
      <c r="U25" s="388"/>
      <c r="V25" s="388"/>
      <c r="W25" s="388"/>
      <c r="X25" s="388"/>
      <c r="Y25" s="388"/>
      <c r="Z25" s="388"/>
      <c r="AA25" s="388"/>
      <c r="AB25" s="388"/>
      <c r="AC25" s="388"/>
      <c r="AD25" s="388"/>
      <c r="AE25" s="388"/>
      <c r="AF25" s="388"/>
      <c r="AG25" s="388">
        <f xml:space="preserve">
IF($A$4&lt;=12,SUMIFS('ON Data'!AM:AM,'ON Data'!$D:$D,$A$4,'ON Data'!$E:$E,10),SUMIFS('ON Data'!AM:AM,'ON Data'!$E:$E,10))</f>
        <v>0</v>
      </c>
      <c r="AH25" s="406"/>
      <c r="AI25" s="410"/>
    </row>
    <row r="26" spans="1:35" x14ac:dyDescent="0.3">
      <c r="A26" s="218" t="s">
        <v>197</v>
      </c>
      <c r="B26" s="238">
        <f xml:space="preserve">
SUM(C26:AH26)</f>
        <v>22827.5</v>
      </c>
      <c r="C26" s="412">
        <f xml:space="preserve">
IF($A$4&lt;=12,SUMIFS('ON Data'!H:H,'ON Data'!$D:$D,$A$4,'ON Data'!$E:$E,11),SUMIFS('ON Data'!H:H,'ON Data'!$E:$E,11))</f>
        <v>10327.5</v>
      </c>
      <c r="D26" s="387"/>
      <c r="E26" s="388"/>
      <c r="F26" s="389">
        <f xml:space="preserve">
IF($A$4&lt;=12,SUMIFS('ON Data'!K:K,'ON Data'!$D:$D,$A$4,'ON Data'!$E:$E,11),SUMIFS('ON Data'!K:K,'ON Data'!$E:$E,11))</f>
        <v>12500</v>
      </c>
      <c r="G26" s="389"/>
      <c r="H26" s="389"/>
      <c r="I26" s="389"/>
      <c r="J26" s="389"/>
      <c r="K26" s="389"/>
      <c r="L26" s="389"/>
      <c r="M26" s="389"/>
      <c r="N26" s="389"/>
      <c r="O26" s="389"/>
      <c r="P26" s="389"/>
      <c r="Q26" s="389"/>
      <c r="R26" s="389"/>
      <c r="S26" s="389"/>
      <c r="T26" s="389"/>
      <c r="U26" s="389"/>
      <c r="V26" s="389"/>
      <c r="W26" s="389"/>
      <c r="X26" s="389"/>
      <c r="Y26" s="389"/>
      <c r="Z26" s="389"/>
      <c r="AA26" s="389"/>
      <c r="AB26" s="389"/>
      <c r="AC26" s="389"/>
      <c r="AD26" s="389"/>
      <c r="AE26" s="389"/>
      <c r="AF26" s="389"/>
      <c r="AG26" s="388">
        <f xml:space="preserve">
IF($A$4&lt;=12,SUMIFS('ON Data'!AM:AM,'ON Data'!$D:$D,$A$4,'ON Data'!$E:$E,11),SUMIFS('ON Data'!AM:AM,'ON Data'!$E:$E,11))</f>
        <v>0</v>
      </c>
      <c r="AH26" s="407"/>
      <c r="AI26" s="410"/>
    </row>
    <row r="27" spans="1:35" x14ac:dyDescent="0.3">
      <c r="A27" s="218" t="s">
        <v>61</v>
      </c>
      <c r="B27" s="259">
        <f xml:space="preserve">
IF(B26=0,0,B25/B26)</f>
        <v>0.72763114664330308</v>
      </c>
      <c r="C27" s="413">
        <f xml:space="preserve">
IF(C26=0,0,C25/C26)</f>
        <v>0.2130234809973372</v>
      </c>
      <c r="D27" s="390"/>
      <c r="E27" s="391"/>
      <c r="F27" s="391">
        <f xml:space="preserve">
IF(F26=0,0,F25/F26)</f>
        <v>1.1528</v>
      </c>
      <c r="G27" s="391"/>
      <c r="H27" s="391"/>
      <c r="I27" s="391"/>
      <c r="J27" s="391"/>
      <c r="K27" s="391"/>
      <c r="L27" s="391"/>
      <c r="M27" s="391"/>
      <c r="N27" s="391"/>
      <c r="O27" s="391"/>
      <c r="P27" s="391"/>
      <c r="Q27" s="391"/>
      <c r="R27" s="391"/>
      <c r="S27" s="391"/>
      <c r="T27" s="391"/>
      <c r="U27" s="391"/>
      <c r="V27" s="391"/>
      <c r="W27" s="391"/>
      <c r="X27" s="391"/>
      <c r="Y27" s="391"/>
      <c r="Z27" s="391"/>
      <c r="AA27" s="391"/>
      <c r="AB27" s="391"/>
      <c r="AC27" s="391"/>
      <c r="AD27" s="391"/>
      <c r="AE27" s="391"/>
      <c r="AF27" s="391"/>
      <c r="AG27" s="391">
        <f xml:space="preserve">
IF(AG26=0,0,AG25/AG26)</f>
        <v>0</v>
      </c>
      <c r="AH27" s="408"/>
      <c r="AI27" s="410"/>
    </row>
    <row r="28" spans="1:35" ht="15" thickBot="1" x14ac:dyDescent="0.35">
      <c r="A28" s="218" t="s">
        <v>196</v>
      </c>
      <c r="B28" s="238">
        <f xml:space="preserve">
SUM(C28:AH28)</f>
        <v>6217.5</v>
      </c>
      <c r="C28" s="414">
        <f xml:space="preserve">
C26-C25</f>
        <v>8127.5</v>
      </c>
      <c r="D28" s="392"/>
      <c r="E28" s="393"/>
      <c r="F28" s="393">
        <f xml:space="preserve">
F26-F25</f>
        <v>-1910</v>
      </c>
      <c r="G28" s="393"/>
      <c r="H28" s="393"/>
      <c r="I28" s="393"/>
      <c r="J28" s="393"/>
      <c r="K28" s="393"/>
      <c r="L28" s="393"/>
      <c r="M28" s="393"/>
      <c r="N28" s="393"/>
      <c r="O28" s="393"/>
      <c r="P28" s="393"/>
      <c r="Q28" s="393"/>
      <c r="R28" s="393"/>
      <c r="S28" s="393"/>
      <c r="T28" s="393"/>
      <c r="U28" s="393"/>
      <c r="V28" s="393"/>
      <c r="W28" s="393"/>
      <c r="X28" s="393"/>
      <c r="Y28" s="393"/>
      <c r="Z28" s="393"/>
      <c r="AA28" s="393"/>
      <c r="AB28" s="393"/>
      <c r="AC28" s="393"/>
      <c r="AD28" s="393"/>
      <c r="AE28" s="393"/>
      <c r="AF28" s="393"/>
      <c r="AG28" s="393">
        <f xml:space="preserve">
AG26-AG25</f>
        <v>0</v>
      </c>
      <c r="AH28" s="409"/>
      <c r="AI28" s="410"/>
    </row>
    <row r="29" spans="1:35" x14ac:dyDescent="0.3">
      <c r="A29" s="219"/>
      <c r="B29" s="219"/>
      <c r="C29" s="220"/>
      <c r="D29" s="219"/>
      <c r="E29" s="219"/>
      <c r="F29" s="220"/>
      <c r="G29" s="220"/>
      <c r="H29" s="220"/>
      <c r="I29" s="220"/>
      <c r="J29" s="220"/>
      <c r="K29" s="220"/>
      <c r="L29" s="220"/>
      <c r="M29" s="220"/>
      <c r="N29" s="220"/>
      <c r="O29" s="220"/>
      <c r="P29" s="220"/>
      <c r="Q29" s="220"/>
      <c r="R29" s="220"/>
      <c r="S29" s="220"/>
      <c r="T29" s="220"/>
      <c r="U29" s="220"/>
      <c r="V29" s="220"/>
      <c r="W29" s="220"/>
      <c r="X29" s="220"/>
      <c r="Y29" s="220"/>
      <c r="Z29" s="220"/>
      <c r="AA29" s="220"/>
      <c r="AB29" s="220"/>
      <c r="AC29" s="220"/>
      <c r="AD29" s="220"/>
      <c r="AE29" s="219"/>
      <c r="AF29" s="219"/>
      <c r="AG29" s="219"/>
      <c r="AH29" s="219"/>
    </row>
    <row r="30" spans="1:35" x14ac:dyDescent="0.3">
      <c r="A30" s="88" t="s">
        <v>128</v>
      </c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24"/>
      <c r="AH30" s="124"/>
    </row>
    <row r="31" spans="1:35" x14ac:dyDescent="0.3">
      <c r="A31" s="89" t="s">
        <v>194</v>
      </c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24"/>
      <c r="AH31" s="124"/>
    </row>
    <row r="32" spans="1:35" ht="14.4" customHeight="1" x14ac:dyDescent="0.3">
      <c r="A32" s="255" t="s">
        <v>191</v>
      </c>
      <c r="B32" s="256"/>
      <c r="C32" s="256"/>
      <c r="D32" s="256"/>
      <c r="E32" s="256"/>
      <c r="F32" s="256"/>
      <c r="G32" s="256"/>
      <c r="H32" s="256"/>
      <c r="I32" s="256"/>
      <c r="J32" s="256"/>
      <c r="K32" s="256"/>
      <c r="L32" s="256"/>
      <c r="M32" s="256"/>
      <c r="N32" s="256"/>
      <c r="O32" s="256"/>
      <c r="P32" s="256"/>
      <c r="Q32" s="256"/>
      <c r="R32" s="256"/>
      <c r="S32" s="256"/>
      <c r="T32" s="256"/>
      <c r="U32" s="256"/>
      <c r="V32" s="256"/>
      <c r="W32" s="256"/>
      <c r="X32" s="256"/>
      <c r="Y32" s="256"/>
      <c r="Z32" s="256"/>
      <c r="AA32" s="256"/>
      <c r="AB32" s="256"/>
      <c r="AC32" s="256"/>
      <c r="AD32" s="256"/>
      <c r="AE32" s="256"/>
      <c r="AF32" s="256"/>
    </row>
    <row r="33" spans="1:1" x14ac:dyDescent="0.3">
      <c r="A33" s="257" t="s">
        <v>201</v>
      </c>
    </row>
    <row r="34" spans="1:1" x14ac:dyDescent="0.3">
      <c r="A34" s="257" t="s">
        <v>202</v>
      </c>
    </row>
    <row r="35" spans="1:1" x14ac:dyDescent="0.3">
      <c r="A35" s="257" t="s">
        <v>203</v>
      </c>
    </row>
    <row r="36" spans="1:1" x14ac:dyDescent="0.3">
      <c r="A36" s="257" t="s">
        <v>204</v>
      </c>
    </row>
  </sheetData>
  <mergeCells count="17">
    <mergeCell ref="A1:AH1"/>
    <mergeCell ref="B3:B4"/>
    <mergeCell ref="AG24:AH24"/>
    <mergeCell ref="AG25:AH25"/>
    <mergeCell ref="C24:E24"/>
    <mergeCell ref="AG26:AH26"/>
    <mergeCell ref="C25:E25"/>
    <mergeCell ref="C26:E26"/>
    <mergeCell ref="F24:AF24"/>
    <mergeCell ref="F25:AF25"/>
    <mergeCell ref="F26:AF26"/>
    <mergeCell ref="C28:E28"/>
    <mergeCell ref="AG27:AH27"/>
    <mergeCell ref="AG28:AH28"/>
    <mergeCell ref="C27:E27"/>
    <mergeCell ref="F27:AF27"/>
    <mergeCell ref="F28:AF28"/>
  </mergeCells>
  <conditionalFormatting sqref="C27 AG27 F27">
    <cfRule type="cellIs" dxfId="2" priority="2" operator="greaterThan">
      <formula>1</formula>
    </cfRule>
  </conditionalFormatting>
  <conditionalFormatting sqref="C28 AG28 F28">
    <cfRule type="cellIs" dxfId="1" priority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48"/>
  <sheetViews>
    <sheetView showGridLines="0" showRowColHeaders="0" workbookViewId="0"/>
  </sheetViews>
  <sheetFormatPr defaultRowHeight="14.4" x14ac:dyDescent="0.3"/>
  <cols>
    <col min="1" max="16384" width="8.88671875" style="198"/>
  </cols>
  <sheetData>
    <row r="1" spans="1:40" x14ac:dyDescent="0.3">
      <c r="A1" s="198" t="s">
        <v>711</v>
      </c>
    </row>
    <row r="2" spans="1:40" x14ac:dyDescent="0.3">
      <c r="A2" s="202" t="s">
        <v>233</v>
      </c>
    </row>
    <row r="3" spans="1:40" x14ac:dyDescent="0.3">
      <c r="A3" s="198" t="s">
        <v>160</v>
      </c>
      <c r="B3" s="223">
        <v>2014</v>
      </c>
      <c r="D3" s="199">
        <f>MAX(D5:D1048576)</f>
        <v>5</v>
      </c>
      <c r="F3" s="199">
        <f>SUMIF($E5:$E1048576,"&lt;10",F5:F1048576)</f>
        <v>5185006.8000000007</v>
      </c>
      <c r="G3" s="199">
        <f t="shared" ref="G3:AN3" si="0">SUMIF($E5:$E1048576,"&lt;10",G5:G1048576)</f>
        <v>520849</v>
      </c>
      <c r="H3" s="199">
        <f t="shared" si="0"/>
        <v>1510632</v>
      </c>
      <c r="I3" s="199">
        <f t="shared" si="0"/>
        <v>0</v>
      </c>
      <c r="J3" s="199">
        <f t="shared" si="0"/>
        <v>0</v>
      </c>
      <c r="K3" s="199">
        <f t="shared" si="0"/>
        <v>0</v>
      </c>
      <c r="L3" s="199">
        <f t="shared" si="0"/>
        <v>0</v>
      </c>
      <c r="M3" s="199">
        <f t="shared" si="0"/>
        <v>0</v>
      </c>
      <c r="N3" s="199">
        <f t="shared" si="0"/>
        <v>1051362</v>
      </c>
      <c r="O3" s="199">
        <f t="shared" si="0"/>
        <v>0</v>
      </c>
      <c r="P3" s="199">
        <f t="shared" si="0"/>
        <v>0</v>
      </c>
      <c r="Q3" s="199">
        <f t="shared" si="0"/>
        <v>0</v>
      </c>
      <c r="R3" s="199">
        <f t="shared" si="0"/>
        <v>0</v>
      </c>
      <c r="S3" s="199">
        <f t="shared" si="0"/>
        <v>0</v>
      </c>
      <c r="T3" s="199">
        <f t="shared" si="0"/>
        <v>0</v>
      </c>
      <c r="U3" s="199">
        <f t="shared" si="0"/>
        <v>0</v>
      </c>
      <c r="V3" s="199">
        <f t="shared" si="0"/>
        <v>0</v>
      </c>
      <c r="W3" s="199">
        <f t="shared" si="0"/>
        <v>0</v>
      </c>
      <c r="X3" s="199">
        <f t="shared" si="0"/>
        <v>0</v>
      </c>
      <c r="Y3" s="199">
        <f t="shared" si="0"/>
        <v>0</v>
      </c>
      <c r="Z3" s="199">
        <f t="shared" si="0"/>
        <v>1230614.7999999998</v>
      </c>
      <c r="AA3" s="199">
        <f t="shared" si="0"/>
        <v>0</v>
      </c>
      <c r="AB3" s="199">
        <f t="shared" si="0"/>
        <v>0</v>
      </c>
      <c r="AC3" s="199">
        <f t="shared" si="0"/>
        <v>0</v>
      </c>
      <c r="AD3" s="199">
        <f t="shared" si="0"/>
        <v>0</v>
      </c>
      <c r="AE3" s="199">
        <f t="shared" si="0"/>
        <v>0</v>
      </c>
      <c r="AF3" s="199">
        <f t="shared" si="0"/>
        <v>0</v>
      </c>
      <c r="AG3" s="199">
        <f t="shared" si="0"/>
        <v>22726</v>
      </c>
      <c r="AH3" s="199">
        <f t="shared" si="0"/>
        <v>535643</v>
      </c>
      <c r="AI3" s="199">
        <f t="shared" si="0"/>
        <v>0</v>
      </c>
      <c r="AJ3" s="199">
        <f t="shared" si="0"/>
        <v>0</v>
      </c>
      <c r="AK3" s="199">
        <f t="shared" si="0"/>
        <v>0</v>
      </c>
      <c r="AL3" s="199">
        <f t="shared" si="0"/>
        <v>0</v>
      </c>
      <c r="AM3" s="199">
        <f t="shared" si="0"/>
        <v>270596.5</v>
      </c>
      <c r="AN3" s="199">
        <f t="shared" si="0"/>
        <v>42583.5</v>
      </c>
    </row>
    <row r="4" spans="1:40" x14ac:dyDescent="0.3">
      <c r="A4" s="198" t="s">
        <v>161</v>
      </c>
      <c r="B4" s="223">
        <v>1</v>
      </c>
      <c r="C4" s="200" t="s">
        <v>5</v>
      </c>
      <c r="D4" s="201" t="s">
        <v>53</v>
      </c>
      <c r="E4" s="201" t="s">
        <v>155</v>
      </c>
      <c r="F4" s="201" t="s">
        <v>3</v>
      </c>
      <c r="G4" s="201" t="s">
        <v>156</v>
      </c>
      <c r="H4" s="201" t="s">
        <v>157</v>
      </c>
      <c r="I4" s="201" t="s">
        <v>158</v>
      </c>
      <c r="J4" s="201" t="s">
        <v>159</v>
      </c>
      <c r="K4" s="201">
        <v>305</v>
      </c>
      <c r="L4" s="201">
        <v>306</v>
      </c>
      <c r="M4" s="201">
        <v>408</v>
      </c>
      <c r="N4" s="201">
        <v>409</v>
      </c>
      <c r="O4" s="201">
        <v>410</v>
      </c>
      <c r="P4" s="201">
        <v>415</v>
      </c>
      <c r="Q4" s="201">
        <v>416</v>
      </c>
      <c r="R4" s="201">
        <v>418</v>
      </c>
      <c r="S4" s="201">
        <v>419</v>
      </c>
      <c r="T4" s="201">
        <v>420</v>
      </c>
      <c r="U4" s="201">
        <v>421</v>
      </c>
      <c r="V4" s="201">
        <v>522</v>
      </c>
      <c r="W4" s="201">
        <v>523</v>
      </c>
      <c r="X4" s="201">
        <v>524</v>
      </c>
      <c r="Y4" s="201">
        <v>525</v>
      </c>
      <c r="Z4" s="201">
        <v>526</v>
      </c>
      <c r="AA4" s="201">
        <v>527</v>
      </c>
      <c r="AB4" s="201">
        <v>528</v>
      </c>
      <c r="AC4" s="201">
        <v>629</v>
      </c>
      <c r="AD4" s="201">
        <v>630</v>
      </c>
      <c r="AE4" s="201">
        <v>636</v>
      </c>
      <c r="AF4" s="201">
        <v>637</v>
      </c>
      <c r="AG4" s="201">
        <v>640</v>
      </c>
      <c r="AH4" s="201">
        <v>642</v>
      </c>
      <c r="AI4" s="201">
        <v>743</v>
      </c>
      <c r="AJ4" s="201">
        <v>745</v>
      </c>
      <c r="AK4" s="201">
        <v>746</v>
      </c>
      <c r="AL4" s="201">
        <v>747</v>
      </c>
      <c r="AM4" s="201">
        <v>930</v>
      </c>
      <c r="AN4" s="201">
        <v>940</v>
      </c>
    </row>
    <row r="5" spans="1:40" x14ac:dyDescent="0.3">
      <c r="A5" s="198" t="s">
        <v>162</v>
      </c>
      <c r="B5" s="223">
        <v>2</v>
      </c>
      <c r="C5" s="198">
        <v>38</v>
      </c>
      <c r="D5" s="198">
        <v>1</v>
      </c>
      <c r="E5" s="198">
        <v>1</v>
      </c>
      <c r="F5" s="198">
        <v>29.2</v>
      </c>
      <c r="G5" s="198">
        <v>0</v>
      </c>
      <c r="H5" s="198">
        <v>7</v>
      </c>
      <c r="I5" s="198">
        <v>0</v>
      </c>
      <c r="J5" s="198">
        <v>0</v>
      </c>
      <c r="K5" s="198">
        <v>0</v>
      </c>
      <c r="L5" s="198">
        <v>0</v>
      </c>
      <c r="M5" s="198">
        <v>0</v>
      </c>
      <c r="N5" s="198">
        <v>9</v>
      </c>
      <c r="O5" s="198">
        <v>0</v>
      </c>
      <c r="P5" s="198">
        <v>0</v>
      </c>
      <c r="Q5" s="198">
        <v>0</v>
      </c>
      <c r="R5" s="198">
        <v>0</v>
      </c>
      <c r="S5" s="198">
        <v>0</v>
      </c>
      <c r="T5" s="198">
        <v>0</v>
      </c>
      <c r="U5" s="198">
        <v>0</v>
      </c>
      <c r="V5" s="198">
        <v>0</v>
      </c>
      <c r="W5" s="198">
        <v>0</v>
      </c>
      <c r="X5" s="198">
        <v>0</v>
      </c>
      <c r="Y5" s="198">
        <v>0</v>
      </c>
      <c r="Z5" s="198">
        <v>4.2</v>
      </c>
      <c r="AA5" s="198">
        <v>0</v>
      </c>
      <c r="AB5" s="198">
        <v>0</v>
      </c>
      <c r="AC5" s="198">
        <v>0</v>
      </c>
      <c r="AD5" s="198">
        <v>0</v>
      </c>
      <c r="AE5" s="198">
        <v>0</v>
      </c>
      <c r="AF5" s="198">
        <v>0</v>
      </c>
      <c r="AG5" s="198">
        <v>0</v>
      </c>
      <c r="AH5" s="198">
        <v>6</v>
      </c>
      <c r="AI5" s="198">
        <v>0</v>
      </c>
      <c r="AJ5" s="198">
        <v>0</v>
      </c>
      <c r="AK5" s="198">
        <v>0</v>
      </c>
      <c r="AL5" s="198">
        <v>0</v>
      </c>
      <c r="AM5" s="198">
        <v>2.5</v>
      </c>
      <c r="AN5" s="198">
        <v>0.5</v>
      </c>
    </row>
    <row r="6" spans="1:40" x14ac:dyDescent="0.3">
      <c r="A6" s="198" t="s">
        <v>163</v>
      </c>
      <c r="B6" s="223">
        <v>3</v>
      </c>
      <c r="C6" s="198">
        <v>38</v>
      </c>
      <c r="D6" s="198">
        <v>1</v>
      </c>
      <c r="E6" s="198">
        <v>2</v>
      </c>
      <c r="F6" s="198">
        <v>4856.8</v>
      </c>
      <c r="G6" s="198">
        <v>0</v>
      </c>
      <c r="H6" s="198">
        <v>1080</v>
      </c>
      <c r="I6" s="198">
        <v>0</v>
      </c>
      <c r="J6" s="198">
        <v>0</v>
      </c>
      <c r="K6" s="198">
        <v>0</v>
      </c>
      <c r="L6" s="198">
        <v>0</v>
      </c>
      <c r="M6" s="198">
        <v>0</v>
      </c>
      <c r="N6" s="198">
        <v>1480</v>
      </c>
      <c r="O6" s="198">
        <v>0</v>
      </c>
      <c r="P6" s="198">
        <v>0</v>
      </c>
      <c r="Q6" s="198">
        <v>0</v>
      </c>
      <c r="R6" s="198">
        <v>0</v>
      </c>
      <c r="S6" s="198">
        <v>0</v>
      </c>
      <c r="T6" s="198">
        <v>0</v>
      </c>
      <c r="U6" s="198">
        <v>0</v>
      </c>
      <c r="V6" s="198">
        <v>0</v>
      </c>
      <c r="W6" s="198">
        <v>0</v>
      </c>
      <c r="X6" s="198">
        <v>0</v>
      </c>
      <c r="Y6" s="198">
        <v>0</v>
      </c>
      <c r="Z6" s="198">
        <v>708.8</v>
      </c>
      <c r="AA6" s="198">
        <v>0</v>
      </c>
      <c r="AB6" s="198">
        <v>0</v>
      </c>
      <c r="AC6" s="198">
        <v>0</v>
      </c>
      <c r="AD6" s="198">
        <v>0</v>
      </c>
      <c r="AE6" s="198">
        <v>0</v>
      </c>
      <c r="AF6" s="198">
        <v>0</v>
      </c>
      <c r="AG6" s="198">
        <v>0</v>
      </c>
      <c r="AH6" s="198">
        <v>1080</v>
      </c>
      <c r="AI6" s="198">
        <v>0</v>
      </c>
      <c r="AJ6" s="198">
        <v>0</v>
      </c>
      <c r="AK6" s="198">
        <v>0</v>
      </c>
      <c r="AL6" s="198">
        <v>0</v>
      </c>
      <c r="AM6" s="198">
        <v>448</v>
      </c>
      <c r="AN6" s="198">
        <v>60</v>
      </c>
    </row>
    <row r="7" spans="1:40" x14ac:dyDescent="0.3">
      <c r="A7" s="198" t="s">
        <v>164</v>
      </c>
      <c r="B7" s="223">
        <v>4</v>
      </c>
      <c r="C7" s="198">
        <v>38</v>
      </c>
      <c r="D7" s="198">
        <v>1</v>
      </c>
      <c r="E7" s="198">
        <v>3</v>
      </c>
      <c r="F7" s="198">
        <v>32</v>
      </c>
      <c r="G7" s="198">
        <v>0</v>
      </c>
      <c r="H7" s="198">
        <v>0</v>
      </c>
      <c r="I7" s="198">
        <v>0</v>
      </c>
      <c r="J7" s="198">
        <v>0</v>
      </c>
      <c r="K7" s="198">
        <v>0</v>
      </c>
      <c r="L7" s="198">
        <v>0</v>
      </c>
      <c r="M7" s="198">
        <v>0</v>
      </c>
      <c r="N7" s="198">
        <v>0</v>
      </c>
      <c r="O7" s="198">
        <v>0</v>
      </c>
      <c r="P7" s="198">
        <v>0</v>
      </c>
      <c r="Q7" s="198">
        <v>0</v>
      </c>
      <c r="R7" s="198">
        <v>0</v>
      </c>
      <c r="S7" s="198">
        <v>0</v>
      </c>
      <c r="T7" s="198">
        <v>0</v>
      </c>
      <c r="U7" s="198">
        <v>0</v>
      </c>
      <c r="V7" s="198">
        <v>0</v>
      </c>
      <c r="W7" s="198">
        <v>0</v>
      </c>
      <c r="X7" s="198">
        <v>0</v>
      </c>
      <c r="Y7" s="198">
        <v>0</v>
      </c>
      <c r="Z7" s="198">
        <v>32</v>
      </c>
      <c r="AA7" s="198">
        <v>0</v>
      </c>
      <c r="AB7" s="198">
        <v>0</v>
      </c>
      <c r="AC7" s="198">
        <v>0</v>
      </c>
      <c r="AD7" s="198">
        <v>0</v>
      </c>
      <c r="AE7" s="198">
        <v>0</v>
      </c>
      <c r="AF7" s="198">
        <v>0</v>
      </c>
      <c r="AG7" s="198">
        <v>0</v>
      </c>
      <c r="AH7" s="198">
        <v>0</v>
      </c>
      <c r="AI7" s="198">
        <v>0</v>
      </c>
      <c r="AJ7" s="198">
        <v>0</v>
      </c>
      <c r="AK7" s="198">
        <v>0</v>
      </c>
      <c r="AL7" s="198">
        <v>0</v>
      </c>
      <c r="AM7" s="198">
        <v>0</v>
      </c>
      <c r="AN7" s="198">
        <v>0</v>
      </c>
    </row>
    <row r="8" spans="1:40" x14ac:dyDescent="0.3">
      <c r="A8" s="198" t="s">
        <v>165</v>
      </c>
      <c r="B8" s="223">
        <v>5</v>
      </c>
      <c r="C8" s="198">
        <v>38</v>
      </c>
      <c r="D8" s="198">
        <v>1</v>
      </c>
      <c r="E8" s="198">
        <v>4</v>
      </c>
      <c r="F8" s="198">
        <v>111</v>
      </c>
      <c r="G8" s="198">
        <v>0</v>
      </c>
      <c r="H8" s="198">
        <v>0</v>
      </c>
      <c r="I8" s="198">
        <v>0</v>
      </c>
      <c r="J8" s="198">
        <v>0</v>
      </c>
      <c r="K8" s="198">
        <v>0</v>
      </c>
      <c r="L8" s="198">
        <v>0</v>
      </c>
      <c r="M8" s="198">
        <v>0</v>
      </c>
      <c r="N8" s="198">
        <v>0</v>
      </c>
      <c r="O8" s="198">
        <v>0</v>
      </c>
      <c r="P8" s="198">
        <v>0</v>
      </c>
      <c r="Q8" s="198">
        <v>0</v>
      </c>
      <c r="R8" s="198">
        <v>0</v>
      </c>
      <c r="S8" s="198">
        <v>0</v>
      </c>
      <c r="T8" s="198">
        <v>0</v>
      </c>
      <c r="U8" s="198">
        <v>0</v>
      </c>
      <c r="V8" s="198">
        <v>0</v>
      </c>
      <c r="W8" s="198">
        <v>0</v>
      </c>
      <c r="X8" s="198">
        <v>0</v>
      </c>
      <c r="Y8" s="198">
        <v>0</v>
      </c>
      <c r="Z8" s="198">
        <v>100</v>
      </c>
      <c r="AA8" s="198">
        <v>0</v>
      </c>
      <c r="AB8" s="198">
        <v>0</v>
      </c>
      <c r="AC8" s="198">
        <v>0</v>
      </c>
      <c r="AD8" s="198">
        <v>0</v>
      </c>
      <c r="AE8" s="198">
        <v>0</v>
      </c>
      <c r="AF8" s="198">
        <v>0</v>
      </c>
      <c r="AG8" s="198">
        <v>6</v>
      </c>
      <c r="AH8" s="198">
        <v>5</v>
      </c>
      <c r="AI8" s="198">
        <v>0</v>
      </c>
      <c r="AJ8" s="198">
        <v>0</v>
      </c>
      <c r="AK8" s="198">
        <v>0</v>
      </c>
      <c r="AL8" s="198">
        <v>0</v>
      </c>
      <c r="AM8" s="198">
        <v>0</v>
      </c>
      <c r="AN8" s="198">
        <v>0</v>
      </c>
    </row>
    <row r="9" spans="1:40" x14ac:dyDescent="0.3">
      <c r="A9" s="198" t="s">
        <v>166</v>
      </c>
      <c r="B9" s="223">
        <v>6</v>
      </c>
      <c r="C9" s="198">
        <v>38</v>
      </c>
      <c r="D9" s="198">
        <v>1</v>
      </c>
      <c r="E9" s="198">
        <v>5</v>
      </c>
      <c r="F9" s="198">
        <v>1023</v>
      </c>
      <c r="G9" s="198">
        <v>1023</v>
      </c>
      <c r="H9" s="198">
        <v>0</v>
      </c>
      <c r="I9" s="198">
        <v>0</v>
      </c>
      <c r="J9" s="198">
        <v>0</v>
      </c>
      <c r="K9" s="198">
        <v>0</v>
      </c>
      <c r="L9" s="198">
        <v>0</v>
      </c>
      <c r="M9" s="198">
        <v>0</v>
      </c>
      <c r="N9" s="198">
        <v>0</v>
      </c>
      <c r="O9" s="198">
        <v>0</v>
      </c>
      <c r="P9" s="198">
        <v>0</v>
      </c>
      <c r="Q9" s="198">
        <v>0</v>
      </c>
      <c r="R9" s="198">
        <v>0</v>
      </c>
      <c r="S9" s="198">
        <v>0</v>
      </c>
      <c r="T9" s="198">
        <v>0</v>
      </c>
      <c r="U9" s="198">
        <v>0</v>
      </c>
      <c r="V9" s="198">
        <v>0</v>
      </c>
      <c r="W9" s="198">
        <v>0</v>
      </c>
      <c r="X9" s="198">
        <v>0</v>
      </c>
      <c r="Y9" s="198">
        <v>0</v>
      </c>
      <c r="Z9" s="198">
        <v>0</v>
      </c>
      <c r="AA9" s="198">
        <v>0</v>
      </c>
      <c r="AB9" s="198">
        <v>0</v>
      </c>
      <c r="AC9" s="198">
        <v>0</v>
      </c>
      <c r="AD9" s="198">
        <v>0</v>
      </c>
      <c r="AE9" s="198">
        <v>0</v>
      </c>
      <c r="AF9" s="198">
        <v>0</v>
      </c>
      <c r="AG9" s="198">
        <v>0</v>
      </c>
      <c r="AH9" s="198">
        <v>0</v>
      </c>
      <c r="AI9" s="198">
        <v>0</v>
      </c>
      <c r="AJ9" s="198">
        <v>0</v>
      </c>
      <c r="AK9" s="198">
        <v>0</v>
      </c>
      <c r="AL9" s="198">
        <v>0</v>
      </c>
      <c r="AM9" s="198">
        <v>0</v>
      </c>
      <c r="AN9" s="198">
        <v>0</v>
      </c>
    </row>
    <row r="10" spans="1:40" x14ac:dyDescent="0.3">
      <c r="A10" s="198" t="s">
        <v>167</v>
      </c>
      <c r="B10" s="223">
        <v>7</v>
      </c>
      <c r="C10" s="198">
        <v>38</v>
      </c>
      <c r="D10" s="198">
        <v>1</v>
      </c>
      <c r="E10" s="198">
        <v>6</v>
      </c>
      <c r="F10" s="198">
        <v>1003341</v>
      </c>
      <c r="G10" s="198">
        <v>100190</v>
      </c>
      <c r="H10" s="198">
        <v>290131</v>
      </c>
      <c r="I10" s="198">
        <v>0</v>
      </c>
      <c r="J10" s="198">
        <v>0</v>
      </c>
      <c r="K10" s="198">
        <v>0</v>
      </c>
      <c r="L10" s="198">
        <v>0</v>
      </c>
      <c r="M10" s="198">
        <v>0</v>
      </c>
      <c r="N10" s="198">
        <v>211203</v>
      </c>
      <c r="O10" s="198">
        <v>0</v>
      </c>
      <c r="P10" s="198">
        <v>0</v>
      </c>
      <c r="Q10" s="198">
        <v>0</v>
      </c>
      <c r="R10" s="198">
        <v>0</v>
      </c>
      <c r="S10" s="198">
        <v>0</v>
      </c>
      <c r="T10" s="198">
        <v>0</v>
      </c>
      <c r="U10" s="198">
        <v>0</v>
      </c>
      <c r="V10" s="198">
        <v>0</v>
      </c>
      <c r="W10" s="198">
        <v>0</v>
      </c>
      <c r="X10" s="198">
        <v>0</v>
      </c>
      <c r="Y10" s="198">
        <v>0</v>
      </c>
      <c r="Z10" s="198">
        <v>231600</v>
      </c>
      <c r="AA10" s="198">
        <v>0</v>
      </c>
      <c r="AB10" s="198">
        <v>0</v>
      </c>
      <c r="AC10" s="198">
        <v>0</v>
      </c>
      <c r="AD10" s="198">
        <v>0</v>
      </c>
      <c r="AE10" s="198">
        <v>0</v>
      </c>
      <c r="AF10" s="198">
        <v>0</v>
      </c>
      <c r="AG10" s="198">
        <v>1106</v>
      </c>
      <c r="AH10" s="198">
        <v>107241</v>
      </c>
      <c r="AI10" s="198">
        <v>0</v>
      </c>
      <c r="AJ10" s="198">
        <v>0</v>
      </c>
      <c r="AK10" s="198">
        <v>0</v>
      </c>
      <c r="AL10" s="198">
        <v>0</v>
      </c>
      <c r="AM10" s="198">
        <v>53136</v>
      </c>
      <c r="AN10" s="198">
        <v>8734</v>
      </c>
    </row>
    <row r="11" spans="1:40" x14ac:dyDescent="0.3">
      <c r="A11" s="198" t="s">
        <v>168</v>
      </c>
      <c r="B11" s="223">
        <v>8</v>
      </c>
      <c r="C11" s="198">
        <v>38</v>
      </c>
      <c r="D11" s="198">
        <v>1</v>
      </c>
      <c r="E11" s="198">
        <v>9</v>
      </c>
      <c r="F11" s="198">
        <v>30349</v>
      </c>
      <c r="G11" s="198">
        <v>0</v>
      </c>
      <c r="H11" s="198">
        <v>16012</v>
      </c>
      <c r="I11" s="198">
        <v>0</v>
      </c>
      <c r="J11" s="198">
        <v>0</v>
      </c>
      <c r="K11" s="198">
        <v>0</v>
      </c>
      <c r="L11" s="198">
        <v>0</v>
      </c>
      <c r="M11" s="198">
        <v>0</v>
      </c>
      <c r="N11" s="198">
        <v>0</v>
      </c>
      <c r="O11" s="198">
        <v>0</v>
      </c>
      <c r="P11" s="198">
        <v>0</v>
      </c>
      <c r="Q11" s="198">
        <v>0</v>
      </c>
      <c r="R11" s="198">
        <v>0</v>
      </c>
      <c r="S11" s="198">
        <v>0</v>
      </c>
      <c r="T11" s="198">
        <v>0</v>
      </c>
      <c r="U11" s="198">
        <v>0</v>
      </c>
      <c r="V11" s="198">
        <v>0</v>
      </c>
      <c r="W11" s="198">
        <v>0</v>
      </c>
      <c r="X11" s="198">
        <v>0</v>
      </c>
      <c r="Y11" s="198">
        <v>0</v>
      </c>
      <c r="Z11" s="198">
        <v>13206</v>
      </c>
      <c r="AA11" s="198">
        <v>0</v>
      </c>
      <c r="AB11" s="198">
        <v>0</v>
      </c>
      <c r="AC11" s="198">
        <v>0</v>
      </c>
      <c r="AD11" s="198">
        <v>0</v>
      </c>
      <c r="AE11" s="198">
        <v>0</v>
      </c>
      <c r="AF11" s="198">
        <v>0</v>
      </c>
      <c r="AG11" s="198">
        <v>0</v>
      </c>
      <c r="AH11" s="198">
        <v>1131</v>
      </c>
      <c r="AI11" s="198">
        <v>0</v>
      </c>
      <c r="AJ11" s="198">
        <v>0</v>
      </c>
      <c r="AK11" s="198">
        <v>0</v>
      </c>
      <c r="AL11" s="198">
        <v>0</v>
      </c>
      <c r="AM11" s="198">
        <v>0</v>
      </c>
      <c r="AN11" s="198">
        <v>0</v>
      </c>
    </row>
    <row r="12" spans="1:40" x14ac:dyDescent="0.3">
      <c r="A12" s="198" t="s">
        <v>169</v>
      </c>
      <c r="B12" s="223">
        <v>9</v>
      </c>
      <c r="C12" s="198">
        <v>38</v>
      </c>
      <c r="D12" s="198">
        <v>1</v>
      </c>
      <c r="E12" s="198">
        <v>10</v>
      </c>
      <c r="F12" s="198">
        <v>7000</v>
      </c>
      <c r="G12" s="198">
        <v>0</v>
      </c>
      <c r="H12" s="198">
        <v>0</v>
      </c>
      <c r="I12" s="198">
        <v>0</v>
      </c>
      <c r="J12" s="198">
        <v>0</v>
      </c>
      <c r="K12" s="198">
        <v>7000</v>
      </c>
      <c r="L12" s="198">
        <v>0</v>
      </c>
      <c r="M12" s="198">
        <v>0</v>
      </c>
      <c r="N12" s="198">
        <v>0</v>
      </c>
      <c r="O12" s="198">
        <v>0</v>
      </c>
      <c r="P12" s="198">
        <v>0</v>
      </c>
      <c r="Q12" s="198">
        <v>0</v>
      </c>
      <c r="R12" s="198">
        <v>0</v>
      </c>
      <c r="S12" s="198">
        <v>0</v>
      </c>
      <c r="T12" s="198">
        <v>0</v>
      </c>
      <c r="U12" s="198">
        <v>0</v>
      </c>
      <c r="V12" s="198">
        <v>0</v>
      </c>
      <c r="W12" s="198">
        <v>0</v>
      </c>
      <c r="X12" s="198">
        <v>0</v>
      </c>
      <c r="Y12" s="198">
        <v>0</v>
      </c>
      <c r="Z12" s="198">
        <v>0</v>
      </c>
      <c r="AA12" s="198">
        <v>0</v>
      </c>
      <c r="AB12" s="198">
        <v>0</v>
      </c>
      <c r="AC12" s="198">
        <v>0</v>
      </c>
      <c r="AD12" s="198">
        <v>0</v>
      </c>
      <c r="AE12" s="198">
        <v>0</v>
      </c>
      <c r="AF12" s="198">
        <v>0</v>
      </c>
      <c r="AG12" s="198">
        <v>0</v>
      </c>
      <c r="AH12" s="198">
        <v>0</v>
      </c>
      <c r="AI12" s="198">
        <v>0</v>
      </c>
      <c r="AJ12" s="198">
        <v>0</v>
      </c>
      <c r="AK12" s="198">
        <v>0</v>
      </c>
      <c r="AL12" s="198">
        <v>0</v>
      </c>
      <c r="AM12" s="198">
        <v>0</v>
      </c>
      <c r="AN12" s="198">
        <v>0</v>
      </c>
    </row>
    <row r="13" spans="1:40" x14ac:dyDescent="0.3">
      <c r="A13" s="198" t="s">
        <v>170</v>
      </c>
      <c r="B13" s="223">
        <v>10</v>
      </c>
      <c r="C13" s="198">
        <v>38</v>
      </c>
      <c r="D13" s="198">
        <v>1</v>
      </c>
      <c r="E13" s="198">
        <v>11</v>
      </c>
      <c r="F13" s="198">
        <v>4565.5</v>
      </c>
      <c r="G13" s="198">
        <v>0</v>
      </c>
      <c r="H13" s="198">
        <v>2065.5</v>
      </c>
      <c r="I13" s="198">
        <v>0</v>
      </c>
      <c r="J13" s="198">
        <v>0</v>
      </c>
      <c r="K13" s="198">
        <v>2500</v>
      </c>
      <c r="L13" s="198">
        <v>0</v>
      </c>
      <c r="M13" s="198">
        <v>0</v>
      </c>
      <c r="N13" s="198">
        <v>0</v>
      </c>
      <c r="O13" s="198">
        <v>0</v>
      </c>
      <c r="P13" s="198">
        <v>0</v>
      </c>
      <c r="Q13" s="198">
        <v>0</v>
      </c>
      <c r="R13" s="198">
        <v>0</v>
      </c>
      <c r="S13" s="198">
        <v>0</v>
      </c>
      <c r="T13" s="198">
        <v>0</v>
      </c>
      <c r="U13" s="198">
        <v>0</v>
      </c>
      <c r="V13" s="198">
        <v>0</v>
      </c>
      <c r="W13" s="198">
        <v>0</v>
      </c>
      <c r="X13" s="198">
        <v>0</v>
      </c>
      <c r="Y13" s="198">
        <v>0</v>
      </c>
      <c r="Z13" s="198">
        <v>0</v>
      </c>
      <c r="AA13" s="198">
        <v>0</v>
      </c>
      <c r="AB13" s="198">
        <v>0</v>
      </c>
      <c r="AC13" s="198">
        <v>0</v>
      </c>
      <c r="AD13" s="198">
        <v>0</v>
      </c>
      <c r="AE13" s="198">
        <v>0</v>
      </c>
      <c r="AF13" s="198">
        <v>0</v>
      </c>
      <c r="AG13" s="198">
        <v>0</v>
      </c>
      <c r="AH13" s="198">
        <v>0</v>
      </c>
      <c r="AI13" s="198">
        <v>0</v>
      </c>
      <c r="AJ13" s="198">
        <v>0</v>
      </c>
      <c r="AK13" s="198">
        <v>0</v>
      </c>
      <c r="AL13" s="198">
        <v>0</v>
      </c>
      <c r="AM13" s="198">
        <v>0</v>
      </c>
      <c r="AN13" s="198">
        <v>0</v>
      </c>
    </row>
    <row r="14" spans="1:40" x14ac:dyDescent="0.3">
      <c r="A14" s="198" t="s">
        <v>171</v>
      </c>
      <c r="B14" s="223">
        <v>11</v>
      </c>
      <c r="C14" s="198">
        <v>38</v>
      </c>
      <c r="D14" s="198">
        <v>2</v>
      </c>
      <c r="E14" s="198">
        <v>1</v>
      </c>
      <c r="F14" s="198">
        <v>27.95</v>
      </c>
      <c r="G14" s="198">
        <v>0</v>
      </c>
      <c r="H14" s="198">
        <v>7</v>
      </c>
      <c r="I14" s="198">
        <v>0</v>
      </c>
      <c r="J14" s="198">
        <v>0</v>
      </c>
      <c r="K14" s="198">
        <v>0</v>
      </c>
      <c r="L14" s="198">
        <v>0</v>
      </c>
      <c r="M14" s="198">
        <v>0</v>
      </c>
      <c r="N14" s="198">
        <v>9</v>
      </c>
      <c r="O14" s="198">
        <v>0</v>
      </c>
      <c r="P14" s="198">
        <v>0</v>
      </c>
      <c r="Q14" s="198">
        <v>0</v>
      </c>
      <c r="R14" s="198">
        <v>0</v>
      </c>
      <c r="S14" s="198">
        <v>0</v>
      </c>
      <c r="T14" s="198">
        <v>0</v>
      </c>
      <c r="U14" s="198">
        <v>0</v>
      </c>
      <c r="V14" s="198">
        <v>0</v>
      </c>
      <c r="W14" s="198">
        <v>0</v>
      </c>
      <c r="X14" s="198">
        <v>0</v>
      </c>
      <c r="Y14" s="198">
        <v>0</v>
      </c>
      <c r="Z14" s="198">
        <v>3.95</v>
      </c>
      <c r="AA14" s="198">
        <v>0</v>
      </c>
      <c r="AB14" s="198">
        <v>0</v>
      </c>
      <c r="AC14" s="198">
        <v>0</v>
      </c>
      <c r="AD14" s="198">
        <v>0</v>
      </c>
      <c r="AE14" s="198">
        <v>0</v>
      </c>
      <c r="AF14" s="198">
        <v>0</v>
      </c>
      <c r="AG14" s="198">
        <v>0</v>
      </c>
      <c r="AH14" s="198">
        <v>5</v>
      </c>
      <c r="AI14" s="198">
        <v>0</v>
      </c>
      <c r="AJ14" s="198">
        <v>0</v>
      </c>
      <c r="AK14" s="198">
        <v>0</v>
      </c>
      <c r="AL14" s="198">
        <v>0</v>
      </c>
      <c r="AM14" s="198">
        <v>2.5</v>
      </c>
      <c r="AN14" s="198">
        <v>0.5</v>
      </c>
    </row>
    <row r="15" spans="1:40" x14ac:dyDescent="0.3">
      <c r="A15" s="198" t="s">
        <v>172</v>
      </c>
      <c r="B15" s="223">
        <v>12</v>
      </c>
      <c r="C15" s="198">
        <v>38</v>
      </c>
      <c r="D15" s="198">
        <v>2</v>
      </c>
      <c r="E15" s="198">
        <v>2</v>
      </c>
      <c r="F15" s="198">
        <v>3906</v>
      </c>
      <c r="G15" s="198">
        <v>0</v>
      </c>
      <c r="H15" s="198">
        <v>912</v>
      </c>
      <c r="I15" s="198">
        <v>0</v>
      </c>
      <c r="J15" s="198">
        <v>0</v>
      </c>
      <c r="K15" s="198">
        <v>0</v>
      </c>
      <c r="L15" s="198">
        <v>0</v>
      </c>
      <c r="M15" s="198">
        <v>0</v>
      </c>
      <c r="N15" s="198">
        <v>1268</v>
      </c>
      <c r="O15" s="198">
        <v>0</v>
      </c>
      <c r="P15" s="198">
        <v>0</v>
      </c>
      <c r="Q15" s="198">
        <v>0</v>
      </c>
      <c r="R15" s="198">
        <v>0</v>
      </c>
      <c r="S15" s="198">
        <v>0</v>
      </c>
      <c r="T15" s="198">
        <v>0</v>
      </c>
      <c r="U15" s="198">
        <v>0</v>
      </c>
      <c r="V15" s="198">
        <v>0</v>
      </c>
      <c r="W15" s="198">
        <v>0</v>
      </c>
      <c r="X15" s="198">
        <v>0</v>
      </c>
      <c r="Y15" s="198">
        <v>0</v>
      </c>
      <c r="Z15" s="198">
        <v>506</v>
      </c>
      <c r="AA15" s="198">
        <v>0</v>
      </c>
      <c r="AB15" s="198">
        <v>0</v>
      </c>
      <c r="AC15" s="198">
        <v>0</v>
      </c>
      <c r="AD15" s="198">
        <v>0</v>
      </c>
      <c r="AE15" s="198">
        <v>0</v>
      </c>
      <c r="AF15" s="198">
        <v>0</v>
      </c>
      <c r="AG15" s="198">
        <v>0</v>
      </c>
      <c r="AH15" s="198">
        <v>840</v>
      </c>
      <c r="AI15" s="198">
        <v>0</v>
      </c>
      <c r="AJ15" s="198">
        <v>0</v>
      </c>
      <c r="AK15" s="198">
        <v>0</v>
      </c>
      <c r="AL15" s="198">
        <v>0</v>
      </c>
      <c r="AM15" s="198">
        <v>300</v>
      </c>
      <c r="AN15" s="198">
        <v>80</v>
      </c>
    </row>
    <row r="16" spans="1:40" x14ac:dyDescent="0.3">
      <c r="A16" s="198" t="s">
        <v>160</v>
      </c>
      <c r="B16" s="223">
        <v>2014</v>
      </c>
      <c r="C16" s="198">
        <v>38</v>
      </c>
      <c r="D16" s="198">
        <v>2</v>
      </c>
      <c r="E16" s="198">
        <v>3</v>
      </c>
      <c r="F16" s="198">
        <v>46</v>
      </c>
      <c r="G16" s="198">
        <v>0</v>
      </c>
      <c r="H16" s="198">
        <v>0</v>
      </c>
      <c r="I16" s="198">
        <v>0</v>
      </c>
      <c r="J16" s="198">
        <v>0</v>
      </c>
      <c r="K16" s="198">
        <v>0</v>
      </c>
      <c r="L16" s="198">
        <v>0</v>
      </c>
      <c r="M16" s="198">
        <v>0</v>
      </c>
      <c r="N16" s="198">
        <v>0</v>
      </c>
      <c r="O16" s="198">
        <v>0</v>
      </c>
      <c r="P16" s="198">
        <v>0</v>
      </c>
      <c r="Q16" s="198">
        <v>0</v>
      </c>
      <c r="R16" s="198">
        <v>0</v>
      </c>
      <c r="S16" s="198">
        <v>0</v>
      </c>
      <c r="T16" s="198">
        <v>0</v>
      </c>
      <c r="U16" s="198">
        <v>0</v>
      </c>
      <c r="V16" s="198">
        <v>0</v>
      </c>
      <c r="W16" s="198">
        <v>0</v>
      </c>
      <c r="X16" s="198">
        <v>0</v>
      </c>
      <c r="Y16" s="198">
        <v>0</v>
      </c>
      <c r="Z16" s="198">
        <v>46</v>
      </c>
      <c r="AA16" s="198">
        <v>0</v>
      </c>
      <c r="AB16" s="198">
        <v>0</v>
      </c>
      <c r="AC16" s="198">
        <v>0</v>
      </c>
      <c r="AD16" s="198">
        <v>0</v>
      </c>
      <c r="AE16" s="198">
        <v>0</v>
      </c>
      <c r="AF16" s="198">
        <v>0</v>
      </c>
      <c r="AG16" s="198">
        <v>0</v>
      </c>
      <c r="AH16" s="198">
        <v>0</v>
      </c>
      <c r="AI16" s="198">
        <v>0</v>
      </c>
      <c r="AJ16" s="198">
        <v>0</v>
      </c>
      <c r="AK16" s="198">
        <v>0</v>
      </c>
      <c r="AL16" s="198">
        <v>0</v>
      </c>
      <c r="AM16" s="198">
        <v>0</v>
      </c>
      <c r="AN16" s="198">
        <v>0</v>
      </c>
    </row>
    <row r="17" spans="3:40" x14ac:dyDescent="0.3">
      <c r="C17" s="198">
        <v>38</v>
      </c>
      <c r="D17" s="198">
        <v>2</v>
      </c>
      <c r="E17" s="198">
        <v>4</v>
      </c>
      <c r="F17" s="198">
        <v>87</v>
      </c>
      <c r="G17" s="198">
        <v>0</v>
      </c>
      <c r="H17" s="198">
        <v>0</v>
      </c>
      <c r="I17" s="198">
        <v>0</v>
      </c>
      <c r="J17" s="198">
        <v>0</v>
      </c>
      <c r="K17" s="198">
        <v>0</v>
      </c>
      <c r="L17" s="198">
        <v>0</v>
      </c>
      <c r="M17" s="198">
        <v>0</v>
      </c>
      <c r="N17" s="198">
        <v>0</v>
      </c>
      <c r="O17" s="198">
        <v>0</v>
      </c>
      <c r="P17" s="198">
        <v>0</v>
      </c>
      <c r="Q17" s="198">
        <v>0</v>
      </c>
      <c r="R17" s="198">
        <v>0</v>
      </c>
      <c r="S17" s="198">
        <v>0</v>
      </c>
      <c r="T17" s="198">
        <v>0</v>
      </c>
      <c r="U17" s="198">
        <v>0</v>
      </c>
      <c r="V17" s="198">
        <v>0</v>
      </c>
      <c r="W17" s="198">
        <v>0</v>
      </c>
      <c r="X17" s="198">
        <v>0</v>
      </c>
      <c r="Y17" s="198">
        <v>0</v>
      </c>
      <c r="Z17" s="198">
        <v>66</v>
      </c>
      <c r="AA17" s="198">
        <v>0</v>
      </c>
      <c r="AB17" s="198">
        <v>0</v>
      </c>
      <c r="AC17" s="198">
        <v>0</v>
      </c>
      <c r="AD17" s="198">
        <v>0</v>
      </c>
      <c r="AE17" s="198">
        <v>0</v>
      </c>
      <c r="AF17" s="198">
        <v>0</v>
      </c>
      <c r="AG17" s="198">
        <v>2</v>
      </c>
      <c r="AH17" s="198">
        <v>19</v>
      </c>
      <c r="AI17" s="198">
        <v>0</v>
      </c>
      <c r="AJ17" s="198">
        <v>0</v>
      </c>
      <c r="AK17" s="198">
        <v>0</v>
      </c>
      <c r="AL17" s="198">
        <v>0</v>
      </c>
      <c r="AM17" s="198">
        <v>0</v>
      </c>
      <c r="AN17" s="198">
        <v>0</v>
      </c>
    </row>
    <row r="18" spans="3:40" x14ac:dyDescent="0.3">
      <c r="C18" s="198">
        <v>38</v>
      </c>
      <c r="D18" s="198">
        <v>2</v>
      </c>
      <c r="E18" s="198">
        <v>5</v>
      </c>
      <c r="F18" s="198">
        <v>935</v>
      </c>
      <c r="G18" s="198">
        <v>935</v>
      </c>
      <c r="H18" s="198">
        <v>0</v>
      </c>
      <c r="I18" s="198">
        <v>0</v>
      </c>
      <c r="J18" s="198">
        <v>0</v>
      </c>
      <c r="K18" s="198">
        <v>0</v>
      </c>
      <c r="L18" s="198">
        <v>0</v>
      </c>
      <c r="M18" s="198">
        <v>0</v>
      </c>
      <c r="N18" s="198">
        <v>0</v>
      </c>
      <c r="O18" s="198">
        <v>0</v>
      </c>
      <c r="P18" s="198">
        <v>0</v>
      </c>
      <c r="Q18" s="198">
        <v>0</v>
      </c>
      <c r="R18" s="198">
        <v>0</v>
      </c>
      <c r="S18" s="198">
        <v>0</v>
      </c>
      <c r="T18" s="198">
        <v>0</v>
      </c>
      <c r="U18" s="198">
        <v>0</v>
      </c>
      <c r="V18" s="198">
        <v>0</v>
      </c>
      <c r="W18" s="198">
        <v>0</v>
      </c>
      <c r="X18" s="198">
        <v>0</v>
      </c>
      <c r="Y18" s="198">
        <v>0</v>
      </c>
      <c r="Z18" s="198">
        <v>0</v>
      </c>
      <c r="AA18" s="198">
        <v>0</v>
      </c>
      <c r="AB18" s="198">
        <v>0</v>
      </c>
      <c r="AC18" s="198">
        <v>0</v>
      </c>
      <c r="AD18" s="198">
        <v>0</v>
      </c>
      <c r="AE18" s="198">
        <v>0</v>
      </c>
      <c r="AF18" s="198">
        <v>0</v>
      </c>
      <c r="AG18" s="198">
        <v>0</v>
      </c>
      <c r="AH18" s="198">
        <v>0</v>
      </c>
      <c r="AI18" s="198">
        <v>0</v>
      </c>
      <c r="AJ18" s="198">
        <v>0</v>
      </c>
      <c r="AK18" s="198">
        <v>0</v>
      </c>
      <c r="AL18" s="198">
        <v>0</v>
      </c>
      <c r="AM18" s="198">
        <v>0</v>
      </c>
      <c r="AN18" s="198">
        <v>0</v>
      </c>
    </row>
    <row r="19" spans="3:40" x14ac:dyDescent="0.3">
      <c r="C19" s="198">
        <v>38</v>
      </c>
      <c r="D19" s="198">
        <v>2</v>
      </c>
      <c r="E19" s="198">
        <v>6</v>
      </c>
      <c r="F19" s="198">
        <v>991980</v>
      </c>
      <c r="G19" s="198">
        <v>86850</v>
      </c>
      <c r="H19" s="198">
        <v>292735</v>
      </c>
      <c r="I19" s="198">
        <v>0</v>
      </c>
      <c r="J19" s="198">
        <v>0</v>
      </c>
      <c r="K19" s="198">
        <v>0</v>
      </c>
      <c r="L19" s="198">
        <v>0</v>
      </c>
      <c r="M19" s="198">
        <v>0</v>
      </c>
      <c r="N19" s="198">
        <v>207305</v>
      </c>
      <c r="O19" s="198">
        <v>0</v>
      </c>
      <c r="P19" s="198">
        <v>0</v>
      </c>
      <c r="Q19" s="198">
        <v>0</v>
      </c>
      <c r="R19" s="198">
        <v>0</v>
      </c>
      <c r="S19" s="198">
        <v>0</v>
      </c>
      <c r="T19" s="198">
        <v>0</v>
      </c>
      <c r="U19" s="198">
        <v>0</v>
      </c>
      <c r="V19" s="198">
        <v>0</v>
      </c>
      <c r="W19" s="198">
        <v>0</v>
      </c>
      <c r="X19" s="198">
        <v>0</v>
      </c>
      <c r="Y19" s="198">
        <v>0</v>
      </c>
      <c r="Z19" s="198">
        <v>240385</v>
      </c>
      <c r="AA19" s="198">
        <v>0</v>
      </c>
      <c r="AB19" s="198">
        <v>0</v>
      </c>
      <c r="AC19" s="198">
        <v>0</v>
      </c>
      <c r="AD19" s="198">
        <v>0</v>
      </c>
      <c r="AE19" s="198">
        <v>0</v>
      </c>
      <c r="AF19" s="198">
        <v>0</v>
      </c>
      <c r="AG19" s="198">
        <v>2967</v>
      </c>
      <c r="AH19" s="198">
        <v>100177</v>
      </c>
      <c r="AI19" s="198">
        <v>0</v>
      </c>
      <c r="AJ19" s="198">
        <v>0</v>
      </c>
      <c r="AK19" s="198">
        <v>0</v>
      </c>
      <c r="AL19" s="198">
        <v>0</v>
      </c>
      <c r="AM19" s="198">
        <v>53236</v>
      </c>
      <c r="AN19" s="198">
        <v>8325</v>
      </c>
    </row>
    <row r="20" spans="3:40" x14ac:dyDescent="0.3">
      <c r="C20" s="198">
        <v>38</v>
      </c>
      <c r="D20" s="198">
        <v>2</v>
      </c>
      <c r="E20" s="198">
        <v>9</v>
      </c>
      <c r="F20" s="198">
        <v>32132</v>
      </c>
      <c r="G20" s="198">
        <v>0</v>
      </c>
      <c r="H20" s="198">
        <v>16012</v>
      </c>
      <c r="I20" s="198">
        <v>0</v>
      </c>
      <c r="J20" s="198">
        <v>0</v>
      </c>
      <c r="K20" s="198">
        <v>0</v>
      </c>
      <c r="L20" s="198">
        <v>0</v>
      </c>
      <c r="M20" s="198">
        <v>0</v>
      </c>
      <c r="N20" s="198">
        <v>0</v>
      </c>
      <c r="O20" s="198">
        <v>0</v>
      </c>
      <c r="P20" s="198">
        <v>0</v>
      </c>
      <c r="Q20" s="198">
        <v>0</v>
      </c>
      <c r="R20" s="198">
        <v>0</v>
      </c>
      <c r="S20" s="198">
        <v>0</v>
      </c>
      <c r="T20" s="198">
        <v>0</v>
      </c>
      <c r="U20" s="198">
        <v>0</v>
      </c>
      <c r="V20" s="198">
        <v>0</v>
      </c>
      <c r="W20" s="198">
        <v>0</v>
      </c>
      <c r="X20" s="198">
        <v>0</v>
      </c>
      <c r="Y20" s="198">
        <v>0</v>
      </c>
      <c r="Z20" s="198">
        <v>13240</v>
      </c>
      <c r="AA20" s="198">
        <v>0</v>
      </c>
      <c r="AB20" s="198">
        <v>0</v>
      </c>
      <c r="AC20" s="198">
        <v>0</v>
      </c>
      <c r="AD20" s="198">
        <v>0</v>
      </c>
      <c r="AE20" s="198">
        <v>0</v>
      </c>
      <c r="AF20" s="198">
        <v>0</v>
      </c>
      <c r="AG20" s="198">
        <v>1540</v>
      </c>
      <c r="AH20" s="198">
        <v>1340</v>
      </c>
      <c r="AI20" s="198">
        <v>0</v>
      </c>
      <c r="AJ20" s="198">
        <v>0</v>
      </c>
      <c r="AK20" s="198">
        <v>0</v>
      </c>
      <c r="AL20" s="198">
        <v>0</v>
      </c>
      <c r="AM20" s="198">
        <v>0</v>
      </c>
      <c r="AN20" s="198">
        <v>0</v>
      </c>
    </row>
    <row r="21" spans="3:40" x14ac:dyDescent="0.3">
      <c r="C21" s="198">
        <v>38</v>
      </c>
      <c r="D21" s="198">
        <v>2</v>
      </c>
      <c r="E21" s="198">
        <v>10</v>
      </c>
      <c r="F21" s="198">
        <v>1210</v>
      </c>
      <c r="G21" s="198">
        <v>0</v>
      </c>
      <c r="H21" s="198">
        <v>0</v>
      </c>
      <c r="I21" s="198">
        <v>0</v>
      </c>
      <c r="J21" s="198">
        <v>0</v>
      </c>
      <c r="K21" s="198">
        <v>1210</v>
      </c>
      <c r="L21" s="198">
        <v>0</v>
      </c>
      <c r="M21" s="198">
        <v>0</v>
      </c>
      <c r="N21" s="198">
        <v>0</v>
      </c>
      <c r="O21" s="198">
        <v>0</v>
      </c>
      <c r="P21" s="198">
        <v>0</v>
      </c>
      <c r="Q21" s="198">
        <v>0</v>
      </c>
      <c r="R21" s="198">
        <v>0</v>
      </c>
      <c r="S21" s="198">
        <v>0</v>
      </c>
      <c r="T21" s="198">
        <v>0</v>
      </c>
      <c r="U21" s="198">
        <v>0</v>
      </c>
      <c r="V21" s="198">
        <v>0</v>
      </c>
      <c r="W21" s="198">
        <v>0</v>
      </c>
      <c r="X21" s="198">
        <v>0</v>
      </c>
      <c r="Y21" s="198">
        <v>0</v>
      </c>
      <c r="Z21" s="198">
        <v>0</v>
      </c>
      <c r="AA21" s="198">
        <v>0</v>
      </c>
      <c r="AB21" s="198">
        <v>0</v>
      </c>
      <c r="AC21" s="198">
        <v>0</v>
      </c>
      <c r="AD21" s="198">
        <v>0</v>
      </c>
      <c r="AE21" s="198">
        <v>0</v>
      </c>
      <c r="AF21" s="198">
        <v>0</v>
      </c>
      <c r="AG21" s="198">
        <v>0</v>
      </c>
      <c r="AH21" s="198">
        <v>0</v>
      </c>
      <c r="AI21" s="198">
        <v>0</v>
      </c>
      <c r="AJ21" s="198">
        <v>0</v>
      </c>
      <c r="AK21" s="198">
        <v>0</v>
      </c>
      <c r="AL21" s="198">
        <v>0</v>
      </c>
      <c r="AM21" s="198">
        <v>0</v>
      </c>
      <c r="AN21" s="198">
        <v>0</v>
      </c>
    </row>
    <row r="22" spans="3:40" x14ac:dyDescent="0.3">
      <c r="C22" s="198">
        <v>38</v>
      </c>
      <c r="D22" s="198">
        <v>2</v>
      </c>
      <c r="E22" s="198">
        <v>11</v>
      </c>
      <c r="F22" s="198">
        <v>4565.5</v>
      </c>
      <c r="G22" s="198">
        <v>0</v>
      </c>
      <c r="H22" s="198">
        <v>2065.5</v>
      </c>
      <c r="I22" s="198">
        <v>0</v>
      </c>
      <c r="J22" s="198">
        <v>0</v>
      </c>
      <c r="K22" s="198">
        <v>2500</v>
      </c>
      <c r="L22" s="198">
        <v>0</v>
      </c>
      <c r="M22" s="198">
        <v>0</v>
      </c>
      <c r="N22" s="198">
        <v>0</v>
      </c>
      <c r="O22" s="198">
        <v>0</v>
      </c>
      <c r="P22" s="198">
        <v>0</v>
      </c>
      <c r="Q22" s="198">
        <v>0</v>
      </c>
      <c r="R22" s="198">
        <v>0</v>
      </c>
      <c r="S22" s="198">
        <v>0</v>
      </c>
      <c r="T22" s="198">
        <v>0</v>
      </c>
      <c r="U22" s="198">
        <v>0</v>
      </c>
      <c r="V22" s="198">
        <v>0</v>
      </c>
      <c r="W22" s="198">
        <v>0</v>
      </c>
      <c r="X22" s="198">
        <v>0</v>
      </c>
      <c r="Y22" s="198">
        <v>0</v>
      </c>
      <c r="Z22" s="198">
        <v>0</v>
      </c>
      <c r="AA22" s="198">
        <v>0</v>
      </c>
      <c r="AB22" s="198">
        <v>0</v>
      </c>
      <c r="AC22" s="198">
        <v>0</v>
      </c>
      <c r="AD22" s="198">
        <v>0</v>
      </c>
      <c r="AE22" s="198">
        <v>0</v>
      </c>
      <c r="AF22" s="198">
        <v>0</v>
      </c>
      <c r="AG22" s="198">
        <v>0</v>
      </c>
      <c r="AH22" s="198">
        <v>0</v>
      </c>
      <c r="AI22" s="198">
        <v>0</v>
      </c>
      <c r="AJ22" s="198">
        <v>0</v>
      </c>
      <c r="AK22" s="198">
        <v>0</v>
      </c>
      <c r="AL22" s="198">
        <v>0</v>
      </c>
      <c r="AM22" s="198">
        <v>0</v>
      </c>
      <c r="AN22" s="198">
        <v>0</v>
      </c>
    </row>
    <row r="23" spans="3:40" x14ac:dyDescent="0.3">
      <c r="C23" s="198">
        <v>38</v>
      </c>
      <c r="D23" s="198">
        <v>3</v>
      </c>
      <c r="E23" s="198">
        <v>1</v>
      </c>
      <c r="F23" s="198">
        <v>28.95</v>
      </c>
      <c r="G23" s="198">
        <v>0</v>
      </c>
      <c r="H23" s="198">
        <v>7</v>
      </c>
      <c r="I23" s="198">
        <v>0</v>
      </c>
      <c r="J23" s="198">
        <v>0</v>
      </c>
      <c r="K23" s="198">
        <v>0</v>
      </c>
      <c r="L23" s="198">
        <v>0</v>
      </c>
      <c r="M23" s="198">
        <v>0</v>
      </c>
      <c r="N23" s="198">
        <v>9</v>
      </c>
      <c r="O23" s="198">
        <v>0</v>
      </c>
      <c r="P23" s="198">
        <v>0</v>
      </c>
      <c r="Q23" s="198">
        <v>0</v>
      </c>
      <c r="R23" s="198">
        <v>0</v>
      </c>
      <c r="S23" s="198">
        <v>0</v>
      </c>
      <c r="T23" s="198">
        <v>0</v>
      </c>
      <c r="U23" s="198">
        <v>0</v>
      </c>
      <c r="V23" s="198">
        <v>0</v>
      </c>
      <c r="W23" s="198">
        <v>0</v>
      </c>
      <c r="X23" s="198">
        <v>0</v>
      </c>
      <c r="Y23" s="198">
        <v>0</v>
      </c>
      <c r="Z23" s="198">
        <v>3.95</v>
      </c>
      <c r="AA23" s="198">
        <v>0</v>
      </c>
      <c r="AB23" s="198">
        <v>0</v>
      </c>
      <c r="AC23" s="198">
        <v>0</v>
      </c>
      <c r="AD23" s="198">
        <v>0</v>
      </c>
      <c r="AE23" s="198">
        <v>0</v>
      </c>
      <c r="AF23" s="198">
        <v>0</v>
      </c>
      <c r="AG23" s="198">
        <v>0</v>
      </c>
      <c r="AH23" s="198">
        <v>6</v>
      </c>
      <c r="AI23" s="198">
        <v>0</v>
      </c>
      <c r="AJ23" s="198">
        <v>0</v>
      </c>
      <c r="AK23" s="198">
        <v>0</v>
      </c>
      <c r="AL23" s="198">
        <v>0</v>
      </c>
      <c r="AM23" s="198">
        <v>2.5</v>
      </c>
      <c r="AN23" s="198">
        <v>0.5</v>
      </c>
    </row>
    <row r="24" spans="3:40" x14ac:dyDescent="0.3">
      <c r="C24" s="198">
        <v>38</v>
      </c>
      <c r="D24" s="198">
        <v>3</v>
      </c>
      <c r="E24" s="198">
        <v>2</v>
      </c>
      <c r="F24" s="198">
        <v>4331.6000000000004</v>
      </c>
      <c r="G24" s="198">
        <v>0</v>
      </c>
      <c r="H24" s="198">
        <v>1112</v>
      </c>
      <c r="I24" s="198">
        <v>0</v>
      </c>
      <c r="J24" s="198">
        <v>0</v>
      </c>
      <c r="K24" s="198">
        <v>0</v>
      </c>
      <c r="L24" s="198">
        <v>0</v>
      </c>
      <c r="M24" s="198">
        <v>0</v>
      </c>
      <c r="N24" s="198">
        <v>1260</v>
      </c>
      <c r="O24" s="198">
        <v>0</v>
      </c>
      <c r="P24" s="198">
        <v>0</v>
      </c>
      <c r="Q24" s="198">
        <v>0</v>
      </c>
      <c r="R24" s="198">
        <v>0</v>
      </c>
      <c r="S24" s="198">
        <v>0</v>
      </c>
      <c r="T24" s="198">
        <v>0</v>
      </c>
      <c r="U24" s="198">
        <v>0</v>
      </c>
      <c r="V24" s="198">
        <v>0</v>
      </c>
      <c r="W24" s="198">
        <v>0</v>
      </c>
      <c r="X24" s="198">
        <v>0</v>
      </c>
      <c r="Y24" s="198">
        <v>0</v>
      </c>
      <c r="Z24" s="198">
        <v>631.6</v>
      </c>
      <c r="AA24" s="198">
        <v>0</v>
      </c>
      <c r="AB24" s="198">
        <v>0</v>
      </c>
      <c r="AC24" s="198">
        <v>0</v>
      </c>
      <c r="AD24" s="198">
        <v>0</v>
      </c>
      <c r="AE24" s="198">
        <v>0</v>
      </c>
      <c r="AF24" s="198">
        <v>0</v>
      </c>
      <c r="AG24" s="198">
        <v>0</v>
      </c>
      <c r="AH24" s="198">
        <v>864</v>
      </c>
      <c r="AI24" s="198">
        <v>0</v>
      </c>
      <c r="AJ24" s="198">
        <v>0</v>
      </c>
      <c r="AK24" s="198">
        <v>0</v>
      </c>
      <c r="AL24" s="198">
        <v>0</v>
      </c>
      <c r="AM24" s="198">
        <v>380</v>
      </c>
      <c r="AN24" s="198">
        <v>84</v>
      </c>
    </row>
    <row r="25" spans="3:40" x14ac:dyDescent="0.3">
      <c r="C25" s="198">
        <v>38</v>
      </c>
      <c r="D25" s="198">
        <v>3</v>
      </c>
      <c r="E25" s="198">
        <v>3</v>
      </c>
      <c r="F25" s="198">
        <v>28</v>
      </c>
      <c r="G25" s="198">
        <v>0</v>
      </c>
      <c r="H25" s="198">
        <v>0</v>
      </c>
      <c r="I25" s="198">
        <v>0</v>
      </c>
      <c r="J25" s="198">
        <v>0</v>
      </c>
      <c r="K25" s="198">
        <v>0</v>
      </c>
      <c r="L25" s="198">
        <v>0</v>
      </c>
      <c r="M25" s="198">
        <v>0</v>
      </c>
      <c r="N25" s="198">
        <v>0</v>
      </c>
      <c r="O25" s="198">
        <v>0</v>
      </c>
      <c r="P25" s="198">
        <v>0</v>
      </c>
      <c r="Q25" s="198">
        <v>0</v>
      </c>
      <c r="R25" s="198">
        <v>0</v>
      </c>
      <c r="S25" s="198">
        <v>0</v>
      </c>
      <c r="T25" s="198">
        <v>0</v>
      </c>
      <c r="U25" s="198">
        <v>0</v>
      </c>
      <c r="V25" s="198">
        <v>0</v>
      </c>
      <c r="W25" s="198">
        <v>0</v>
      </c>
      <c r="X25" s="198">
        <v>0</v>
      </c>
      <c r="Y25" s="198">
        <v>0</v>
      </c>
      <c r="Z25" s="198">
        <v>28</v>
      </c>
      <c r="AA25" s="198">
        <v>0</v>
      </c>
      <c r="AB25" s="198">
        <v>0</v>
      </c>
      <c r="AC25" s="198">
        <v>0</v>
      </c>
      <c r="AD25" s="198">
        <v>0</v>
      </c>
      <c r="AE25" s="198">
        <v>0</v>
      </c>
      <c r="AF25" s="198">
        <v>0</v>
      </c>
      <c r="AG25" s="198">
        <v>0</v>
      </c>
      <c r="AH25" s="198">
        <v>0</v>
      </c>
      <c r="AI25" s="198">
        <v>0</v>
      </c>
      <c r="AJ25" s="198">
        <v>0</v>
      </c>
      <c r="AK25" s="198">
        <v>0</v>
      </c>
      <c r="AL25" s="198">
        <v>0</v>
      </c>
      <c r="AM25" s="198">
        <v>0</v>
      </c>
      <c r="AN25" s="198">
        <v>0</v>
      </c>
    </row>
    <row r="26" spans="3:40" x14ac:dyDescent="0.3">
      <c r="C26" s="198">
        <v>38</v>
      </c>
      <c r="D26" s="198">
        <v>3</v>
      </c>
      <c r="E26" s="198">
        <v>4</v>
      </c>
      <c r="F26" s="198">
        <v>81</v>
      </c>
      <c r="G26" s="198">
        <v>0</v>
      </c>
      <c r="H26" s="198">
        <v>0</v>
      </c>
      <c r="I26" s="198">
        <v>0</v>
      </c>
      <c r="J26" s="198">
        <v>0</v>
      </c>
      <c r="K26" s="198">
        <v>0</v>
      </c>
      <c r="L26" s="198">
        <v>0</v>
      </c>
      <c r="M26" s="198">
        <v>0</v>
      </c>
      <c r="N26" s="198">
        <v>0</v>
      </c>
      <c r="O26" s="198">
        <v>0</v>
      </c>
      <c r="P26" s="198">
        <v>0</v>
      </c>
      <c r="Q26" s="198">
        <v>0</v>
      </c>
      <c r="R26" s="198">
        <v>0</v>
      </c>
      <c r="S26" s="198">
        <v>0</v>
      </c>
      <c r="T26" s="198">
        <v>0</v>
      </c>
      <c r="U26" s="198">
        <v>0</v>
      </c>
      <c r="V26" s="198">
        <v>0</v>
      </c>
      <c r="W26" s="198">
        <v>0</v>
      </c>
      <c r="X26" s="198">
        <v>0</v>
      </c>
      <c r="Y26" s="198">
        <v>0</v>
      </c>
      <c r="Z26" s="198">
        <v>66</v>
      </c>
      <c r="AA26" s="198">
        <v>0</v>
      </c>
      <c r="AB26" s="198">
        <v>0</v>
      </c>
      <c r="AC26" s="198">
        <v>0</v>
      </c>
      <c r="AD26" s="198">
        <v>0</v>
      </c>
      <c r="AE26" s="198">
        <v>0</v>
      </c>
      <c r="AF26" s="198">
        <v>0</v>
      </c>
      <c r="AG26" s="198">
        <v>5</v>
      </c>
      <c r="AH26" s="198">
        <v>10</v>
      </c>
      <c r="AI26" s="198">
        <v>0</v>
      </c>
      <c r="AJ26" s="198">
        <v>0</v>
      </c>
      <c r="AK26" s="198">
        <v>0</v>
      </c>
      <c r="AL26" s="198">
        <v>0</v>
      </c>
      <c r="AM26" s="198">
        <v>0</v>
      </c>
      <c r="AN26" s="198">
        <v>0</v>
      </c>
    </row>
    <row r="27" spans="3:40" x14ac:dyDescent="0.3">
      <c r="C27" s="198">
        <v>38</v>
      </c>
      <c r="D27" s="198">
        <v>3</v>
      </c>
      <c r="E27" s="198">
        <v>5</v>
      </c>
      <c r="F27" s="198">
        <v>1080</v>
      </c>
      <c r="G27" s="198">
        <v>1080</v>
      </c>
      <c r="H27" s="198">
        <v>0</v>
      </c>
      <c r="I27" s="198">
        <v>0</v>
      </c>
      <c r="J27" s="198">
        <v>0</v>
      </c>
      <c r="K27" s="198">
        <v>0</v>
      </c>
      <c r="L27" s="198">
        <v>0</v>
      </c>
      <c r="M27" s="198">
        <v>0</v>
      </c>
      <c r="N27" s="198">
        <v>0</v>
      </c>
      <c r="O27" s="198">
        <v>0</v>
      </c>
      <c r="P27" s="198">
        <v>0</v>
      </c>
      <c r="Q27" s="198">
        <v>0</v>
      </c>
      <c r="R27" s="198">
        <v>0</v>
      </c>
      <c r="S27" s="198">
        <v>0</v>
      </c>
      <c r="T27" s="198">
        <v>0</v>
      </c>
      <c r="U27" s="198">
        <v>0</v>
      </c>
      <c r="V27" s="198">
        <v>0</v>
      </c>
      <c r="W27" s="198">
        <v>0</v>
      </c>
      <c r="X27" s="198">
        <v>0</v>
      </c>
      <c r="Y27" s="198">
        <v>0</v>
      </c>
      <c r="Z27" s="198">
        <v>0</v>
      </c>
      <c r="AA27" s="198">
        <v>0</v>
      </c>
      <c r="AB27" s="198">
        <v>0</v>
      </c>
      <c r="AC27" s="198">
        <v>0</v>
      </c>
      <c r="AD27" s="198">
        <v>0</v>
      </c>
      <c r="AE27" s="198">
        <v>0</v>
      </c>
      <c r="AF27" s="198">
        <v>0</v>
      </c>
      <c r="AG27" s="198">
        <v>0</v>
      </c>
      <c r="AH27" s="198">
        <v>0</v>
      </c>
      <c r="AI27" s="198">
        <v>0</v>
      </c>
      <c r="AJ27" s="198">
        <v>0</v>
      </c>
      <c r="AK27" s="198">
        <v>0</v>
      </c>
      <c r="AL27" s="198">
        <v>0</v>
      </c>
      <c r="AM27" s="198">
        <v>0</v>
      </c>
      <c r="AN27" s="198">
        <v>0</v>
      </c>
    </row>
    <row r="28" spans="3:40" x14ac:dyDescent="0.3">
      <c r="C28" s="198">
        <v>38</v>
      </c>
      <c r="D28" s="198">
        <v>3</v>
      </c>
      <c r="E28" s="198">
        <v>6</v>
      </c>
      <c r="F28" s="198">
        <v>1034081</v>
      </c>
      <c r="G28" s="198">
        <v>109030</v>
      </c>
      <c r="H28" s="198">
        <v>320275</v>
      </c>
      <c r="I28" s="198">
        <v>0</v>
      </c>
      <c r="J28" s="198">
        <v>0</v>
      </c>
      <c r="K28" s="198">
        <v>0</v>
      </c>
      <c r="L28" s="198">
        <v>0</v>
      </c>
      <c r="M28" s="198">
        <v>0</v>
      </c>
      <c r="N28" s="198">
        <v>202430</v>
      </c>
      <c r="O28" s="198">
        <v>0</v>
      </c>
      <c r="P28" s="198">
        <v>0</v>
      </c>
      <c r="Q28" s="198">
        <v>0</v>
      </c>
      <c r="R28" s="198">
        <v>0</v>
      </c>
      <c r="S28" s="198">
        <v>0</v>
      </c>
      <c r="T28" s="198">
        <v>0</v>
      </c>
      <c r="U28" s="198">
        <v>0</v>
      </c>
      <c r="V28" s="198">
        <v>0</v>
      </c>
      <c r="W28" s="198">
        <v>0</v>
      </c>
      <c r="X28" s="198">
        <v>0</v>
      </c>
      <c r="Y28" s="198">
        <v>0</v>
      </c>
      <c r="Z28" s="198">
        <v>232350</v>
      </c>
      <c r="AA28" s="198">
        <v>0</v>
      </c>
      <c r="AB28" s="198">
        <v>0</v>
      </c>
      <c r="AC28" s="198">
        <v>0</v>
      </c>
      <c r="AD28" s="198">
        <v>0</v>
      </c>
      <c r="AE28" s="198">
        <v>0</v>
      </c>
      <c r="AF28" s="198">
        <v>0</v>
      </c>
      <c r="AG28" s="198">
        <v>3832</v>
      </c>
      <c r="AH28" s="198">
        <v>104669</v>
      </c>
      <c r="AI28" s="198">
        <v>0</v>
      </c>
      <c r="AJ28" s="198">
        <v>0</v>
      </c>
      <c r="AK28" s="198">
        <v>0</v>
      </c>
      <c r="AL28" s="198">
        <v>0</v>
      </c>
      <c r="AM28" s="198">
        <v>53170</v>
      </c>
      <c r="AN28" s="198">
        <v>8325</v>
      </c>
    </row>
    <row r="29" spans="3:40" x14ac:dyDescent="0.3">
      <c r="C29" s="198">
        <v>38</v>
      </c>
      <c r="D29" s="198">
        <v>3</v>
      </c>
      <c r="E29" s="198">
        <v>9</v>
      </c>
      <c r="F29" s="198">
        <v>17540</v>
      </c>
      <c r="G29" s="198">
        <v>0</v>
      </c>
      <c r="H29" s="198">
        <v>0</v>
      </c>
      <c r="I29" s="198">
        <v>0</v>
      </c>
      <c r="J29" s="198">
        <v>0</v>
      </c>
      <c r="K29" s="198">
        <v>0</v>
      </c>
      <c r="L29" s="198">
        <v>0</v>
      </c>
      <c r="M29" s="198">
        <v>0</v>
      </c>
      <c r="N29" s="198">
        <v>0</v>
      </c>
      <c r="O29" s="198">
        <v>0</v>
      </c>
      <c r="P29" s="198">
        <v>0</v>
      </c>
      <c r="Q29" s="198">
        <v>0</v>
      </c>
      <c r="R29" s="198">
        <v>0</v>
      </c>
      <c r="S29" s="198">
        <v>0</v>
      </c>
      <c r="T29" s="198">
        <v>0</v>
      </c>
      <c r="U29" s="198">
        <v>0</v>
      </c>
      <c r="V29" s="198">
        <v>0</v>
      </c>
      <c r="W29" s="198">
        <v>0</v>
      </c>
      <c r="X29" s="198">
        <v>0</v>
      </c>
      <c r="Y29" s="198">
        <v>0</v>
      </c>
      <c r="Z29" s="198">
        <v>13729</v>
      </c>
      <c r="AA29" s="198">
        <v>0</v>
      </c>
      <c r="AB29" s="198">
        <v>0</v>
      </c>
      <c r="AC29" s="198">
        <v>0</v>
      </c>
      <c r="AD29" s="198">
        <v>0</v>
      </c>
      <c r="AE29" s="198">
        <v>0</v>
      </c>
      <c r="AF29" s="198">
        <v>0</v>
      </c>
      <c r="AG29" s="198">
        <v>1630</v>
      </c>
      <c r="AH29" s="198">
        <v>2181</v>
      </c>
      <c r="AI29" s="198">
        <v>0</v>
      </c>
      <c r="AJ29" s="198">
        <v>0</v>
      </c>
      <c r="AK29" s="198">
        <v>0</v>
      </c>
      <c r="AL29" s="198">
        <v>0</v>
      </c>
      <c r="AM29" s="198">
        <v>0</v>
      </c>
      <c r="AN29" s="198">
        <v>0</v>
      </c>
    </row>
    <row r="30" spans="3:40" x14ac:dyDescent="0.3">
      <c r="C30" s="198">
        <v>38</v>
      </c>
      <c r="D30" s="198">
        <v>3</v>
      </c>
      <c r="E30" s="198">
        <v>10</v>
      </c>
      <c r="F30" s="198">
        <v>5900</v>
      </c>
      <c r="G30" s="198">
        <v>0</v>
      </c>
      <c r="H30" s="198">
        <v>200</v>
      </c>
      <c r="I30" s="198">
        <v>0</v>
      </c>
      <c r="J30" s="198">
        <v>0</v>
      </c>
      <c r="K30" s="198">
        <v>5700</v>
      </c>
      <c r="L30" s="198">
        <v>0</v>
      </c>
      <c r="M30" s="198">
        <v>0</v>
      </c>
      <c r="N30" s="198">
        <v>0</v>
      </c>
      <c r="O30" s="198">
        <v>0</v>
      </c>
      <c r="P30" s="198">
        <v>0</v>
      </c>
      <c r="Q30" s="198">
        <v>0</v>
      </c>
      <c r="R30" s="198">
        <v>0</v>
      </c>
      <c r="S30" s="198">
        <v>0</v>
      </c>
      <c r="T30" s="198">
        <v>0</v>
      </c>
      <c r="U30" s="198">
        <v>0</v>
      </c>
      <c r="V30" s="198">
        <v>0</v>
      </c>
      <c r="W30" s="198">
        <v>0</v>
      </c>
      <c r="X30" s="198">
        <v>0</v>
      </c>
      <c r="Y30" s="198">
        <v>0</v>
      </c>
      <c r="Z30" s="198">
        <v>0</v>
      </c>
      <c r="AA30" s="198">
        <v>0</v>
      </c>
      <c r="AB30" s="198">
        <v>0</v>
      </c>
      <c r="AC30" s="198">
        <v>0</v>
      </c>
      <c r="AD30" s="198">
        <v>0</v>
      </c>
      <c r="AE30" s="198">
        <v>0</v>
      </c>
      <c r="AF30" s="198">
        <v>0</v>
      </c>
      <c r="AG30" s="198">
        <v>0</v>
      </c>
      <c r="AH30" s="198">
        <v>0</v>
      </c>
      <c r="AI30" s="198">
        <v>0</v>
      </c>
      <c r="AJ30" s="198">
        <v>0</v>
      </c>
      <c r="AK30" s="198">
        <v>0</v>
      </c>
      <c r="AL30" s="198">
        <v>0</v>
      </c>
      <c r="AM30" s="198">
        <v>0</v>
      </c>
      <c r="AN30" s="198">
        <v>0</v>
      </c>
    </row>
    <row r="31" spans="3:40" x14ac:dyDescent="0.3">
      <c r="C31" s="198">
        <v>38</v>
      </c>
      <c r="D31" s="198">
        <v>3</v>
      </c>
      <c r="E31" s="198">
        <v>11</v>
      </c>
      <c r="F31" s="198">
        <v>4565.5</v>
      </c>
      <c r="G31" s="198">
        <v>0</v>
      </c>
      <c r="H31" s="198">
        <v>2065.5</v>
      </c>
      <c r="I31" s="198">
        <v>0</v>
      </c>
      <c r="J31" s="198">
        <v>0</v>
      </c>
      <c r="K31" s="198">
        <v>2500</v>
      </c>
      <c r="L31" s="198">
        <v>0</v>
      </c>
      <c r="M31" s="198">
        <v>0</v>
      </c>
      <c r="N31" s="198">
        <v>0</v>
      </c>
      <c r="O31" s="198">
        <v>0</v>
      </c>
      <c r="P31" s="198">
        <v>0</v>
      </c>
      <c r="Q31" s="198">
        <v>0</v>
      </c>
      <c r="R31" s="198">
        <v>0</v>
      </c>
      <c r="S31" s="198">
        <v>0</v>
      </c>
      <c r="T31" s="198">
        <v>0</v>
      </c>
      <c r="U31" s="198">
        <v>0</v>
      </c>
      <c r="V31" s="198">
        <v>0</v>
      </c>
      <c r="W31" s="198">
        <v>0</v>
      </c>
      <c r="X31" s="198">
        <v>0</v>
      </c>
      <c r="Y31" s="198">
        <v>0</v>
      </c>
      <c r="Z31" s="198">
        <v>0</v>
      </c>
      <c r="AA31" s="198">
        <v>0</v>
      </c>
      <c r="AB31" s="198">
        <v>0</v>
      </c>
      <c r="AC31" s="198">
        <v>0</v>
      </c>
      <c r="AD31" s="198">
        <v>0</v>
      </c>
      <c r="AE31" s="198">
        <v>0</v>
      </c>
      <c r="AF31" s="198">
        <v>0</v>
      </c>
      <c r="AG31" s="198">
        <v>0</v>
      </c>
      <c r="AH31" s="198">
        <v>0</v>
      </c>
      <c r="AI31" s="198">
        <v>0</v>
      </c>
      <c r="AJ31" s="198">
        <v>0</v>
      </c>
      <c r="AK31" s="198">
        <v>0</v>
      </c>
      <c r="AL31" s="198">
        <v>0</v>
      </c>
      <c r="AM31" s="198">
        <v>0</v>
      </c>
      <c r="AN31" s="198">
        <v>0</v>
      </c>
    </row>
    <row r="32" spans="3:40" x14ac:dyDescent="0.3">
      <c r="C32" s="198">
        <v>38</v>
      </c>
      <c r="D32" s="198">
        <v>4</v>
      </c>
      <c r="E32" s="198">
        <v>1</v>
      </c>
      <c r="F32" s="198">
        <v>27.95</v>
      </c>
      <c r="G32" s="198">
        <v>0</v>
      </c>
      <c r="H32" s="198">
        <v>6</v>
      </c>
      <c r="I32" s="198">
        <v>0</v>
      </c>
      <c r="J32" s="198">
        <v>0</v>
      </c>
      <c r="K32" s="198">
        <v>0</v>
      </c>
      <c r="L32" s="198">
        <v>0</v>
      </c>
      <c r="M32" s="198">
        <v>0</v>
      </c>
      <c r="N32" s="198">
        <v>9</v>
      </c>
      <c r="O32" s="198">
        <v>0</v>
      </c>
      <c r="P32" s="198">
        <v>0</v>
      </c>
      <c r="Q32" s="198">
        <v>0</v>
      </c>
      <c r="R32" s="198">
        <v>0</v>
      </c>
      <c r="S32" s="198">
        <v>0</v>
      </c>
      <c r="T32" s="198">
        <v>0</v>
      </c>
      <c r="U32" s="198">
        <v>0</v>
      </c>
      <c r="V32" s="198">
        <v>0</v>
      </c>
      <c r="W32" s="198">
        <v>0</v>
      </c>
      <c r="X32" s="198">
        <v>0</v>
      </c>
      <c r="Y32" s="198">
        <v>0</v>
      </c>
      <c r="Z32" s="198">
        <v>3.95</v>
      </c>
      <c r="AA32" s="198">
        <v>0</v>
      </c>
      <c r="AB32" s="198">
        <v>0</v>
      </c>
      <c r="AC32" s="198">
        <v>0</v>
      </c>
      <c r="AD32" s="198">
        <v>0</v>
      </c>
      <c r="AE32" s="198">
        <v>0</v>
      </c>
      <c r="AF32" s="198">
        <v>0</v>
      </c>
      <c r="AG32" s="198">
        <v>0</v>
      </c>
      <c r="AH32" s="198">
        <v>6</v>
      </c>
      <c r="AI32" s="198">
        <v>0</v>
      </c>
      <c r="AJ32" s="198">
        <v>0</v>
      </c>
      <c r="AK32" s="198">
        <v>0</v>
      </c>
      <c r="AL32" s="198">
        <v>0</v>
      </c>
      <c r="AM32" s="198">
        <v>2.5</v>
      </c>
      <c r="AN32" s="198">
        <v>0.5</v>
      </c>
    </row>
    <row r="33" spans="3:40" x14ac:dyDescent="0.3">
      <c r="C33" s="198">
        <v>38</v>
      </c>
      <c r="D33" s="198">
        <v>4</v>
      </c>
      <c r="E33" s="198">
        <v>2</v>
      </c>
      <c r="F33" s="198">
        <v>4443.2</v>
      </c>
      <c r="G33" s="198">
        <v>0</v>
      </c>
      <c r="H33" s="198">
        <v>1040</v>
      </c>
      <c r="I33" s="198">
        <v>0</v>
      </c>
      <c r="J33" s="198">
        <v>0</v>
      </c>
      <c r="K33" s="198">
        <v>0</v>
      </c>
      <c r="L33" s="198">
        <v>0</v>
      </c>
      <c r="M33" s="198">
        <v>0</v>
      </c>
      <c r="N33" s="198">
        <v>1344</v>
      </c>
      <c r="O33" s="198">
        <v>0</v>
      </c>
      <c r="P33" s="198">
        <v>0</v>
      </c>
      <c r="Q33" s="198">
        <v>0</v>
      </c>
      <c r="R33" s="198">
        <v>0</v>
      </c>
      <c r="S33" s="198">
        <v>0</v>
      </c>
      <c r="T33" s="198">
        <v>0</v>
      </c>
      <c r="U33" s="198">
        <v>0</v>
      </c>
      <c r="V33" s="198">
        <v>0</v>
      </c>
      <c r="W33" s="198">
        <v>0</v>
      </c>
      <c r="X33" s="198">
        <v>0</v>
      </c>
      <c r="Y33" s="198">
        <v>0</v>
      </c>
      <c r="Z33" s="198">
        <v>639.20000000000005</v>
      </c>
      <c r="AA33" s="198">
        <v>0</v>
      </c>
      <c r="AB33" s="198">
        <v>0</v>
      </c>
      <c r="AC33" s="198">
        <v>0</v>
      </c>
      <c r="AD33" s="198">
        <v>0</v>
      </c>
      <c r="AE33" s="198">
        <v>0</v>
      </c>
      <c r="AF33" s="198">
        <v>0</v>
      </c>
      <c r="AG33" s="198">
        <v>0</v>
      </c>
      <c r="AH33" s="198">
        <v>952</v>
      </c>
      <c r="AI33" s="198">
        <v>0</v>
      </c>
      <c r="AJ33" s="198">
        <v>0</v>
      </c>
      <c r="AK33" s="198">
        <v>0</v>
      </c>
      <c r="AL33" s="198">
        <v>0</v>
      </c>
      <c r="AM33" s="198">
        <v>396</v>
      </c>
      <c r="AN33" s="198">
        <v>72</v>
      </c>
    </row>
    <row r="34" spans="3:40" x14ac:dyDescent="0.3">
      <c r="C34" s="198">
        <v>38</v>
      </c>
      <c r="D34" s="198">
        <v>4</v>
      </c>
      <c r="E34" s="198">
        <v>3</v>
      </c>
      <c r="F34" s="198">
        <v>20</v>
      </c>
      <c r="G34" s="198">
        <v>0</v>
      </c>
      <c r="H34" s="198">
        <v>0</v>
      </c>
      <c r="I34" s="198">
        <v>0</v>
      </c>
      <c r="J34" s="198">
        <v>0</v>
      </c>
      <c r="K34" s="198">
        <v>0</v>
      </c>
      <c r="L34" s="198">
        <v>0</v>
      </c>
      <c r="M34" s="198">
        <v>0</v>
      </c>
      <c r="N34" s="198">
        <v>0</v>
      </c>
      <c r="O34" s="198">
        <v>0</v>
      </c>
      <c r="P34" s="198">
        <v>0</v>
      </c>
      <c r="Q34" s="198">
        <v>0</v>
      </c>
      <c r="R34" s="198">
        <v>0</v>
      </c>
      <c r="S34" s="198">
        <v>0</v>
      </c>
      <c r="T34" s="198">
        <v>0</v>
      </c>
      <c r="U34" s="198">
        <v>0</v>
      </c>
      <c r="V34" s="198">
        <v>0</v>
      </c>
      <c r="W34" s="198">
        <v>0</v>
      </c>
      <c r="X34" s="198">
        <v>0</v>
      </c>
      <c r="Y34" s="198">
        <v>0</v>
      </c>
      <c r="Z34" s="198">
        <v>20</v>
      </c>
      <c r="AA34" s="198">
        <v>0</v>
      </c>
      <c r="AB34" s="198">
        <v>0</v>
      </c>
      <c r="AC34" s="198">
        <v>0</v>
      </c>
      <c r="AD34" s="198">
        <v>0</v>
      </c>
      <c r="AE34" s="198">
        <v>0</v>
      </c>
      <c r="AF34" s="198">
        <v>0</v>
      </c>
      <c r="AG34" s="198">
        <v>0</v>
      </c>
      <c r="AH34" s="198">
        <v>0</v>
      </c>
      <c r="AI34" s="198">
        <v>0</v>
      </c>
      <c r="AJ34" s="198">
        <v>0</v>
      </c>
      <c r="AK34" s="198">
        <v>0</v>
      </c>
      <c r="AL34" s="198">
        <v>0</v>
      </c>
      <c r="AM34" s="198">
        <v>0</v>
      </c>
      <c r="AN34" s="198">
        <v>0</v>
      </c>
    </row>
    <row r="35" spans="3:40" x14ac:dyDescent="0.3">
      <c r="C35" s="198">
        <v>38</v>
      </c>
      <c r="D35" s="198">
        <v>4</v>
      </c>
      <c r="E35" s="198">
        <v>4</v>
      </c>
      <c r="F35" s="198">
        <v>85</v>
      </c>
      <c r="G35" s="198">
        <v>0</v>
      </c>
      <c r="H35" s="198">
        <v>0</v>
      </c>
      <c r="I35" s="198">
        <v>0</v>
      </c>
      <c r="J35" s="198">
        <v>0</v>
      </c>
      <c r="K35" s="198">
        <v>0</v>
      </c>
      <c r="L35" s="198">
        <v>0</v>
      </c>
      <c r="M35" s="198">
        <v>0</v>
      </c>
      <c r="N35" s="198">
        <v>0</v>
      </c>
      <c r="O35" s="198">
        <v>0</v>
      </c>
      <c r="P35" s="198">
        <v>0</v>
      </c>
      <c r="Q35" s="198">
        <v>0</v>
      </c>
      <c r="R35" s="198">
        <v>0</v>
      </c>
      <c r="S35" s="198">
        <v>0</v>
      </c>
      <c r="T35" s="198">
        <v>0</v>
      </c>
      <c r="U35" s="198">
        <v>0</v>
      </c>
      <c r="V35" s="198">
        <v>0</v>
      </c>
      <c r="W35" s="198">
        <v>0</v>
      </c>
      <c r="X35" s="198">
        <v>0</v>
      </c>
      <c r="Y35" s="198">
        <v>0</v>
      </c>
      <c r="Z35" s="198">
        <v>68</v>
      </c>
      <c r="AA35" s="198">
        <v>0</v>
      </c>
      <c r="AB35" s="198">
        <v>0</v>
      </c>
      <c r="AC35" s="198">
        <v>0</v>
      </c>
      <c r="AD35" s="198">
        <v>0</v>
      </c>
      <c r="AE35" s="198">
        <v>0</v>
      </c>
      <c r="AF35" s="198">
        <v>0</v>
      </c>
      <c r="AG35" s="198">
        <v>5</v>
      </c>
      <c r="AH35" s="198">
        <v>12</v>
      </c>
      <c r="AI35" s="198">
        <v>0</v>
      </c>
      <c r="AJ35" s="198">
        <v>0</v>
      </c>
      <c r="AK35" s="198">
        <v>0</v>
      </c>
      <c r="AL35" s="198">
        <v>0</v>
      </c>
      <c r="AM35" s="198">
        <v>0</v>
      </c>
      <c r="AN35" s="198">
        <v>0</v>
      </c>
    </row>
    <row r="36" spans="3:40" x14ac:dyDescent="0.3">
      <c r="C36" s="198">
        <v>38</v>
      </c>
      <c r="D36" s="198">
        <v>4</v>
      </c>
      <c r="E36" s="198">
        <v>5</v>
      </c>
      <c r="F36" s="198">
        <v>1089</v>
      </c>
      <c r="G36" s="198">
        <v>1089</v>
      </c>
      <c r="H36" s="198">
        <v>0</v>
      </c>
      <c r="I36" s="198">
        <v>0</v>
      </c>
      <c r="J36" s="198">
        <v>0</v>
      </c>
      <c r="K36" s="198">
        <v>0</v>
      </c>
      <c r="L36" s="198">
        <v>0</v>
      </c>
      <c r="M36" s="198">
        <v>0</v>
      </c>
      <c r="N36" s="198">
        <v>0</v>
      </c>
      <c r="O36" s="198">
        <v>0</v>
      </c>
      <c r="P36" s="198">
        <v>0</v>
      </c>
      <c r="Q36" s="198">
        <v>0</v>
      </c>
      <c r="R36" s="198">
        <v>0</v>
      </c>
      <c r="S36" s="198">
        <v>0</v>
      </c>
      <c r="T36" s="198">
        <v>0</v>
      </c>
      <c r="U36" s="198">
        <v>0</v>
      </c>
      <c r="V36" s="198">
        <v>0</v>
      </c>
      <c r="W36" s="198">
        <v>0</v>
      </c>
      <c r="X36" s="198">
        <v>0</v>
      </c>
      <c r="Y36" s="198">
        <v>0</v>
      </c>
      <c r="Z36" s="198">
        <v>0</v>
      </c>
      <c r="AA36" s="198">
        <v>0</v>
      </c>
      <c r="AB36" s="198">
        <v>0</v>
      </c>
      <c r="AC36" s="198">
        <v>0</v>
      </c>
      <c r="AD36" s="198">
        <v>0</v>
      </c>
      <c r="AE36" s="198">
        <v>0</v>
      </c>
      <c r="AF36" s="198">
        <v>0</v>
      </c>
      <c r="AG36" s="198">
        <v>0</v>
      </c>
      <c r="AH36" s="198">
        <v>0</v>
      </c>
      <c r="AI36" s="198">
        <v>0</v>
      </c>
      <c r="AJ36" s="198">
        <v>0</v>
      </c>
      <c r="AK36" s="198">
        <v>0</v>
      </c>
      <c r="AL36" s="198">
        <v>0</v>
      </c>
      <c r="AM36" s="198">
        <v>0</v>
      </c>
      <c r="AN36" s="198">
        <v>0</v>
      </c>
    </row>
    <row r="37" spans="3:40" x14ac:dyDescent="0.3">
      <c r="C37" s="198">
        <v>38</v>
      </c>
      <c r="D37" s="198">
        <v>4</v>
      </c>
      <c r="E37" s="198">
        <v>6</v>
      </c>
      <c r="F37" s="198">
        <v>1012615</v>
      </c>
      <c r="G37" s="198">
        <v>106920</v>
      </c>
      <c r="H37" s="198">
        <v>289385</v>
      </c>
      <c r="I37" s="198">
        <v>0</v>
      </c>
      <c r="J37" s="198">
        <v>0</v>
      </c>
      <c r="K37" s="198">
        <v>0</v>
      </c>
      <c r="L37" s="198">
        <v>0</v>
      </c>
      <c r="M37" s="198">
        <v>0</v>
      </c>
      <c r="N37" s="198">
        <v>212541</v>
      </c>
      <c r="O37" s="198">
        <v>0</v>
      </c>
      <c r="P37" s="198">
        <v>0</v>
      </c>
      <c r="Q37" s="198">
        <v>0</v>
      </c>
      <c r="R37" s="198">
        <v>0</v>
      </c>
      <c r="S37" s="198">
        <v>0</v>
      </c>
      <c r="T37" s="198">
        <v>0</v>
      </c>
      <c r="U37" s="198">
        <v>0</v>
      </c>
      <c r="V37" s="198">
        <v>0</v>
      </c>
      <c r="W37" s="198">
        <v>0</v>
      </c>
      <c r="X37" s="198">
        <v>0</v>
      </c>
      <c r="Y37" s="198">
        <v>0</v>
      </c>
      <c r="Z37" s="198">
        <v>230909</v>
      </c>
      <c r="AA37" s="198">
        <v>0</v>
      </c>
      <c r="AB37" s="198">
        <v>0</v>
      </c>
      <c r="AC37" s="198">
        <v>0</v>
      </c>
      <c r="AD37" s="198">
        <v>0</v>
      </c>
      <c r="AE37" s="198">
        <v>0</v>
      </c>
      <c r="AF37" s="198">
        <v>0</v>
      </c>
      <c r="AG37" s="198">
        <v>3937</v>
      </c>
      <c r="AH37" s="198">
        <v>105835</v>
      </c>
      <c r="AI37" s="198">
        <v>0</v>
      </c>
      <c r="AJ37" s="198">
        <v>0</v>
      </c>
      <c r="AK37" s="198">
        <v>0</v>
      </c>
      <c r="AL37" s="198">
        <v>0</v>
      </c>
      <c r="AM37" s="198">
        <v>54600</v>
      </c>
      <c r="AN37" s="198">
        <v>8488</v>
      </c>
    </row>
    <row r="38" spans="3:40" x14ac:dyDescent="0.3">
      <c r="C38" s="198">
        <v>38</v>
      </c>
      <c r="D38" s="198">
        <v>4</v>
      </c>
      <c r="E38" s="198">
        <v>9</v>
      </c>
      <c r="F38" s="198">
        <v>17019</v>
      </c>
      <c r="G38" s="198">
        <v>0</v>
      </c>
      <c r="H38" s="198">
        <v>0</v>
      </c>
      <c r="I38" s="198">
        <v>0</v>
      </c>
      <c r="J38" s="198">
        <v>0</v>
      </c>
      <c r="K38" s="198">
        <v>0</v>
      </c>
      <c r="L38" s="198">
        <v>0</v>
      </c>
      <c r="M38" s="198">
        <v>0</v>
      </c>
      <c r="N38" s="198">
        <v>0</v>
      </c>
      <c r="O38" s="198">
        <v>0</v>
      </c>
      <c r="P38" s="198">
        <v>0</v>
      </c>
      <c r="Q38" s="198">
        <v>0</v>
      </c>
      <c r="R38" s="198">
        <v>0</v>
      </c>
      <c r="S38" s="198">
        <v>0</v>
      </c>
      <c r="T38" s="198">
        <v>0</v>
      </c>
      <c r="U38" s="198">
        <v>0</v>
      </c>
      <c r="V38" s="198">
        <v>0</v>
      </c>
      <c r="W38" s="198">
        <v>0</v>
      </c>
      <c r="X38" s="198">
        <v>0</v>
      </c>
      <c r="Y38" s="198">
        <v>0</v>
      </c>
      <c r="Z38" s="198">
        <v>11736</v>
      </c>
      <c r="AA38" s="198">
        <v>0</v>
      </c>
      <c r="AB38" s="198">
        <v>0</v>
      </c>
      <c r="AC38" s="198">
        <v>0</v>
      </c>
      <c r="AD38" s="198">
        <v>0</v>
      </c>
      <c r="AE38" s="198">
        <v>0</v>
      </c>
      <c r="AF38" s="198">
        <v>0</v>
      </c>
      <c r="AG38" s="198">
        <v>1847</v>
      </c>
      <c r="AH38" s="198">
        <v>2236</v>
      </c>
      <c r="AI38" s="198">
        <v>0</v>
      </c>
      <c r="AJ38" s="198">
        <v>0</v>
      </c>
      <c r="AK38" s="198">
        <v>0</v>
      </c>
      <c r="AL38" s="198">
        <v>0</v>
      </c>
      <c r="AM38" s="198">
        <v>1200</v>
      </c>
      <c r="AN38" s="198">
        <v>0</v>
      </c>
    </row>
    <row r="39" spans="3:40" x14ac:dyDescent="0.3">
      <c r="C39" s="198">
        <v>38</v>
      </c>
      <c r="D39" s="198">
        <v>4</v>
      </c>
      <c r="E39" s="198">
        <v>11</v>
      </c>
      <c r="F39" s="198">
        <v>4565.5</v>
      </c>
      <c r="G39" s="198">
        <v>0</v>
      </c>
      <c r="H39" s="198">
        <v>2065.5</v>
      </c>
      <c r="I39" s="198">
        <v>0</v>
      </c>
      <c r="J39" s="198">
        <v>0</v>
      </c>
      <c r="K39" s="198">
        <v>2500</v>
      </c>
      <c r="L39" s="198">
        <v>0</v>
      </c>
      <c r="M39" s="198">
        <v>0</v>
      </c>
      <c r="N39" s="198">
        <v>0</v>
      </c>
      <c r="O39" s="198">
        <v>0</v>
      </c>
      <c r="P39" s="198">
        <v>0</v>
      </c>
      <c r="Q39" s="198">
        <v>0</v>
      </c>
      <c r="R39" s="198">
        <v>0</v>
      </c>
      <c r="S39" s="198">
        <v>0</v>
      </c>
      <c r="T39" s="198">
        <v>0</v>
      </c>
      <c r="U39" s="198">
        <v>0</v>
      </c>
      <c r="V39" s="198">
        <v>0</v>
      </c>
      <c r="W39" s="198">
        <v>0</v>
      </c>
      <c r="X39" s="198">
        <v>0</v>
      </c>
      <c r="Y39" s="198">
        <v>0</v>
      </c>
      <c r="Z39" s="198">
        <v>0</v>
      </c>
      <c r="AA39" s="198">
        <v>0</v>
      </c>
      <c r="AB39" s="198">
        <v>0</v>
      </c>
      <c r="AC39" s="198">
        <v>0</v>
      </c>
      <c r="AD39" s="198">
        <v>0</v>
      </c>
      <c r="AE39" s="198">
        <v>0</v>
      </c>
      <c r="AF39" s="198">
        <v>0</v>
      </c>
      <c r="AG39" s="198">
        <v>0</v>
      </c>
      <c r="AH39" s="198">
        <v>0</v>
      </c>
      <c r="AI39" s="198">
        <v>0</v>
      </c>
      <c r="AJ39" s="198">
        <v>0</v>
      </c>
      <c r="AK39" s="198">
        <v>0</v>
      </c>
      <c r="AL39" s="198">
        <v>0</v>
      </c>
      <c r="AM39" s="198">
        <v>0</v>
      </c>
      <c r="AN39" s="198">
        <v>0</v>
      </c>
    </row>
    <row r="40" spans="3:40" x14ac:dyDescent="0.3">
      <c r="C40" s="198">
        <v>38</v>
      </c>
      <c r="D40" s="198">
        <v>5</v>
      </c>
      <c r="E40" s="198">
        <v>1</v>
      </c>
      <c r="F40" s="198">
        <v>27.95</v>
      </c>
      <c r="G40" s="198">
        <v>0</v>
      </c>
      <c r="H40" s="198">
        <v>6</v>
      </c>
      <c r="I40" s="198">
        <v>0</v>
      </c>
      <c r="J40" s="198">
        <v>0</v>
      </c>
      <c r="K40" s="198">
        <v>0</v>
      </c>
      <c r="L40" s="198">
        <v>0</v>
      </c>
      <c r="M40" s="198">
        <v>0</v>
      </c>
      <c r="N40" s="198">
        <v>9</v>
      </c>
      <c r="O40" s="198">
        <v>0</v>
      </c>
      <c r="P40" s="198">
        <v>0</v>
      </c>
      <c r="Q40" s="198">
        <v>0</v>
      </c>
      <c r="R40" s="198">
        <v>0</v>
      </c>
      <c r="S40" s="198">
        <v>0</v>
      </c>
      <c r="T40" s="198">
        <v>0</v>
      </c>
      <c r="U40" s="198">
        <v>0</v>
      </c>
      <c r="V40" s="198">
        <v>0</v>
      </c>
      <c r="W40" s="198">
        <v>0</v>
      </c>
      <c r="X40" s="198">
        <v>0</v>
      </c>
      <c r="Y40" s="198">
        <v>0</v>
      </c>
      <c r="Z40" s="198">
        <v>3.95</v>
      </c>
      <c r="AA40" s="198">
        <v>0</v>
      </c>
      <c r="AB40" s="198">
        <v>0</v>
      </c>
      <c r="AC40" s="198">
        <v>0</v>
      </c>
      <c r="AD40" s="198">
        <v>0</v>
      </c>
      <c r="AE40" s="198">
        <v>0</v>
      </c>
      <c r="AF40" s="198">
        <v>0</v>
      </c>
      <c r="AG40" s="198">
        <v>0</v>
      </c>
      <c r="AH40" s="198">
        <v>6</v>
      </c>
      <c r="AI40" s="198">
        <v>0</v>
      </c>
      <c r="AJ40" s="198">
        <v>0</v>
      </c>
      <c r="AK40" s="198">
        <v>0</v>
      </c>
      <c r="AL40" s="198">
        <v>0</v>
      </c>
      <c r="AM40" s="198">
        <v>2.5</v>
      </c>
      <c r="AN40" s="198">
        <v>0.5</v>
      </c>
    </row>
    <row r="41" spans="3:40" x14ac:dyDescent="0.3">
      <c r="C41" s="198">
        <v>38</v>
      </c>
      <c r="D41" s="198">
        <v>5</v>
      </c>
      <c r="E41" s="198">
        <v>2</v>
      </c>
      <c r="F41" s="198">
        <v>4339.2</v>
      </c>
      <c r="G41" s="198">
        <v>0</v>
      </c>
      <c r="H41" s="198">
        <v>944</v>
      </c>
      <c r="I41" s="198">
        <v>0</v>
      </c>
      <c r="J41" s="198">
        <v>0</v>
      </c>
      <c r="K41" s="198">
        <v>0</v>
      </c>
      <c r="L41" s="198">
        <v>0</v>
      </c>
      <c r="M41" s="198">
        <v>0</v>
      </c>
      <c r="N41" s="198">
        <v>1344</v>
      </c>
      <c r="O41" s="198">
        <v>0</v>
      </c>
      <c r="P41" s="198">
        <v>0</v>
      </c>
      <c r="Q41" s="198">
        <v>0</v>
      </c>
      <c r="R41" s="198">
        <v>0</v>
      </c>
      <c r="S41" s="198">
        <v>0</v>
      </c>
      <c r="T41" s="198">
        <v>0</v>
      </c>
      <c r="U41" s="198">
        <v>0</v>
      </c>
      <c r="V41" s="198">
        <v>0</v>
      </c>
      <c r="W41" s="198">
        <v>0</v>
      </c>
      <c r="X41" s="198">
        <v>0</v>
      </c>
      <c r="Y41" s="198">
        <v>0</v>
      </c>
      <c r="Z41" s="198">
        <v>631.20000000000005</v>
      </c>
      <c r="AA41" s="198">
        <v>0</v>
      </c>
      <c r="AB41" s="198">
        <v>0</v>
      </c>
      <c r="AC41" s="198">
        <v>0</v>
      </c>
      <c r="AD41" s="198">
        <v>0</v>
      </c>
      <c r="AE41" s="198">
        <v>0</v>
      </c>
      <c r="AF41" s="198">
        <v>0</v>
      </c>
      <c r="AG41" s="198">
        <v>0</v>
      </c>
      <c r="AH41" s="198">
        <v>936</v>
      </c>
      <c r="AI41" s="198">
        <v>0</v>
      </c>
      <c r="AJ41" s="198">
        <v>0</v>
      </c>
      <c r="AK41" s="198">
        <v>0</v>
      </c>
      <c r="AL41" s="198">
        <v>0</v>
      </c>
      <c r="AM41" s="198">
        <v>396</v>
      </c>
      <c r="AN41" s="198">
        <v>88</v>
      </c>
    </row>
    <row r="42" spans="3:40" x14ac:dyDescent="0.3">
      <c r="C42" s="198">
        <v>38</v>
      </c>
      <c r="D42" s="198">
        <v>5</v>
      </c>
      <c r="E42" s="198">
        <v>3</v>
      </c>
      <c r="F42" s="198">
        <v>27</v>
      </c>
      <c r="G42" s="198">
        <v>0</v>
      </c>
      <c r="H42" s="198">
        <v>0</v>
      </c>
      <c r="I42" s="198">
        <v>0</v>
      </c>
      <c r="J42" s="198">
        <v>0</v>
      </c>
      <c r="K42" s="198">
        <v>0</v>
      </c>
      <c r="L42" s="198">
        <v>0</v>
      </c>
      <c r="M42" s="198">
        <v>0</v>
      </c>
      <c r="N42" s="198">
        <v>0</v>
      </c>
      <c r="O42" s="198">
        <v>0</v>
      </c>
      <c r="P42" s="198">
        <v>0</v>
      </c>
      <c r="Q42" s="198">
        <v>0</v>
      </c>
      <c r="R42" s="198">
        <v>0</v>
      </c>
      <c r="S42" s="198">
        <v>0</v>
      </c>
      <c r="T42" s="198">
        <v>0</v>
      </c>
      <c r="U42" s="198">
        <v>0</v>
      </c>
      <c r="V42" s="198">
        <v>0</v>
      </c>
      <c r="W42" s="198">
        <v>0</v>
      </c>
      <c r="X42" s="198">
        <v>0</v>
      </c>
      <c r="Y42" s="198">
        <v>0</v>
      </c>
      <c r="Z42" s="198">
        <v>27</v>
      </c>
      <c r="AA42" s="198">
        <v>0</v>
      </c>
      <c r="AB42" s="198">
        <v>0</v>
      </c>
      <c r="AC42" s="198">
        <v>0</v>
      </c>
      <c r="AD42" s="198">
        <v>0</v>
      </c>
      <c r="AE42" s="198">
        <v>0</v>
      </c>
      <c r="AF42" s="198">
        <v>0</v>
      </c>
      <c r="AG42" s="198">
        <v>0</v>
      </c>
      <c r="AH42" s="198">
        <v>0</v>
      </c>
      <c r="AI42" s="198">
        <v>0</v>
      </c>
      <c r="AJ42" s="198">
        <v>0</v>
      </c>
      <c r="AK42" s="198">
        <v>0</v>
      </c>
      <c r="AL42" s="198">
        <v>0</v>
      </c>
      <c r="AM42" s="198">
        <v>0</v>
      </c>
      <c r="AN42" s="198">
        <v>0</v>
      </c>
    </row>
    <row r="43" spans="3:40" x14ac:dyDescent="0.3">
      <c r="C43" s="198">
        <v>38</v>
      </c>
      <c r="D43" s="198">
        <v>5</v>
      </c>
      <c r="E43" s="198">
        <v>4</v>
      </c>
      <c r="F43" s="198">
        <v>79</v>
      </c>
      <c r="G43" s="198">
        <v>0</v>
      </c>
      <c r="H43" s="198">
        <v>0</v>
      </c>
      <c r="I43" s="198">
        <v>0</v>
      </c>
      <c r="J43" s="198">
        <v>0</v>
      </c>
      <c r="K43" s="198">
        <v>0</v>
      </c>
      <c r="L43" s="198">
        <v>0</v>
      </c>
      <c r="M43" s="198">
        <v>0</v>
      </c>
      <c r="N43" s="198">
        <v>0</v>
      </c>
      <c r="O43" s="198">
        <v>0</v>
      </c>
      <c r="P43" s="198">
        <v>0</v>
      </c>
      <c r="Q43" s="198">
        <v>0</v>
      </c>
      <c r="R43" s="198">
        <v>0</v>
      </c>
      <c r="S43" s="198">
        <v>0</v>
      </c>
      <c r="T43" s="198">
        <v>0</v>
      </c>
      <c r="U43" s="198">
        <v>0</v>
      </c>
      <c r="V43" s="198">
        <v>0</v>
      </c>
      <c r="W43" s="198">
        <v>0</v>
      </c>
      <c r="X43" s="198">
        <v>0</v>
      </c>
      <c r="Y43" s="198">
        <v>0</v>
      </c>
      <c r="Z43" s="198">
        <v>66</v>
      </c>
      <c r="AA43" s="198">
        <v>0</v>
      </c>
      <c r="AB43" s="198">
        <v>0</v>
      </c>
      <c r="AC43" s="198">
        <v>0</v>
      </c>
      <c r="AD43" s="198">
        <v>0</v>
      </c>
      <c r="AE43" s="198">
        <v>0</v>
      </c>
      <c r="AF43" s="198">
        <v>0</v>
      </c>
      <c r="AG43" s="198">
        <v>4</v>
      </c>
      <c r="AH43" s="198">
        <v>9</v>
      </c>
      <c r="AI43" s="198">
        <v>0</v>
      </c>
      <c r="AJ43" s="198">
        <v>0</v>
      </c>
      <c r="AK43" s="198">
        <v>0</v>
      </c>
      <c r="AL43" s="198">
        <v>0</v>
      </c>
      <c r="AM43" s="198">
        <v>0</v>
      </c>
      <c r="AN43" s="198">
        <v>0</v>
      </c>
    </row>
    <row r="44" spans="3:40" x14ac:dyDescent="0.3">
      <c r="C44" s="198">
        <v>38</v>
      </c>
      <c r="D44" s="198">
        <v>5</v>
      </c>
      <c r="E44" s="198">
        <v>5</v>
      </c>
      <c r="F44" s="198">
        <v>-178</v>
      </c>
      <c r="G44" s="198">
        <v>-178</v>
      </c>
      <c r="H44" s="198">
        <v>0</v>
      </c>
      <c r="I44" s="198">
        <v>0</v>
      </c>
      <c r="J44" s="198">
        <v>0</v>
      </c>
      <c r="K44" s="198">
        <v>0</v>
      </c>
      <c r="L44" s="198">
        <v>0</v>
      </c>
      <c r="M44" s="198">
        <v>0</v>
      </c>
      <c r="N44" s="198">
        <v>0</v>
      </c>
      <c r="O44" s="198">
        <v>0</v>
      </c>
      <c r="P44" s="198">
        <v>0</v>
      </c>
      <c r="Q44" s="198">
        <v>0</v>
      </c>
      <c r="R44" s="198">
        <v>0</v>
      </c>
      <c r="S44" s="198">
        <v>0</v>
      </c>
      <c r="T44" s="198">
        <v>0</v>
      </c>
      <c r="U44" s="198">
        <v>0</v>
      </c>
      <c r="V44" s="198">
        <v>0</v>
      </c>
      <c r="W44" s="198">
        <v>0</v>
      </c>
      <c r="X44" s="198">
        <v>0</v>
      </c>
      <c r="Y44" s="198">
        <v>0</v>
      </c>
      <c r="Z44" s="198">
        <v>0</v>
      </c>
      <c r="AA44" s="198">
        <v>0</v>
      </c>
      <c r="AB44" s="198">
        <v>0</v>
      </c>
      <c r="AC44" s="198">
        <v>0</v>
      </c>
      <c r="AD44" s="198">
        <v>0</v>
      </c>
      <c r="AE44" s="198">
        <v>0</v>
      </c>
      <c r="AF44" s="198">
        <v>0</v>
      </c>
      <c r="AG44" s="198">
        <v>0</v>
      </c>
      <c r="AH44" s="198">
        <v>0</v>
      </c>
      <c r="AI44" s="198">
        <v>0</v>
      </c>
      <c r="AJ44" s="198">
        <v>0</v>
      </c>
      <c r="AK44" s="198">
        <v>0</v>
      </c>
      <c r="AL44" s="198">
        <v>0</v>
      </c>
      <c r="AM44" s="198">
        <v>0</v>
      </c>
      <c r="AN44" s="198">
        <v>0</v>
      </c>
    </row>
    <row r="45" spans="3:40" x14ac:dyDescent="0.3">
      <c r="C45" s="198">
        <v>38</v>
      </c>
      <c r="D45" s="198">
        <v>5</v>
      </c>
      <c r="E45" s="198">
        <v>6</v>
      </c>
      <c r="F45" s="198">
        <v>1006784</v>
      </c>
      <c r="G45" s="198">
        <v>113910</v>
      </c>
      <c r="H45" s="198">
        <v>280961</v>
      </c>
      <c r="I45" s="198">
        <v>0</v>
      </c>
      <c r="J45" s="198">
        <v>0</v>
      </c>
      <c r="K45" s="198">
        <v>0</v>
      </c>
      <c r="L45" s="198">
        <v>0</v>
      </c>
      <c r="M45" s="198">
        <v>0</v>
      </c>
      <c r="N45" s="198">
        <v>211142</v>
      </c>
      <c r="O45" s="198">
        <v>0</v>
      </c>
      <c r="P45" s="198">
        <v>0</v>
      </c>
      <c r="Q45" s="198">
        <v>0</v>
      </c>
      <c r="R45" s="198">
        <v>0</v>
      </c>
      <c r="S45" s="198">
        <v>0</v>
      </c>
      <c r="T45" s="198">
        <v>0</v>
      </c>
      <c r="U45" s="198">
        <v>0</v>
      </c>
      <c r="V45" s="198">
        <v>0</v>
      </c>
      <c r="W45" s="198">
        <v>0</v>
      </c>
      <c r="X45" s="198">
        <v>0</v>
      </c>
      <c r="Y45" s="198">
        <v>0</v>
      </c>
      <c r="Z45" s="198">
        <v>230726</v>
      </c>
      <c r="AA45" s="198">
        <v>0</v>
      </c>
      <c r="AB45" s="198">
        <v>0</v>
      </c>
      <c r="AC45" s="198">
        <v>0</v>
      </c>
      <c r="AD45" s="198">
        <v>0</v>
      </c>
      <c r="AE45" s="198">
        <v>0</v>
      </c>
      <c r="AF45" s="198">
        <v>0</v>
      </c>
      <c r="AG45" s="198">
        <v>3858</v>
      </c>
      <c r="AH45" s="198">
        <v>104540</v>
      </c>
      <c r="AI45" s="198">
        <v>0</v>
      </c>
      <c r="AJ45" s="198">
        <v>0</v>
      </c>
      <c r="AK45" s="198">
        <v>0</v>
      </c>
      <c r="AL45" s="198">
        <v>0</v>
      </c>
      <c r="AM45" s="198">
        <v>53322</v>
      </c>
      <c r="AN45" s="198">
        <v>8325</v>
      </c>
    </row>
    <row r="46" spans="3:40" x14ac:dyDescent="0.3">
      <c r="C46" s="198">
        <v>38</v>
      </c>
      <c r="D46" s="198">
        <v>5</v>
      </c>
      <c r="E46" s="198">
        <v>9</v>
      </c>
      <c r="F46" s="198">
        <v>12602</v>
      </c>
      <c r="G46" s="198">
        <v>0</v>
      </c>
      <c r="H46" s="198">
        <v>0</v>
      </c>
      <c r="I46" s="198">
        <v>0</v>
      </c>
      <c r="J46" s="198">
        <v>0</v>
      </c>
      <c r="K46" s="198">
        <v>0</v>
      </c>
      <c r="L46" s="198">
        <v>0</v>
      </c>
      <c r="M46" s="198">
        <v>0</v>
      </c>
      <c r="N46" s="198">
        <v>0</v>
      </c>
      <c r="O46" s="198">
        <v>0</v>
      </c>
      <c r="P46" s="198">
        <v>0</v>
      </c>
      <c r="Q46" s="198">
        <v>0</v>
      </c>
      <c r="R46" s="198">
        <v>0</v>
      </c>
      <c r="S46" s="198">
        <v>0</v>
      </c>
      <c r="T46" s="198">
        <v>0</v>
      </c>
      <c r="U46" s="198">
        <v>0</v>
      </c>
      <c r="V46" s="198">
        <v>0</v>
      </c>
      <c r="W46" s="198">
        <v>0</v>
      </c>
      <c r="X46" s="198">
        <v>0</v>
      </c>
      <c r="Y46" s="198">
        <v>0</v>
      </c>
      <c r="Z46" s="198">
        <v>9078</v>
      </c>
      <c r="AA46" s="198">
        <v>0</v>
      </c>
      <c r="AB46" s="198">
        <v>0</v>
      </c>
      <c r="AC46" s="198">
        <v>0</v>
      </c>
      <c r="AD46" s="198">
        <v>0</v>
      </c>
      <c r="AE46" s="198">
        <v>0</v>
      </c>
      <c r="AF46" s="198">
        <v>0</v>
      </c>
      <c r="AG46" s="198">
        <v>1987</v>
      </c>
      <c r="AH46" s="198">
        <v>1537</v>
      </c>
      <c r="AI46" s="198">
        <v>0</v>
      </c>
      <c r="AJ46" s="198">
        <v>0</v>
      </c>
      <c r="AK46" s="198">
        <v>0</v>
      </c>
      <c r="AL46" s="198">
        <v>0</v>
      </c>
      <c r="AM46" s="198">
        <v>0</v>
      </c>
      <c r="AN46" s="198">
        <v>0</v>
      </c>
    </row>
    <row r="47" spans="3:40" x14ac:dyDescent="0.3">
      <c r="C47" s="198">
        <v>38</v>
      </c>
      <c r="D47" s="198">
        <v>5</v>
      </c>
      <c r="E47" s="198">
        <v>10</v>
      </c>
      <c r="F47" s="198">
        <v>2500</v>
      </c>
      <c r="G47" s="198">
        <v>0</v>
      </c>
      <c r="H47" s="198">
        <v>2000</v>
      </c>
      <c r="I47" s="198">
        <v>0</v>
      </c>
      <c r="J47" s="198">
        <v>0</v>
      </c>
      <c r="K47" s="198">
        <v>500</v>
      </c>
      <c r="L47" s="198">
        <v>0</v>
      </c>
      <c r="M47" s="198">
        <v>0</v>
      </c>
      <c r="N47" s="198">
        <v>0</v>
      </c>
      <c r="O47" s="198">
        <v>0</v>
      </c>
      <c r="P47" s="198">
        <v>0</v>
      </c>
      <c r="Q47" s="198">
        <v>0</v>
      </c>
      <c r="R47" s="198">
        <v>0</v>
      </c>
      <c r="S47" s="198">
        <v>0</v>
      </c>
      <c r="T47" s="198">
        <v>0</v>
      </c>
      <c r="U47" s="198">
        <v>0</v>
      </c>
      <c r="V47" s="198">
        <v>0</v>
      </c>
      <c r="W47" s="198">
        <v>0</v>
      </c>
      <c r="X47" s="198">
        <v>0</v>
      </c>
      <c r="Y47" s="198">
        <v>0</v>
      </c>
      <c r="Z47" s="198">
        <v>0</v>
      </c>
      <c r="AA47" s="198">
        <v>0</v>
      </c>
      <c r="AB47" s="198">
        <v>0</v>
      </c>
      <c r="AC47" s="198">
        <v>0</v>
      </c>
      <c r="AD47" s="198">
        <v>0</v>
      </c>
      <c r="AE47" s="198">
        <v>0</v>
      </c>
      <c r="AF47" s="198">
        <v>0</v>
      </c>
      <c r="AG47" s="198">
        <v>0</v>
      </c>
      <c r="AH47" s="198">
        <v>0</v>
      </c>
      <c r="AI47" s="198">
        <v>0</v>
      </c>
      <c r="AJ47" s="198">
        <v>0</v>
      </c>
      <c r="AK47" s="198">
        <v>0</v>
      </c>
      <c r="AL47" s="198">
        <v>0</v>
      </c>
      <c r="AM47" s="198">
        <v>0</v>
      </c>
      <c r="AN47" s="198">
        <v>0</v>
      </c>
    </row>
    <row r="48" spans="3:40" x14ac:dyDescent="0.3">
      <c r="C48" s="198">
        <v>38</v>
      </c>
      <c r="D48" s="198">
        <v>5</v>
      </c>
      <c r="E48" s="198">
        <v>11</v>
      </c>
      <c r="F48" s="198">
        <v>4565.5</v>
      </c>
      <c r="G48" s="198">
        <v>0</v>
      </c>
      <c r="H48" s="198">
        <v>2065.5</v>
      </c>
      <c r="I48" s="198">
        <v>0</v>
      </c>
      <c r="J48" s="198">
        <v>0</v>
      </c>
      <c r="K48" s="198">
        <v>2500</v>
      </c>
      <c r="L48" s="198">
        <v>0</v>
      </c>
      <c r="M48" s="198">
        <v>0</v>
      </c>
      <c r="N48" s="198">
        <v>0</v>
      </c>
      <c r="O48" s="198">
        <v>0</v>
      </c>
      <c r="P48" s="198">
        <v>0</v>
      </c>
      <c r="Q48" s="198">
        <v>0</v>
      </c>
      <c r="R48" s="198">
        <v>0</v>
      </c>
      <c r="S48" s="198">
        <v>0</v>
      </c>
      <c r="T48" s="198">
        <v>0</v>
      </c>
      <c r="U48" s="198">
        <v>0</v>
      </c>
      <c r="V48" s="198">
        <v>0</v>
      </c>
      <c r="W48" s="198">
        <v>0</v>
      </c>
      <c r="X48" s="198">
        <v>0</v>
      </c>
      <c r="Y48" s="198">
        <v>0</v>
      </c>
      <c r="Z48" s="198">
        <v>0</v>
      </c>
      <c r="AA48" s="198">
        <v>0</v>
      </c>
      <c r="AB48" s="198">
        <v>0</v>
      </c>
      <c r="AC48" s="198">
        <v>0</v>
      </c>
      <c r="AD48" s="198">
        <v>0</v>
      </c>
      <c r="AE48" s="198">
        <v>0</v>
      </c>
      <c r="AF48" s="198">
        <v>0</v>
      </c>
      <c r="AG48" s="198">
        <v>0</v>
      </c>
      <c r="AH48" s="198">
        <v>0</v>
      </c>
      <c r="AI48" s="198">
        <v>0</v>
      </c>
      <c r="AJ48" s="198">
        <v>0</v>
      </c>
      <c r="AK48" s="198">
        <v>0</v>
      </c>
      <c r="AL48" s="198">
        <v>0</v>
      </c>
      <c r="AM48" s="198">
        <v>0</v>
      </c>
      <c r="AN48" s="198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0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05" bestFit="1" customWidth="1"/>
    <col min="2" max="2" width="7.77734375" style="81" customWidth="1"/>
    <col min="3" max="3" width="5.44140625" style="105" hidden="1" customWidth="1"/>
    <col min="4" max="4" width="7.77734375" style="81" customWidth="1"/>
    <col min="5" max="5" width="5.44140625" style="105" hidden="1" customWidth="1"/>
    <col min="6" max="6" width="7.77734375" style="81" customWidth="1"/>
    <col min="7" max="7" width="7.77734375" style="184" customWidth="1"/>
    <col min="8" max="8" width="7.77734375" style="81" customWidth="1"/>
    <col min="9" max="9" width="5.44140625" style="105" hidden="1" customWidth="1"/>
    <col min="10" max="10" width="7.77734375" style="81" customWidth="1"/>
    <col min="11" max="11" width="5.44140625" style="105" hidden="1" customWidth="1"/>
    <col min="12" max="12" width="7.77734375" style="81" customWidth="1"/>
    <col min="13" max="13" width="7.77734375" style="184" customWidth="1"/>
    <col min="14" max="14" width="7.77734375" style="81" customWidth="1"/>
    <col min="15" max="15" width="5" style="105" hidden="1" customWidth="1"/>
    <col min="16" max="16" width="7.77734375" style="81" customWidth="1"/>
    <col min="17" max="17" width="5" style="105" hidden="1" customWidth="1"/>
    <col min="18" max="18" width="7.77734375" style="81" customWidth="1"/>
    <col min="19" max="19" width="7.77734375" style="184" customWidth="1"/>
    <col min="20" max="16384" width="8.88671875" style="105"/>
  </cols>
  <sheetData>
    <row r="1" spans="1:19" ht="18.600000000000001" customHeight="1" thickBot="1" x14ac:dyDescent="0.4">
      <c r="A1" s="312" t="s">
        <v>717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</row>
    <row r="2" spans="1:19" ht="14.4" customHeight="1" thickBot="1" x14ac:dyDescent="0.35">
      <c r="A2" s="202" t="s">
        <v>233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</row>
    <row r="3" spans="1:19" ht="14.4" customHeight="1" thickBot="1" x14ac:dyDescent="0.35">
      <c r="A3" s="188" t="s">
        <v>113</v>
      </c>
      <c r="B3" s="189">
        <f>SUBTOTAL(9,B6:B1048576)</f>
        <v>6714000</v>
      </c>
      <c r="C3" s="190">
        <f t="shared" ref="C3:R3" si="0">SUBTOTAL(9,C6:C1048576)</f>
        <v>2</v>
      </c>
      <c r="D3" s="190">
        <f t="shared" si="0"/>
        <v>8131850</v>
      </c>
      <c r="E3" s="190">
        <f t="shared" si="0"/>
        <v>2.7179771540302804</v>
      </c>
      <c r="F3" s="190">
        <f t="shared" si="0"/>
        <v>6722894</v>
      </c>
      <c r="G3" s="191">
        <f>IF(B3&lt;&gt;0,F3/B3,"")</f>
        <v>1.0013246946678582</v>
      </c>
      <c r="H3" s="192">
        <f t="shared" si="0"/>
        <v>0</v>
      </c>
      <c r="I3" s="190">
        <f t="shared" si="0"/>
        <v>0</v>
      </c>
      <c r="J3" s="190">
        <f t="shared" si="0"/>
        <v>0</v>
      </c>
      <c r="K3" s="190">
        <f t="shared" si="0"/>
        <v>0</v>
      </c>
      <c r="L3" s="190">
        <f t="shared" si="0"/>
        <v>0</v>
      </c>
      <c r="M3" s="193" t="str">
        <f>IF(H3&lt;&gt;0,L3/H3,"")</f>
        <v/>
      </c>
      <c r="N3" s="189">
        <f t="shared" si="0"/>
        <v>0</v>
      </c>
      <c r="O3" s="190">
        <f t="shared" si="0"/>
        <v>0</v>
      </c>
      <c r="P3" s="190">
        <f t="shared" si="0"/>
        <v>0</v>
      </c>
      <c r="Q3" s="190">
        <f t="shared" si="0"/>
        <v>0</v>
      </c>
      <c r="R3" s="190">
        <f t="shared" si="0"/>
        <v>0</v>
      </c>
      <c r="S3" s="191" t="str">
        <f>IF(N3&lt;&gt;0,R3/N3,"")</f>
        <v/>
      </c>
    </row>
    <row r="4" spans="1:19" ht="14.4" customHeight="1" x14ac:dyDescent="0.3">
      <c r="A4" s="313" t="s">
        <v>85</v>
      </c>
      <c r="B4" s="314" t="s">
        <v>86</v>
      </c>
      <c r="C4" s="315"/>
      <c r="D4" s="315"/>
      <c r="E4" s="315"/>
      <c r="F4" s="315"/>
      <c r="G4" s="316"/>
      <c r="H4" s="314" t="s">
        <v>87</v>
      </c>
      <c r="I4" s="315"/>
      <c r="J4" s="315"/>
      <c r="K4" s="315"/>
      <c r="L4" s="315"/>
      <c r="M4" s="316"/>
      <c r="N4" s="314" t="s">
        <v>88</v>
      </c>
      <c r="O4" s="315"/>
      <c r="P4" s="315"/>
      <c r="Q4" s="315"/>
      <c r="R4" s="315"/>
      <c r="S4" s="316"/>
    </row>
    <row r="5" spans="1:19" ht="14.4" customHeight="1" thickBot="1" x14ac:dyDescent="0.35">
      <c r="A5" s="415"/>
      <c r="B5" s="416">
        <v>2012</v>
      </c>
      <c r="C5" s="417"/>
      <c r="D5" s="417">
        <v>2013</v>
      </c>
      <c r="E5" s="417"/>
      <c r="F5" s="417">
        <v>2014</v>
      </c>
      <c r="G5" s="418" t="s">
        <v>2</v>
      </c>
      <c r="H5" s="416">
        <v>2012</v>
      </c>
      <c r="I5" s="417"/>
      <c r="J5" s="417">
        <v>2013</v>
      </c>
      <c r="K5" s="417"/>
      <c r="L5" s="417">
        <v>2014</v>
      </c>
      <c r="M5" s="418" t="s">
        <v>2</v>
      </c>
      <c r="N5" s="416">
        <v>2012</v>
      </c>
      <c r="O5" s="417"/>
      <c r="P5" s="417">
        <v>2013</v>
      </c>
      <c r="Q5" s="417"/>
      <c r="R5" s="417">
        <v>2014</v>
      </c>
      <c r="S5" s="418" t="s">
        <v>2</v>
      </c>
    </row>
    <row r="6" spans="1:19" ht="14.4" customHeight="1" x14ac:dyDescent="0.3">
      <c r="A6" s="425" t="s">
        <v>712</v>
      </c>
      <c r="B6" s="419">
        <v>5504490</v>
      </c>
      <c r="C6" s="368">
        <v>1</v>
      </c>
      <c r="D6" s="419">
        <v>6208670</v>
      </c>
      <c r="E6" s="368">
        <v>1.1279282912676742</v>
      </c>
      <c r="F6" s="419">
        <v>4848420</v>
      </c>
      <c r="G6" s="420">
        <v>0.88081184632908771</v>
      </c>
      <c r="H6" s="419"/>
      <c r="I6" s="368"/>
      <c r="J6" s="419"/>
      <c r="K6" s="368"/>
      <c r="L6" s="419"/>
      <c r="M6" s="420"/>
      <c r="N6" s="419"/>
      <c r="O6" s="368"/>
      <c r="P6" s="419"/>
      <c r="Q6" s="368"/>
      <c r="R6" s="419"/>
      <c r="S6" s="421"/>
    </row>
    <row r="7" spans="1:19" ht="14.4" customHeight="1" thickBot="1" x14ac:dyDescent="0.35">
      <c r="A7" s="426" t="s">
        <v>713</v>
      </c>
      <c r="B7" s="422">
        <v>1209510</v>
      </c>
      <c r="C7" s="380">
        <v>1</v>
      </c>
      <c r="D7" s="422">
        <v>1923180</v>
      </c>
      <c r="E7" s="380">
        <v>1.5900488627626064</v>
      </c>
      <c r="F7" s="422">
        <v>1874474</v>
      </c>
      <c r="G7" s="423">
        <v>1.5497796628386702</v>
      </c>
      <c r="H7" s="422"/>
      <c r="I7" s="380"/>
      <c r="J7" s="422"/>
      <c r="K7" s="380"/>
      <c r="L7" s="422"/>
      <c r="M7" s="423"/>
      <c r="N7" s="422"/>
      <c r="O7" s="380"/>
      <c r="P7" s="422"/>
      <c r="Q7" s="380"/>
      <c r="R7" s="422"/>
      <c r="S7" s="424"/>
    </row>
    <row r="8" spans="1:19" ht="14.4" customHeight="1" x14ac:dyDescent="0.3">
      <c r="A8" s="427" t="s">
        <v>714</v>
      </c>
    </row>
    <row r="9" spans="1:19" ht="14.4" customHeight="1" x14ac:dyDescent="0.3">
      <c r="A9" s="428" t="s">
        <v>715</v>
      </c>
    </row>
    <row r="10" spans="1:19" ht="14.4" customHeight="1" x14ac:dyDescent="0.3">
      <c r="A10" s="427" t="s">
        <v>716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34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105" bestFit="1" customWidth="1"/>
    <col min="2" max="2" width="2.109375" style="105" bestFit="1" customWidth="1"/>
    <col min="3" max="3" width="8" style="105" bestFit="1" customWidth="1"/>
    <col min="4" max="4" width="50.88671875" style="105" bestFit="1" customWidth="1"/>
    <col min="5" max="6" width="11.109375" style="181" customWidth="1"/>
    <col min="7" max="8" width="9.33203125" style="105" hidden="1" customWidth="1"/>
    <col min="9" max="10" width="11.109375" style="181" customWidth="1"/>
    <col min="11" max="12" width="9.33203125" style="105" hidden="1" customWidth="1"/>
    <col min="13" max="14" width="11.109375" style="181" customWidth="1"/>
    <col min="15" max="15" width="11.109375" style="184" customWidth="1"/>
    <col min="16" max="16" width="11.109375" style="181" customWidth="1"/>
    <col min="17" max="16384" width="8.88671875" style="105"/>
  </cols>
  <sheetData>
    <row r="1" spans="1:16" ht="18.600000000000001" customHeight="1" thickBot="1" x14ac:dyDescent="0.4">
      <c r="A1" s="272" t="s">
        <v>775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</row>
    <row r="2" spans="1:16" ht="14.4" customHeight="1" thickBot="1" x14ac:dyDescent="0.35">
      <c r="A2" s="202" t="s">
        <v>233</v>
      </c>
      <c r="B2" s="106"/>
      <c r="C2" s="106"/>
      <c r="D2" s="106"/>
      <c r="E2" s="196"/>
      <c r="F2" s="196"/>
      <c r="G2" s="106"/>
      <c r="H2" s="106"/>
      <c r="I2" s="196"/>
      <c r="J2" s="196"/>
      <c r="K2" s="106"/>
      <c r="L2" s="106"/>
      <c r="M2" s="196"/>
      <c r="N2" s="196"/>
      <c r="O2" s="197"/>
      <c r="P2" s="196"/>
    </row>
    <row r="3" spans="1:16" ht="14.4" customHeight="1" thickBot="1" x14ac:dyDescent="0.35">
      <c r="D3" s="63" t="s">
        <v>113</v>
      </c>
      <c r="E3" s="77">
        <f t="shared" ref="E3:N3" si="0">SUBTOTAL(9,E6:E1048576)</f>
        <v>1859</v>
      </c>
      <c r="F3" s="78">
        <f t="shared" si="0"/>
        <v>6714000</v>
      </c>
      <c r="G3" s="58"/>
      <c r="H3" s="58"/>
      <c r="I3" s="78">
        <f t="shared" si="0"/>
        <v>3708</v>
      </c>
      <c r="J3" s="78">
        <f t="shared" si="0"/>
        <v>8131850</v>
      </c>
      <c r="K3" s="58"/>
      <c r="L3" s="58"/>
      <c r="M3" s="78">
        <f t="shared" si="0"/>
        <v>3461</v>
      </c>
      <c r="N3" s="78">
        <f t="shared" si="0"/>
        <v>6722894</v>
      </c>
      <c r="O3" s="59">
        <f>IF(F3=0,0,N3/F3)</f>
        <v>1.0013246946678582</v>
      </c>
      <c r="P3" s="79">
        <f>IF(M3=0,0,N3/M3)</f>
        <v>1942.4715400173361</v>
      </c>
    </row>
    <row r="4" spans="1:16" ht="14.4" customHeight="1" x14ac:dyDescent="0.3">
      <c r="A4" s="318" t="s">
        <v>81</v>
      </c>
      <c r="B4" s="319" t="s">
        <v>82</v>
      </c>
      <c r="C4" s="320" t="s">
        <v>83</v>
      </c>
      <c r="D4" s="321" t="s">
        <v>56</v>
      </c>
      <c r="E4" s="322">
        <v>2012</v>
      </c>
      <c r="F4" s="323"/>
      <c r="G4" s="76"/>
      <c r="H4" s="76"/>
      <c r="I4" s="322">
        <v>2013</v>
      </c>
      <c r="J4" s="323"/>
      <c r="K4" s="76"/>
      <c r="L4" s="76"/>
      <c r="M4" s="322">
        <v>2014</v>
      </c>
      <c r="N4" s="323"/>
      <c r="O4" s="324" t="s">
        <v>2</v>
      </c>
      <c r="P4" s="317" t="s">
        <v>84</v>
      </c>
    </row>
    <row r="5" spans="1:16" ht="14.4" customHeight="1" thickBot="1" x14ac:dyDescent="0.35">
      <c r="A5" s="429"/>
      <c r="B5" s="430"/>
      <c r="C5" s="431"/>
      <c r="D5" s="432"/>
      <c r="E5" s="433" t="s">
        <v>58</v>
      </c>
      <c r="F5" s="434" t="s">
        <v>14</v>
      </c>
      <c r="G5" s="435"/>
      <c r="H5" s="435"/>
      <c r="I5" s="433" t="s">
        <v>58</v>
      </c>
      <c r="J5" s="434" t="s">
        <v>14</v>
      </c>
      <c r="K5" s="435"/>
      <c r="L5" s="435"/>
      <c r="M5" s="433" t="s">
        <v>58</v>
      </c>
      <c r="N5" s="434" t="s">
        <v>14</v>
      </c>
      <c r="O5" s="436"/>
      <c r="P5" s="437"/>
    </row>
    <row r="6" spans="1:16" ht="14.4" customHeight="1" x14ac:dyDescent="0.3">
      <c r="A6" s="367" t="s">
        <v>718</v>
      </c>
      <c r="B6" s="368" t="s">
        <v>719</v>
      </c>
      <c r="C6" s="368" t="s">
        <v>720</v>
      </c>
      <c r="D6" s="368" t="s">
        <v>721</v>
      </c>
      <c r="E6" s="371">
        <v>522</v>
      </c>
      <c r="F6" s="371">
        <v>5504490</v>
      </c>
      <c r="G6" s="368">
        <v>1</v>
      </c>
      <c r="H6" s="368">
        <v>10545</v>
      </c>
      <c r="I6" s="371">
        <v>586</v>
      </c>
      <c r="J6" s="371">
        <v>6208670</v>
      </c>
      <c r="K6" s="368">
        <v>1.1279282912676742</v>
      </c>
      <c r="L6" s="368">
        <v>10595</v>
      </c>
      <c r="M6" s="371">
        <v>456</v>
      </c>
      <c r="N6" s="371">
        <v>4848420</v>
      </c>
      <c r="O6" s="420">
        <v>0.88081184632908771</v>
      </c>
      <c r="P6" s="372">
        <v>10632.5</v>
      </c>
    </row>
    <row r="7" spans="1:16" ht="14.4" customHeight="1" x14ac:dyDescent="0.3">
      <c r="A7" s="373" t="s">
        <v>722</v>
      </c>
      <c r="B7" s="374" t="s">
        <v>719</v>
      </c>
      <c r="C7" s="374" t="s">
        <v>723</v>
      </c>
      <c r="D7" s="374" t="s">
        <v>724</v>
      </c>
      <c r="E7" s="377">
        <v>9</v>
      </c>
      <c r="F7" s="377">
        <v>1125</v>
      </c>
      <c r="G7" s="374">
        <v>1</v>
      </c>
      <c r="H7" s="374">
        <v>125</v>
      </c>
      <c r="I7" s="377">
        <v>23</v>
      </c>
      <c r="J7" s="377">
        <v>2898</v>
      </c>
      <c r="K7" s="374">
        <v>2.5760000000000001</v>
      </c>
      <c r="L7" s="374">
        <v>126</v>
      </c>
      <c r="M7" s="377">
        <v>10</v>
      </c>
      <c r="N7" s="377">
        <v>1262</v>
      </c>
      <c r="O7" s="438">
        <v>1.1217777777777778</v>
      </c>
      <c r="P7" s="378">
        <v>126.2</v>
      </c>
    </row>
    <row r="8" spans="1:16" ht="14.4" customHeight="1" x14ac:dyDescent="0.3">
      <c r="A8" s="373" t="s">
        <v>722</v>
      </c>
      <c r="B8" s="374" t="s">
        <v>719</v>
      </c>
      <c r="C8" s="374" t="s">
        <v>725</v>
      </c>
      <c r="D8" s="374" t="s">
        <v>726</v>
      </c>
      <c r="E8" s="377">
        <v>15</v>
      </c>
      <c r="F8" s="377">
        <v>18255</v>
      </c>
      <c r="G8" s="374">
        <v>1</v>
      </c>
      <c r="H8" s="374">
        <v>1217</v>
      </c>
      <c r="I8" s="377">
        <v>22</v>
      </c>
      <c r="J8" s="377">
        <v>26840</v>
      </c>
      <c r="K8" s="374">
        <v>1.4702821144891811</v>
      </c>
      <c r="L8" s="374">
        <v>1220</v>
      </c>
      <c r="M8" s="377">
        <v>16</v>
      </c>
      <c r="N8" s="377">
        <v>19538</v>
      </c>
      <c r="O8" s="438">
        <v>1.070282114489181</v>
      </c>
      <c r="P8" s="378">
        <v>1221.125</v>
      </c>
    </row>
    <row r="9" spans="1:16" ht="14.4" customHeight="1" x14ac:dyDescent="0.3">
      <c r="A9" s="373" t="s">
        <v>722</v>
      </c>
      <c r="B9" s="374" t="s">
        <v>719</v>
      </c>
      <c r="C9" s="374" t="s">
        <v>727</v>
      </c>
      <c r="D9" s="374" t="s">
        <v>728</v>
      </c>
      <c r="E9" s="377">
        <v>1</v>
      </c>
      <c r="F9" s="377">
        <v>2204</v>
      </c>
      <c r="G9" s="374">
        <v>1</v>
      </c>
      <c r="H9" s="374">
        <v>2204</v>
      </c>
      <c r="I9" s="377">
        <v>110</v>
      </c>
      <c r="J9" s="377">
        <v>243430</v>
      </c>
      <c r="K9" s="374">
        <v>110.44918330308531</v>
      </c>
      <c r="L9" s="374">
        <v>2213</v>
      </c>
      <c r="M9" s="377">
        <v>52</v>
      </c>
      <c r="N9" s="377">
        <v>115348</v>
      </c>
      <c r="O9" s="438">
        <v>52.335753176043561</v>
      </c>
      <c r="P9" s="378">
        <v>2218.2307692307691</v>
      </c>
    </row>
    <row r="10" spans="1:16" ht="14.4" customHeight="1" x14ac:dyDescent="0.3">
      <c r="A10" s="373" t="s">
        <v>722</v>
      </c>
      <c r="B10" s="374" t="s">
        <v>719</v>
      </c>
      <c r="C10" s="374" t="s">
        <v>729</v>
      </c>
      <c r="D10" s="374" t="s">
        <v>730</v>
      </c>
      <c r="E10" s="377">
        <v>13</v>
      </c>
      <c r="F10" s="377">
        <v>13416</v>
      </c>
      <c r="G10" s="374">
        <v>1</v>
      </c>
      <c r="H10" s="374">
        <v>1032</v>
      </c>
      <c r="I10" s="377">
        <v>35</v>
      </c>
      <c r="J10" s="377">
        <v>36225</v>
      </c>
      <c r="K10" s="374">
        <v>2.7001341681574238</v>
      </c>
      <c r="L10" s="374">
        <v>1035</v>
      </c>
      <c r="M10" s="377">
        <v>10</v>
      </c>
      <c r="N10" s="377">
        <v>10350</v>
      </c>
      <c r="O10" s="438">
        <v>0.77146690518783545</v>
      </c>
      <c r="P10" s="378">
        <v>1035</v>
      </c>
    </row>
    <row r="11" spans="1:16" ht="14.4" customHeight="1" x14ac:dyDescent="0.3">
      <c r="A11" s="373" t="s">
        <v>722</v>
      </c>
      <c r="B11" s="374" t="s">
        <v>719</v>
      </c>
      <c r="C11" s="374" t="s">
        <v>731</v>
      </c>
      <c r="D11" s="374" t="s">
        <v>732</v>
      </c>
      <c r="E11" s="377">
        <v>72</v>
      </c>
      <c r="F11" s="377">
        <v>265608</v>
      </c>
      <c r="G11" s="374">
        <v>1</v>
      </c>
      <c r="H11" s="374">
        <v>3689</v>
      </c>
      <c r="I11" s="377">
        <v>59</v>
      </c>
      <c r="J11" s="377">
        <v>218182</v>
      </c>
      <c r="K11" s="374">
        <v>0.82144363121592723</v>
      </c>
      <c r="L11" s="374">
        <v>3698</v>
      </c>
      <c r="M11" s="377">
        <v>63</v>
      </c>
      <c r="N11" s="377">
        <v>233454</v>
      </c>
      <c r="O11" s="438">
        <v>0.87894189934038136</v>
      </c>
      <c r="P11" s="378">
        <v>3705.6190476190477</v>
      </c>
    </row>
    <row r="12" spans="1:16" ht="14.4" customHeight="1" x14ac:dyDescent="0.3">
      <c r="A12" s="373" t="s">
        <v>722</v>
      </c>
      <c r="B12" s="374" t="s">
        <v>719</v>
      </c>
      <c r="C12" s="374" t="s">
        <v>733</v>
      </c>
      <c r="D12" s="374" t="s">
        <v>734</v>
      </c>
      <c r="E12" s="377">
        <v>28</v>
      </c>
      <c r="F12" s="377">
        <v>12236</v>
      </c>
      <c r="G12" s="374">
        <v>1</v>
      </c>
      <c r="H12" s="374">
        <v>437</v>
      </c>
      <c r="I12" s="377">
        <v>599</v>
      </c>
      <c r="J12" s="377">
        <v>262362</v>
      </c>
      <c r="K12" s="374">
        <v>21.441811049362538</v>
      </c>
      <c r="L12" s="374">
        <v>438</v>
      </c>
      <c r="M12" s="377">
        <v>589</v>
      </c>
      <c r="N12" s="377">
        <v>258240</v>
      </c>
      <c r="O12" s="438">
        <v>21.104936253677671</v>
      </c>
      <c r="P12" s="378">
        <v>438.43803056027167</v>
      </c>
    </row>
    <row r="13" spans="1:16" ht="14.4" customHeight="1" x14ac:dyDescent="0.3">
      <c r="A13" s="373" t="s">
        <v>722</v>
      </c>
      <c r="B13" s="374" t="s">
        <v>719</v>
      </c>
      <c r="C13" s="374" t="s">
        <v>735</v>
      </c>
      <c r="D13" s="374" t="s">
        <v>736</v>
      </c>
      <c r="E13" s="377">
        <v>86</v>
      </c>
      <c r="F13" s="377">
        <v>71466</v>
      </c>
      <c r="G13" s="374">
        <v>1</v>
      </c>
      <c r="H13" s="374">
        <v>831</v>
      </c>
      <c r="I13" s="377">
        <v>28</v>
      </c>
      <c r="J13" s="377">
        <v>23296</v>
      </c>
      <c r="K13" s="374">
        <v>0.32597319004841463</v>
      </c>
      <c r="L13" s="374">
        <v>832</v>
      </c>
      <c r="M13" s="377">
        <v>50</v>
      </c>
      <c r="N13" s="377">
        <v>41672</v>
      </c>
      <c r="O13" s="438">
        <v>0.58310245431393948</v>
      </c>
      <c r="P13" s="378">
        <v>833.44</v>
      </c>
    </row>
    <row r="14" spans="1:16" ht="14.4" customHeight="1" x14ac:dyDescent="0.3">
      <c r="A14" s="373" t="s">
        <v>722</v>
      </c>
      <c r="B14" s="374" t="s">
        <v>719</v>
      </c>
      <c r="C14" s="374" t="s">
        <v>737</v>
      </c>
      <c r="D14" s="374" t="s">
        <v>738</v>
      </c>
      <c r="E14" s="377">
        <v>1</v>
      </c>
      <c r="F14" s="377">
        <v>1610</v>
      </c>
      <c r="G14" s="374">
        <v>1</v>
      </c>
      <c r="H14" s="374">
        <v>1610</v>
      </c>
      <c r="I14" s="377">
        <v>1</v>
      </c>
      <c r="J14" s="377">
        <v>1613</v>
      </c>
      <c r="K14" s="374">
        <v>1.001863354037267</v>
      </c>
      <c r="L14" s="374">
        <v>1613</v>
      </c>
      <c r="M14" s="377">
        <v>66</v>
      </c>
      <c r="N14" s="377">
        <v>106596</v>
      </c>
      <c r="O14" s="438">
        <v>66.208695652173915</v>
      </c>
      <c r="P14" s="378">
        <v>1615.090909090909</v>
      </c>
    </row>
    <row r="15" spans="1:16" ht="14.4" customHeight="1" x14ac:dyDescent="0.3">
      <c r="A15" s="373" t="s">
        <v>722</v>
      </c>
      <c r="B15" s="374" t="s">
        <v>719</v>
      </c>
      <c r="C15" s="374" t="s">
        <v>739</v>
      </c>
      <c r="D15" s="374" t="s">
        <v>740</v>
      </c>
      <c r="E15" s="377">
        <v>1</v>
      </c>
      <c r="F15" s="377">
        <v>1531</v>
      </c>
      <c r="G15" s="374">
        <v>1</v>
      </c>
      <c r="H15" s="374">
        <v>1531</v>
      </c>
      <c r="I15" s="377">
        <v>5</v>
      </c>
      <c r="J15" s="377">
        <v>7685</v>
      </c>
      <c r="K15" s="374">
        <v>5.0195950359242323</v>
      </c>
      <c r="L15" s="374">
        <v>1537</v>
      </c>
      <c r="M15" s="377">
        <v>2</v>
      </c>
      <c r="N15" s="377">
        <v>3096</v>
      </c>
      <c r="O15" s="438">
        <v>2.0222077073807969</v>
      </c>
      <c r="P15" s="378">
        <v>1548</v>
      </c>
    </row>
    <row r="16" spans="1:16" ht="14.4" customHeight="1" x14ac:dyDescent="0.3">
      <c r="A16" s="373" t="s">
        <v>722</v>
      </c>
      <c r="B16" s="374" t="s">
        <v>719</v>
      </c>
      <c r="C16" s="374" t="s">
        <v>741</v>
      </c>
      <c r="D16" s="374" t="s">
        <v>742</v>
      </c>
      <c r="E16" s="377"/>
      <c r="F16" s="377"/>
      <c r="G16" s="374"/>
      <c r="H16" s="374"/>
      <c r="I16" s="377">
        <v>53</v>
      </c>
      <c r="J16" s="377">
        <v>43407</v>
      </c>
      <c r="K16" s="374"/>
      <c r="L16" s="374">
        <v>819</v>
      </c>
      <c r="M16" s="377">
        <v>23</v>
      </c>
      <c r="N16" s="377">
        <v>18861</v>
      </c>
      <c r="O16" s="438"/>
      <c r="P16" s="378">
        <v>820.04347826086962</v>
      </c>
    </row>
    <row r="17" spans="1:16" ht="14.4" customHeight="1" x14ac:dyDescent="0.3">
      <c r="A17" s="373" t="s">
        <v>722</v>
      </c>
      <c r="B17" s="374" t="s">
        <v>719</v>
      </c>
      <c r="C17" s="374" t="s">
        <v>743</v>
      </c>
      <c r="D17" s="374" t="s">
        <v>744</v>
      </c>
      <c r="E17" s="377">
        <v>68</v>
      </c>
      <c r="F17" s="377">
        <v>97988</v>
      </c>
      <c r="G17" s="374">
        <v>1</v>
      </c>
      <c r="H17" s="374">
        <v>1441</v>
      </c>
      <c r="I17" s="377">
        <v>119</v>
      </c>
      <c r="J17" s="377">
        <v>172193</v>
      </c>
      <c r="K17" s="374">
        <v>1.7572866065232478</v>
      </c>
      <c r="L17" s="374">
        <v>1447</v>
      </c>
      <c r="M17" s="377">
        <v>85</v>
      </c>
      <c r="N17" s="377">
        <v>123425</v>
      </c>
      <c r="O17" s="438">
        <v>1.2595930113891496</v>
      </c>
      <c r="P17" s="378">
        <v>1452.0588235294117</v>
      </c>
    </row>
    <row r="18" spans="1:16" ht="14.4" customHeight="1" x14ac:dyDescent="0.3">
      <c r="A18" s="373" t="s">
        <v>722</v>
      </c>
      <c r="B18" s="374" t="s">
        <v>719</v>
      </c>
      <c r="C18" s="374" t="s">
        <v>745</v>
      </c>
      <c r="D18" s="374" t="s">
        <v>746</v>
      </c>
      <c r="E18" s="377">
        <v>16</v>
      </c>
      <c r="F18" s="377">
        <v>49040</v>
      </c>
      <c r="G18" s="374">
        <v>1</v>
      </c>
      <c r="H18" s="374">
        <v>3065</v>
      </c>
      <c r="I18" s="377">
        <v>17</v>
      </c>
      <c r="J18" s="377">
        <v>52326</v>
      </c>
      <c r="K18" s="374">
        <v>1.0670065252854812</v>
      </c>
      <c r="L18" s="374">
        <v>3078</v>
      </c>
      <c r="M18" s="377">
        <v>2</v>
      </c>
      <c r="N18" s="377">
        <v>6156</v>
      </c>
      <c r="O18" s="438">
        <v>0.12553017944535072</v>
      </c>
      <c r="P18" s="378">
        <v>3078</v>
      </c>
    </row>
    <row r="19" spans="1:16" ht="14.4" customHeight="1" x14ac:dyDescent="0.3">
      <c r="A19" s="373" t="s">
        <v>722</v>
      </c>
      <c r="B19" s="374" t="s">
        <v>719</v>
      </c>
      <c r="C19" s="374" t="s">
        <v>747</v>
      </c>
      <c r="D19" s="374" t="s">
        <v>748</v>
      </c>
      <c r="E19" s="377">
        <v>55</v>
      </c>
      <c r="F19" s="377">
        <v>880</v>
      </c>
      <c r="G19" s="374">
        <v>1</v>
      </c>
      <c r="H19" s="374">
        <v>16</v>
      </c>
      <c r="I19" s="377">
        <v>128</v>
      </c>
      <c r="J19" s="377">
        <v>2048</v>
      </c>
      <c r="K19" s="374">
        <v>2.3272727272727272</v>
      </c>
      <c r="L19" s="374">
        <v>16</v>
      </c>
      <c r="M19" s="377">
        <v>73</v>
      </c>
      <c r="N19" s="377">
        <v>1168</v>
      </c>
      <c r="O19" s="438">
        <v>1.3272727272727274</v>
      </c>
      <c r="P19" s="378">
        <v>16</v>
      </c>
    </row>
    <row r="20" spans="1:16" ht="14.4" customHeight="1" x14ac:dyDescent="0.3">
      <c r="A20" s="373" t="s">
        <v>722</v>
      </c>
      <c r="B20" s="374" t="s">
        <v>719</v>
      </c>
      <c r="C20" s="374" t="s">
        <v>749</v>
      </c>
      <c r="D20" s="374" t="s">
        <v>734</v>
      </c>
      <c r="E20" s="377">
        <v>67</v>
      </c>
      <c r="F20" s="377">
        <v>45895</v>
      </c>
      <c r="G20" s="374">
        <v>1</v>
      </c>
      <c r="H20" s="374">
        <v>685</v>
      </c>
      <c r="I20" s="377">
        <v>145</v>
      </c>
      <c r="J20" s="377">
        <v>99760</v>
      </c>
      <c r="K20" s="374">
        <v>2.1736572611395575</v>
      </c>
      <c r="L20" s="374">
        <v>688</v>
      </c>
      <c r="M20" s="377">
        <v>95</v>
      </c>
      <c r="N20" s="377">
        <v>65570</v>
      </c>
      <c r="O20" s="438">
        <v>1.4286959363765117</v>
      </c>
      <c r="P20" s="378">
        <v>690.21052631578948</v>
      </c>
    </row>
    <row r="21" spans="1:16" ht="14.4" customHeight="1" x14ac:dyDescent="0.3">
      <c r="A21" s="373" t="s">
        <v>722</v>
      </c>
      <c r="B21" s="374" t="s">
        <v>719</v>
      </c>
      <c r="C21" s="374" t="s">
        <v>750</v>
      </c>
      <c r="D21" s="374" t="s">
        <v>736</v>
      </c>
      <c r="E21" s="377">
        <v>88</v>
      </c>
      <c r="F21" s="377">
        <v>120648</v>
      </c>
      <c r="G21" s="374">
        <v>1</v>
      </c>
      <c r="H21" s="374">
        <v>1371</v>
      </c>
      <c r="I21" s="377">
        <v>95</v>
      </c>
      <c r="J21" s="377">
        <v>130625</v>
      </c>
      <c r="K21" s="374">
        <v>1.0826951130561633</v>
      </c>
      <c r="L21" s="374">
        <v>1375</v>
      </c>
      <c r="M21" s="377">
        <v>113</v>
      </c>
      <c r="N21" s="377">
        <v>155839</v>
      </c>
      <c r="O21" s="438">
        <v>1.2916832438167229</v>
      </c>
      <c r="P21" s="378">
        <v>1379.1061946902655</v>
      </c>
    </row>
    <row r="22" spans="1:16" ht="14.4" customHeight="1" x14ac:dyDescent="0.3">
      <c r="A22" s="373" t="s">
        <v>722</v>
      </c>
      <c r="B22" s="374" t="s">
        <v>719</v>
      </c>
      <c r="C22" s="374" t="s">
        <v>751</v>
      </c>
      <c r="D22" s="374" t="s">
        <v>752</v>
      </c>
      <c r="E22" s="377">
        <v>50</v>
      </c>
      <c r="F22" s="377">
        <v>115500</v>
      </c>
      <c r="G22" s="374">
        <v>1</v>
      </c>
      <c r="H22" s="374">
        <v>2310</v>
      </c>
      <c r="I22" s="377">
        <v>48</v>
      </c>
      <c r="J22" s="377">
        <v>111312</v>
      </c>
      <c r="K22" s="374">
        <v>0.96374025974025979</v>
      </c>
      <c r="L22" s="374">
        <v>2319</v>
      </c>
      <c r="M22" s="377">
        <v>52</v>
      </c>
      <c r="N22" s="377">
        <v>120948</v>
      </c>
      <c r="O22" s="438">
        <v>1.0471688311688312</v>
      </c>
      <c r="P22" s="378">
        <v>2325.9230769230771</v>
      </c>
    </row>
    <row r="23" spans="1:16" ht="14.4" customHeight="1" x14ac:dyDescent="0.3">
      <c r="A23" s="373" t="s">
        <v>722</v>
      </c>
      <c r="B23" s="374" t="s">
        <v>719</v>
      </c>
      <c r="C23" s="374" t="s">
        <v>753</v>
      </c>
      <c r="D23" s="374" t="s">
        <v>754</v>
      </c>
      <c r="E23" s="377">
        <v>85</v>
      </c>
      <c r="F23" s="377">
        <v>5525</v>
      </c>
      <c r="G23" s="374">
        <v>1</v>
      </c>
      <c r="H23" s="374">
        <v>65</v>
      </c>
      <c r="I23" s="377">
        <v>746</v>
      </c>
      <c r="J23" s="377">
        <v>48490</v>
      </c>
      <c r="K23" s="374">
        <v>8.7764705882352949</v>
      </c>
      <c r="L23" s="374">
        <v>65</v>
      </c>
      <c r="M23" s="377">
        <v>691</v>
      </c>
      <c r="N23" s="377">
        <v>45210</v>
      </c>
      <c r="O23" s="438">
        <v>8.1828054298642527</v>
      </c>
      <c r="P23" s="378">
        <v>65.426917510853841</v>
      </c>
    </row>
    <row r="24" spans="1:16" ht="14.4" customHeight="1" x14ac:dyDescent="0.3">
      <c r="A24" s="373" t="s">
        <v>722</v>
      </c>
      <c r="B24" s="374" t="s">
        <v>719</v>
      </c>
      <c r="C24" s="374" t="s">
        <v>755</v>
      </c>
      <c r="D24" s="374" t="s">
        <v>756</v>
      </c>
      <c r="E24" s="377">
        <v>68</v>
      </c>
      <c r="F24" s="377">
        <v>26792</v>
      </c>
      <c r="G24" s="374">
        <v>1</v>
      </c>
      <c r="H24" s="374">
        <v>394</v>
      </c>
      <c r="I24" s="377">
        <v>119</v>
      </c>
      <c r="J24" s="377">
        <v>47124</v>
      </c>
      <c r="K24" s="374">
        <v>1.7588832487309645</v>
      </c>
      <c r="L24" s="374">
        <v>396</v>
      </c>
      <c r="M24" s="377">
        <v>85</v>
      </c>
      <c r="N24" s="377">
        <v>33789</v>
      </c>
      <c r="O24" s="438">
        <v>1.2611600477754554</v>
      </c>
      <c r="P24" s="378">
        <v>397.51764705882351</v>
      </c>
    </row>
    <row r="25" spans="1:16" ht="14.4" customHeight="1" x14ac:dyDescent="0.3">
      <c r="A25" s="373" t="s">
        <v>722</v>
      </c>
      <c r="B25" s="374" t="s">
        <v>719</v>
      </c>
      <c r="C25" s="374" t="s">
        <v>757</v>
      </c>
      <c r="D25" s="374" t="s">
        <v>758</v>
      </c>
      <c r="E25" s="377">
        <v>34</v>
      </c>
      <c r="F25" s="377">
        <v>54298</v>
      </c>
      <c r="G25" s="374">
        <v>1</v>
      </c>
      <c r="H25" s="374">
        <v>1597</v>
      </c>
      <c r="I25" s="377">
        <v>15</v>
      </c>
      <c r="J25" s="377">
        <v>24015</v>
      </c>
      <c r="K25" s="374">
        <v>0.44228148366422337</v>
      </c>
      <c r="L25" s="374">
        <v>1601</v>
      </c>
      <c r="M25" s="377">
        <v>44</v>
      </c>
      <c r="N25" s="377">
        <v>70660</v>
      </c>
      <c r="O25" s="438">
        <v>1.3013370658219456</v>
      </c>
      <c r="P25" s="378">
        <v>1605.909090909091</v>
      </c>
    </row>
    <row r="26" spans="1:16" ht="14.4" customHeight="1" x14ac:dyDescent="0.3">
      <c r="A26" s="373" t="s">
        <v>722</v>
      </c>
      <c r="B26" s="374" t="s">
        <v>719</v>
      </c>
      <c r="C26" s="374" t="s">
        <v>759</v>
      </c>
      <c r="D26" s="374" t="s">
        <v>760</v>
      </c>
      <c r="E26" s="377">
        <v>208</v>
      </c>
      <c r="F26" s="377">
        <v>114192</v>
      </c>
      <c r="G26" s="374">
        <v>1</v>
      </c>
      <c r="H26" s="374">
        <v>549</v>
      </c>
      <c r="I26" s="377">
        <v>239</v>
      </c>
      <c r="J26" s="377">
        <v>131450</v>
      </c>
      <c r="K26" s="374">
        <v>1.151131427770772</v>
      </c>
      <c r="L26" s="374">
        <v>550</v>
      </c>
      <c r="M26" s="377">
        <v>222</v>
      </c>
      <c r="N26" s="377">
        <v>122209</v>
      </c>
      <c r="O26" s="438">
        <v>1.070206319181729</v>
      </c>
      <c r="P26" s="378">
        <v>550.49099099099101</v>
      </c>
    </row>
    <row r="27" spans="1:16" ht="14.4" customHeight="1" x14ac:dyDescent="0.3">
      <c r="A27" s="373" t="s">
        <v>722</v>
      </c>
      <c r="B27" s="374" t="s">
        <v>719</v>
      </c>
      <c r="C27" s="374" t="s">
        <v>761</v>
      </c>
      <c r="D27" s="374" t="s">
        <v>762</v>
      </c>
      <c r="E27" s="377">
        <v>16</v>
      </c>
      <c r="F27" s="377">
        <v>19648</v>
      </c>
      <c r="G27" s="374">
        <v>1</v>
      </c>
      <c r="H27" s="374">
        <v>1228</v>
      </c>
      <c r="I27" s="377">
        <v>17</v>
      </c>
      <c r="J27" s="377">
        <v>20978</v>
      </c>
      <c r="K27" s="374">
        <v>1.0676913680781759</v>
      </c>
      <c r="L27" s="374">
        <v>1234</v>
      </c>
      <c r="M27" s="377">
        <v>2</v>
      </c>
      <c r="N27" s="377">
        <v>2468</v>
      </c>
      <c r="O27" s="438">
        <v>0.12561074918566775</v>
      </c>
      <c r="P27" s="378">
        <v>1234</v>
      </c>
    </row>
    <row r="28" spans="1:16" ht="14.4" customHeight="1" x14ac:dyDescent="0.3">
      <c r="A28" s="373" t="s">
        <v>722</v>
      </c>
      <c r="B28" s="374" t="s">
        <v>719</v>
      </c>
      <c r="C28" s="374" t="s">
        <v>763</v>
      </c>
      <c r="D28" s="374" t="s">
        <v>764</v>
      </c>
      <c r="E28" s="377"/>
      <c r="F28" s="377"/>
      <c r="G28" s="374"/>
      <c r="H28" s="374"/>
      <c r="I28" s="377"/>
      <c r="J28" s="377"/>
      <c r="K28" s="374"/>
      <c r="L28" s="374"/>
      <c r="M28" s="377">
        <v>151</v>
      </c>
      <c r="N28" s="377">
        <v>5351</v>
      </c>
      <c r="O28" s="438"/>
      <c r="P28" s="378">
        <v>35.437086092715234</v>
      </c>
    </row>
    <row r="29" spans="1:16" ht="14.4" customHeight="1" x14ac:dyDescent="0.3">
      <c r="A29" s="373" t="s">
        <v>722</v>
      </c>
      <c r="B29" s="374" t="s">
        <v>719</v>
      </c>
      <c r="C29" s="374" t="s">
        <v>765</v>
      </c>
      <c r="D29" s="374" t="s">
        <v>766</v>
      </c>
      <c r="E29" s="377">
        <v>4</v>
      </c>
      <c r="F29" s="377">
        <v>484</v>
      </c>
      <c r="G29" s="374">
        <v>1</v>
      </c>
      <c r="H29" s="374">
        <v>121</v>
      </c>
      <c r="I29" s="377">
        <v>2</v>
      </c>
      <c r="J29" s="377">
        <v>244</v>
      </c>
      <c r="K29" s="374">
        <v>0.50413223140495866</v>
      </c>
      <c r="L29" s="374">
        <v>122</v>
      </c>
      <c r="M29" s="377">
        <v>12</v>
      </c>
      <c r="N29" s="377">
        <v>1468</v>
      </c>
      <c r="O29" s="438">
        <v>3.0330578512396693</v>
      </c>
      <c r="P29" s="378">
        <v>122.33333333333333</v>
      </c>
    </row>
    <row r="30" spans="1:16" ht="14.4" customHeight="1" x14ac:dyDescent="0.3">
      <c r="A30" s="373" t="s">
        <v>722</v>
      </c>
      <c r="B30" s="374" t="s">
        <v>719</v>
      </c>
      <c r="C30" s="374" t="s">
        <v>767</v>
      </c>
      <c r="D30" s="374" t="s">
        <v>768</v>
      </c>
      <c r="E30" s="377">
        <v>316</v>
      </c>
      <c r="F30" s="377">
        <v>134300</v>
      </c>
      <c r="G30" s="374">
        <v>1</v>
      </c>
      <c r="H30" s="374">
        <v>425</v>
      </c>
      <c r="I30" s="377">
        <v>486</v>
      </c>
      <c r="J30" s="377">
        <v>206550</v>
      </c>
      <c r="K30" s="374">
        <v>1.5379746835443038</v>
      </c>
      <c r="L30" s="374">
        <v>425</v>
      </c>
      <c r="M30" s="377">
        <v>408</v>
      </c>
      <c r="N30" s="377">
        <v>173550</v>
      </c>
      <c r="O30" s="438">
        <v>1.2922561429635144</v>
      </c>
      <c r="P30" s="378">
        <v>425.36764705882354</v>
      </c>
    </row>
    <row r="31" spans="1:16" ht="14.4" customHeight="1" x14ac:dyDescent="0.3">
      <c r="A31" s="373" t="s">
        <v>722</v>
      </c>
      <c r="B31" s="374" t="s">
        <v>719</v>
      </c>
      <c r="C31" s="374" t="s">
        <v>769</v>
      </c>
      <c r="D31" s="374" t="s">
        <v>770</v>
      </c>
      <c r="E31" s="377">
        <v>14</v>
      </c>
      <c r="F31" s="377">
        <v>16800</v>
      </c>
      <c r="G31" s="374">
        <v>1</v>
      </c>
      <c r="H31" s="374">
        <v>1200</v>
      </c>
      <c r="I31" s="377">
        <v>5</v>
      </c>
      <c r="J31" s="377">
        <v>6015</v>
      </c>
      <c r="K31" s="374">
        <v>0.35803571428571429</v>
      </c>
      <c r="L31" s="374">
        <v>1203</v>
      </c>
      <c r="M31" s="377">
        <v>2</v>
      </c>
      <c r="N31" s="377">
        <v>2406</v>
      </c>
      <c r="O31" s="438">
        <v>0.14321428571428571</v>
      </c>
      <c r="P31" s="378">
        <v>1203</v>
      </c>
    </row>
    <row r="32" spans="1:16" ht="14.4" customHeight="1" x14ac:dyDescent="0.3">
      <c r="A32" s="373" t="s">
        <v>722</v>
      </c>
      <c r="B32" s="374" t="s">
        <v>719</v>
      </c>
      <c r="C32" s="374" t="s">
        <v>771</v>
      </c>
      <c r="D32" s="374" t="s">
        <v>730</v>
      </c>
      <c r="E32" s="377">
        <v>20</v>
      </c>
      <c r="F32" s="377">
        <v>18240</v>
      </c>
      <c r="G32" s="374">
        <v>1</v>
      </c>
      <c r="H32" s="374">
        <v>912</v>
      </c>
      <c r="I32" s="377">
        <v>4</v>
      </c>
      <c r="J32" s="377">
        <v>3660</v>
      </c>
      <c r="K32" s="374">
        <v>0.20065789473684212</v>
      </c>
      <c r="L32" s="374">
        <v>915</v>
      </c>
      <c r="M32" s="377">
        <v>4</v>
      </c>
      <c r="N32" s="377">
        <v>3672</v>
      </c>
      <c r="O32" s="438">
        <v>0.2013157894736842</v>
      </c>
      <c r="P32" s="378">
        <v>918</v>
      </c>
    </row>
    <row r="33" spans="1:16" ht="14.4" customHeight="1" x14ac:dyDescent="0.3">
      <c r="A33" s="373" t="s">
        <v>722</v>
      </c>
      <c r="B33" s="374" t="s">
        <v>719</v>
      </c>
      <c r="C33" s="374" t="s">
        <v>772</v>
      </c>
      <c r="D33" s="374" t="s">
        <v>773</v>
      </c>
      <c r="E33" s="377">
        <v>1</v>
      </c>
      <c r="F33" s="377">
        <v>1604</v>
      </c>
      <c r="G33" s="374">
        <v>1</v>
      </c>
      <c r="H33" s="374">
        <v>1604</v>
      </c>
      <c r="I33" s="377"/>
      <c r="J33" s="377"/>
      <c r="K33" s="374"/>
      <c r="L33" s="374"/>
      <c r="M33" s="377">
        <v>82</v>
      </c>
      <c r="N33" s="377">
        <v>131942</v>
      </c>
      <c r="O33" s="438">
        <v>82.258104738154614</v>
      </c>
      <c r="P33" s="378">
        <v>1609.0487804878048</v>
      </c>
    </row>
    <row r="34" spans="1:16" ht="14.4" customHeight="1" thickBot="1" x14ac:dyDescent="0.35">
      <c r="A34" s="379" t="s">
        <v>722</v>
      </c>
      <c r="B34" s="380" t="s">
        <v>719</v>
      </c>
      <c r="C34" s="380" t="s">
        <v>774</v>
      </c>
      <c r="D34" s="380" t="s">
        <v>766</v>
      </c>
      <c r="E34" s="383">
        <v>1</v>
      </c>
      <c r="F34" s="383">
        <v>225</v>
      </c>
      <c r="G34" s="380">
        <v>1</v>
      </c>
      <c r="H34" s="380">
        <v>225</v>
      </c>
      <c r="I34" s="383">
        <v>2</v>
      </c>
      <c r="J34" s="383">
        <v>452</v>
      </c>
      <c r="K34" s="380">
        <v>2.0088888888888889</v>
      </c>
      <c r="L34" s="380">
        <v>226</v>
      </c>
      <c r="M34" s="383">
        <v>1</v>
      </c>
      <c r="N34" s="383">
        <v>226</v>
      </c>
      <c r="O34" s="423">
        <v>1.0044444444444445</v>
      </c>
      <c r="P34" s="384">
        <v>226</v>
      </c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21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05" bestFit="1" customWidth="1"/>
    <col min="2" max="2" width="7.77734375" style="81" customWidth="1"/>
    <col min="3" max="3" width="0.109375" style="105" hidden="1" customWidth="1"/>
    <col min="4" max="4" width="7.77734375" style="81" customWidth="1"/>
    <col min="5" max="5" width="5.44140625" style="105" hidden="1" customWidth="1"/>
    <col min="6" max="6" width="7.77734375" style="81" customWidth="1"/>
    <col min="7" max="7" width="7.77734375" style="184" customWidth="1"/>
    <col min="8" max="8" width="7.77734375" style="81" customWidth="1"/>
    <col min="9" max="9" width="5.44140625" style="105" hidden="1" customWidth="1"/>
    <col min="10" max="10" width="7.77734375" style="81" customWidth="1"/>
    <col min="11" max="11" width="5.44140625" style="105" hidden="1" customWidth="1"/>
    <col min="12" max="12" width="7.77734375" style="81" customWidth="1"/>
    <col min="13" max="13" width="7.77734375" style="184" customWidth="1"/>
    <col min="14" max="14" width="7.77734375" style="81" customWidth="1"/>
    <col min="15" max="15" width="5" style="105" hidden="1" customWidth="1"/>
    <col min="16" max="16" width="7.77734375" style="81" customWidth="1"/>
    <col min="17" max="17" width="5" style="105" hidden="1" customWidth="1"/>
    <col min="18" max="18" width="7.77734375" style="81" customWidth="1"/>
    <col min="19" max="19" width="7.77734375" style="184" customWidth="1"/>
    <col min="20" max="16384" width="8.88671875" style="105"/>
  </cols>
  <sheetData>
    <row r="1" spans="1:19" ht="18.600000000000001" customHeight="1" thickBot="1" x14ac:dyDescent="0.4">
      <c r="A1" s="281" t="s">
        <v>112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</row>
    <row r="2" spans="1:19" ht="14.4" customHeight="1" thickBot="1" x14ac:dyDescent="0.35">
      <c r="A2" s="202" t="s">
        <v>233</v>
      </c>
      <c r="B2" s="194"/>
      <c r="C2" s="86"/>
      <c r="D2" s="194"/>
      <c r="E2" s="86"/>
      <c r="F2" s="194"/>
      <c r="G2" s="195"/>
      <c r="H2" s="194"/>
      <c r="I2" s="86"/>
      <c r="J2" s="194"/>
      <c r="K2" s="86"/>
      <c r="L2" s="194"/>
      <c r="M2" s="195"/>
      <c r="N2" s="194"/>
      <c r="O2" s="86"/>
      <c r="P2" s="194"/>
      <c r="Q2" s="86"/>
      <c r="R2" s="194"/>
      <c r="S2" s="195"/>
    </row>
    <row r="3" spans="1:19" ht="14.4" customHeight="1" thickBot="1" x14ac:dyDescent="0.35">
      <c r="A3" s="188" t="s">
        <v>113</v>
      </c>
      <c r="B3" s="189">
        <f>SUBTOTAL(9,B6:B1048576)</f>
        <v>906264</v>
      </c>
      <c r="C3" s="190">
        <f t="shared" ref="C3:R3" si="0">SUBTOTAL(9,C6:C1048576)</f>
        <v>13</v>
      </c>
      <c r="D3" s="190">
        <f t="shared" si="0"/>
        <v>1279445</v>
      </c>
      <c r="E3" s="190">
        <f t="shared" si="0"/>
        <v>30.735051926564612</v>
      </c>
      <c r="F3" s="190">
        <f t="shared" si="0"/>
        <v>1603303</v>
      </c>
      <c r="G3" s="193">
        <f>IF(B3&lt;&gt;0,F3/B3,"")</f>
        <v>1.7691346009551301</v>
      </c>
      <c r="H3" s="189">
        <f t="shared" si="0"/>
        <v>0</v>
      </c>
      <c r="I3" s="190">
        <f t="shared" si="0"/>
        <v>0</v>
      </c>
      <c r="J3" s="190">
        <f t="shared" si="0"/>
        <v>0</v>
      </c>
      <c r="K3" s="190">
        <f t="shared" si="0"/>
        <v>0</v>
      </c>
      <c r="L3" s="190">
        <f t="shared" si="0"/>
        <v>0</v>
      </c>
      <c r="M3" s="191" t="str">
        <f>IF(H3&lt;&gt;0,L3/H3,"")</f>
        <v/>
      </c>
      <c r="N3" s="192">
        <f t="shared" si="0"/>
        <v>0</v>
      </c>
      <c r="O3" s="190">
        <f t="shared" si="0"/>
        <v>0</v>
      </c>
      <c r="P3" s="190">
        <f t="shared" si="0"/>
        <v>0</v>
      </c>
      <c r="Q3" s="190">
        <f t="shared" si="0"/>
        <v>0</v>
      </c>
      <c r="R3" s="190">
        <f t="shared" si="0"/>
        <v>0</v>
      </c>
      <c r="S3" s="191" t="str">
        <f>IF(N3&lt;&gt;0,R3/N3,"")</f>
        <v/>
      </c>
    </row>
    <row r="4" spans="1:19" ht="14.4" customHeight="1" x14ac:dyDescent="0.3">
      <c r="A4" s="313" t="s">
        <v>92</v>
      </c>
      <c r="B4" s="314" t="s">
        <v>86</v>
      </c>
      <c r="C4" s="315"/>
      <c r="D4" s="315"/>
      <c r="E4" s="315"/>
      <c r="F4" s="315"/>
      <c r="G4" s="316"/>
      <c r="H4" s="314" t="s">
        <v>87</v>
      </c>
      <c r="I4" s="315"/>
      <c r="J4" s="315"/>
      <c r="K4" s="315"/>
      <c r="L4" s="315"/>
      <c r="M4" s="316"/>
      <c r="N4" s="314" t="s">
        <v>88</v>
      </c>
      <c r="O4" s="315"/>
      <c r="P4" s="315"/>
      <c r="Q4" s="315"/>
      <c r="R4" s="315"/>
      <c r="S4" s="316"/>
    </row>
    <row r="5" spans="1:19" ht="14.4" customHeight="1" thickBot="1" x14ac:dyDescent="0.35">
      <c r="A5" s="415"/>
      <c r="B5" s="416">
        <v>2012</v>
      </c>
      <c r="C5" s="417"/>
      <c r="D5" s="417">
        <v>2013</v>
      </c>
      <c r="E5" s="417"/>
      <c r="F5" s="417">
        <v>2014</v>
      </c>
      <c r="G5" s="418" t="s">
        <v>2</v>
      </c>
      <c r="H5" s="416">
        <v>2012</v>
      </c>
      <c r="I5" s="417"/>
      <c r="J5" s="417">
        <v>2013</v>
      </c>
      <c r="K5" s="417"/>
      <c r="L5" s="417">
        <v>2014</v>
      </c>
      <c r="M5" s="418" t="s">
        <v>2</v>
      </c>
      <c r="N5" s="416">
        <v>2012</v>
      </c>
      <c r="O5" s="417"/>
      <c r="P5" s="417">
        <v>2013</v>
      </c>
      <c r="Q5" s="417"/>
      <c r="R5" s="417">
        <v>2014</v>
      </c>
      <c r="S5" s="418" t="s">
        <v>2</v>
      </c>
    </row>
    <row r="6" spans="1:19" ht="14.4" customHeight="1" x14ac:dyDescent="0.3">
      <c r="A6" s="425" t="s">
        <v>776</v>
      </c>
      <c r="B6" s="419">
        <v>15557</v>
      </c>
      <c r="C6" s="368">
        <v>1</v>
      </c>
      <c r="D6" s="419">
        <v>4312</v>
      </c>
      <c r="E6" s="368">
        <v>0.27717426238992093</v>
      </c>
      <c r="F6" s="419">
        <v>47201</v>
      </c>
      <c r="G6" s="420">
        <v>3.0340682650896702</v>
      </c>
      <c r="H6" s="419"/>
      <c r="I6" s="368"/>
      <c r="J6" s="419"/>
      <c r="K6" s="368"/>
      <c r="L6" s="419"/>
      <c r="M6" s="420"/>
      <c r="N6" s="419"/>
      <c r="O6" s="368"/>
      <c r="P6" s="419"/>
      <c r="Q6" s="368"/>
      <c r="R6" s="419"/>
      <c r="S6" s="421"/>
    </row>
    <row r="7" spans="1:19" ht="14.4" customHeight="1" x14ac:dyDescent="0.3">
      <c r="A7" s="441" t="s">
        <v>777</v>
      </c>
      <c r="B7" s="439">
        <v>161406</v>
      </c>
      <c r="C7" s="374">
        <v>1</v>
      </c>
      <c r="D7" s="439">
        <v>225950</v>
      </c>
      <c r="E7" s="374">
        <v>1.399886001759538</v>
      </c>
      <c r="F7" s="439">
        <v>214353</v>
      </c>
      <c r="G7" s="438">
        <v>1.3280361324857812</v>
      </c>
      <c r="H7" s="439"/>
      <c r="I7" s="374"/>
      <c r="J7" s="439"/>
      <c r="K7" s="374"/>
      <c r="L7" s="439"/>
      <c r="M7" s="438"/>
      <c r="N7" s="439"/>
      <c r="O7" s="374"/>
      <c r="P7" s="439"/>
      <c r="Q7" s="374"/>
      <c r="R7" s="439"/>
      <c r="S7" s="440"/>
    </row>
    <row r="8" spans="1:19" ht="14.4" customHeight="1" x14ac:dyDescent="0.3">
      <c r="A8" s="441" t="s">
        <v>778</v>
      </c>
      <c r="B8" s="439">
        <v>139207</v>
      </c>
      <c r="C8" s="374">
        <v>1</v>
      </c>
      <c r="D8" s="439">
        <v>187124</v>
      </c>
      <c r="E8" s="374">
        <v>1.3442140122263966</v>
      </c>
      <c r="F8" s="439">
        <v>384780</v>
      </c>
      <c r="G8" s="438">
        <v>2.7640851393967258</v>
      </c>
      <c r="H8" s="439"/>
      <c r="I8" s="374"/>
      <c r="J8" s="439"/>
      <c r="K8" s="374"/>
      <c r="L8" s="439"/>
      <c r="M8" s="438"/>
      <c r="N8" s="439"/>
      <c r="O8" s="374"/>
      <c r="P8" s="439"/>
      <c r="Q8" s="374"/>
      <c r="R8" s="439"/>
      <c r="S8" s="440"/>
    </row>
    <row r="9" spans="1:19" ht="14.4" customHeight="1" x14ac:dyDescent="0.3">
      <c r="A9" s="441" t="s">
        <v>779</v>
      </c>
      <c r="B9" s="439">
        <v>24870</v>
      </c>
      <c r="C9" s="374">
        <v>1</v>
      </c>
      <c r="D9" s="439">
        <v>52846</v>
      </c>
      <c r="E9" s="374">
        <v>2.1248894250100521</v>
      </c>
      <c r="F9" s="439">
        <v>40159</v>
      </c>
      <c r="G9" s="438">
        <v>1.614756735022115</v>
      </c>
      <c r="H9" s="439"/>
      <c r="I9" s="374"/>
      <c r="J9" s="439"/>
      <c r="K9" s="374"/>
      <c r="L9" s="439"/>
      <c r="M9" s="438"/>
      <c r="N9" s="439"/>
      <c r="O9" s="374"/>
      <c r="P9" s="439"/>
      <c r="Q9" s="374"/>
      <c r="R9" s="439"/>
      <c r="S9" s="440"/>
    </row>
    <row r="10" spans="1:19" ht="14.4" customHeight="1" x14ac:dyDescent="0.3">
      <c r="A10" s="441" t="s">
        <v>780</v>
      </c>
      <c r="B10" s="439">
        <v>167253</v>
      </c>
      <c r="C10" s="374">
        <v>1</v>
      </c>
      <c r="D10" s="439">
        <v>239699</v>
      </c>
      <c r="E10" s="374">
        <v>1.4331521706636055</v>
      </c>
      <c r="F10" s="439">
        <v>289978</v>
      </c>
      <c r="G10" s="438">
        <v>1.7337686020579601</v>
      </c>
      <c r="H10" s="439"/>
      <c r="I10" s="374"/>
      <c r="J10" s="439"/>
      <c r="K10" s="374"/>
      <c r="L10" s="439"/>
      <c r="M10" s="438"/>
      <c r="N10" s="439"/>
      <c r="O10" s="374"/>
      <c r="P10" s="439"/>
      <c r="Q10" s="374"/>
      <c r="R10" s="439"/>
      <c r="S10" s="440"/>
    </row>
    <row r="11" spans="1:19" ht="14.4" customHeight="1" x14ac:dyDescent="0.3">
      <c r="A11" s="441" t="s">
        <v>781</v>
      </c>
      <c r="B11" s="439"/>
      <c r="C11" s="374"/>
      <c r="D11" s="439">
        <v>12604</v>
      </c>
      <c r="E11" s="374"/>
      <c r="F11" s="439">
        <v>22312</v>
      </c>
      <c r="G11" s="438"/>
      <c r="H11" s="439"/>
      <c r="I11" s="374"/>
      <c r="J11" s="439"/>
      <c r="K11" s="374"/>
      <c r="L11" s="439"/>
      <c r="M11" s="438"/>
      <c r="N11" s="439"/>
      <c r="O11" s="374"/>
      <c r="P11" s="439"/>
      <c r="Q11" s="374"/>
      <c r="R11" s="439"/>
      <c r="S11" s="440"/>
    </row>
    <row r="12" spans="1:19" ht="14.4" customHeight="1" x14ac:dyDescent="0.3">
      <c r="A12" s="441" t="s">
        <v>782</v>
      </c>
      <c r="B12" s="439">
        <v>12202</v>
      </c>
      <c r="C12" s="374">
        <v>1</v>
      </c>
      <c r="D12" s="439">
        <v>23535</v>
      </c>
      <c r="E12" s="374">
        <v>1.9287821668578922</v>
      </c>
      <c r="F12" s="439">
        <v>12268</v>
      </c>
      <c r="G12" s="438">
        <v>1.0054089493525651</v>
      </c>
      <c r="H12" s="439"/>
      <c r="I12" s="374"/>
      <c r="J12" s="439"/>
      <c r="K12" s="374"/>
      <c r="L12" s="439"/>
      <c r="M12" s="438"/>
      <c r="N12" s="439"/>
      <c r="O12" s="374"/>
      <c r="P12" s="439"/>
      <c r="Q12" s="374"/>
      <c r="R12" s="439"/>
      <c r="S12" s="440"/>
    </row>
    <row r="13" spans="1:19" ht="14.4" customHeight="1" x14ac:dyDescent="0.3">
      <c r="A13" s="441" t="s">
        <v>783</v>
      </c>
      <c r="B13" s="439">
        <v>185562</v>
      </c>
      <c r="C13" s="374">
        <v>1</v>
      </c>
      <c r="D13" s="439">
        <v>262816</v>
      </c>
      <c r="E13" s="374">
        <v>1.4163244629827227</v>
      </c>
      <c r="F13" s="439">
        <v>256809</v>
      </c>
      <c r="G13" s="438">
        <v>1.383952533385068</v>
      </c>
      <c r="H13" s="439"/>
      <c r="I13" s="374"/>
      <c r="J13" s="439"/>
      <c r="K13" s="374"/>
      <c r="L13" s="439"/>
      <c r="M13" s="438"/>
      <c r="N13" s="439"/>
      <c r="O13" s="374"/>
      <c r="P13" s="439"/>
      <c r="Q13" s="374"/>
      <c r="R13" s="439"/>
      <c r="S13" s="440"/>
    </row>
    <row r="14" spans="1:19" ht="14.4" customHeight="1" x14ac:dyDescent="0.3">
      <c r="A14" s="441" t="s">
        <v>784</v>
      </c>
      <c r="B14" s="439">
        <v>31664</v>
      </c>
      <c r="C14" s="374">
        <v>1</v>
      </c>
      <c r="D14" s="439"/>
      <c r="E14" s="374"/>
      <c r="F14" s="439">
        <v>5994</v>
      </c>
      <c r="G14" s="438">
        <v>0.18930015159171298</v>
      </c>
      <c r="H14" s="439"/>
      <c r="I14" s="374"/>
      <c r="J14" s="439"/>
      <c r="K14" s="374"/>
      <c r="L14" s="439"/>
      <c r="M14" s="438"/>
      <c r="N14" s="439"/>
      <c r="O14" s="374"/>
      <c r="P14" s="439"/>
      <c r="Q14" s="374"/>
      <c r="R14" s="439"/>
      <c r="S14" s="440"/>
    </row>
    <row r="15" spans="1:19" ht="14.4" customHeight="1" x14ac:dyDescent="0.3">
      <c r="A15" s="441" t="s">
        <v>785</v>
      </c>
      <c r="B15" s="439">
        <v>38964</v>
      </c>
      <c r="C15" s="374">
        <v>1</v>
      </c>
      <c r="D15" s="439">
        <v>34563</v>
      </c>
      <c r="E15" s="374">
        <v>0.88704958423159841</v>
      </c>
      <c r="F15" s="439">
        <v>107966</v>
      </c>
      <c r="G15" s="438">
        <v>2.7709167436608153</v>
      </c>
      <c r="H15" s="439"/>
      <c r="I15" s="374"/>
      <c r="J15" s="439"/>
      <c r="K15" s="374"/>
      <c r="L15" s="439"/>
      <c r="M15" s="438"/>
      <c r="N15" s="439"/>
      <c r="O15" s="374"/>
      <c r="P15" s="439"/>
      <c r="Q15" s="374"/>
      <c r="R15" s="439"/>
      <c r="S15" s="440"/>
    </row>
    <row r="16" spans="1:19" ht="14.4" customHeight="1" x14ac:dyDescent="0.3">
      <c r="A16" s="441" t="s">
        <v>786</v>
      </c>
      <c r="B16" s="439">
        <v>119384</v>
      </c>
      <c r="C16" s="374">
        <v>1</v>
      </c>
      <c r="D16" s="439">
        <v>144341</v>
      </c>
      <c r="E16" s="374">
        <v>1.2090481136500704</v>
      </c>
      <c r="F16" s="439">
        <v>176463</v>
      </c>
      <c r="G16" s="438">
        <v>1.4781126449105408</v>
      </c>
      <c r="H16" s="439"/>
      <c r="I16" s="374"/>
      <c r="J16" s="439"/>
      <c r="K16" s="374"/>
      <c r="L16" s="439"/>
      <c r="M16" s="438"/>
      <c r="N16" s="439"/>
      <c r="O16" s="374"/>
      <c r="P16" s="439"/>
      <c r="Q16" s="374"/>
      <c r="R16" s="439"/>
      <c r="S16" s="440"/>
    </row>
    <row r="17" spans="1:19" ht="14.4" customHeight="1" x14ac:dyDescent="0.3">
      <c r="A17" s="441" t="s">
        <v>787</v>
      </c>
      <c r="B17" s="439"/>
      <c r="C17" s="374"/>
      <c r="D17" s="439">
        <v>19776</v>
      </c>
      <c r="E17" s="374"/>
      <c r="F17" s="439"/>
      <c r="G17" s="438"/>
      <c r="H17" s="439"/>
      <c r="I17" s="374"/>
      <c r="J17" s="439"/>
      <c r="K17" s="374"/>
      <c r="L17" s="439"/>
      <c r="M17" s="438"/>
      <c r="N17" s="439"/>
      <c r="O17" s="374"/>
      <c r="P17" s="439"/>
      <c r="Q17" s="374"/>
      <c r="R17" s="439"/>
      <c r="S17" s="440"/>
    </row>
    <row r="18" spans="1:19" ht="14.4" customHeight="1" x14ac:dyDescent="0.3">
      <c r="A18" s="441" t="s">
        <v>788</v>
      </c>
      <c r="B18" s="439">
        <v>6645</v>
      </c>
      <c r="C18" s="374">
        <v>1</v>
      </c>
      <c r="D18" s="439">
        <v>27839</v>
      </c>
      <c r="E18" s="374">
        <v>4.1894657637321293</v>
      </c>
      <c r="F18" s="439">
        <v>5865</v>
      </c>
      <c r="G18" s="438">
        <v>0.88261851015801351</v>
      </c>
      <c r="H18" s="439"/>
      <c r="I18" s="374"/>
      <c r="J18" s="439"/>
      <c r="K18" s="374"/>
      <c r="L18" s="439"/>
      <c r="M18" s="438"/>
      <c r="N18" s="439"/>
      <c r="O18" s="374"/>
      <c r="P18" s="439"/>
      <c r="Q18" s="374"/>
      <c r="R18" s="439"/>
      <c r="S18" s="440"/>
    </row>
    <row r="19" spans="1:19" ht="14.4" customHeight="1" x14ac:dyDescent="0.3">
      <c r="A19" s="441" t="s">
        <v>789</v>
      </c>
      <c r="B19" s="439"/>
      <c r="C19" s="374"/>
      <c r="D19" s="439"/>
      <c r="E19" s="374"/>
      <c r="F19" s="439">
        <v>5347</v>
      </c>
      <c r="G19" s="438"/>
      <c r="H19" s="439"/>
      <c r="I19" s="374"/>
      <c r="J19" s="439"/>
      <c r="K19" s="374"/>
      <c r="L19" s="439"/>
      <c r="M19" s="438"/>
      <c r="N19" s="439"/>
      <c r="O19" s="374"/>
      <c r="P19" s="439"/>
      <c r="Q19" s="374"/>
      <c r="R19" s="439"/>
      <c r="S19" s="440"/>
    </row>
    <row r="20" spans="1:19" ht="14.4" customHeight="1" x14ac:dyDescent="0.3">
      <c r="A20" s="441" t="s">
        <v>790</v>
      </c>
      <c r="B20" s="439">
        <v>518</v>
      </c>
      <c r="C20" s="374">
        <v>1</v>
      </c>
      <c r="D20" s="439"/>
      <c r="E20" s="374"/>
      <c r="F20" s="439"/>
      <c r="G20" s="438"/>
      <c r="H20" s="439"/>
      <c r="I20" s="374"/>
      <c r="J20" s="439"/>
      <c r="K20" s="374"/>
      <c r="L20" s="439"/>
      <c r="M20" s="438"/>
      <c r="N20" s="439"/>
      <c r="O20" s="374"/>
      <c r="P20" s="439"/>
      <c r="Q20" s="374"/>
      <c r="R20" s="439"/>
      <c r="S20" s="440"/>
    </row>
    <row r="21" spans="1:19" ht="14.4" customHeight="1" thickBot="1" x14ac:dyDescent="0.35">
      <c r="A21" s="426" t="s">
        <v>791</v>
      </c>
      <c r="B21" s="422">
        <v>3032</v>
      </c>
      <c r="C21" s="380">
        <v>1</v>
      </c>
      <c r="D21" s="422">
        <v>44040</v>
      </c>
      <c r="E21" s="380">
        <v>14.525065963060687</v>
      </c>
      <c r="F21" s="422">
        <v>33808</v>
      </c>
      <c r="G21" s="423">
        <v>11.150395778364116</v>
      </c>
      <c r="H21" s="422"/>
      <c r="I21" s="380"/>
      <c r="J21" s="422"/>
      <c r="K21" s="380"/>
      <c r="L21" s="422"/>
      <c r="M21" s="423"/>
      <c r="N21" s="422"/>
      <c r="O21" s="380"/>
      <c r="P21" s="422"/>
      <c r="Q21" s="380"/>
      <c r="R21" s="422"/>
      <c r="S21" s="424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230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05" bestFit="1" customWidth="1"/>
    <col min="2" max="2" width="8.6640625" style="105" bestFit="1" customWidth="1"/>
    <col min="3" max="3" width="2.109375" style="105" bestFit="1" customWidth="1"/>
    <col min="4" max="4" width="8" style="105" bestFit="1" customWidth="1"/>
    <col min="5" max="5" width="52.88671875" style="105" bestFit="1" customWidth="1"/>
    <col min="6" max="7" width="11.109375" style="181" customWidth="1"/>
    <col min="8" max="9" width="9.33203125" style="181" hidden="1" customWidth="1"/>
    <col min="10" max="11" width="11.109375" style="181" customWidth="1"/>
    <col min="12" max="13" width="9.33203125" style="181" hidden="1" customWidth="1"/>
    <col min="14" max="15" width="11.109375" style="181" customWidth="1"/>
    <col min="16" max="16" width="11.109375" style="184" customWidth="1"/>
    <col min="17" max="17" width="11.109375" style="181" customWidth="1"/>
    <col min="18" max="16384" width="8.88671875" style="105"/>
  </cols>
  <sheetData>
    <row r="1" spans="1:17" ht="18.600000000000001" customHeight="1" thickBot="1" x14ac:dyDescent="0.4">
      <c r="A1" s="272" t="s">
        <v>808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</row>
    <row r="2" spans="1:17" ht="14.4" customHeight="1" thickBot="1" x14ac:dyDescent="0.35">
      <c r="A2" s="202" t="s">
        <v>233</v>
      </c>
      <c r="B2" s="106"/>
      <c r="C2" s="106"/>
      <c r="D2" s="106"/>
      <c r="E2" s="10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7"/>
      <c r="Q2" s="196"/>
    </row>
    <row r="3" spans="1:17" ht="14.4" customHeight="1" thickBot="1" x14ac:dyDescent="0.35">
      <c r="E3" s="63" t="s">
        <v>113</v>
      </c>
      <c r="F3" s="77">
        <f t="shared" ref="F3:O3" si="0">SUBTOTAL(9,F6:F1048576)</f>
        <v>871</v>
      </c>
      <c r="G3" s="78">
        <f t="shared" si="0"/>
        <v>906264</v>
      </c>
      <c r="H3" s="78"/>
      <c r="I3" s="78"/>
      <c r="J3" s="78">
        <f t="shared" si="0"/>
        <v>1371</v>
      </c>
      <c r="K3" s="78">
        <f t="shared" si="0"/>
        <v>1279445</v>
      </c>
      <c r="L3" s="78"/>
      <c r="M3" s="78"/>
      <c r="N3" s="78">
        <f t="shared" si="0"/>
        <v>1469</v>
      </c>
      <c r="O3" s="78">
        <f t="shared" si="0"/>
        <v>1603303</v>
      </c>
      <c r="P3" s="59">
        <f>IF(G3=0,0,O3/G3)</f>
        <v>1.7691346009551301</v>
      </c>
      <c r="Q3" s="79">
        <f>IF(N3=0,0,O3/N3)</f>
        <v>1091.424778761062</v>
      </c>
    </row>
    <row r="4" spans="1:17" ht="14.4" customHeight="1" x14ac:dyDescent="0.3">
      <c r="A4" s="319" t="s">
        <v>55</v>
      </c>
      <c r="B4" s="318" t="s">
        <v>81</v>
      </c>
      <c r="C4" s="319" t="s">
        <v>82</v>
      </c>
      <c r="D4" s="320" t="s">
        <v>83</v>
      </c>
      <c r="E4" s="321" t="s">
        <v>56</v>
      </c>
      <c r="F4" s="325">
        <v>2012</v>
      </c>
      <c r="G4" s="326"/>
      <c r="H4" s="80"/>
      <c r="I4" s="80"/>
      <c r="J4" s="325">
        <v>2013</v>
      </c>
      <c r="K4" s="326"/>
      <c r="L4" s="80"/>
      <c r="M4" s="80"/>
      <c r="N4" s="325">
        <v>2014</v>
      </c>
      <c r="O4" s="326"/>
      <c r="P4" s="327" t="s">
        <v>2</v>
      </c>
      <c r="Q4" s="317" t="s">
        <v>84</v>
      </c>
    </row>
    <row r="5" spans="1:17" ht="14.4" customHeight="1" thickBot="1" x14ac:dyDescent="0.35">
      <c r="A5" s="430"/>
      <c r="B5" s="429"/>
      <c r="C5" s="430"/>
      <c r="D5" s="431"/>
      <c r="E5" s="432"/>
      <c r="F5" s="442" t="s">
        <v>58</v>
      </c>
      <c r="G5" s="443" t="s">
        <v>14</v>
      </c>
      <c r="H5" s="444"/>
      <c r="I5" s="444"/>
      <c r="J5" s="442" t="s">
        <v>58</v>
      </c>
      <c r="K5" s="443" t="s">
        <v>14</v>
      </c>
      <c r="L5" s="444"/>
      <c r="M5" s="444"/>
      <c r="N5" s="442" t="s">
        <v>58</v>
      </c>
      <c r="O5" s="443" t="s">
        <v>14</v>
      </c>
      <c r="P5" s="445"/>
      <c r="Q5" s="437"/>
    </row>
    <row r="6" spans="1:17" ht="14.4" customHeight="1" x14ac:dyDescent="0.3">
      <c r="A6" s="367" t="s">
        <v>792</v>
      </c>
      <c r="B6" s="368" t="s">
        <v>722</v>
      </c>
      <c r="C6" s="368" t="s">
        <v>719</v>
      </c>
      <c r="D6" s="368" t="s">
        <v>731</v>
      </c>
      <c r="E6" s="368" t="s">
        <v>732</v>
      </c>
      <c r="F6" s="371"/>
      <c r="G6" s="371"/>
      <c r="H6" s="371"/>
      <c r="I6" s="371"/>
      <c r="J6" s="371"/>
      <c r="K6" s="371"/>
      <c r="L6" s="371"/>
      <c r="M6" s="371"/>
      <c r="N6" s="371">
        <v>4</v>
      </c>
      <c r="O6" s="371">
        <v>14792</v>
      </c>
      <c r="P6" s="420"/>
      <c r="Q6" s="372">
        <v>3698</v>
      </c>
    </row>
    <row r="7" spans="1:17" ht="14.4" customHeight="1" x14ac:dyDescent="0.3">
      <c r="A7" s="373" t="s">
        <v>792</v>
      </c>
      <c r="B7" s="374" t="s">
        <v>722</v>
      </c>
      <c r="C7" s="374" t="s">
        <v>719</v>
      </c>
      <c r="D7" s="374" t="s">
        <v>737</v>
      </c>
      <c r="E7" s="374" t="s">
        <v>738</v>
      </c>
      <c r="F7" s="377"/>
      <c r="G7" s="377"/>
      <c r="H7" s="377"/>
      <c r="I7" s="377"/>
      <c r="J7" s="377"/>
      <c r="K7" s="377"/>
      <c r="L7" s="377"/>
      <c r="M7" s="377"/>
      <c r="N7" s="377">
        <v>2</v>
      </c>
      <c r="O7" s="377">
        <v>3226</v>
      </c>
      <c r="P7" s="438"/>
      <c r="Q7" s="378">
        <v>1613</v>
      </c>
    </row>
    <row r="8" spans="1:17" ht="14.4" customHeight="1" x14ac:dyDescent="0.3">
      <c r="A8" s="373" t="s">
        <v>792</v>
      </c>
      <c r="B8" s="374" t="s">
        <v>722</v>
      </c>
      <c r="C8" s="374" t="s">
        <v>719</v>
      </c>
      <c r="D8" s="374" t="s">
        <v>743</v>
      </c>
      <c r="E8" s="374" t="s">
        <v>744</v>
      </c>
      <c r="F8" s="377">
        <v>1</v>
      </c>
      <c r="G8" s="377">
        <v>1441</v>
      </c>
      <c r="H8" s="377">
        <v>1</v>
      </c>
      <c r="I8" s="377">
        <v>1441</v>
      </c>
      <c r="J8" s="377"/>
      <c r="K8" s="377"/>
      <c r="L8" s="377"/>
      <c r="M8" s="377"/>
      <c r="N8" s="377">
        <v>1</v>
      </c>
      <c r="O8" s="377">
        <v>1447</v>
      </c>
      <c r="P8" s="438">
        <v>1.0041637751561416</v>
      </c>
      <c r="Q8" s="378">
        <v>1447</v>
      </c>
    </row>
    <row r="9" spans="1:17" ht="14.4" customHeight="1" x14ac:dyDescent="0.3">
      <c r="A9" s="373" t="s">
        <v>792</v>
      </c>
      <c r="B9" s="374" t="s">
        <v>722</v>
      </c>
      <c r="C9" s="374" t="s">
        <v>719</v>
      </c>
      <c r="D9" s="374" t="s">
        <v>745</v>
      </c>
      <c r="E9" s="374" t="s">
        <v>746</v>
      </c>
      <c r="F9" s="377">
        <v>2</v>
      </c>
      <c r="G9" s="377">
        <v>6130</v>
      </c>
      <c r="H9" s="377">
        <v>1</v>
      </c>
      <c r="I9" s="377">
        <v>3065</v>
      </c>
      <c r="J9" s="377">
        <v>1</v>
      </c>
      <c r="K9" s="377">
        <v>3078</v>
      </c>
      <c r="L9" s="377">
        <v>0.50212071778140288</v>
      </c>
      <c r="M9" s="377">
        <v>3078</v>
      </c>
      <c r="N9" s="377"/>
      <c r="O9" s="377"/>
      <c r="P9" s="438"/>
      <c r="Q9" s="378"/>
    </row>
    <row r="10" spans="1:17" ht="14.4" customHeight="1" x14ac:dyDescent="0.3">
      <c r="A10" s="373" t="s">
        <v>792</v>
      </c>
      <c r="B10" s="374" t="s">
        <v>722</v>
      </c>
      <c r="C10" s="374" t="s">
        <v>719</v>
      </c>
      <c r="D10" s="374" t="s">
        <v>750</v>
      </c>
      <c r="E10" s="374" t="s">
        <v>736</v>
      </c>
      <c r="F10" s="377"/>
      <c r="G10" s="377"/>
      <c r="H10" s="377"/>
      <c r="I10" s="377"/>
      <c r="J10" s="377"/>
      <c r="K10" s="377"/>
      <c r="L10" s="377"/>
      <c r="M10" s="377"/>
      <c r="N10" s="377">
        <v>8</v>
      </c>
      <c r="O10" s="377">
        <v>11000</v>
      </c>
      <c r="P10" s="438"/>
      <c r="Q10" s="378">
        <v>1375</v>
      </c>
    </row>
    <row r="11" spans="1:17" ht="14.4" customHeight="1" x14ac:dyDescent="0.3">
      <c r="A11" s="373" t="s">
        <v>792</v>
      </c>
      <c r="B11" s="374" t="s">
        <v>722</v>
      </c>
      <c r="C11" s="374" t="s">
        <v>719</v>
      </c>
      <c r="D11" s="374" t="s">
        <v>751</v>
      </c>
      <c r="E11" s="374" t="s">
        <v>752</v>
      </c>
      <c r="F11" s="377"/>
      <c r="G11" s="377"/>
      <c r="H11" s="377"/>
      <c r="I11" s="377"/>
      <c r="J11" s="377"/>
      <c r="K11" s="377"/>
      <c r="L11" s="377"/>
      <c r="M11" s="377"/>
      <c r="N11" s="377">
        <v>4</v>
      </c>
      <c r="O11" s="377">
        <v>9276</v>
      </c>
      <c r="P11" s="438"/>
      <c r="Q11" s="378">
        <v>2319</v>
      </c>
    </row>
    <row r="12" spans="1:17" ht="14.4" customHeight="1" x14ac:dyDescent="0.3">
      <c r="A12" s="373" t="s">
        <v>792</v>
      </c>
      <c r="B12" s="374" t="s">
        <v>722</v>
      </c>
      <c r="C12" s="374" t="s">
        <v>719</v>
      </c>
      <c r="D12" s="374" t="s">
        <v>755</v>
      </c>
      <c r="E12" s="374" t="s">
        <v>756</v>
      </c>
      <c r="F12" s="377">
        <v>1</v>
      </c>
      <c r="G12" s="377">
        <v>394</v>
      </c>
      <c r="H12" s="377">
        <v>1</v>
      </c>
      <c r="I12" s="377">
        <v>394</v>
      </c>
      <c r="J12" s="377"/>
      <c r="K12" s="377"/>
      <c r="L12" s="377"/>
      <c r="M12" s="377"/>
      <c r="N12" s="377">
        <v>1</v>
      </c>
      <c r="O12" s="377">
        <v>396</v>
      </c>
      <c r="P12" s="438">
        <v>1.0050761421319796</v>
      </c>
      <c r="Q12" s="378">
        <v>396</v>
      </c>
    </row>
    <row r="13" spans="1:17" ht="14.4" customHeight="1" x14ac:dyDescent="0.3">
      <c r="A13" s="373" t="s">
        <v>792</v>
      </c>
      <c r="B13" s="374" t="s">
        <v>722</v>
      </c>
      <c r="C13" s="374" t="s">
        <v>719</v>
      </c>
      <c r="D13" s="374" t="s">
        <v>759</v>
      </c>
      <c r="E13" s="374" t="s">
        <v>760</v>
      </c>
      <c r="F13" s="377"/>
      <c r="G13" s="377"/>
      <c r="H13" s="377"/>
      <c r="I13" s="377"/>
      <c r="J13" s="377"/>
      <c r="K13" s="377"/>
      <c r="L13" s="377"/>
      <c r="M13" s="377"/>
      <c r="N13" s="377">
        <v>7</v>
      </c>
      <c r="O13" s="377">
        <v>3850</v>
      </c>
      <c r="P13" s="438"/>
      <c r="Q13" s="378">
        <v>550</v>
      </c>
    </row>
    <row r="14" spans="1:17" ht="14.4" customHeight="1" x14ac:dyDescent="0.3">
      <c r="A14" s="373" t="s">
        <v>792</v>
      </c>
      <c r="B14" s="374" t="s">
        <v>722</v>
      </c>
      <c r="C14" s="374" t="s">
        <v>719</v>
      </c>
      <c r="D14" s="374" t="s">
        <v>761</v>
      </c>
      <c r="E14" s="374" t="s">
        <v>762</v>
      </c>
      <c r="F14" s="377">
        <v>2</v>
      </c>
      <c r="G14" s="377">
        <v>2456</v>
      </c>
      <c r="H14" s="377">
        <v>1</v>
      </c>
      <c r="I14" s="377">
        <v>1228</v>
      </c>
      <c r="J14" s="377">
        <v>1</v>
      </c>
      <c r="K14" s="377">
        <v>1234</v>
      </c>
      <c r="L14" s="377">
        <v>0.50244299674267101</v>
      </c>
      <c r="M14" s="377">
        <v>1234</v>
      </c>
      <c r="N14" s="377"/>
      <c r="O14" s="377"/>
      <c r="P14" s="438"/>
      <c r="Q14" s="378"/>
    </row>
    <row r="15" spans="1:17" ht="14.4" customHeight="1" x14ac:dyDescent="0.3">
      <c r="A15" s="373" t="s">
        <v>792</v>
      </c>
      <c r="B15" s="374" t="s">
        <v>722</v>
      </c>
      <c r="C15" s="374" t="s">
        <v>719</v>
      </c>
      <c r="D15" s="374" t="s">
        <v>769</v>
      </c>
      <c r="E15" s="374" t="s">
        <v>770</v>
      </c>
      <c r="F15" s="377">
        <v>2</v>
      </c>
      <c r="G15" s="377">
        <v>2400</v>
      </c>
      <c r="H15" s="377">
        <v>1</v>
      </c>
      <c r="I15" s="377">
        <v>1200</v>
      </c>
      <c r="J15" s="377"/>
      <c r="K15" s="377"/>
      <c r="L15" s="377"/>
      <c r="M15" s="377"/>
      <c r="N15" s="377"/>
      <c r="O15" s="377"/>
      <c r="P15" s="438"/>
      <c r="Q15" s="378"/>
    </row>
    <row r="16" spans="1:17" ht="14.4" customHeight="1" x14ac:dyDescent="0.3">
      <c r="A16" s="373" t="s">
        <v>792</v>
      </c>
      <c r="B16" s="374" t="s">
        <v>722</v>
      </c>
      <c r="C16" s="374" t="s">
        <v>719</v>
      </c>
      <c r="D16" s="374" t="s">
        <v>771</v>
      </c>
      <c r="E16" s="374" t="s">
        <v>730</v>
      </c>
      <c r="F16" s="377">
        <v>3</v>
      </c>
      <c r="G16" s="377">
        <v>2736</v>
      </c>
      <c r="H16" s="377">
        <v>1</v>
      </c>
      <c r="I16" s="377">
        <v>912</v>
      </c>
      <c r="J16" s="377"/>
      <c r="K16" s="377"/>
      <c r="L16" s="377"/>
      <c r="M16" s="377"/>
      <c r="N16" s="377"/>
      <c r="O16" s="377"/>
      <c r="P16" s="438"/>
      <c r="Q16" s="378"/>
    </row>
    <row r="17" spans="1:17" ht="14.4" customHeight="1" x14ac:dyDescent="0.3">
      <c r="A17" s="373" t="s">
        <v>792</v>
      </c>
      <c r="B17" s="374" t="s">
        <v>722</v>
      </c>
      <c r="C17" s="374" t="s">
        <v>719</v>
      </c>
      <c r="D17" s="374" t="s">
        <v>772</v>
      </c>
      <c r="E17" s="374" t="s">
        <v>773</v>
      </c>
      <c r="F17" s="377"/>
      <c r="G17" s="377"/>
      <c r="H17" s="377"/>
      <c r="I17" s="377"/>
      <c r="J17" s="377"/>
      <c r="K17" s="377"/>
      <c r="L17" s="377"/>
      <c r="M17" s="377"/>
      <c r="N17" s="377">
        <v>2</v>
      </c>
      <c r="O17" s="377">
        <v>3214</v>
      </c>
      <c r="P17" s="438"/>
      <c r="Q17" s="378">
        <v>1607</v>
      </c>
    </row>
    <row r="18" spans="1:17" ht="14.4" customHeight="1" x14ac:dyDescent="0.3">
      <c r="A18" s="373" t="s">
        <v>793</v>
      </c>
      <c r="B18" s="374" t="s">
        <v>718</v>
      </c>
      <c r="C18" s="374" t="s">
        <v>719</v>
      </c>
      <c r="D18" s="374" t="s">
        <v>720</v>
      </c>
      <c r="E18" s="374" t="s">
        <v>721</v>
      </c>
      <c r="F18" s="377">
        <v>1</v>
      </c>
      <c r="G18" s="377">
        <v>10545</v>
      </c>
      <c r="H18" s="377">
        <v>1</v>
      </c>
      <c r="I18" s="377">
        <v>10545</v>
      </c>
      <c r="J18" s="377"/>
      <c r="K18" s="377"/>
      <c r="L18" s="377"/>
      <c r="M18" s="377"/>
      <c r="N18" s="377">
        <v>1</v>
      </c>
      <c r="O18" s="377">
        <v>10685</v>
      </c>
      <c r="P18" s="438">
        <v>1.0132764343290659</v>
      </c>
      <c r="Q18" s="378">
        <v>10685</v>
      </c>
    </row>
    <row r="19" spans="1:17" ht="14.4" customHeight="1" x14ac:dyDescent="0.3">
      <c r="A19" s="373" t="s">
        <v>793</v>
      </c>
      <c r="B19" s="374" t="s">
        <v>722</v>
      </c>
      <c r="C19" s="374" t="s">
        <v>719</v>
      </c>
      <c r="D19" s="374" t="s">
        <v>723</v>
      </c>
      <c r="E19" s="374" t="s">
        <v>724</v>
      </c>
      <c r="F19" s="377">
        <v>2</v>
      </c>
      <c r="G19" s="377">
        <v>250</v>
      </c>
      <c r="H19" s="377">
        <v>1</v>
      </c>
      <c r="I19" s="377">
        <v>125</v>
      </c>
      <c r="J19" s="377">
        <v>4</v>
      </c>
      <c r="K19" s="377">
        <v>504</v>
      </c>
      <c r="L19" s="377">
        <v>2.016</v>
      </c>
      <c r="M19" s="377">
        <v>126</v>
      </c>
      <c r="N19" s="377">
        <v>1</v>
      </c>
      <c r="O19" s="377">
        <v>127</v>
      </c>
      <c r="P19" s="438">
        <v>0.50800000000000001</v>
      </c>
      <c r="Q19" s="378">
        <v>127</v>
      </c>
    </row>
    <row r="20" spans="1:17" ht="14.4" customHeight="1" x14ac:dyDescent="0.3">
      <c r="A20" s="373" t="s">
        <v>793</v>
      </c>
      <c r="B20" s="374" t="s">
        <v>722</v>
      </c>
      <c r="C20" s="374" t="s">
        <v>719</v>
      </c>
      <c r="D20" s="374" t="s">
        <v>725</v>
      </c>
      <c r="E20" s="374" t="s">
        <v>726</v>
      </c>
      <c r="F20" s="377"/>
      <c r="G20" s="377"/>
      <c r="H20" s="377"/>
      <c r="I20" s="377"/>
      <c r="J20" s="377">
        <v>2</v>
      </c>
      <c r="K20" s="377">
        <v>2440</v>
      </c>
      <c r="L20" s="377"/>
      <c r="M20" s="377">
        <v>1220</v>
      </c>
      <c r="N20" s="377"/>
      <c r="O20" s="377"/>
      <c r="P20" s="438"/>
      <c r="Q20" s="378"/>
    </row>
    <row r="21" spans="1:17" ht="14.4" customHeight="1" x14ac:dyDescent="0.3">
      <c r="A21" s="373" t="s">
        <v>793</v>
      </c>
      <c r="B21" s="374" t="s">
        <v>722</v>
      </c>
      <c r="C21" s="374" t="s">
        <v>719</v>
      </c>
      <c r="D21" s="374" t="s">
        <v>727</v>
      </c>
      <c r="E21" s="374" t="s">
        <v>728</v>
      </c>
      <c r="F21" s="377"/>
      <c r="G21" s="377"/>
      <c r="H21" s="377"/>
      <c r="I21" s="377"/>
      <c r="J21" s="377">
        <v>6</v>
      </c>
      <c r="K21" s="377">
        <v>13278</v>
      </c>
      <c r="L21" s="377"/>
      <c r="M21" s="377">
        <v>2213</v>
      </c>
      <c r="N21" s="377">
        <v>2</v>
      </c>
      <c r="O21" s="377">
        <v>4458</v>
      </c>
      <c r="P21" s="438"/>
      <c r="Q21" s="378">
        <v>2229</v>
      </c>
    </row>
    <row r="22" spans="1:17" ht="14.4" customHeight="1" x14ac:dyDescent="0.3">
      <c r="A22" s="373" t="s">
        <v>793</v>
      </c>
      <c r="B22" s="374" t="s">
        <v>722</v>
      </c>
      <c r="C22" s="374" t="s">
        <v>719</v>
      </c>
      <c r="D22" s="374" t="s">
        <v>729</v>
      </c>
      <c r="E22" s="374" t="s">
        <v>730</v>
      </c>
      <c r="F22" s="377">
        <v>1</v>
      </c>
      <c r="G22" s="377">
        <v>1032</v>
      </c>
      <c r="H22" s="377">
        <v>1</v>
      </c>
      <c r="I22" s="377">
        <v>1032</v>
      </c>
      <c r="J22" s="377">
        <v>1</v>
      </c>
      <c r="K22" s="377">
        <v>1035</v>
      </c>
      <c r="L22" s="377">
        <v>1.0029069767441861</v>
      </c>
      <c r="M22" s="377">
        <v>1035</v>
      </c>
      <c r="N22" s="377">
        <v>2</v>
      </c>
      <c r="O22" s="377">
        <v>2082</v>
      </c>
      <c r="P22" s="438">
        <v>2.0174418604651163</v>
      </c>
      <c r="Q22" s="378">
        <v>1041</v>
      </c>
    </row>
    <row r="23" spans="1:17" ht="14.4" customHeight="1" x14ac:dyDescent="0.3">
      <c r="A23" s="373" t="s">
        <v>793</v>
      </c>
      <c r="B23" s="374" t="s">
        <v>722</v>
      </c>
      <c r="C23" s="374" t="s">
        <v>719</v>
      </c>
      <c r="D23" s="374" t="s">
        <v>731</v>
      </c>
      <c r="E23" s="374" t="s">
        <v>732</v>
      </c>
      <c r="F23" s="377">
        <v>15</v>
      </c>
      <c r="G23" s="377">
        <v>55335</v>
      </c>
      <c r="H23" s="377">
        <v>1</v>
      </c>
      <c r="I23" s="377">
        <v>3689</v>
      </c>
      <c r="J23" s="377">
        <v>16</v>
      </c>
      <c r="K23" s="377">
        <v>59168</v>
      </c>
      <c r="L23" s="377">
        <v>1.0692689979217493</v>
      </c>
      <c r="M23" s="377">
        <v>3698</v>
      </c>
      <c r="N23" s="377">
        <v>14</v>
      </c>
      <c r="O23" s="377">
        <v>51980</v>
      </c>
      <c r="P23" s="438">
        <v>0.93936929610553899</v>
      </c>
      <c r="Q23" s="378">
        <v>3712.8571428571427</v>
      </c>
    </row>
    <row r="24" spans="1:17" ht="14.4" customHeight="1" x14ac:dyDescent="0.3">
      <c r="A24" s="373" t="s">
        <v>793</v>
      </c>
      <c r="B24" s="374" t="s">
        <v>722</v>
      </c>
      <c r="C24" s="374" t="s">
        <v>719</v>
      </c>
      <c r="D24" s="374" t="s">
        <v>733</v>
      </c>
      <c r="E24" s="374" t="s">
        <v>734</v>
      </c>
      <c r="F24" s="377">
        <v>2</v>
      </c>
      <c r="G24" s="377">
        <v>874</v>
      </c>
      <c r="H24" s="377">
        <v>1</v>
      </c>
      <c r="I24" s="377">
        <v>437</v>
      </c>
      <c r="J24" s="377"/>
      <c r="K24" s="377"/>
      <c r="L24" s="377"/>
      <c r="M24" s="377"/>
      <c r="N24" s="377">
        <v>3</v>
      </c>
      <c r="O24" s="377">
        <v>1314</v>
      </c>
      <c r="P24" s="438">
        <v>1.5034324942791761</v>
      </c>
      <c r="Q24" s="378">
        <v>438</v>
      </c>
    </row>
    <row r="25" spans="1:17" ht="14.4" customHeight="1" x14ac:dyDescent="0.3">
      <c r="A25" s="373" t="s">
        <v>793</v>
      </c>
      <c r="B25" s="374" t="s">
        <v>722</v>
      </c>
      <c r="C25" s="374" t="s">
        <v>719</v>
      </c>
      <c r="D25" s="374" t="s">
        <v>735</v>
      </c>
      <c r="E25" s="374" t="s">
        <v>736</v>
      </c>
      <c r="F25" s="377">
        <v>9</v>
      </c>
      <c r="G25" s="377">
        <v>7479</v>
      </c>
      <c r="H25" s="377">
        <v>1</v>
      </c>
      <c r="I25" s="377">
        <v>831</v>
      </c>
      <c r="J25" s="377"/>
      <c r="K25" s="377"/>
      <c r="L25" s="377"/>
      <c r="M25" s="377"/>
      <c r="N25" s="377">
        <v>6</v>
      </c>
      <c r="O25" s="377">
        <v>5010</v>
      </c>
      <c r="P25" s="438">
        <v>0.66987565182511033</v>
      </c>
      <c r="Q25" s="378">
        <v>835</v>
      </c>
    </row>
    <row r="26" spans="1:17" ht="14.4" customHeight="1" x14ac:dyDescent="0.3">
      <c r="A26" s="373" t="s">
        <v>793</v>
      </c>
      <c r="B26" s="374" t="s">
        <v>722</v>
      </c>
      <c r="C26" s="374" t="s">
        <v>719</v>
      </c>
      <c r="D26" s="374" t="s">
        <v>737</v>
      </c>
      <c r="E26" s="374" t="s">
        <v>738</v>
      </c>
      <c r="F26" s="377"/>
      <c r="G26" s="377"/>
      <c r="H26" s="377"/>
      <c r="I26" s="377"/>
      <c r="J26" s="377"/>
      <c r="K26" s="377"/>
      <c r="L26" s="377"/>
      <c r="M26" s="377"/>
      <c r="N26" s="377">
        <v>5</v>
      </c>
      <c r="O26" s="377">
        <v>8095</v>
      </c>
      <c r="P26" s="438"/>
      <c r="Q26" s="378">
        <v>1619</v>
      </c>
    </row>
    <row r="27" spans="1:17" ht="14.4" customHeight="1" x14ac:dyDescent="0.3">
      <c r="A27" s="373" t="s">
        <v>793</v>
      </c>
      <c r="B27" s="374" t="s">
        <v>722</v>
      </c>
      <c r="C27" s="374" t="s">
        <v>719</v>
      </c>
      <c r="D27" s="374" t="s">
        <v>739</v>
      </c>
      <c r="E27" s="374" t="s">
        <v>740</v>
      </c>
      <c r="F27" s="377"/>
      <c r="G27" s="377"/>
      <c r="H27" s="377"/>
      <c r="I27" s="377"/>
      <c r="J27" s="377"/>
      <c r="K27" s="377"/>
      <c r="L27" s="377"/>
      <c r="M27" s="377"/>
      <c r="N27" s="377">
        <v>2</v>
      </c>
      <c r="O27" s="377">
        <v>3096</v>
      </c>
      <c r="P27" s="438"/>
      <c r="Q27" s="378">
        <v>1548</v>
      </c>
    </row>
    <row r="28" spans="1:17" ht="14.4" customHeight="1" x14ac:dyDescent="0.3">
      <c r="A28" s="373" t="s">
        <v>793</v>
      </c>
      <c r="B28" s="374" t="s">
        <v>722</v>
      </c>
      <c r="C28" s="374" t="s">
        <v>719</v>
      </c>
      <c r="D28" s="374" t="s">
        <v>741</v>
      </c>
      <c r="E28" s="374" t="s">
        <v>742</v>
      </c>
      <c r="F28" s="377"/>
      <c r="G28" s="377"/>
      <c r="H28" s="377"/>
      <c r="I28" s="377"/>
      <c r="J28" s="377">
        <v>4</v>
      </c>
      <c r="K28" s="377">
        <v>3276</v>
      </c>
      <c r="L28" s="377"/>
      <c r="M28" s="377">
        <v>819</v>
      </c>
      <c r="N28" s="377">
        <v>5</v>
      </c>
      <c r="O28" s="377">
        <v>4110</v>
      </c>
      <c r="P28" s="438"/>
      <c r="Q28" s="378">
        <v>822</v>
      </c>
    </row>
    <row r="29" spans="1:17" ht="14.4" customHeight="1" x14ac:dyDescent="0.3">
      <c r="A29" s="373" t="s">
        <v>793</v>
      </c>
      <c r="B29" s="374" t="s">
        <v>722</v>
      </c>
      <c r="C29" s="374" t="s">
        <v>719</v>
      </c>
      <c r="D29" s="374" t="s">
        <v>743</v>
      </c>
      <c r="E29" s="374" t="s">
        <v>744</v>
      </c>
      <c r="F29" s="377">
        <v>1</v>
      </c>
      <c r="G29" s="377">
        <v>1441</v>
      </c>
      <c r="H29" s="377">
        <v>1</v>
      </c>
      <c r="I29" s="377">
        <v>1441</v>
      </c>
      <c r="J29" s="377">
        <v>2</v>
      </c>
      <c r="K29" s="377">
        <v>2894</v>
      </c>
      <c r="L29" s="377">
        <v>2.0083275503122833</v>
      </c>
      <c r="M29" s="377">
        <v>1447</v>
      </c>
      <c r="N29" s="377">
        <v>1</v>
      </c>
      <c r="O29" s="377">
        <v>1457</v>
      </c>
      <c r="P29" s="438">
        <v>1.0111034004163775</v>
      </c>
      <c r="Q29" s="378">
        <v>1457</v>
      </c>
    </row>
    <row r="30" spans="1:17" ht="14.4" customHeight="1" x14ac:dyDescent="0.3">
      <c r="A30" s="373" t="s">
        <v>793</v>
      </c>
      <c r="B30" s="374" t="s">
        <v>722</v>
      </c>
      <c r="C30" s="374" t="s">
        <v>719</v>
      </c>
      <c r="D30" s="374" t="s">
        <v>745</v>
      </c>
      <c r="E30" s="374" t="s">
        <v>746</v>
      </c>
      <c r="F30" s="377">
        <v>1</v>
      </c>
      <c r="G30" s="377">
        <v>3065</v>
      </c>
      <c r="H30" s="377">
        <v>1</v>
      </c>
      <c r="I30" s="377">
        <v>3065</v>
      </c>
      <c r="J30" s="377"/>
      <c r="K30" s="377"/>
      <c r="L30" s="377"/>
      <c r="M30" s="377"/>
      <c r="N30" s="377"/>
      <c r="O30" s="377"/>
      <c r="P30" s="438"/>
      <c r="Q30" s="378"/>
    </row>
    <row r="31" spans="1:17" ht="14.4" customHeight="1" x14ac:dyDescent="0.3">
      <c r="A31" s="373" t="s">
        <v>793</v>
      </c>
      <c r="B31" s="374" t="s">
        <v>722</v>
      </c>
      <c r="C31" s="374" t="s">
        <v>719</v>
      </c>
      <c r="D31" s="374" t="s">
        <v>747</v>
      </c>
      <c r="E31" s="374" t="s">
        <v>748</v>
      </c>
      <c r="F31" s="377">
        <v>8</v>
      </c>
      <c r="G31" s="377">
        <v>128</v>
      </c>
      <c r="H31" s="377">
        <v>1</v>
      </c>
      <c r="I31" s="377">
        <v>16</v>
      </c>
      <c r="J31" s="377">
        <v>13</v>
      </c>
      <c r="K31" s="377">
        <v>208</v>
      </c>
      <c r="L31" s="377">
        <v>1.625</v>
      </c>
      <c r="M31" s="377">
        <v>16</v>
      </c>
      <c r="N31" s="377">
        <v>14</v>
      </c>
      <c r="O31" s="377">
        <v>224</v>
      </c>
      <c r="P31" s="438">
        <v>1.75</v>
      </c>
      <c r="Q31" s="378">
        <v>16</v>
      </c>
    </row>
    <row r="32" spans="1:17" ht="14.4" customHeight="1" x14ac:dyDescent="0.3">
      <c r="A32" s="373" t="s">
        <v>793</v>
      </c>
      <c r="B32" s="374" t="s">
        <v>722</v>
      </c>
      <c r="C32" s="374" t="s">
        <v>719</v>
      </c>
      <c r="D32" s="374" t="s">
        <v>749</v>
      </c>
      <c r="E32" s="374" t="s">
        <v>734</v>
      </c>
      <c r="F32" s="377">
        <v>14</v>
      </c>
      <c r="G32" s="377">
        <v>9590</v>
      </c>
      <c r="H32" s="377">
        <v>1</v>
      </c>
      <c r="I32" s="377">
        <v>685</v>
      </c>
      <c r="J32" s="377">
        <v>25</v>
      </c>
      <c r="K32" s="377">
        <v>17200</v>
      </c>
      <c r="L32" s="377">
        <v>1.7935349322210636</v>
      </c>
      <c r="M32" s="377">
        <v>688</v>
      </c>
      <c r="N32" s="377">
        <v>18</v>
      </c>
      <c r="O32" s="377">
        <v>12456</v>
      </c>
      <c r="P32" s="438">
        <v>1.2988529718456725</v>
      </c>
      <c r="Q32" s="378">
        <v>692</v>
      </c>
    </row>
    <row r="33" spans="1:17" ht="14.4" customHeight="1" x14ac:dyDescent="0.3">
      <c r="A33" s="373" t="s">
        <v>793</v>
      </c>
      <c r="B33" s="374" t="s">
        <v>722</v>
      </c>
      <c r="C33" s="374" t="s">
        <v>719</v>
      </c>
      <c r="D33" s="374" t="s">
        <v>750</v>
      </c>
      <c r="E33" s="374" t="s">
        <v>736</v>
      </c>
      <c r="F33" s="377">
        <v>26</v>
      </c>
      <c r="G33" s="377">
        <v>35646</v>
      </c>
      <c r="H33" s="377">
        <v>1</v>
      </c>
      <c r="I33" s="377">
        <v>1371</v>
      </c>
      <c r="J33" s="377">
        <v>42</v>
      </c>
      <c r="K33" s="377">
        <v>57750</v>
      </c>
      <c r="L33" s="377">
        <v>1.620097626662178</v>
      </c>
      <c r="M33" s="377">
        <v>1375</v>
      </c>
      <c r="N33" s="377">
        <v>25</v>
      </c>
      <c r="O33" s="377">
        <v>34543</v>
      </c>
      <c r="P33" s="438">
        <v>0.96905683667171627</v>
      </c>
      <c r="Q33" s="378">
        <v>1381.72</v>
      </c>
    </row>
    <row r="34" spans="1:17" ht="14.4" customHeight="1" x14ac:dyDescent="0.3">
      <c r="A34" s="373" t="s">
        <v>793</v>
      </c>
      <c r="B34" s="374" t="s">
        <v>722</v>
      </c>
      <c r="C34" s="374" t="s">
        <v>719</v>
      </c>
      <c r="D34" s="374" t="s">
        <v>751</v>
      </c>
      <c r="E34" s="374" t="s">
        <v>752</v>
      </c>
      <c r="F34" s="377">
        <v>8</v>
      </c>
      <c r="G34" s="377">
        <v>18480</v>
      </c>
      <c r="H34" s="377">
        <v>1</v>
      </c>
      <c r="I34" s="377">
        <v>2310</v>
      </c>
      <c r="J34" s="377">
        <v>17</v>
      </c>
      <c r="K34" s="377">
        <v>39423</v>
      </c>
      <c r="L34" s="377">
        <v>2.1332792207792206</v>
      </c>
      <c r="M34" s="377">
        <v>2319</v>
      </c>
      <c r="N34" s="377">
        <v>15</v>
      </c>
      <c r="O34" s="377">
        <v>34950</v>
      </c>
      <c r="P34" s="438">
        <v>1.8912337662337662</v>
      </c>
      <c r="Q34" s="378">
        <v>2330</v>
      </c>
    </row>
    <row r="35" spans="1:17" ht="14.4" customHeight="1" x14ac:dyDescent="0.3">
      <c r="A35" s="373" t="s">
        <v>793</v>
      </c>
      <c r="B35" s="374" t="s">
        <v>722</v>
      </c>
      <c r="C35" s="374" t="s">
        <v>719</v>
      </c>
      <c r="D35" s="374" t="s">
        <v>753</v>
      </c>
      <c r="E35" s="374" t="s">
        <v>754</v>
      </c>
      <c r="F35" s="377">
        <v>13</v>
      </c>
      <c r="G35" s="377">
        <v>845</v>
      </c>
      <c r="H35" s="377">
        <v>1</v>
      </c>
      <c r="I35" s="377">
        <v>65</v>
      </c>
      <c r="J35" s="377">
        <v>25</v>
      </c>
      <c r="K35" s="377">
        <v>1625</v>
      </c>
      <c r="L35" s="377">
        <v>1.9230769230769231</v>
      </c>
      <c r="M35" s="377">
        <v>65</v>
      </c>
      <c r="N35" s="377">
        <v>21</v>
      </c>
      <c r="O35" s="377">
        <v>1377</v>
      </c>
      <c r="P35" s="438">
        <v>1.6295857988165681</v>
      </c>
      <c r="Q35" s="378">
        <v>65.571428571428569</v>
      </c>
    </row>
    <row r="36" spans="1:17" ht="14.4" customHeight="1" x14ac:dyDescent="0.3">
      <c r="A36" s="373" t="s">
        <v>793</v>
      </c>
      <c r="B36" s="374" t="s">
        <v>722</v>
      </c>
      <c r="C36" s="374" t="s">
        <v>719</v>
      </c>
      <c r="D36" s="374" t="s">
        <v>755</v>
      </c>
      <c r="E36" s="374" t="s">
        <v>756</v>
      </c>
      <c r="F36" s="377">
        <v>1</v>
      </c>
      <c r="G36" s="377">
        <v>394</v>
      </c>
      <c r="H36" s="377">
        <v>1</v>
      </c>
      <c r="I36" s="377">
        <v>394</v>
      </c>
      <c r="J36" s="377">
        <v>2</v>
      </c>
      <c r="K36" s="377">
        <v>792</v>
      </c>
      <c r="L36" s="377">
        <v>2.0101522842639592</v>
      </c>
      <c r="M36" s="377">
        <v>396</v>
      </c>
      <c r="N36" s="377">
        <v>1</v>
      </c>
      <c r="O36" s="377">
        <v>399</v>
      </c>
      <c r="P36" s="438">
        <v>1.0126903553299493</v>
      </c>
      <c r="Q36" s="378">
        <v>399</v>
      </c>
    </row>
    <row r="37" spans="1:17" ht="14.4" customHeight="1" x14ac:dyDescent="0.3">
      <c r="A37" s="373" t="s">
        <v>793</v>
      </c>
      <c r="B37" s="374" t="s">
        <v>722</v>
      </c>
      <c r="C37" s="374" t="s">
        <v>719</v>
      </c>
      <c r="D37" s="374" t="s">
        <v>757</v>
      </c>
      <c r="E37" s="374" t="s">
        <v>758</v>
      </c>
      <c r="F37" s="377">
        <v>1</v>
      </c>
      <c r="G37" s="377">
        <v>1597</v>
      </c>
      <c r="H37" s="377">
        <v>1</v>
      </c>
      <c r="I37" s="377">
        <v>1597</v>
      </c>
      <c r="J37" s="377"/>
      <c r="K37" s="377"/>
      <c r="L37" s="377"/>
      <c r="M37" s="377"/>
      <c r="N37" s="377">
        <v>2</v>
      </c>
      <c r="O37" s="377">
        <v>3218</v>
      </c>
      <c r="P37" s="438">
        <v>2.0150281778334378</v>
      </c>
      <c r="Q37" s="378">
        <v>1609</v>
      </c>
    </row>
    <row r="38" spans="1:17" ht="14.4" customHeight="1" x14ac:dyDescent="0.3">
      <c r="A38" s="373" t="s">
        <v>793</v>
      </c>
      <c r="B38" s="374" t="s">
        <v>722</v>
      </c>
      <c r="C38" s="374" t="s">
        <v>719</v>
      </c>
      <c r="D38" s="374" t="s">
        <v>759</v>
      </c>
      <c r="E38" s="374" t="s">
        <v>760</v>
      </c>
      <c r="F38" s="377">
        <v>23</v>
      </c>
      <c r="G38" s="377">
        <v>12627</v>
      </c>
      <c r="H38" s="377">
        <v>1</v>
      </c>
      <c r="I38" s="377">
        <v>549</v>
      </c>
      <c r="J38" s="377">
        <v>45</v>
      </c>
      <c r="K38" s="377">
        <v>24750</v>
      </c>
      <c r="L38" s="377">
        <v>1.9600855310049894</v>
      </c>
      <c r="M38" s="377">
        <v>550</v>
      </c>
      <c r="N38" s="377">
        <v>37</v>
      </c>
      <c r="O38" s="377">
        <v>20377</v>
      </c>
      <c r="P38" s="438">
        <v>1.6137641561732794</v>
      </c>
      <c r="Q38" s="378">
        <v>550.72972972972968</v>
      </c>
    </row>
    <row r="39" spans="1:17" ht="14.4" customHeight="1" x14ac:dyDescent="0.3">
      <c r="A39" s="373" t="s">
        <v>793</v>
      </c>
      <c r="B39" s="374" t="s">
        <v>722</v>
      </c>
      <c r="C39" s="374" t="s">
        <v>719</v>
      </c>
      <c r="D39" s="374" t="s">
        <v>761</v>
      </c>
      <c r="E39" s="374" t="s">
        <v>762</v>
      </c>
      <c r="F39" s="377">
        <v>1</v>
      </c>
      <c r="G39" s="377">
        <v>1228</v>
      </c>
      <c r="H39" s="377">
        <v>1</v>
      </c>
      <c r="I39" s="377">
        <v>1228</v>
      </c>
      <c r="J39" s="377"/>
      <c r="K39" s="377"/>
      <c r="L39" s="377"/>
      <c r="M39" s="377"/>
      <c r="N39" s="377"/>
      <c r="O39" s="377"/>
      <c r="P39" s="438"/>
      <c r="Q39" s="378"/>
    </row>
    <row r="40" spans="1:17" ht="14.4" customHeight="1" x14ac:dyDescent="0.3">
      <c r="A40" s="373" t="s">
        <v>793</v>
      </c>
      <c r="B40" s="374" t="s">
        <v>722</v>
      </c>
      <c r="C40" s="374" t="s">
        <v>719</v>
      </c>
      <c r="D40" s="374" t="s">
        <v>765</v>
      </c>
      <c r="E40" s="374" t="s">
        <v>766</v>
      </c>
      <c r="F40" s="377"/>
      <c r="G40" s="377"/>
      <c r="H40" s="377"/>
      <c r="I40" s="377"/>
      <c r="J40" s="377"/>
      <c r="K40" s="377"/>
      <c r="L40" s="377"/>
      <c r="M40" s="377"/>
      <c r="N40" s="377">
        <v>1</v>
      </c>
      <c r="O40" s="377">
        <v>122</v>
      </c>
      <c r="P40" s="438"/>
      <c r="Q40" s="378">
        <v>122</v>
      </c>
    </row>
    <row r="41" spans="1:17" ht="14.4" customHeight="1" x14ac:dyDescent="0.3">
      <c r="A41" s="373" t="s">
        <v>793</v>
      </c>
      <c r="B41" s="374" t="s">
        <v>722</v>
      </c>
      <c r="C41" s="374" t="s">
        <v>719</v>
      </c>
      <c r="D41" s="374" t="s">
        <v>767</v>
      </c>
      <c r="E41" s="374" t="s">
        <v>768</v>
      </c>
      <c r="F41" s="377">
        <v>2</v>
      </c>
      <c r="G41" s="377">
        <v>850</v>
      </c>
      <c r="H41" s="377">
        <v>1</v>
      </c>
      <c r="I41" s="377">
        <v>425</v>
      </c>
      <c r="J41" s="377"/>
      <c r="K41" s="377"/>
      <c r="L41" s="377"/>
      <c r="M41" s="377"/>
      <c r="N41" s="377">
        <v>7</v>
      </c>
      <c r="O41" s="377">
        <v>2982</v>
      </c>
      <c r="P41" s="438">
        <v>3.5082352941176471</v>
      </c>
      <c r="Q41" s="378">
        <v>426</v>
      </c>
    </row>
    <row r="42" spans="1:17" ht="14.4" customHeight="1" x14ac:dyDescent="0.3">
      <c r="A42" s="373" t="s">
        <v>793</v>
      </c>
      <c r="B42" s="374" t="s">
        <v>722</v>
      </c>
      <c r="C42" s="374" t="s">
        <v>719</v>
      </c>
      <c r="D42" s="374" t="s">
        <v>772</v>
      </c>
      <c r="E42" s="374" t="s">
        <v>773</v>
      </c>
      <c r="F42" s="377"/>
      <c r="G42" s="377"/>
      <c r="H42" s="377"/>
      <c r="I42" s="377"/>
      <c r="J42" s="377">
        <v>1</v>
      </c>
      <c r="K42" s="377">
        <v>1607</v>
      </c>
      <c r="L42" s="377"/>
      <c r="M42" s="377">
        <v>1607</v>
      </c>
      <c r="N42" s="377">
        <v>7</v>
      </c>
      <c r="O42" s="377">
        <v>11291</v>
      </c>
      <c r="P42" s="438"/>
      <c r="Q42" s="378">
        <v>1613</v>
      </c>
    </row>
    <row r="43" spans="1:17" ht="14.4" customHeight="1" x14ac:dyDescent="0.3">
      <c r="A43" s="373" t="s">
        <v>794</v>
      </c>
      <c r="B43" s="374" t="s">
        <v>722</v>
      </c>
      <c r="C43" s="374" t="s">
        <v>719</v>
      </c>
      <c r="D43" s="374" t="s">
        <v>723</v>
      </c>
      <c r="E43" s="374" t="s">
        <v>724</v>
      </c>
      <c r="F43" s="377">
        <v>5</v>
      </c>
      <c r="G43" s="377">
        <v>625</v>
      </c>
      <c r="H43" s="377">
        <v>1</v>
      </c>
      <c r="I43" s="377">
        <v>125</v>
      </c>
      <c r="J43" s="377">
        <v>3</v>
      </c>
      <c r="K43" s="377">
        <v>378</v>
      </c>
      <c r="L43" s="377">
        <v>0.6048</v>
      </c>
      <c r="M43" s="377">
        <v>126</v>
      </c>
      <c r="N43" s="377">
        <v>3</v>
      </c>
      <c r="O43" s="377">
        <v>379</v>
      </c>
      <c r="P43" s="438">
        <v>0.60640000000000005</v>
      </c>
      <c r="Q43" s="378">
        <v>126.33333333333333</v>
      </c>
    </row>
    <row r="44" spans="1:17" ht="14.4" customHeight="1" x14ac:dyDescent="0.3">
      <c r="A44" s="373" t="s">
        <v>794</v>
      </c>
      <c r="B44" s="374" t="s">
        <v>722</v>
      </c>
      <c r="C44" s="374" t="s">
        <v>719</v>
      </c>
      <c r="D44" s="374" t="s">
        <v>725</v>
      </c>
      <c r="E44" s="374" t="s">
        <v>726</v>
      </c>
      <c r="F44" s="377">
        <v>1</v>
      </c>
      <c r="G44" s="377">
        <v>1217</v>
      </c>
      <c r="H44" s="377">
        <v>1</v>
      </c>
      <c r="I44" s="377">
        <v>1217</v>
      </c>
      <c r="J44" s="377"/>
      <c r="K44" s="377"/>
      <c r="L44" s="377"/>
      <c r="M44" s="377"/>
      <c r="N44" s="377"/>
      <c r="O44" s="377"/>
      <c r="P44" s="438"/>
      <c r="Q44" s="378"/>
    </row>
    <row r="45" spans="1:17" ht="14.4" customHeight="1" x14ac:dyDescent="0.3">
      <c r="A45" s="373" t="s">
        <v>794</v>
      </c>
      <c r="B45" s="374" t="s">
        <v>722</v>
      </c>
      <c r="C45" s="374" t="s">
        <v>719</v>
      </c>
      <c r="D45" s="374" t="s">
        <v>727</v>
      </c>
      <c r="E45" s="374" t="s">
        <v>728</v>
      </c>
      <c r="F45" s="377"/>
      <c r="G45" s="377"/>
      <c r="H45" s="377"/>
      <c r="I45" s="377"/>
      <c r="J45" s="377">
        <v>17</v>
      </c>
      <c r="K45" s="377">
        <v>37621</v>
      </c>
      <c r="L45" s="377"/>
      <c r="M45" s="377">
        <v>2213</v>
      </c>
      <c r="N45" s="377">
        <v>1</v>
      </c>
      <c r="O45" s="377">
        <v>2213</v>
      </c>
      <c r="P45" s="438"/>
      <c r="Q45" s="378">
        <v>2213</v>
      </c>
    </row>
    <row r="46" spans="1:17" ht="14.4" customHeight="1" x14ac:dyDescent="0.3">
      <c r="A46" s="373" t="s">
        <v>794</v>
      </c>
      <c r="B46" s="374" t="s">
        <v>722</v>
      </c>
      <c r="C46" s="374" t="s">
        <v>719</v>
      </c>
      <c r="D46" s="374" t="s">
        <v>729</v>
      </c>
      <c r="E46" s="374" t="s">
        <v>730</v>
      </c>
      <c r="F46" s="377">
        <v>2</v>
      </c>
      <c r="G46" s="377">
        <v>2064</v>
      </c>
      <c r="H46" s="377">
        <v>1</v>
      </c>
      <c r="I46" s="377">
        <v>1032</v>
      </c>
      <c r="J46" s="377">
        <v>1</v>
      </c>
      <c r="K46" s="377">
        <v>1035</v>
      </c>
      <c r="L46" s="377">
        <v>0.50145348837209303</v>
      </c>
      <c r="M46" s="377">
        <v>1035</v>
      </c>
      <c r="N46" s="377">
        <v>1</v>
      </c>
      <c r="O46" s="377">
        <v>1035</v>
      </c>
      <c r="P46" s="438">
        <v>0.50145348837209303</v>
      </c>
      <c r="Q46" s="378">
        <v>1035</v>
      </c>
    </row>
    <row r="47" spans="1:17" ht="14.4" customHeight="1" x14ac:dyDescent="0.3">
      <c r="A47" s="373" t="s">
        <v>794</v>
      </c>
      <c r="B47" s="374" t="s">
        <v>722</v>
      </c>
      <c r="C47" s="374" t="s">
        <v>719</v>
      </c>
      <c r="D47" s="374" t="s">
        <v>731</v>
      </c>
      <c r="E47" s="374" t="s">
        <v>732</v>
      </c>
      <c r="F47" s="377">
        <v>10</v>
      </c>
      <c r="G47" s="377">
        <v>36890</v>
      </c>
      <c r="H47" s="377">
        <v>1</v>
      </c>
      <c r="I47" s="377">
        <v>3689</v>
      </c>
      <c r="J47" s="377">
        <v>7</v>
      </c>
      <c r="K47" s="377">
        <v>25886</v>
      </c>
      <c r="L47" s="377">
        <v>0.70170777988614796</v>
      </c>
      <c r="M47" s="377">
        <v>3698</v>
      </c>
      <c r="N47" s="377">
        <v>30</v>
      </c>
      <c r="O47" s="377">
        <v>111180</v>
      </c>
      <c r="P47" s="438">
        <v>3.0138248847926268</v>
      </c>
      <c r="Q47" s="378">
        <v>3706</v>
      </c>
    </row>
    <row r="48" spans="1:17" ht="14.4" customHeight="1" x14ac:dyDescent="0.3">
      <c r="A48" s="373" t="s">
        <v>794</v>
      </c>
      <c r="B48" s="374" t="s">
        <v>722</v>
      </c>
      <c r="C48" s="374" t="s">
        <v>719</v>
      </c>
      <c r="D48" s="374" t="s">
        <v>733</v>
      </c>
      <c r="E48" s="374" t="s">
        <v>734</v>
      </c>
      <c r="F48" s="377">
        <v>2</v>
      </c>
      <c r="G48" s="377">
        <v>874</v>
      </c>
      <c r="H48" s="377">
        <v>1</v>
      </c>
      <c r="I48" s="377">
        <v>437</v>
      </c>
      <c r="J48" s="377"/>
      <c r="K48" s="377"/>
      <c r="L48" s="377"/>
      <c r="M48" s="377"/>
      <c r="N48" s="377"/>
      <c r="O48" s="377"/>
      <c r="P48" s="438"/>
      <c r="Q48" s="378"/>
    </row>
    <row r="49" spans="1:17" ht="14.4" customHeight="1" x14ac:dyDescent="0.3">
      <c r="A49" s="373" t="s">
        <v>794</v>
      </c>
      <c r="B49" s="374" t="s">
        <v>722</v>
      </c>
      <c r="C49" s="374" t="s">
        <v>719</v>
      </c>
      <c r="D49" s="374" t="s">
        <v>737</v>
      </c>
      <c r="E49" s="374" t="s">
        <v>738</v>
      </c>
      <c r="F49" s="377"/>
      <c r="G49" s="377"/>
      <c r="H49" s="377"/>
      <c r="I49" s="377"/>
      <c r="J49" s="377"/>
      <c r="K49" s="377"/>
      <c r="L49" s="377"/>
      <c r="M49" s="377"/>
      <c r="N49" s="377">
        <v>7</v>
      </c>
      <c r="O49" s="377">
        <v>11315</v>
      </c>
      <c r="P49" s="438"/>
      <c r="Q49" s="378">
        <v>1616.4285714285713</v>
      </c>
    </row>
    <row r="50" spans="1:17" ht="14.4" customHeight="1" x14ac:dyDescent="0.3">
      <c r="A50" s="373" t="s">
        <v>794</v>
      </c>
      <c r="B50" s="374" t="s">
        <v>722</v>
      </c>
      <c r="C50" s="374" t="s">
        <v>719</v>
      </c>
      <c r="D50" s="374" t="s">
        <v>739</v>
      </c>
      <c r="E50" s="374" t="s">
        <v>740</v>
      </c>
      <c r="F50" s="377">
        <v>1</v>
      </c>
      <c r="G50" s="377">
        <v>1531</v>
      </c>
      <c r="H50" s="377">
        <v>1</v>
      </c>
      <c r="I50" s="377">
        <v>1531</v>
      </c>
      <c r="J50" s="377"/>
      <c r="K50" s="377"/>
      <c r="L50" s="377"/>
      <c r="M50" s="377"/>
      <c r="N50" s="377">
        <v>1</v>
      </c>
      <c r="O50" s="377">
        <v>1537</v>
      </c>
      <c r="P50" s="438">
        <v>1.0039190071848465</v>
      </c>
      <c r="Q50" s="378">
        <v>1537</v>
      </c>
    </row>
    <row r="51" spans="1:17" ht="14.4" customHeight="1" x14ac:dyDescent="0.3">
      <c r="A51" s="373" t="s">
        <v>794</v>
      </c>
      <c r="B51" s="374" t="s">
        <v>722</v>
      </c>
      <c r="C51" s="374" t="s">
        <v>719</v>
      </c>
      <c r="D51" s="374" t="s">
        <v>741</v>
      </c>
      <c r="E51" s="374" t="s">
        <v>742</v>
      </c>
      <c r="F51" s="377"/>
      <c r="G51" s="377"/>
      <c r="H51" s="377"/>
      <c r="I51" s="377"/>
      <c r="J51" s="377">
        <v>9</v>
      </c>
      <c r="K51" s="377">
        <v>7371</v>
      </c>
      <c r="L51" s="377"/>
      <c r="M51" s="377">
        <v>819</v>
      </c>
      <c r="N51" s="377"/>
      <c r="O51" s="377"/>
      <c r="P51" s="438"/>
      <c r="Q51" s="378"/>
    </row>
    <row r="52" spans="1:17" ht="14.4" customHeight="1" x14ac:dyDescent="0.3">
      <c r="A52" s="373" t="s">
        <v>794</v>
      </c>
      <c r="B52" s="374" t="s">
        <v>722</v>
      </c>
      <c r="C52" s="374" t="s">
        <v>719</v>
      </c>
      <c r="D52" s="374" t="s">
        <v>743</v>
      </c>
      <c r="E52" s="374" t="s">
        <v>744</v>
      </c>
      <c r="F52" s="377">
        <v>2</v>
      </c>
      <c r="G52" s="377">
        <v>2882</v>
      </c>
      <c r="H52" s="377">
        <v>1</v>
      </c>
      <c r="I52" s="377">
        <v>1441</v>
      </c>
      <c r="J52" s="377">
        <v>3</v>
      </c>
      <c r="K52" s="377">
        <v>4341</v>
      </c>
      <c r="L52" s="377">
        <v>1.5062456627342125</v>
      </c>
      <c r="M52" s="377">
        <v>1447</v>
      </c>
      <c r="N52" s="377"/>
      <c r="O52" s="377"/>
      <c r="P52" s="438"/>
      <c r="Q52" s="378"/>
    </row>
    <row r="53" spans="1:17" ht="14.4" customHeight="1" x14ac:dyDescent="0.3">
      <c r="A53" s="373" t="s">
        <v>794</v>
      </c>
      <c r="B53" s="374" t="s">
        <v>722</v>
      </c>
      <c r="C53" s="374" t="s">
        <v>719</v>
      </c>
      <c r="D53" s="374" t="s">
        <v>745</v>
      </c>
      <c r="E53" s="374" t="s">
        <v>746</v>
      </c>
      <c r="F53" s="377"/>
      <c r="G53" s="377"/>
      <c r="H53" s="377"/>
      <c r="I53" s="377"/>
      <c r="J53" s="377"/>
      <c r="K53" s="377"/>
      <c r="L53" s="377"/>
      <c r="M53" s="377"/>
      <c r="N53" s="377">
        <v>1</v>
      </c>
      <c r="O53" s="377">
        <v>3100</v>
      </c>
      <c r="P53" s="438"/>
      <c r="Q53" s="378">
        <v>3100</v>
      </c>
    </row>
    <row r="54" spans="1:17" ht="14.4" customHeight="1" x14ac:dyDescent="0.3">
      <c r="A54" s="373" t="s">
        <v>794</v>
      </c>
      <c r="B54" s="374" t="s">
        <v>722</v>
      </c>
      <c r="C54" s="374" t="s">
        <v>719</v>
      </c>
      <c r="D54" s="374" t="s">
        <v>747</v>
      </c>
      <c r="E54" s="374" t="s">
        <v>748</v>
      </c>
      <c r="F54" s="377">
        <v>11</v>
      </c>
      <c r="G54" s="377">
        <v>176</v>
      </c>
      <c r="H54" s="377">
        <v>1</v>
      </c>
      <c r="I54" s="377">
        <v>16</v>
      </c>
      <c r="J54" s="377">
        <v>24</v>
      </c>
      <c r="K54" s="377">
        <v>384</v>
      </c>
      <c r="L54" s="377">
        <v>2.1818181818181817</v>
      </c>
      <c r="M54" s="377">
        <v>16</v>
      </c>
      <c r="N54" s="377">
        <v>20</v>
      </c>
      <c r="O54" s="377">
        <v>320</v>
      </c>
      <c r="P54" s="438">
        <v>1.8181818181818181</v>
      </c>
      <c r="Q54" s="378">
        <v>16</v>
      </c>
    </row>
    <row r="55" spans="1:17" ht="14.4" customHeight="1" x14ac:dyDescent="0.3">
      <c r="A55" s="373" t="s">
        <v>794</v>
      </c>
      <c r="B55" s="374" t="s">
        <v>722</v>
      </c>
      <c r="C55" s="374" t="s">
        <v>719</v>
      </c>
      <c r="D55" s="374" t="s">
        <v>749</v>
      </c>
      <c r="E55" s="374" t="s">
        <v>734</v>
      </c>
      <c r="F55" s="377">
        <v>16</v>
      </c>
      <c r="G55" s="377">
        <v>10960</v>
      </c>
      <c r="H55" s="377">
        <v>1</v>
      </c>
      <c r="I55" s="377">
        <v>685</v>
      </c>
      <c r="J55" s="377">
        <v>33</v>
      </c>
      <c r="K55" s="377">
        <v>22704</v>
      </c>
      <c r="L55" s="377">
        <v>2.0715328467153284</v>
      </c>
      <c r="M55" s="377">
        <v>688</v>
      </c>
      <c r="N55" s="377">
        <v>36</v>
      </c>
      <c r="O55" s="377">
        <v>24864</v>
      </c>
      <c r="P55" s="438">
        <v>2.2686131386861312</v>
      </c>
      <c r="Q55" s="378">
        <v>690.66666666666663</v>
      </c>
    </row>
    <row r="56" spans="1:17" ht="14.4" customHeight="1" x14ac:dyDescent="0.3">
      <c r="A56" s="373" t="s">
        <v>794</v>
      </c>
      <c r="B56" s="374" t="s">
        <v>722</v>
      </c>
      <c r="C56" s="374" t="s">
        <v>719</v>
      </c>
      <c r="D56" s="374" t="s">
        <v>750</v>
      </c>
      <c r="E56" s="374" t="s">
        <v>736</v>
      </c>
      <c r="F56" s="377">
        <v>24</v>
      </c>
      <c r="G56" s="377">
        <v>32904</v>
      </c>
      <c r="H56" s="377">
        <v>1</v>
      </c>
      <c r="I56" s="377">
        <v>1371</v>
      </c>
      <c r="J56" s="377">
        <v>24</v>
      </c>
      <c r="K56" s="377">
        <v>33000</v>
      </c>
      <c r="L56" s="377">
        <v>1.0029175784099198</v>
      </c>
      <c r="M56" s="377">
        <v>1375</v>
      </c>
      <c r="N56" s="377">
        <v>77</v>
      </c>
      <c r="O56" s="377">
        <v>106171</v>
      </c>
      <c r="P56" s="438">
        <v>3.2266897641624119</v>
      </c>
      <c r="Q56" s="378">
        <v>1378.8441558441559</v>
      </c>
    </row>
    <row r="57" spans="1:17" ht="14.4" customHeight="1" x14ac:dyDescent="0.3">
      <c r="A57" s="373" t="s">
        <v>794</v>
      </c>
      <c r="B57" s="374" t="s">
        <v>722</v>
      </c>
      <c r="C57" s="374" t="s">
        <v>719</v>
      </c>
      <c r="D57" s="374" t="s">
        <v>751</v>
      </c>
      <c r="E57" s="374" t="s">
        <v>752</v>
      </c>
      <c r="F57" s="377">
        <v>10</v>
      </c>
      <c r="G57" s="377">
        <v>23100</v>
      </c>
      <c r="H57" s="377">
        <v>1</v>
      </c>
      <c r="I57" s="377">
        <v>2310</v>
      </c>
      <c r="J57" s="377">
        <v>13</v>
      </c>
      <c r="K57" s="377">
        <v>30147</v>
      </c>
      <c r="L57" s="377">
        <v>1.305064935064935</v>
      </c>
      <c r="M57" s="377">
        <v>2319</v>
      </c>
      <c r="N57" s="377">
        <v>27</v>
      </c>
      <c r="O57" s="377">
        <v>62838</v>
      </c>
      <c r="P57" s="438">
        <v>2.7202597402597402</v>
      </c>
      <c r="Q57" s="378">
        <v>2327.3333333333335</v>
      </c>
    </row>
    <row r="58" spans="1:17" ht="14.4" customHeight="1" x14ac:dyDescent="0.3">
      <c r="A58" s="373" t="s">
        <v>794</v>
      </c>
      <c r="B58" s="374" t="s">
        <v>722</v>
      </c>
      <c r="C58" s="374" t="s">
        <v>719</v>
      </c>
      <c r="D58" s="374" t="s">
        <v>753</v>
      </c>
      <c r="E58" s="374" t="s">
        <v>754</v>
      </c>
      <c r="F58" s="377">
        <v>16</v>
      </c>
      <c r="G58" s="377">
        <v>1040</v>
      </c>
      <c r="H58" s="377">
        <v>1</v>
      </c>
      <c r="I58" s="377">
        <v>65</v>
      </c>
      <c r="J58" s="377">
        <v>33</v>
      </c>
      <c r="K58" s="377">
        <v>2145</v>
      </c>
      <c r="L58" s="377">
        <v>2.0625</v>
      </c>
      <c r="M58" s="377">
        <v>65</v>
      </c>
      <c r="N58" s="377">
        <v>36</v>
      </c>
      <c r="O58" s="377">
        <v>2356</v>
      </c>
      <c r="P58" s="438">
        <v>2.2653846153846153</v>
      </c>
      <c r="Q58" s="378">
        <v>65.444444444444443</v>
      </c>
    </row>
    <row r="59" spans="1:17" ht="14.4" customHeight="1" x14ac:dyDescent="0.3">
      <c r="A59" s="373" t="s">
        <v>794</v>
      </c>
      <c r="B59" s="374" t="s">
        <v>722</v>
      </c>
      <c r="C59" s="374" t="s">
        <v>719</v>
      </c>
      <c r="D59" s="374" t="s">
        <v>755</v>
      </c>
      <c r="E59" s="374" t="s">
        <v>756</v>
      </c>
      <c r="F59" s="377">
        <v>2</v>
      </c>
      <c r="G59" s="377">
        <v>788</v>
      </c>
      <c r="H59" s="377">
        <v>1</v>
      </c>
      <c r="I59" s="377">
        <v>394</v>
      </c>
      <c r="J59" s="377">
        <v>3</v>
      </c>
      <c r="K59" s="377">
        <v>1188</v>
      </c>
      <c r="L59" s="377">
        <v>1.5076142131979695</v>
      </c>
      <c r="M59" s="377">
        <v>396</v>
      </c>
      <c r="N59" s="377"/>
      <c r="O59" s="377"/>
      <c r="P59" s="438"/>
      <c r="Q59" s="378"/>
    </row>
    <row r="60" spans="1:17" ht="14.4" customHeight="1" x14ac:dyDescent="0.3">
      <c r="A60" s="373" t="s">
        <v>794</v>
      </c>
      <c r="B60" s="374" t="s">
        <v>722</v>
      </c>
      <c r="C60" s="374" t="s">
        <v>719</v>
      </c>
      <c r="D60" s="374" t="s">
        <v>759</v>
      </c>
      <c r="E60" s="374" t="s">
        <v>760</v>
      </c>
      <c r="F60" s="377">
        <v>44</v>
      </c>
      <c r="G60" s="377">
        <v>24156</v>
      </c>
      <c r="H60" s="377">
        <v>1</v>
      </c>
      <c r="I60" s="377">
        <v>549</v>
      </c>
      <c r="J60" s="377">
        <v>37</v>
      </c>
      <c r="K60" s="377">
        <v>20350</v>
      </c>
      <c r="L60" s="377">
        <v>0.84244080145719491</v>
      </c>
      <c r="M60" s="377">
        <v>550</v>
      </c>
      <c r="N60" s="377">
        <v>80</v>
      </c>
      <c r="O60" s="377">
        <v>44040</v>
      </c>
      <c r="P60" s="438">
        <v>1.8231495280675609</v>
      </c>
      <c r="Q60" s="378">
        <v>550.5</v>
      </c>
    </row>
    <row r="61" spans="1:17" ht="14.4" customHeight="1" x14ac:dyDescent="0.3">
      <c r="A61" s="373" t="s">
        <v>794</v>
      </c>
      <c r="B61" s="374" t="s">
        <v>722</v>
      </c>
      <c r="C61" s="374" t="s">
        <v>719</v>
      </c>
      <c r="D61" s="374" t="s">
        <v>761</v>
      </c>
      <c r="E61" s="374" t="s">
        <v>762</v>
      </c>
      <c r="F61" s="377"/>
      <c r="G61" s="377"/>
      <c r="H61" s="377"/>
      <c r="I61" s="377"/>
      <c r="J61" s="377"/>
      <c r="K61" s="377"/>
      <c r="L61" s="377"/>
      <c r="M61" s="377"/>
      <c r="N61" s="377">
        <v>1</v>
      </c>
      <c r="O61" s="377">
        <v>1244</v>
      </c>
      <c r="P61" s="438"/>
      <c r="Q61" s="378">
        <v>1244</v>
      </c>
    </row>
    <row r="62" spans="1:17" ht="14.4" customHeight="1" x14ac:dyDescent="0.3">
      <c r="A62" s="373" t="s">
        <v>794</v>
      </c>
      <c r="B62" s="374" t="s">
        <v>722</v>
      </c>
      <c r="C62" s="374" t="s">
        <v>719</v>
      </c>
      <c r="D62" s="374" t="s">
        <v>765</v>
      </c>
      <c r="E62" s="374" t="s">
        <v>766</v>
      </c>
      <c r="F62" s="377"/>
      <c r="G62" s="377"/>
      <c r="H62" s="377"/>
      <c r="I62" s="377"/>
      <c r="J62" s="377">
        <v>1</v>
      </c>
      <c r="K62" s="377">
        <v>122</v>
      </c>
      <c r="L62" s="377"/>
      <c r="M62" s="377">
        <v>122</v>
      </c>
      <c r="N62" s="377"/>
      <c r="O62" s="377"/>
      <c r="P62" s="438"/>
      <c r="Q62" s="378"/>
    </row>
    <row r="63" spans="1:17" ht="14.4" customHeight="1" x14ac:dyDescent="0.3">
      <c r="A63" s="373" t="s">
        <v>794</v>
      </c>
      <c r="B63" s="374" t="s">
        <v>722</v>
      </c>
      <c r="C63" s="374" t="s">
        <v>719</v>
      </c>
      <c r="D63" s="374" t="s">
        <v>771</v>
      </c>
      <c r="E63" s="374" t="s">
        <v>730</v>
      </c>
      <c r="F63" s="377"/>
      <c r="G63" s="377"/>
      <c r="H63" s="377"/>
      <c r="I63" s="377"/>
      <c r="J63" s="377"/>
      <c r="K63" s="377"/>
      <c r="L63" s="377"/>
      <c r="M63" s="377"/>
      <c r="N63" s="377">
        <v>1</v>
      </c>
      <c r="O63" s="377">
        <v>915</v>
      </c>
      <c r="P63" s="438"/>
      <c r="Q63" s="378">
        <v>915</v>
      </c>
    </row>
    <row r="64" spans="1:17" ht="14.4" customHeight="1" x14ac:dyDescent="0.3">
      <c r="A64" s="373" t="s">
        <v>794</v>
      </c>
      <c r="B64" s="374" t="s">
        <v>722</v>
      </c>
      <c r="C64" s="374" t="s">
        <v>719</v>
      </c>
      <c r="D64" s="374" t="s">
        <v>772</v>
      </c>
      <c r="E64" s="374" t="s">
        <v>773</v>
      </c>
      <c r="F64" s="377"/>
      <c r="G64" s="377"/>
      <c r="H64" s="377"/>
      <c r="I64" s="377"/>
      <c r="J64" s="377"/>
      <c r="K64" s="377"/>
      <c r="L64" s="377"/>
      <c r="M64" s="377"/>
      <c r="N64" s="377">
        <v>7</v>
      </c>
      <c r="O64" s="377">
        <v>11273</v>
      </c>
      <c r="P64" s="438"/>
      <c r="Q64" s="378">
        <v>1610.4285714285713</v>
      </c>
    </row>
    <row r="65" spans="1:17" ht="14.4" customHeight="1" x14ac:dyDescent="0.3">
      <c r="A65" s="373" t="s">
        <v>794</v>
      </c>
      <c r="B65" s="374" t="s">
        <v>722</v>
      </c>
      <c r="C65" s="374" t="s">
        <v>719</v>
      </c>
      <c r="D65" s="374" t="s">
        <v>774</v>
      </c>
      <c r="E65" s="374" t="s">
        <v>766</v>
      </c>
      <c r="F65" s="377"/>
      <c r="G65" s="377"/>
      <c r="H65" s="377"/>
      <c r="I65" s="377"/>
      <c r="J65" s="377">
        <v>2</v>
      </c>
      <c r="K65" s="377">
        <v>452</v>
      </c>
      <c r="L65" s="377"/>
      <c r="M65" s="377">
        <v>226</v>
      </c>
      <c r="N65" s="377"/>
      <c r="O65" s="377"/>
      <c r="P65" s="438"/>
      <c r="Q65" s="378"/>
    </row>
    <row r="66" spans="1:17" ht="14.4" customHeight="1" x14ac:dyDescent="0.3">
      <c r="A66" s="373" t="s">
        <v>795</v>
      </c>
      <c r="B66" s="374" t="s">
        <v>718</v>
      </c>
      <c r="C66" s="374" t="s">
        <v>719</v>
      </c>
      <c r="D66" s="374" t="s">
        <v>720</v>
      </c>
      <c r="E66" s="374" t="s">
        <v>721</v>
      </c>
      <c r="F66" s="377"/>
      <c r="G66" s="377"/>
      <c r="H66" s="377"/>
      <c r="I66" s="377"/>
      <c r="J66" s="377">
        <v>2</v>
      </c>
      <c r="K66" s="377">
        <v>21190</v>
      </c>
      <c r="L66" s="377"/>
      <c r="M66" s="377">
        <v>10595</v>
      </c>
      <c r="N66" s="377"/>
      <c r="O66" s="377"/>
      <c r="P66" s="438"/>
      <c r="Q66" s="378"/>
    </row>
    <row r="67" spans="1:17" ht="14.4" customHeight="1" x14ac:dyDescent="0.3">
      <c r="A67" s="373" t="s">
        <v>795</v>
      </c>
      <c r="B67" s="374" t="s">
        <v>722</v>
      </c>
      <c r="C67" s="374" t="s">
        <v>719</v>
      </c>
      <c r="D67" s="374" t="s">
        <v>727</v>
      </c>
      <c r="E67" s="374" t="s">
        <v>728</v>
      </c>
      <c r="F67" s="377"/>
      <c r="G67" s="377"/>
      <c r="H67" s="377"/>
      <c r="I67" s="377"/>
      <c r="J67" s="377">
        <v>2</v>
      </c>
      <c r="K67" s="377">
        <v>4426</v>
      </c>
      <c r="L67" s="377"/>
      <c r="M67" s="377">
        <v>2213</v>
      </c>
      <c r="N67" s="377">
        <v>2</v>
      </c>
      <c r="O67" s="377">
        <v>4426</v>
      </c>
      <c r="P67" s="438"/>
      <c r="Q67" s="378">
        <v>2213</v>
      </c>
    </row>
    <row r="68" spans="1:17" ht="14.4" customHeight="1" x14ac:dyDescent="0.3">
      <c r="A68" s="373" t="s">
        <v>795</v>
      </c>
      <c r="B68" s="374" t="s">
        <v>722</v>
      </c>
      <c r="C68" s="374" t="s">
        <v>719</v>
      </c>
      <c r="D68" s="374" t="s">
        <v>731</v>
      </c>
      <c r="E68" s="374" t="s">
        <v>732</v>
      </c>
      <c r="F68" s="377">
        <v>1</v>
      </c>
      <c r="G68" s="377">
        <v>3689</v>
      </c>
      <c r="H68" s="377">
        <v>1</v>
      </c>
      <c r="I68" s="377">
        <v>3689</v>
      </c>
      <c r="J68" s="377">
        <v>1</v>
      </c>
      <c r="K68" s="377">
        <v>3698</v>
      </c>
      <c r="L68" s="377">
        <v>1.00243968555164</v>
      </c>
      <c r="M68" s="377">
        <v>3698</v>
      </c>
      <c r="N68" s="377">
        <v>2</v>
      </c>
      <c r="O68" s="377">
        <v>7396</v>
      </c>
      <c r="P68" s="438">
        <v>2.00487937110328</v>
      </c>
      <c r="Q68" s="378">
        <v>3698</v>
      </c>
    </row>
    <row r="69" spans="1:17" ht="14.4" customHeight="1" x14ac:dyDescent="0.3">
      <c r="A69" s="373" t="s">
        <v>795</v>
      </c>
      <c r="B69" s="374" t="s">
        <v>722</v>
      </c>
      <c r="C69" s="374" t="s">
        <v>719</v>
      </c>
      <c r="D69" s="374" t="s">
        <v>733</v>
      </c>
      <c r="E69" s="374" t="s">
        <v>734</v>
      </c>
      <c r="F69" s="377">
        <v>1</v>
      </c>
      <c r="G69" s="377">
        <v>437</v>
      </c>
      <c r="H69" s="377">
        <v>1</v>
      </c>
      <c r="I69" s="377">
        <v>437</v>
      </c>
      <c r="J69" s="377"/>
      <c r="K69" s="377"/>
      <c r="L69" s="377"/>
      <c r="M69" s="377"/>
      <c r="N69" s="377"/>
      <c r="O69" s="377"/>
      <c r="P69" s="438"/>
      <c r="Q69" s="378"/>
    </row>
    <row r="70" spans="1:17" ht="14.4" customHeight="1" x14ac:dyDescent="0.3">
      <c r="A70" s="373" t="s">
        <v>795</v>
      </c>
      <c r="B70" s="374" t="s">
        <v>722</v>
      </c>
      <c r="C70" s="374" t="s">
        <v>719</v>
      </c>
      <c r="D70" s="374" t="s">
        <v>735</v>
      </c>
      <c r="E70" s="374" t="s">
        <v>736</v>
      </c>
      <c r="F70" s="377">
        <v>1</v>
      </c>
      <c r="G70" s="377">
        <v>831</v>
      </c>
      <c r="H70" s="377">
        <v>1</v>
      </c>
      <c r="I70" s="377">
        <v>831</v>
      </c>
      <c r="J70" s="377"/>
      <c r="K70" s="377"/>
      <c r="L70" s="377"/>
      <c r="M70" s="377"/>
      <c r="N70" s="377"/>
      <c r="O70" s="377"/>
      <c r="P70" s="438"/>
      <c r="Q70" s="378"/>
    </row>
    <row r="71" spans="1:17" ht="14.4" customHeight="1" x14ac:dyDescent="0.3">
      <c r="A71" s="373" t="s">
        <v>795</v>
      </c>
      <c r="B71" s="374" t="s">
        <v>722</v>
      </c>
      <c r="C71" s="374" t="s">
        <v>719</v>
      </c>
      <c r="D71" s="374" t="s">
        <v>743</v>
      </c>
      <c r="E71" s="374" t="s">
        <v>744</v>
      </c>
      <c r="F71" s="377">
        <v>1</v>
      </c>
      <c r="G71" s="377">
        <v>1441</v>
      </c>
      <c r="H71" s="377">
        <v>1</v>
      </c>
      <c r="I71" s="377">
        <v>1441</v>
      </c>
      <c r="J71" s="377"/>
      <c r="K71" s="377"/>
      <c r="L71" s="377"/>
      <c r="M71" s="377"/>
      <c r="N71" s="377">
        <v>2</v>
      </c>
      <c r="O71" s="377">
        <v>2894</v>
      </c>
      <c r="P71" s="438">
        <v>2.0083275503122833</v>
      </c>
      <c r="Q71" s="378">
        <v>1447</v>
      </c>
    </row>
    <row r="72" spans="1:17" ht="14.4" customHeight="1" x14ac:dyDescent="0.3">
      <c r="A72" s="373" t="s">
        <v>795</v>
      </c>
      <c r="B72" s="374" t="s">
        <v>722</v>
      </c>
      <c r="C72" s="374" t="s">
        <v>719</v>
      </c>
      <c r="D72" s="374" t="s">
        <v>747</v>
      </c>
      <c r="E72" s="374" t="s">
        <v>748</v>
      </c>
      <c r="F72" s="377">
        <v>4</v>
      </c>
      <c r="G72" s="377">
        <v>64</v>
      </c>
      <c r="H72" s="377">
        <v>1</v>
      </c>
      <c r="I72" s="377">
        <v>16</v>
      </c>
      <c r="J72" s="377">
        <v>4</v>
      </c>
      <c r="K72" s="377">
        <v>64</v>
      </c>
      <c r="L72" s="377">
        <v>1</v>
      </c>
      <c r="M72" s="377">
        <v>16</v>
      </c>
      <c r="N72" s="377">
        <v>5</v>
      </c>
      <c r="O72" s="377">
        <v>80</v>
      </c>
      <c r="P72" s="438">
        <v>1.25</v>
      </c>
      <c r="Q72" s="378">
        <v>16</v>
      </c>
    </row>
    <row r="73" spans="1:17" ht="14.4" customHeight="1" x14ac:dyDescent="0.3">
      <c r="A73" s="373" t="s">
        <v>795</v>
      </c>
      <c r="B73" s="374" t="s">
        <v>722</v>
      </c>
      <c r="C73" s="374" t="s">
        <v>719</v>
      </c>
      <c r="D73" s="374" t="s">
        <v>749</v>
      </c>
      <c r="E73" s="374" t="s">
        <v>734</v>
      </c>
      <c r="F73" s="377">
        <v>6</v>
      </c>
      <c r="G73" s="377">
        <v>4110</v>
      </c>
      <c r="H73" s="377">
        <v>1</v>
      </c>
      <c r="I73" s="377">
        <v>685</v>
      </c>
      <c r="J73" s="377">
        <v>8</v>
      </c>
      <c r="K73" s="377">
        <v>5504</v>
      </c>
      <c r="L73" s="377">
        <v>1.3391727493917276</v>
      </c>
      <c r="M73" s="377">
        <v>688</v>
      </c>
      <c r="N73" s="377">
        <v>10</v>
      </c>
      <c r="O73" s="377">
        <v>6904</v>
      </c>
      <c r="P73" s="438">
        <v>1.6798053527980534</v>
      </c>
      <c r="Q73" s="378">
        <v>690.4</v>
      </c>
    </row>
    <row r="74" spans="1:17" ht="14.4" customHeight="1" x14ac:dyDescent="0.3">
      <c r="A74" s="373" t="s">
        <v>795</v>
      </c>
      <c r="B74" s="374" t="s">
        <v>722</v>
      </c>
      <c r="C74" s="374" t="s">
        <v>719</v>
      </c>
      <c r="D74" s="374" t="s">
        <v>750</v>
      </c>
      <c r="E74" s="374" t="s">
        <v>736</v>
      </c>
      <c r="F74" s="377"/>
      <c r="G74" s="377"/>
      <c r="H74" s="377"/>
      <c r="I74" s="377"/>
      <c r="J74" s="377">
        <v>3</v>
      </c>
      <c r="K74" s="377">
        <v>4125</v>
      </c>
      <c r="L74" s="377"/>
      <c r="M74" s="377">
        <v>1375</v>
      </c>
      <c r="N74" s="377">
        <v>3</v>
      </c>
      <c r="O74" s="377">
        <v>4125</v>
      </c>
      <c r="P74" s="438"/>
      <c r="Q74" s="378">
        <v>1375</v>
      </c>
    </row>
    <row r="75" spans="1:17" ht="14.4" customHeight="1" x14ac:dyDescent="0.3">
      <c r="A75" s="373" t="s">
        <v>795</v>
      </c>
      <c r="B75" s="374" t="s">
        <v>722</v>
      </c>
      <c r="C75" s="374" t="s">
        <v>719</v>
      </c>
      <c r="D75" s="374" t="s">
        <v>751</v>
      </c>
      <c r="E75" s="374" t="s">
        <v>752</v>
      </c>
      <c r="F75" s="377"/>
      <c r="G75" s="377"/>
      <c r="H75" s="377"/>
      <c r="I75" s="377"/>
      <c r="J75" s="377">
        <v>1</v>
      </c>
      <c r="K75" s="377">
        <v>2319</v>
      </c>
      <c r="L75" s="377"/>
      <c r="M75" s="377">
        <v>2319</v>
      </c>
      <c r="N75" s="377">
        <v>2</v>
      </c>
      <c r="O75" s="377">
        <v>4638</v>
      </c>
      <c r="P75" s="438"/>
      <c r="Q75" s="378">
        <v>2319</v>
      </c>
    </row>
    <row r="76" spans="1:17" ht="14.4" customHeight="1" x14ac:dyDescent="0.3">
      <c r="A76" s="373" t="s">
        <v>795</v>
      </c>
      <c r="B76" s="374" t="s">
        <v>722</v>
      </c>
      <c r="C76" s="374" t="s">
        <v>719</v>
      </c>
      <c r="D76" s="374" t="s">
        <v>753</v>
      </c>
      <c r="E76" s="374" t="s">
        <v>754</v>
      </c>
      <c r="F76" s="377">
        <v>7</v>
      </c>
      <c r="G76" s="377">
        <v>455</v>
      </c>
      <c r="H76" s="377">
        <v>1</v>
      </c>
      <c r="I76" s="377">
        <v>65</v>
      </c>
      <c r="J76" s="377">
        <v>8</v>
      </c>
      <c r="K76" s="377">
        <v>520</v>
      </c>
      <c r="L76" s="377">
        <v>1.1428571428571428</v>
      </c>
      <c r="M76" s="377">
        <v>65</v>
      </c>
      <c r="N76" s="377">
        <v>10</v>
      </c>
      <c r="O76" s="377">
        <v>654</v>
      </c>
      <c r="P76" s="438">
        <v>1.4373626373626374</v>
      </c>
      <c r="Q76" s="378">
        <v>65.400000000000006</v>
      </c>
    </row>
    <row r="77" spans="1:17" ht="14.4" customHeight="1" x14ac:dyDescent="0.3">
      <c r="A77" s="373" t="s">
        <v>795</v>
      </c>
      <c r="B77" s="374" t="s">
        <v>722</v>
      </c>
      <c r="C77" s="374" t="s">
        <v>719</v>
      </c>
      <c r="D77" s="374" t="s">
        <v>755</v>
      </c>
      <c r="E77" s="374" t="s">
        <v>756</v>
      </c>
      <c r="F77" s="377">
        <v>1</v>
      </c>
      <c r="G77" s="377">
        <v>394</v>
      </c>
      <c r="H77" s="377">
        <v>1</v>
      </c>
      <c r="I77" s="377">
        <v>394</v>
      </c>
      <c r="J77" s="377"/>
      <c r="K77" s="377"/>
      <c r="L77" s="377"/>
      <c r="M77" s="377"/>
      <c r="N77" s="377">
        <v>2</v>
      </c>
      <c r="O77" s="377">
        <v>792</v>
      </c>
      <c r="P77" s="438">
        <v>2.0101522842639592</v>
      </c>
      <c r="Q77" s="378">
        <v>396</v>
      </c>
    </row>
    <row r="78" spans="1:17" ht="14.4" customHeight="1" x14ac:dyDescent="0.3">
      <c r="A78" s="373" t="s">
        <v>795</v>
      </c>
      <c r="B78" s="374" t="s">
        <v>722</v>
      </c>
      <c r="C78" s="374" t="s">
        <v>719</v>
      </c>
      <c r="D78" s="374" t="s">
        <v>757</v>
      </c>
      <c r="E78" s="374" t="s">
        <v>758</v>
      </c>
      <c r="F78" s="377">
        <v>1</v>
      </c>
      <c r="G78" s="377">
        <v>1597</v>
      </c>
      <c r="H78" s="377">
        <v>1</v>
      </c>
      <c r="I78" s="377">
        <v>1597</v>
      </c>
      <c r="J78" s="377"/>
      <c r="K78" s="377"/>
      <c r="L78" s="377"/>
      <c r="M78" s="377"/>
      <c r="N78" s="377"/>
      <c r="O78" s="377"/>
      <c r="P78" s="438"/>
      <c r="Q78" s="378"/>
    </row>
    <row r="79" spans="1:17" ht="14.4" customHeight="1" x14ac:dyDescent="0.3">
      <c r="A79" s="373" t="s">
        <v>795</v>
      </c>
      <c r="B79" s="374" t="s">
        <v>722</v>
      </c>
      <c r="C79" s="374" t="s">
        <v>719</v>
      </c>
      <c r="D79" s="374" t="s">
        <v>759</v>
      </c>
      <c r="E79" s="374" t="s">
        <v>760</v>
      </c>
      <c r="F79" s="377">
        <v>10</v>
      </c>
      <c r="G79" s="377">
        <v>5490</v>
      </c>
      <c r="H79" s="377">
        <v>1</v>
      </c>
      <c r="I79" s="377">
        <v>549</v>
      </c>
      <c r="J79" s="377">
        <v>20</v>
      </c>
      <c r="K79" s="377">
        <v>11000</v>
      </c>
      <c r="L79" s="377">
        <v>2.0036429872495445</v>
      </c>
      <c r="M79" s="377">
        <v>550</v>
      </c>
      <c r="N79" s="377">
        <v>15</v>
      </c>
      <c r="O79" s="377">
        <v>8250</v>
      </c>
      <c r="P79" s="438">
        <v>1.5027322404371584</v>
      </c>
      <c r="Q79" s="378">
        <v>550</v>
      </c>
    </row>
    <row r="80" spans="1:17" ht="14.4" customHeight="1" x14ac:dyDescent="0.3">
      <c r="A80" s="373" t="s">
        <v>795</v>
      </c>
      <c r="B80" s="374" t="s">
        <v>722</v>
      </c>
      <c r="C80" s="374" t="s">
        <v>719</v>
      </c>
      <c r="D80" s="374" t="s">
        <v>767</v>
      </c>
      <c r="E80" s="374" t="s">
        <v>768</v>
      </c>
      <c r="F80" s="377">
        <v>10</v>
      </c>
      <c r="G80" s="377">
        <v>4250</v>
      </c>
      <c r="H80" s="377">
        <v>1</v>
      </c>
      <c r="I80" s="377">
        <v>425</v>
      </c>
      <c r="J80" s="377"/>
      <c r="K80" s="377"/>
      <c r="L80" s="377"/>
      <c r="M80" s="377"/>
      <c r="N80" s="377"/>
      <c r="O80" s="377"/>
      <c r="P80" s="438"/>
      <c r="Q80" s="378"/>
    </row>
    <row r="81" spans="1:17" ht="14.4" customHeight="1" x14ac:dyDescent="0.3">
      <c r="A81" s="373" t="s">
        <v>795</v>
      </c>
      <c r="B81" s="374" t="s">
        <v>722</v>
      </c>
      <c r="C81" s="374" t="s">
        <v>719</v>
      </c>
      <c r="D81" s="374" t="s">
        <v>769</v>
      </c>
      <c r="E81" s="374" t="s">
        <v>770</v>
      </c>
      <c r="F81" s="377">
        <v>1</v>
      </c>
      <c r="G81" s="377">
        <v>1200</v>
      </c>
      <c r="H81" s="377">
        <v>1</v>
      </c>
      <c r="I81" s="377">
        <v>1200</v>
      </c>
      <c r="J81" s="377"/>
      <c r="K81" s="377"/>
      <c r="L81" s="377"/>
      <c r="M81" s="377"/>
      <c r="N81" s="377"/>
      <c r="O81" s="377"/>
      <c r="P81" s="438"/>
      <c r="Q81" s="378"/>
    </row>
    <row r="82" spans="1:17" ht="14.4" customHeight="1" x14ac:dyDescent="0.3">
      <c r="A82" s="373" t="s">
        <v>795</v>
      </c>
      <c r="B82" s="374" t="s">
        <v>722</v>
      </c>
      <c r="C82" s="374" t="s">
        <v>719</v>
      </c>
      <c r="D82" s="374" t="s">
        <v>771</v>
      </c>
      <c r="E82" s="374" t="s">
        <v>730</v>
      </c>
      <c r="F82" s="377">
        <v>1</v>
      </c>
      <c r="G82" s="377">
        <v>912</v>
      </c>
      <c r="H82" s="377">
        <v>1</v>
      </c>
      <c r="I82" s="377">
        <v>912</v>
      </c>
      <c r="J82" s="377"/>
      <c r="K82" s="377"/>
      <c r="L82" s="377"/>
      <c r="M82" s="377"/>
      <c r="N82" s="377"/>
      <c r="O82" s="377"/>
      <c r="P82" s="438"/>
      <c r="Q82" s="378"/>
    </row>
    <row r="83" spans="1:17" ht="14.4" customHeight="1" x14ac:dyDescent="0.3">
      <c r="A83" s="373" t="s">
        <v>796</v>
      </c>
      <c r="B83" s="374" t="s">
        <v>718</v>
      </c>
      <c r="C83" s="374" t="s">
        <v>719</v>
      </c>
      <c r="D83" s="374" t="s">
        <v>720</v>
      </c>
      <c r="E83" s="374" t="s">
        <v>721</v>
      </c>
      <c r="F83" s="377">
        <v>5</v>
      </c>
      <c r="G83" s="377">
        <v>52725</v>
      </c>
      <c r="H83" s="377">
        <v>1</v>
      </c>
      <c r="I83" s="377">
        <v>10545</v>
      </c>
      <c r="J83" s="377">
        <v>3</v>
      </c>
      <c r="K83" s="377">
        <v>31785</v>
      </c>
      <c r="L83" s="377">
        <v>0.60284495021337126</v>
      </c>
      <c r="M83" s="377">
        <v>10595</v>
      </c>
      <c r="N83" s="377">
        <v>3</v>
      </c>
      <c r="O83" s="377">
        <v>32055</v>
      </c>
      <c r="P83" s="438">
        <v>0.60796586059743951</v>
      </c>
      <c r="Q83" s="378">
        <v>10685</v>
      </c>
    </row>
    <row r="84" spans="1:17" ht="14.4" customHeight="1" x14ac:dyDescent="0.3">
      <c r="A84" s="373" t="s">
        <v>796</v>
      </c>
      <c r="B84" s="374" t="s">
        <v>722</v>
      </c>
      <c r="C84" s="374" t="s">
        <v>719</v>
      </c>
      <c r="D84" s="374" t="s">
        <v>723</v>
      </c>
      <c r="E84" s="374" t="s">
        <v>724</v>
      </c>
      <c r="F84" s="377"/>
      <c r="G84" s="377"/>
      <c r="H84" s="377"/>
      <c r="I84" s="377"/>
      <c r="J84" s="377">
        <v>4</v>
      </c>
      <c r="K84" s="377">
        <v>504</v>
      </c>
      <c r="L84" s="377"/>
      <c r="M84" s="377">
        <v>126</v>
      </c>
      <c r="N84" s="377">
        <v>4</v>
      </c>
      <c r="O84" s="377">
        <v>504</v>
      </c>
      <c r="P84" s="438"/>
      <c r="Q84" s="378">
        <v>126</v>
      </c>
    </row>
    <row r="85" spans="1:17" ht="14.4" customHeight="1" x14ac:dyDescent="0.3">
      <c r="A85" s="373" t="s">
        <v>796</v>
      </c>
      <c r="B85" s="374" t="s">
        <v>722</v>
      </c>
      <c r="C85" s="374" t="s">
        <v>719</v>
      </c>
      <c r="D85" s="374" t="s">
        <v>725</v>
      </c>
      <c r="E85" s="374" t="s">
        <v>726</v>
      </c>
      <c r="F85" s="377">
        <v>2</v>
      </c>
      <c r="G85" s="377">
        <v>2434</v>
      </c>
      <c r="H85" s="377">
        <v>1</v>
      </c>
      <c r="I85" s="377">
        <v>1217</v>
      </c>
      <c r="J85" s="377">
        <v>3</v>
      </c>
      <c r="K85" s="377">
        <v>3660</v>
      </c>
      <c r="L85" s="377">
        <v>1.503697617091208</v>
      </c>
      <c r="M85" s="377">
        <v>1220</v>
      </c>
      <c r="N85" s="377">
        <v>10</v>
      </c>
      <c r="O85" s="377">
        <v>12200</v>
      </c>
      <c r="P85" s="438">
        <v>5.0123253903040261</v>
      </c>
      <c r="Q85" s="378">
        <v>1220</v>
      </c>
    </row>
    <row r="86" spans="1:17" ht="14.4" customHeight="1" x14ac:dyDescent="0.3">
      <c r="A86" s="373" t="s">
        <v>796</v>
      </c>
      <c r="B86" s="374" t="s">
        <v>722</v>
      </c>
      <c r="C86" s="374" t="s">
        <v>719</v>
      </c>
      <c r="D86" s="374" t="s">
        <v>727</v>
      </c>
      <c r="E86" s="374" t="s">
        <v>728</v>
      </c>
      <c r="F86" s="377"/>
      <c r="G86" s="377"/>
      <c r="H86" s="377"/>
      <c r="I86" s="377"/>
      <c r="J86" s="377">
        <v>5</v>
      </c>
      <c r="K86" s="377">
        <v>11065</v>
      </c>
      <c r="L86" s="377"/>
      <c r="M86" s="377">
        <v>2213</v>
      </c>
      <c r="N86" s="377">
        <v>11</v>
      </c>
      <c r="O86" s="377">
        <v>24343</v>
      </c>
      <c r="P86" s="438"/>
      <c r="Q86" s="378">
        <v>2213</v>
      </c>
    </row>
    <row r="87" spans="1:17" ht="14.4" customHeight="1" x14ac:dyDescent="0.3">
      <c r="A87" s="373" t="s">
        <v>796</v>
      </c>
      <c r="B87" s="374" t="s">
        <v>722</v>
      </c>
      <c r="C87" s="374" t="s">
        <v>719</v>
      </c>
      <c r="D87" s="374" t="s">
        <v>729</v>
      </c>
      <c r="E87" s="374" t="s">
        <v>730</v>
      </c>
      <c r="F87" s="377">
        <v>2</v>
      </c>
      <c r="G87" s="377">
        <v>2064</v>
      </c>
      <c r="H87" s="377">
        <v>1</v>
      </c>
      <c r="I87" s="377">
        <v>1032</v>
      </c>
      <c r="J87" s="377">
        <v>3</v>
      </c>
      <c r="K87" s="377">
        <v>3105</v>
      </c>
      <c r="L87" s="377">
        <v>1.504360465116279</v>
      </c>
      <c r="M87" s="377">
        <v>1035</v>
      </c>
      <c r="N87" s="377"/>
      <c r="O87" s="377"/>
      <c r="P87" s="438"/>
      <c r="Q87" s="378"/>
    </row>
    <row r="88" spans="1:17" ht="14.4" customHeight="1" x14ac:dyDescent="0.3">
      <c r="A88" s="373" t="s">
        <v>796</v>
      </c>
      <c r="B88" s="374" t="s">
        <v>722</v>
      </c>
      <c r="C88" s="374" t="s">
        <v>719</v>
      </c>
      <c r="D88" s="374" t="s">
        <v>731</v>
      </c>
      <c r="E88" s="374" t="s">
        <v>732</v>
      </c>
      <c r="F88" s="377">
        <v>10</v>
      </c>
      <c r="G88" s="377">
        <v>36890</v>
      </c>
      <c r="H88" s="377">
        <v>1</v>
      </c>
      <c r="I88" s="377">
        <v>3689</v>
      </c>
      <c r="J88" s="377">
        <v>13</v>
      </c>
      <c r="K88" s="377">
        <v>48074</v>
      </c>
      <c r="L88" s="377">
        <v>1.303171591217132</v>
      </c>
      <c r="M88" s="377">
        <v>3698</v>
      </c>
      <c r="N88" s="377">
        <v>19</v>
      </c>
      <c r="O88" s="377">
        <v>70390</v>
      </c>
      <c r="P88" s="438">
        <v>1.908105177554893</v>
      </c>
      <c r="Q88" s="378">
        <v>3704.7368421052633</v>
      </c>
    </row>
    <row r="89" spans="1:17" ht="14.4" customHeight="1" x14ac:dyDescent="0.3">
      <c r="A89" s="373" t="s">
        <v>796</v>
      </c>
      <c r="B89" s="374" t="s">
        <v>722</v>
      </c>
      <c r="C89" s="374" t="s">
        <v>719</v>
      </c>
      <c r="D89" s="374" t="s">
        <v>733</v>
      </c>
      <c r="E89" s="374" t="s">
        <v>734</v>
      </c>
      <c r="F89" s="377"/>
      <c r="G89" s="377"/>
      <c r="H89" s="377"/>
      <c r="I89" s="377"/>
      <c r="J89" s="377"/>
      <c r="K89" s="377"/>
      <c r="L89" s="377"/>
      <c r="M89" s="377"/>
      <c r="N89" s="377">
        <v>1</v>
      </c>
      <c r="O89" s="377">
        <v>438</v>
      </c>
      <c r="P89" s="438"/>
      <c r="Q89" s="378">
        <v>438</v>
      </c>
    </row>
    <row r="90" spans="1:17" ht="14.4" customHeight="1" x14ac:dyDescent="0.3">
      <c r="A90" s="373" t="s">
        <v>796</v>
      </c>
      <c r="B90" s="374" t="s">
        <v>722</v>
      </c>
      <c r="C90" s="374" t="s">
        <v>719</v>
      </c>
      <c r="D90" s="374" t="s">
        <v>735</v>
      </c>
      <c r="E90" s="374" t="s">
        <v>736</v>
      </c>
      <c r="F90" s="377"/>
      <c r="G90" s="377"/>
      <c r="H90" s="377"/>
      <c r="I90" s="377"/>
      <c r="J90" s="377">
        <v>1</v>
      </c>
      <c r="K90" s="377">
        <v>832</v>
      </c>
      <c r="L90" s="377"/>
      <c r="M90" s="377">
        <v>832</v>
      </c>
      <c r="N90" s="377"/>
      <c r="O90" s="377"/>
      <c r="P90" s="438"/>
      <c r="Q90" s="378"/>
    </row>
    <row r="91" spans="1:17" ht="14.4" customHeight="1" x14ac:dyDescent="0.3">
      <c r="A91" s="373" t="s">
        <v>796</v>
      </c>
      <c r="B91" s="374" t="s">
        <v>722</v>
      </c>
      <c r="C91" s="374" t="s">
        <v>719</v>
      </c>
      <c r="D91" s="374" t="s">
        <v>737</v>
      </c>
      <c r="E91" s="374" t="s">
        <v>738</v>
      </c>
      <c r="F91" s="377"/>
      <c r="G91" s="377"/>
      <c r="H91" s="377"/>
      <c r="I91" s="377"/>
      <c r="J91" s="377"/>
      <c r="K91" s="377"/>
      <c r="L91" s="377"/>
      <c r="M91" s="377"/>
      <c r="N91" s="377">
        <v>9</v>
      </c>
      <c r="O91" s="377">
        <v>14559</v>
      </c>
      <c r="P91" s="438"/>
      <c r="Q91" s="378">
        <v>1617.6666666666667</v>
      </c>
    </row>
    <row r="92" spans="1:17" ht="14.4" customHeight="1" x14ac:dyDescent="0.3">
      <c r="A92" s="373" t="s">
        <v>796</v>
      </c>
      <c r="B92" s="374" t="s">
        <v>722</v>
      </c>
      <c r="C92" s="374" t="s">
        <v>719</v>
      </c>
      <c r="D92" s="374" t="s">
        <v>741</v>
      </c>
      <c r="E92" s="374" t="s">
        <v>742</v>
      </c>
      <c r="F92" s="377"/>
      <c r="G92" s="377"/>
      <c r="H92" s="377"/>
      <c r="I92" s="377"/>
      <c r="J92" s="377">
        <v>2</v>
      </c>
      <c r="K92" s="377">
        <v>1638</v>
      </c>
      <c r="L92" s="377"/>
      <c r="M92" s="377">
        <v>819</v>
      </c>
      <c r="N92" s="377">
        <v>3</v>
      </c>
      <c r="O92" s="377">
        <v>2457</v>
      </c>
      <c r="P92" s="438"/>
      <c r="Q92" s="378">
        <v>819</v>
      </c>
    </row>
    <row r="93" spans="1:17" ht="14.4" customHeight="1" x14ac:dyDescent="0.3">
      <c r="A93" s="373" t="s">
        <v>796</v>
      </c>
      <c r="B93" s="374" t="s">
        <v>722</v>
      </c>
      <c r="C93" s="374" t="s">
        <v>719</v>
      </c>
      <c r="D93" s="374" t="s">
        <v>743</v>
      </c>
      <c r="E93" s="374" t="s">
        <v>744</v>
      </c>
      <c r="F93" s="377"/>
      <c r="G93" s="377"/>
      <c r="H93" s="377"/>
      <c r="I93" s="377"/>
      <c r="J93" s="377">
        <v>2</v>
      </c>
      <c r="K93" s="377">
        <v>2894</v>
      </c>
      <c r="L93" s="377"/>
      <c r="M93" s="377">
        <v>1447</v>
      </c>
      <c r="N93" s="377">
        <v>1</v>
      </c>
      <c r="O93" s="377">
        <v>1447</v>
      </c>
      <c r="P93" s="438"/>
      <c r="Q93" s="378">
        <v>1447</v>
      </c>
    </row>
    <row r="94" spans="1:17" ht="14.4" customHeight="1" x14ac:dyDescent="0.3">
      <c r="A94" s="373" t="s">
        <v>796</v>
      </c>
      <c r="B94" s="374" t="s">
        <v>722</v>
      </c>
      <c r="C94" s="374" t="s">
        <v>719</v>
      </c>
      <c r="D94" s="374" t="s">
        <v>745</v>
      </c>
      <c r="E94" s="374" t="s">
        <v>746</v>
      </c>
      <c r="F94" s="377"/>
      <c r="G94" s="377"/>
      <c r="H94" s="377"/>
      <c r="I94" s="377"/>
      <c r="J94" s="377">
        <v>1</v>
      </c>
      <c r="K94" s="377">
        <v>3078</v>
      </c>
      <c r="L94" s="377"/>
      <c r="M94" s="377">
        <v>3078</v>
      </c>
      <c r="N94" s="377"/>
      <c r="O94" s="377"/>
      <c r="P94" s="438"/>
      <c r="Q94" s="378"/>
    </row>
    <row r="95" spans="1:17" ht="14.4" customHeight="1" x14ac:dyDescent="0.3">
      <c r="A95" s="373" t="s">
        <v>796</v>
      </c>
      <c r="B95" s="374" t="s">
        <v>722</v>
      </c>
      <c r="C95" s="374" t="s">
        <v>719</v>
      </c>
      <c r="D95" s="374" t="s">
        <v>747</v>
      </c>
      <c r="E95" s="374" t="s">
        <v>748</v>
      </c>
      <c r="F95" s="377">
        <v>6</v>
      </c>
      <c r="G95" s="377">
        <v>96</v>
      </c>
      <c r="H95" s="377">
        <v>1</v>
      </c>
      <c r="I95" s="377">
        <v>16</v>
      </c>
      <c r="J95" s="377">
        <v>16</v>
      </c>
      <c r="K95" s="377">
        <v>256</v>
      </c>
      <c r="L95" s="377">
        <v>2.6666666666666665</v>
      </c>
      <c r="M95" s="377">
        <v>16</v>
      </c>
      <c r="N95" s="377">
        <v>20</v>
      </c>
      <c r="O95" s="377">
        <v>320</v>
      </c>
      <c r="P95" s="438">
        <v>3.3333333333333335</v>
      </c>
      <c r="Q95" s="378">
        <v>16</v>
      </c>
    </row>
    <row r="96" spans="1:17" ht="14.4" customHeight="1" x14ac:dyDescent="0.3">
      <c r="A96" s="373" t="s">
        <v>796</v>
      </c>
      <c r="B96" s="374" t="s">
        <v>722</v>
      </c>
      <c r="C96" s="374" t="s">
        <v>719</v>
      </c>
      <c r="D96" s="374" t="s">
        <v>749</v>
      </c>
      <c r="E96" s="374" t="s">
        <v>734</v>
      </c>
      <c r="F96" s="377">
        <v>11</v>
      </c>
      <c r="G96" s="377">
        <v>7535</v>
      </c>
      <c r="H96" s="377">
        <v>1</v>
      </c>
      <c r="I96" s="377">
        <v>685</v>
      </c>
      <c r="J96" s="377">
        <v>32</v>
      </c>
      <c r="K96" s="377">
        <v>22016</v>
      </c>
      <c r="L96" s="377">
        <v>2.9218314532183145</v>
      </c>
      <c r="M96" s="377">
        <v>688</v>
      </c>
      <c r="N96" s="377">
        <v>29</v>
      </c>
      <c r="O96" s="377">
        <v>19964</v>
      </c>
      <c r="P96" s="438">
        <v>2.6495023224950232</v>
      </c>
      <c r="Q96" s="378">
        <v>688.41379310344826</v>
      </c>
    </row>
    <row r="97" spans="1:17" ht="14.4" customHeight="1" x14ac:dyDescent="0.3">
      <c r="A97" s="373" t="s">
        <v>796</v>
      </c>
      <c r="B97" s="374" t="s">
        <v>722</v>
      </c>
      <c r="C97" s="374" t="s">
        <v>719</v>
      </c>
      <c r="D97" s="374" t="s">
        <v>750</v>
      </c>
      <c r="E97" s="374" t="s">
        <v>736</v>
      </c>
      <c r="F97" s="377">
        <v>20</v>
      </c>
      <c r="G97" s="377">
        <v>27420</v>
      </c>
      <c r="H97" s="377">
        <v>1</v>
      </c>
      <c r="I97" s="377">
        <v>1371</v>
      </c>
      <c r="J97" s="377">
        <v>35</v>
      </c>
      <c r="K97" s="377">
        <v>48125</v>
      </c>
      <c r="L97" s="377">
        <v>1.7551057622173596</v>
      </c>
      <c r="M97" s="377">
        <v>1375</v>
      </c>
      <c r="N97" s="377">
        <v>32</v>
      </c>
      <c r="O97" s="377">
        <v>44088</v>
      </c>
      <c r="P97" s="438">
        <v>1.6078774617067835</v>
      </c>
      <c r="Q97" s="378">
        <v>1377.75</v>
      </c>
    </row>
    <row r="98" spans="1:17" ht="14.4" customHeight="1" x14ac:dyDescent="0.3">
      <c r="A98" s="373" t="s">
        <v>796</v>
      </c>
      <c r="B98" s="374" t="s">
        <v>722</v>
      </c>
      <c r="C98" s="374" t="s">
        <v>719</v>
      </c>
      <c r="D98" s="374" t="s">
        <v>751</v>
      </c>
      <c r="E98" s="374" t="s">
        <v>752</v>
      </c>
      <c r="F98" s="377">
        <v>10</v>
      </c>
      <c r="G98" s="377">
        <v>23100</v>
      </c>
      <c r="H98" s="377">
        <v>1</v>
      </c>
      <c r="I98" s="377">
        <v>2310</v>
      </c>
      <c r="J98" s="377">
        <v>12</v>
      </c>
      <c r="K98" s="377">
        <v>27828</v>
      </c>
      <c r="L98" s="377">
        <v>1.2046753246753246</v>
      </c>
      <c r="M98" s="377">
        <v>2319</v>
      </c>
      <c r="N98" s="377">
        <v>15</v>
      </c>
      <c r="O98" s="377">
        <v>34845</v>
      </c>
      <c r="P98" s="438">
        <v>1.5084415584415585</v>
      </c>
      <c r="Q98" s="378">
        <v>2323</v>
      </c>
    </row>
    <row r="99" spans="1:17" ht="14.4" customHeight="1" x14ac:dyDescent="0.3">
      <c r="A99" s="373" t="s">
        <v>796</v>
      </c>
      <c r="B99" s="374" t="s">
        <v>722</v>
      </c>
      <c r="C99" s="374" t="s">
        <v>719</v>
      </c>
      <c r="D99" s="374" t="s">
        <v>753</v>
      </c>
      <c r="E99" s="374" t="s">
        <v>754</v>
      </c>
      <c r="F99" s="377">
        <v>11</v>
      </c>
      <c r="G99" s="377">
        <v>715</v>
      </c>
      <c r="H99" s="377">
        <v>1</v>
      </c>
      <c r="I99" s="377">
        <v>65</v>
      </c>
      <c r="J99" s="377">
        <v>31</v>
      </c>
      <c r="K99" s="377">
        <v>2015</v>
      </c>
      <c r="L99" s="377">
        <v>2.8181818181818183</v>
      </c>
      <c r="M99" s="377">
        <v>65</v>
      </c>
      <c r="N99" s="377">
        <v>30</v>
      </c>
      <c r="O99" s="377">
        <v>1952</v>
      </c>
      <c r="P99" s="438">
        <v>2.7300699300699303</v>
      </c>
      <c r="Q99" s="378">
        <v>65.066666666666663</v>
      </c>
    </row>
    <row r="100" spans="1:17" ht="14.4" customHeight="1" x14ac:dyDescent="0.3">
      <c r="A100" s="373" t="s">
        <v>796</v>
      </c>
      <c r="B100" s="374" t="s">
        <v>722</v>
      </c>
      <c r="C100" s="374" t="s">
        <v>719</v>
      </c>
      <c r="D100" s="374" t="s">
        <v>755</v>
      </c>
      <c r="E100" s="374" t="s">
        <v>756</v>
      </c>
      <c r="F100" s="377"/>
      <c r="G100" s="377"/>
      <c r="H100" s="377"/>
      <c r="I100" s="377"/>
      <c r="J100" s="377">
        <v>2</v>
      </c>
      <c r="K100" s="377">
        <v>792</v>
      </c>
      <c r="L100" s="377"/>
      <c r="M100" s="377">
        <v>396</v>
      </c>
      <c r="N100" s="377">
        <v>1</v>
      </c>
      <c r="O100" s="377">
        <v>396</v>
      </c>
      <c r="P100" s="438"/>
      <c r="Q100" s="378">
        <v>396</v>
      </c>
    </row>
    <row r="101" spans="1:17" ht="14.4" customHeight="1" x14ac:dyDescent="0.3">
      <c r="A101" s="373" t="s">
        <v>796</v>
      </c>
      <c r="B101" s="374" t="s">
        <v>722</v>
      </c>
      <c r="C101" s="374" t="s">
        <v>719</v>
      </c>
      <c r="D101" s="374" t="s">
        <v>757</v>
      </c>
      <c r="E101" s="374" t="s">
        <v>758</v>
      </c>
      <c r="F101" s="377"/>
      <c r="G101" s="377"/>
      <c r="H101" s="377"/>
      <c r="I101" s="377"/>
      <c r="J101" s="377">
        <v>1</v>
      </c>
      <c r="K101" s="377">
        <v>1601</v>
      </c>
      <c r="L101" s="377"/>
      <c r="M101" s="377">
        <v>1601</v>
      </c>
      <c r="N101" s="377"/>
      <c r="O101" s="377"/>
      <c r="P101" s="438"/>
      <c r="Q101" s="378"/>
    </row>
    <row r="102" spans="1:17" ht="14.4" customHeight="1" x14ac:dyDescent="0.3">
      <c r="A102" s="373" t="s">
        <v>796</v>
      </c>
      <c r="B102" s="374" t="s">
        <v>722</v>
      </c>
      <c r="C102" s="374" t="s">
        <v>719</v>
      </c>
      <c r="D102" s="374" t="s">
        <v>759</v>
      </c>
      <c r="E102" s="374" t="s">
        <v>760</v>
      </c>
      <c r="F102" s="377">
        <v>26</v>
      </c>
      <c r="G102" s="377">
        <v>14274</v>
      </c>
      <c r="H102" s="377">
        <v>1</v>
      </c>
      <c r="I102" s="377">
        <v>549</v>
      </c>
      <c r="J102" s="377">
        <v>49</v>
      </c>
      <c r="K102" s="377">
        <v>26950</v>
      </c>
      <c r="L102" s="377">
        <v>1.8880481995236094</v>
      </c>
      <c r="M102" s="377">
        <v>550</v>
      </c>
      <c r="N102" s="377">
        <v>37</v>
      </c>
      <c r="O102" s="377">
        <v>20354</v>
      </c>
      <c r="P102" s="438">
        <v>1.4259492784082948</v>
      </c>
      <c r="Q102" s="378">
        <v>550.10810810810813</v>
      </c>
    </row>
    <row r="103" spans="1:17" ht="14.4" customHeight="1" x14ac:dyDescent="0.3">
      <c r="A103" s="373" t="s">
        <v>796</v>
      </c>
      <c r="B103" s="374" t="s">
        <v>722</v>
      </c>
      <c r="C103" s="374" t="s">
        <v>719</v>
      </c>
      <c r="D103" s="374" t="s">
        <v>761</v>
      </c>
      <c r="E103" s="374" t="s">
        <v>762</v>
      </c>
      <c r="F103" s="377"/>
      <c r="G103" s="377"/>
      <c r="H103" s="377"/>
      <c r="I103" s="377"/>
      <c r="J103" s="377">
        <v>1</v>
      </c>
      <c r="K103" s="377">
        <v>1234</v>
      </c>
      <c r="L103" s="377"/>
      <c r="M103" s="377">
        <v>1234</v>
      </c>
      <c r="N103" s="377"/>
      <c r="O103" s="377"/>
      <c r="P103" s="438"/>
      <c r="Q103" s="378"/>
    </row>
    <row r="104" spans="1:17" ht="14.4" customHeight="1" x14ac:dyDescent="0.3">
      <c r="A104" s="373" t="s">
        <v>796</v>
      </c>
      <c r="B104" s="374" t="s">
        <v>722</v>
      </c>
      <c r="C104" s="374" t="s">
        <v>719</v>
      </c>
      <c r="D104" s="374" t="s">
        <v>765</v>
      </c>
      <c r="E104" s="374" t="s">
        <v>766</v>
      </c>
      <c r="F104" s="377"/>
      <c r="G104" s="377"/>
      <c r="H104" s="377"/>
      <c r="I104" s="377"/>
      <c r="J104" s="377">
        <v>1</v>
      </c>
      <c r="K104" s="377">
        <v>122</v>
      </c>
      <c r="L104" s="377"/>
      <c r="M104" s="377">
        <v>122</v>
      </c>
      <c r="N104" s="377"/>
      <c r="O104" s="377"/>
      <c r="P104" s="438"/>
      <c r="Q104" s="378"/>
    </row>
    <row r="105" spans="1:17" ht="14.4" customHeight="1" x14ac:dyDescent="0.3">
      <c r="A105" s="373" t="s">
        <v>796</v>
      </c>
      <c r="B105" s="374" t="s">
        <v>722</v>
      </c>
      <c r="C105" s="374" t="s">
        <v>719</v>
      </c>
      <c r="D105" s="374" t="s">
        <v>767</v>
      </c>
      <c r="E105" s="374" t="s">
        <v>768</v>
      </c>
      <c r="F105" s="377"/>
      <c r="G105" s="377"/>
      <c r="H105" s="377"/>
      <c r="I105" s="377"/>
      <c r="J105" s="377">
        <v>5</v>
      </c>
      <c r="K105" s="377">
        <v>2125</v>
      </c>
      <c r="L105" s="377"/>
      <c r="M105" s="377">
        <v>425</v>
      </c>
      <c r="N105" s="377"/>
      <c r="O105" s="377"/>
      <c r="P105" s="438"/>
      <c r="Q105" s="378"/>
    </row>
    <row r="106" spans="1:17" ht="14.4" customHeight="1" x14ac:dyDescent="0.3">
      <c r="A106" s="373" t="s">
        <v>796</v>
      </c>
      <c r="B106" s="374" t="s">
        <v>722</v>
      </c>
      <c r="C106" s="374" t="s">
        <v>719</v>
      </c>
      <c r="D106" s="374" t="s">
        <v>772</v>
      </c>
      <c r="E106" s="374" t="s">
        <v>773</v>
      </c>
      <c r="F106" s="377"/>
      <c r="G106" s="377"/>
      <c r="H106" s="377"/>
      <c r="I106" s="377"/>
      <c r="J106" s="377"/>
      <c r="K106" s="377"/>
      <c r="L106" s="377"/>
      <c r="M106" s="377"/>
      <c r="N106" s="377">
        <v>6</v>
      </c>
      <c r="O106" s="377">
        <v>9666</v>
      </c>
      <c r="P106" s="438"/>
      <c r="Q106" s="378">
        <v>1611</v>
      </c>
    </row>
    <row r="107" spans="1:17" ht="14.4" customHeight="1" x14ac:dyDescent="0.3">
      <c r="A107" s="373" t="s">
        <v>797</v>
      </c>
      <c r="B107" s="374" t="s">
        <v>722</v>
      </c>
      <c r="C107" s="374" t="s">
        <v>719</v>
      </c>
      <c r="D107" s="374" t="s">
        <v>723</v>
      </c>
      <c r="E107" s="374" t="s">
        <v>724</v>
      </c>
      <c r="F107" s="377"/>
      <c r="G107" s="377"/>
      <c r="H107" s="377"/>
      <c r="I107" s="377"/>
      <c r="J107" s="377"/>
      <c r="K107" s="377"/>
      <c r="L107" s="377"/>
      <c r="M107" s="377"/>
      <c r="N107" s="377">
        <v>2</v>
      </c>
      <c r="O107" s="377">
        <v>252</v>
      </c>
      <c r="P107" s="438"/>
      <c r="Q107" s="378">
        <v>126</v>
      </c>
    </row>
    <row r="108" spans="1:17" ht="14.4" customHeight="1" x14ac:dyDescent="0.3">
      <c r="A108" s="373" t="s">
        <v>797</v>
      </c>
      <c r="B108" s="374" t="s">
        <v>722</v>
      </c>
      <c r="C108" s="374" t="s">
        <v>719</v>
      </c>
      <c r="D108" s="374" t="s">
        <v>743</v>
      </c>
      <c r="E108" s="374" t="s">
        <v>744</v>
      </c>
      <c r="F108" s="377"/>
      <c r="G108" s="377"/>
      <c r="H108" s="377"/>
      <c r="I108" s="377"/>
      <c r="J108" s="377">
        <v>3</v>
      </c>
      <c r="K108" s="377">
        <v>4341</v>
      </c>
      <c r="L108" s="377"/>
      <c r="M108" s="377">
        <v>1447</v>
      </c>
      <c r="N108" s="377">
        <v>4</v>
      </c>
      <c r="O108" s="377">
        <v>5788</v>
      </c>
      <c r="P108" s="438"/>
      <c r="Q108" s="378">
        <v>1447</v>
      </c>
    </row>
    <row r="109" spans="1:17" ht="14.4" customHeight="1" x14ac:dyDescent="0.3">
      <c r="A109" s="373" t="s">
        <v>797</v>
      </c>
      <c r="B109" s="374" t="s">
        <v>722</v>
      </c>
      <c r="C109" s="374" t="s">
        <v>719</v>
      </c>
      <c r="D109" s="374" t="s">
        <v>750</v>
      </c>
      <c r="E109" s="374" t="s">
        <v>736</v>
      </c>
      <c r="F109" s="377"/>
      <c r="G109" s="377"/>
      <c r="H109" s="377"/>
      <c r="I109" s="377"/>
      <c r="J109" s="377"/>
      <c r="K109" s="377"/>
      <c r="L109" s="377"/>
      <c r="M109" s="377"/>
      <c r="N109" s="377">
        <v>1</v>
      </c>
      <c r="O109" s="377">
        <v>1375</v>
      </c>
      <c r="P109" s="438"/>
      <c r="Q109" s="378">
        <v>1375</v>
      </c>
    </row>
    <row r="110" spans="1:17" ht="14.4" customHeight="1" x14ac:dyDescent="0.3">
      <c r="A110" s="373" t="s">
        <v>797</v>
      </c>
      <c r="B110" s="374" t="s">
        <v>722</v>
      </c>
      <c r="C110" s="374" t="s">
        <v>719</v>
      </c>
      <c r="D110" s="374" t="s">
        <v>751</v>
      </c>
      <c r="E110" s="374" t="s">
        <v>752</v>
      </c>
      <c r="F110" s="377"/>
      <c r="G110" s="377"/>
      <c r="H110" s="377"/>
      <c r="I110" s="377"/>
      <c r="J110" s="377"/>
      <c r="K110" s="377"/>
      <c r="L110" s="377"/>
      <c r="M110" s="377"/>
      <c r="N110" s="377">
        <v>2</v>
      </c>
      <c r="O110" s="377">
        <v>4638</v>
      </c>
      <c r="P110" s="438"/>
      <c r="Q110" s="378">
        <v>2319</v>
      </c>
    </row>
    <row r="111" spans="1:17" ht="14.4" customHeight="1" x14ac:dyDescent="0.3">
      <c r="A111" s="373" t="s">
        <v>797</v>
      </c>
      <c r="B111" s="374" t="s">
        <v>722</v>
      </c>
      <c r="C111" s="374" t="s">
        <v>719</v>
      </c>
      <c r="D111" s="374" t="s">
        <v>755</v>
      </c>
      <c r="E111" s="374" t="s">
        <v>756</v>
      </c>
      <c r="F111" s="377"/>
      <c r="G111" s="377"/>
      <c r="H111" s="377"/>
      <c r="I111" s="377"/>
      <c r="J111" s="377">
        <v>3</v>
      </c>
      <c r="K111" s="377">
        <v>1188</v>
      </c>
      <c r="L111" s="377"/>
      <c r="M111" s="377">
        <v>396</v>
      </c>
      <c r="N111" s="377">
        <v>4</v>
      </c>
      <c r="O111" s="377">
        <v>1584</v>
      </c>
      <c r="P111" s="438"/>
      <c r="Q111" s="378">
        <v>396</v>
      </c>
    </row>
    <row r="112" spans="1:17" ht="14.4" customHeight="1" x14ac:dyDescent="0.3">
      <c r="A112" s="373" t="s">
        <v>797</v>
      </c>
      <c r="B112" s="374" t="s">
        <v>722</v>
      </c>
      <c r="C112" s="374" t="s">
        <v>719</v>
      </c>
      <c r="D112" s="374" t="s">
        <v>759</v>
      </c>
      <c r="E112" s="374" t="s">
        <v>760</v>
      </c>
      <c r="F112" s="377"/>
      <c r="G112" s="377"/>
      <c r="H112" s="377"/>
      <c r="I112" s="377"/>
      <c r="J112" s="377">
        <v>9</v>
      </c>
      <c r="K112" s="377">
        <v>4950</v>
      </c>
      <c r="L112" s="377"/>
      <c r="M112" s="377">
        <v>550</v>
      </c>
      <c r="N112" s="377">
        <v>15</v>
      </c>
      <c r="O112" s="377">
        <v>8250</v>
      </c>
      <c r="P112" s="438"/>
      <c r="Q112" s="378">
        <v>550</v>
      </c>
    </row>
    <row r="113" spans="1:17" ht="14.4" customHeight="1" x14ac:dyDescent="0.3">
      <c r="A113" s="373" t="s">
        <v>797</v>
      </c>
      <c r="B113" s="374" t="s">
        <v>722</v>
      </c>
      <c r="C113" s="374" t="s">
        <v>719</v>
      </c>
      <c r="D113" s="374" t="s">
        <v>767</v>
      </c>
      <c r="E113" s="374" t="s">
        <v>768</v>
      </c>
      <c r="F113" s="377"/>
      <c r="G113" s="377"/>
      <c r="H113" s="377"/>
      <c r="I113" s="377"/>
      <c r="J113" s="377">
        <v>5</v>
      </c>
      <c r="K113" s="377">
        <v>2125</v>
      </c>
      <c r="L113" s="377"/>
      <c r="M113" s="377">
        <v>425</v>
      </c>
      <c r="N113" s="377">
        <v>1</v>
      </c>
      <c r="O113" s="377">
        <v>425</v>
      </c>
      <c r="P113" s="438"/>
      <c r="Q113" s="378">
        <v>425</v>
      </c>
    </row>
    <row r="114" spans="1:17" ht="14.4" customHeight="1" x14ac:dyDescent="0.3">
      <c r="A114" s="373" t="s">
        <v>798</v>
      </c>
      <c r="B114" s="374" t="s">
        <v>722</v>
      </c>
      <c r="C114" s="374" t="s">
        <v>719</v>
      </c>
      <c r="D114" s="374" t="s">
        <v>723</v>
      </c>
      <c r="E114" s="374" t="s">
        <v>724</v>
      </c>
      <c r="F114" s="377"/>
      <c r="G114" s="377"/>
      <c r="H114" s="377"/>
      <c r="I114" s="377"/>
      <c r="J114" s="377"/>
      <c r="K114" s="377"/>
      <c r="L114" s="377"/>
      <c r="M114" s="377"/>
      <c r="N114" s="377">
        <v>1</v>
      </c>
      <c r="O114" s="377">
        <v>127</v>
      </c>
      <c r="P114" s="438"/>
      <c r="Q114" s="378">
        <v>127</v>
      </c>
    </row>
    <row r="115" spans="1:17" ht="14.4" customHeight="1" x14ac:dyDescent="0.3">
      <c r="A115" s="373" t="s">
        <v>798</v>
      </c>
      <c r="B115" s="374" t="s">
        <v>722</v>
      </c>
      <c r="C115" s="374" t="s">
        <v>719</v>
      </c>
      <c r="D115" s="374" t="s">
        <v>731</v>
      </c>
      <c r="E115" s="374" t="s">
        <v>732</v>
      </c>
      <c r="F115" s="377"/>
      <c r="G115" s="377"/>
      <c r="H115" s="377"/>
      <c r="I115" s="377"/>
      <c r="J115" s="377">
        <v>1</v>
      </c>
      <c r="K115" s="377">
        <v>3698</v>
      </c>
      <c r="L115" s="377"/>
      <c r="M115" s="377">
        <v>3698</v>
      </c>
      <c r="N115" s="377"/>
      <c r="O115" s="377"/>
      <c r="P115" s="438"/>
      <c r="Q115" s="378"/>
    </row>
    <row r="116" spans="1:17" ht="14.4" customHeight="1" x14ac:dyDescent="0.3">
      <c r="A116" s="373" t="s">
        <v>798</v>
      </c>
      <c r="B116" s="374" t="s">
        <v>722</v>
      </c>
      <c r="C116" s="374" t="s">
        <v>719</v>
      </c>
      <c r="D116" s="374" t="s">
        <v>735</v>
      </c>
      <c r="E116" s="374" t="s">
        <v>736</v>
      </c>
      <c r="F116" s="377"/>
      <c r="G116" s="377"/>
      <c r="H116" s="377"/>
      <c r="I116" s="377"/>
      <c r="J116" s="377">
        <v>1</v>
      </c>
      <c r="K116" s="377">
        <v>832</v>
      </c>
      <c r="L116" s="377"/>
      <c r="M116" s="377">
        <v>832</v>
      </c>
      <c r="N116" s="377"/>
      <c r="O116" s="377"/>
      <c r="P116" s="438"/>
      <c r="Q116" s="378"/>
    </row>
    <row r="117" spans="1:17" ht="14.4" customHeight="1" x14ac:dyDescent="0.3">
      <c r="A117" s="373" t="s">
        <v>798</v>
      </c>
      <c r="B117" s="374" t="s">
        <v>722</v>
      </c>
      <c r="C117" s="374" t="s">
        <v>719</v>
      </c>
      <c r="D117" s="374" t="s">
        <v>743</v>
      </c>
      <c r="E117" s="374" t="s">
        <v>744</v>
      </c>
      <c r="F117" s="377">
        <v>1</v>
      </c>
      <c r="G117" s="377">
        <v>1441</v>
      </c>
      <c r="H117" s="377">
        <v>1</v>
      </c>
      <c r="I117" s="377">
        <v>1441</v>
      </c>
      <c r="J117" s="377">
        <v>3</v>
      </c>
      <c r="K117" s="377">
        <v>4341</v>
      </c>
      <c r="L117" s="377">
        <v>3.0124913254684249</v>
      </c>
      <c r="M117" s="377">
        <v>1447</v>
      </c>
      <c r="N117" s="377">
        <v>3</v>
      </c>
      <c r="O117" s="377">
        <v>4361</v>
      </c>
      <c r="P117" s="438">
        <v>3.0263705759888966</v>
      </c>
      <c r="Q117" s="378">
        <v>1453.6666666666667</v>
      </c>
    </row>
    <row r="118" spans="1:17" ht="14.4" customHeight="1" x14ac:dyDescent="0.3">
      <c r="A118" s="373" t="s">
        <v>798</v>
      </c>
      <c r="B118" s="374" t="s">
        <v>722</v>
      </c>
      <c r="C118" s="374" t="s">
        <v>719</v>
      </c>
      <c r="D118" s="374" t="s">
        <v>745</v>
      </c>
      <c r="E118" s="374" t="s">
        <v>746</v>
      </c>
      <c r="F118" s="377">
        <v>1</v>
      </c>
      <c r="G118" s="377">
        <v>3065</v>
      </c>
      <c r="H118" s="377">
        <v>1</v>
      </c>
      <c r="I118" s="377">
        <v>3065</v>
      </c>
      <c r="J118" s="377"/>
      <c r="K118" s="377"/>
      <c r="L118" s="377"/>
      <c r="M118" s="377"/>
      <c r="N118" s="377"/>
      <c r="O118" s="377"/>
      <c r="P118" s="438"/>
      <c r="Q118" s="378"/>
    </row>
    <row r="119" spans="1:17" ht="14.4" customHeight="1" x14ac:dyDescent="0.3">
      <c r="A119" s="373" t="s">
        <v>798</v>
      </c>
      <c r="B119" s="374" t="s">
        <v>722</v>
      </c>
      <c r="C119" s="374" t="s">
        <v>719</v>
      </c>
      <c r="D119" s="374" t="s">
        <v>755</v>
      </c>
      <c r="E119" s="374" t="s">
        <v>756</v>
      </c>
      <c r="F119" s="377">
        <v>1</v>
      </c>
      <c r="G119" s="377">
        <v>394</v>
      </c>
      <c r="H119" s="377">
        <v>1</v>
      </c>
      <c r="I119" s="377">
        <v>394</v>
      </c>
      <c r="J119" s="377">
        <v>3</v>
      </c>
      <c r="K119" s="377">
        <v>1188</v>
      </c>
      <c r="L119" s="377">
        <v>3.015228426395939</v>
      </c>
      <c r="M119" s="377">
        <v>396</v>
      </c>
      <c r="N119" s="377">
        <v>3</v>
      </c>
      <c r="O119" s="377">
        <v>1194</v>
      </c>
      <c r="P119" s="438">
        <v>3.030456852791878</v>
      </c>
      <c r="Q119" s="378">
        <v>398</v>
      </c>
    </row>
    <row r="120" spans="1:17" ht="14.4" customHeight="1" x14ac:dyDescent="0.3">
      <c r="A120" s="373" t="s">
        <v>798</v>
      </c>
      <c r="B120" s="374" t="s">
        <v>722</v>
      </c>
      <c r="C120" s="374" t="s">
        <v>719</v>
      </c>
      <c r="D120" s="374" t="s">
        <v>757</v>
      </c>
      <c r="E120" s="374" t="s">
        <v>758</v>
      </c>
      <c r="F120" s="377"/>
      <c r="G120" s="377"/>
      <c r="H120" s="377"/>
      <c r="I120" s="377"/>
      <c r="J120" s="377">
        <v>1</v>
      </c>
      <c r="K120" s="377">
        <v>1601</v>
      </c>
      <c r="L120" s="377"/>
      <c r="M120" s="377">
        <v>1601</v>
      </c>
      <c r="N120" s="377"/>
      <c r="O120" s="377"/>
      <c r="P120" s="438"/>
      <c r="Q120" s="378"/>
    </row>
    <row r="121" spans="1:17" ht="14.4" customHeight="1" x14ac:dyDescent="0.3">
      <c r="A121" s="373" t="s">
        <v>798</v>
      </c>
      <c r="B121" s="374" t="s">
        <v>722</v>
      </c>
      <c r="C121" s="374" t="s">
        <v>719</v>
      </c>
      <c r="D121" s="374" t="s">
        <v>759</v>
      </c>
      <c r="E121" s="374" t="s">
        <v>760</v>
      </c>
      <c r="F121" s="377">
        <v>1</v>
      </c>
      <c r="G121" s="377">
        <v>549</v>
      </c>
      <c r="H121" s="377">
        <v>1</v>
      </c>
      <c r="I121" s="377">
        <v>549</v>
      </c>
      <c r="J121" s="377">
        <v>10</v>
      </c>
      <c r="K121" s="377">
        <v>5500</v>
      </c>
      <c r="L121" s="377">
        <v>10.018214936247723</v>
      </c>
      <c r="M121" s="377">
        <v>550</v>
      </c>
      <c r="N121" s="377">
        <v>5</v>
      </c>
      <c r="O121" s="377">
        <v>2755</v>
      </c>
      <c r="P121" s="438">
        <v>5.0182149362477233</v>
      </c>
      <c r="Q121" s="378">
        <v>551</v>
      </c>
    </row>
    <row r="122" spans="1:17" ht="14.4" customHeight="1" x14ac:dyDescent="0.3">
      <c r="A122" s="373" t="s">
        <v>798</v>
      </c>
      <c r="B122" s="374" t="s">
        <v>722</v>
      </c>
      <c r="C122" s="374" t="s">
        <v>719</v>
      </c>
      <c r="D122" s="374" t="s">
        <v>761</v>
      </c>
      <c r="E122" s="374" t="s">
        <v>762</v>
      </c>
      <c r="F122" s="377">
        <v>1</v>
      </c>
      <c r="G122" s="377">
        <v>1228</v>
      </c>
      <c r="H122" s="377">
        <v>1</v>
      </c>
      <c r="I122" s="377">
        <v>1228</v>
      </c>
      <c r="J122" s="377"/>
      <c r="K122" s="377"/>
      <c r="L122" s="377"/>
      <c r="M122" s="377"/>
      <c r="N122" s="377"/>
      <c r="O122" s="377"/>
      <c r="P122" s="438"/>
      <c r="Q122" s="378"/>
    </row>
    <row r="123" spans="1:17" ht="14.4" customHeight="1" x14ac:dyDescent="0.3">
      <c r="A123" s="373" t="s">
        <v>798</v>
      </c>
      <c r="B123" s="374" t="s">
        <v>722</v>
      </c>
      <c r="C123" s="374" t="s">
        <v>719</v>
      </c>
      <c r="D123" s="374" t="s">
        <v>767</v>
      </c>
      <c r="E123" s="374" t="s">
        <v>768</v>
      </c>
      <c r="F123" s="377">
        <v>13</v>
      </c>
      <c r="G123" s="377">
        <v>5525</v>
      </c>
      <c r="H123" s="377">
        <v>1</v>
      </c>
      <c r="I123" s="377">
        <v>425</v>
      </c>
      <c r="J123" s="377">
        <v>15</v>
      </c>
      <c r="K123" s="377">
        <v>6375</v>
      </c>
      <c r="L123" s="377">
        <v>1.1538461538461537</v>
      </c>
      <c r="M123" s="377">
        <v>425</v>
      </c>
      <c r="N123" s="377">
        <v>9</v>
      </c>
      <c r="O123" s="377">
        <v>3831</v>
      </c>
      <c r="P123" s="438">
        <v>0.69339366515837109</v>
      </c>
      <c r="Q123" s="378">
        <v>425.66666666666669</v>
      </c>
    </row>
    <row r="124" spans="1:17" ht="14.4" customHeight="1" x14ac:dyDescent="0.3">
      <c r="A124" s="373" t="s">
        <v>799</v>
      </c>
      <c r="B124" s="374" t="s">
        <v>722</v>
      </c>
      <c r="C124" s="374" t="s">
        <v>719</v>
      </c>
      <c r="D124" s="374" t="s">
        <v>723</v>
      </c>
      <c r="E124" s="374" t="s">
        <v>724</v>
      </c>
      <c r="F124" s="377">
        <v>1</v>
      </c>
      <c r="G124" s="377">
        <v>125</v>
      </c>
      <c r="H124" s="377">
        <v>1</v>
      </c>
      <c r="I124" s="377">
        <v>125</v>
      </c>
      <c r="J124" s="377">
        <v>6</v>
      </c>
      <c r="K124" s="377">
        <v>756</v>
      </c>
      <c r="L124" s="377">
        <v>6.048</v>
      </c>
      <c r="M124" s="377">
        <v>126</v>
      </c>
      <c r="N124" s="377">
        <v>10</v>
      </c>
      <c r="O124" s="377">
        <v>1266</v>
      </c>
      <c r="P124" s="438">
        <v>10.128</v>
      </c>
      <c r="Q124" s="378">
        <v>126.6</v>
      </c>
    </row>
    <row r="125" spans="1:17" ht="14.4" customHeight="1" x14ac:dyDescent="0.3">
      <c r="A125" s="373" t="s">
        <v>799</v>
      </c>
      <c r="B125" s="374" t="s">
        <v>722</v>
      </c>
      <c r="C125" s="374" t="s">
        <v>719</v>
      </c>
      <c r="D125" s="374" t="s">
        <v>729</v>
      </c>
      <c r="E125" s="374" t="s">
        <v>730</v>
      </c>
      <c r="F125" s="377"/>
      <c r="G125" s="377"/>
      <c r="H125" s="377"/>
      <c r="I125" s="377"/>
      <c r="J125" s="377">
        <v>2</v>
      </c>
      <c r="K125" s="377">
        <v>2070</v>
      </c>
      <c r="L125" s="377"/>
      <c r="M125" s="377">
        <v>1035</v>
      </c>
      <c r="N125" s="377"/>
      <c r="O125" s="377"/>
      <c r="P125" s="438"/>
      <c r="Q125" s="378"/>
    </row>
    <row r="126" spans="1:17" ht="14.4" customHeight="1" x14ac:dyDescent="0.3">
      <c r="A126" s="373" t="s">
        <v>799</v>
      </c>
      <c r="B126" s="374" t="s">
        <v>722</v>
      </c>
      <c r="C126" s="374" t="s">
        <v>719</v>
      </c>
      <c r="D126" s="374" t="s">
        <v>731</v>
      </c>
      <c r="E126" s="374" t="s">
        <v>732</v>
      </c>
      <c r="F126" s="377">
        <v>17</v>
      </c>
      <c r="G126" s="377">
        <v>62713</v>
      </c>
      <c r="H126" s="377">
        <v>1</v>
      </c>
      <c r="I126" s="377">
        <v>3689</v>
      </c>
      <c r="J126" s="377">
        <v>21</v>
      </c>
      <c r="K126" s="377">
        <v>77658</v>
      </c>
      <c r="L126" s="377">
        <v>1.2383078468579083</v>
      </c>
      <c r="M126" s="377">
        <v>3698</v>
      </c>
      <c r="N126" s="377">
        <v>19</v>
      </c>
      <c r="O126" s="377">
        <v>70454</v>
      </c>
      <c r="P126" s="438">
        <v>1.1234353323872244</v>
      </c>
      <c r="Q126" s="378">
        <v>3708.1052631578946</v>
      </c>
    </row>
    <row r="127" spans="1:17" ht="14.4" customHeight="1" x14ac:dyDescent="0.3">
      <c r="A127" s="373" t="s">
        <v>799</v>
      </c>
      <c r="B127" s="374" t="s">
        <v>722</v>
      </c>
      <c r="C127" s="374" t="s">
        <v>719</v>
      </c>
      <c r="D127" s="374" t="s">
        <v>733</v>
      </c>
      <c r="E127" s="374" t="s">
        <v>734</v>
      </c>
      <c r="F127" s="377">
        <v>6</v>
      </c>
      <c r="G127" s="377">
        <v>2622</v>
      </c>
      <c r="H127" s="377">
        <v>1</v>
      </c>
      <c r="I127" s="377">
        <v>437</v>
      </c>
      <c r="J127" s="377">
        <v>5</v>
      </c>
      <c r="K127" s="377">
        <v>2190</v>
      </c>
      <c r="L127" s="377">
        <v>0.83524027459954231</v>
      </c>
      <c r="M127" s="377">
        <v>438</v>
      </c>
      <c r="N127" s="377">
        <v>3</v>
      </c>
      <c r="O127" s="377">
        <v>1316</v>
      </c>
      <c r="P127" s="438">
        <v>0.50190694126620905</v>
      </c>
      <c r="Q127" s="378">
        <v>438.66666666666669</v>
      </c>
    </row>
    <row r="128" spans="1:17" ht="14.4" customHeight="1" x14ac:dyDescent="0.3">
      <c r="A128" s="373" t="s">
        <v>799</v>
      </c>
      <c r="B128" s="374" t="s">
        <v>722</v>
      </c>
      <c r="C128" s="374" t="s">
        <v>719</v>
      </c>
      <c r="D128" s="374" t="s">
        <v>735</v>
      </c>
      <c r="E128" s="374" t="s">
        <v>736</v>
      </c>
      <c r="F128" s="377">
        <v>5</v>
      </c>
      <c r="G128" s="377">
        <v>4155</v>
      </c>
      <c r="H128" s="377">
        <v>1</v>
      </c>
      <c r="I128" s="377">
        <v>831</v>
      </c>
      <c r="J128" s="377">
        <v>5</v>
      </c>
      <c r="K128" s="377">
        <v>4160</v>
      </c>
      <c r="L128" s="377">
        <v>1.0012033694344165</v>
      </c>
      <c r="M128" s="377">
        <v>832</v>
      </c>
      <c r="N128" s="377"/>
      <c r="O128" s="377"/>
      <c r="P128" s="438"/>
      <c r="Q128" s="378"/>
    </row>
    <row r="129" spans="1:17" ht="14.4" customHeight="1" x14ac:dyDescent="0.3">
      <c r="A129" s="373" t="s">
        <v>799</v>
      </c>
      <c r="B129" s="374" t="s">
        <v>722</v>
      </c>
      <c r="C129" s="374" t="s">
        <v>719</v>
      </c>
      <c r="D129" s="374" t="s">
        <v>737</v>
      </c>
      <c r="E129" s="374" t="s">
        <v>738</v>
      </c>
      <c r="F129" s="377"/>
      <c r="G129" s="377"/>
      <c r="H129" s="377"/>
      <c r="I129" s="377"/>
      <c r="J129" s="377"/>
      <c r="K129" s="377"/>
      <c r="L129" s="377"/>
      <c r="M129" s="377"/>
      <c r="N129" s="377">
        <v>6</v>
      </c>
      <c r="O129" s="377">
        <v>9696</v>
      </c>
      <c r="P129" s="438"/>
      <c r="Q129" s="378">
        <v>1616</v>
      </c>
    </row>
    <row r="130" spans="1:17" ht="14.4" customHeight="1" x14ac:dyDescent="0.3">
      <c r="A130" s="373" t="s">
        <v>799</v>
      </c>
      <c r="B130" s="374" t="s">
        <v>722</v>
      </c>
      <c r="C130" s="374" t="s">
        <v>719</v>
      </c>
      <c r="D130" s="374" t="s">
        <v>743</v>
      </c>
      <c r="E130" s="374" t="s">
        <v>744</v>
      </c>
      <c r="F130" s="377">
        <v>2</v>
      </c>
      <c r="G130" s="377">
        <v>2882</v>
      </c>
      <c r="H130" s="377">
        <v>1</v>
      </c>
      <c r="I130" s="377">
        <v>1441</v>
      </c>
      <c r="J130" s="377">
        <v>7</v>
      </c>
      <c r="K130" s="377">
        <v>10129</v>
      </c>
      <c r="L130" s="377">
        <v>3.5145732130464955</v>
      </c>
      <c r="M130" s="377">
        <v>1447</v>
      </c>
      <c r="N130" s="377">
        <v>2</v>
      </c>
      <c r="O130" s="377">
        <v>2894</v>
      </c>
      <c r="P130" s="438">
        <v>1.0041637751561416</v>
      </c>
      <c r="Q130" s="378">
        <v>1447</v>
      </c>
    </row>
    <row r="131" spans="1:17" ht="14.4" customHeight="1" x14ac:dyDescent="0.3">
      <c r="A131" s="373" t="s">
        <v>799</v>
      </c>
      <c r="B131" s="374" t="s">
        <v>722</v>
      </c>
      <c r="C131" s="374" t="s">
        <v>719</v>
      </c>
      <c r="D131" s="374" t="s">
        <v>747</v>
      </c>
      <c r="E131" s="374" t="s">
        <v>748</v>
      </c>
      <c r="F131" s="377">
        <v>7</v>
      </c>
      <c r="G131" s="377">
        <v>112</v>
      </c>
      <c r="H131" s="377">
        <v>1</v>
      </c>
      <c r="I131" s="377">
        <v>16</v>
      </c>
      <c r="J131" s="377">
        <v>6</v>
      </c>
      <c r="K131" s="377">
        <v>96</v>
      </c>
      <c r="L131" s="377">
        <v>0.8571428571428571</v>
      </c>
      <c r="M131" s="377">
        <v>16</v>
      </c>
      <c r="N131" s="377">
        <v>6</v>
      </c>
      <c r="O131" s="377">
        <v>96</v>
      </c>
      <c r="P131" s="438">
        <v>0.8571428571428571</v>
      </c>
      <c r="Q131" s="378">
        <v>16</v>
      </c>
    </row>
    <row r="132" spans="1:17" ht="14.4" customHeight="1" x14ac:dyDescent="0.3">
      <c r="A132" s="373" t="s">
        <v>799</v>
      </c>
      <c r="B132" s="374" t="s">
        <v>722</v>
      </c>
      <c r="C132" s="374" t="s">
        <v>719</v>
      </c>
      <c r="D132" s="374" t="s">
        <v>749</v>
      </c>
      <c r="E132" s="374" t="s">
        <v>734</v>
      </c>
      <c r="F132" s="377">
        <v>8</v>
      </c>
      <c r="G132" s="377">
        <v>5480</v>
      </c>
      <c r="H132" s="377">
        <v>1</v>
      </c>
      <c r="I132" s="377">
        <v>685</v>
      </c>
      <c r="J132" s="377">
        <v>11</v>
      </c>
      <c r="K132" s="377">
        <v>7568</v>
      </c>
      <c r="L132" s="377">
        <v>1.3810218978102189</v>
      </c>
      <c r="M132" s="377">
        <v>688</v>
      </c>
      <c r="N132" s="377">
        <v>11</v>
      </c>
      <c r="O132" s="377">
        <v>7592</v>
      </c>
      <c r="P132" s="438">
        <v>1.3854014598540145</v>
      </c>
      <c r="Q132" s="378">
        <v>690.18181818181813</v>
      </c>
    </row>
    <row r="133" spans="1:17" ht="14.4" customHeight="1" x14ac:dyDescent="0.3">
      <c r="A133" s="373" t="s">
        <v>799</v>
      </c>
      <c r="B133" s="374" t="s">
        <v>722</v>
      </c>
      <c r="C133" s="374" t="s">
        <v>719</v>
      </c>
      <c r="D133" s="374" t="s">
        <v>750</v>
      </c>
      <c r="E133" s="374" t="s">
        <v>736</v>
      </c>
      <c r="F133" s="377">
        <v>24</v>
      </c>
      <c r="G133" s="377">
        <v>32904</v>
      </c>
      <c r="H133" s="377">
        <v>1</v>
      </c>
      <c r="I133" s="377">
        <v>1371</v>
      </c>
      <c r="J133" s="377">
        <v>26</v>
      </c>
      <c r="K133" s="377">
        <v>35750</v>
      </c>
      <c r="L133" s="377">
        <v>1.0864940432774131</v>
      </c>
      <c r="M133" s="377">
        <v>1375</v>
      </c>
      <c r="N133" s="377">
        <v>33</v>
      </c>
      <c r="O133" s="377">
        <v>45519</v>
      </c>
      <c r="P133" s="438">
        <v>1.3833880379285193</v>
      </c>
      <c r="Q133" s="378">
        <v>1379.3636363636363</v>
      </c>
    </row>
    <row r="134" spans="1:17" ht="14.4" customHeight="1" x14ac:dyDescent="0.3">
      <c r="A134" s="373" t="s">
        <v>799</v>
      </c>
      <c r="B134" s="374" t="s">
        <v>722</v>
      </c>
      <c r="C134" s="374" t="s">
        <v>719</v>
      </c>
      <c r="D134" s="374" t="s">
        <v>751</v>
      </c>
      <c r="E134" s="374" t="s">
        <v>752</v>
      </c>
      <c r="F134" s="377">
        <v>12</v>
      </c>
      <c r="G134" s="377">
        <v>27720</v>
      </c>
      <c r="H134" s="377">
        <v>1</v>
      </c>
      <c r="I134" s="377">
        <v>2310</v>
      </c>
      <c r="J134" s="377">
        <v>18</v>
      </c>
      <c r="K134" s="377">
        <v>41742</v>
      </c>
      <c r="L134" s="377">
        <v>1.5058441558441558</v>
      </c>
      <c r="M134" s="377">
        <v>2319</v>
      </c>
      <c r="N134" s="377">
        <v>23</v>
      </c>
      <c r="O134" s="377">
        <v>53547</v>
      </c>
      <c r="P134" s="438">
        <v>1.9317099567099567</v>
      </c>
      <c r="Q134" s="378">
        <v>2328.1304347826085</v>
      </c>
    </row>
    <row r="135" spans="1:17" ht="14.4" customHeight="1" x14ac:dyDescent="0.3">
      <c r="A135" s="373" t="s">
        <v>799</v>
      </c>
      <c r="B135" s="374" t="s">
        <v>722</v>
      </c>
      <c r="C135" s="374" t="s">
        <v>719</v>
      </c>
      <c r="D135" s="374" t="s">
        <v>753</v>
      </c>
      <c r="E135" s="374" t="s">
        <v>754</v>
      </c>
      <c r="F135" s="377">
        <v>13</v>
      </c>
      <c r="G135" s="377">
        <v>845</v>
      </c>
      <c r="H135" s="377">
        <v>1</v>
      </c>
      <c r="I135" s="377">
        <v>65</v>
      </c>
      <c r="J135" s="377">
        <v>13</v>
      </c>
      <c r="K135" s="377">
        <v>845</v>
      </c>
      <c r="L135" s="377">
        <v>1</v>
      </c>
      <c r="M135" s="377">
        <v>65</v>
      </c>
      <c r="N135" s="377">
        <v>14</v>
      </c>
      <c r="O135" s="377">
        <v>916</v>
      </c>
      <c r="P135" s="438">
        <v>1.0840236686390532</v>
      </c>
      <c r="Q135" s="378">
        <v>65.428571428571431</v>
      </c>
    </row>
    <row r="136" spans="1:17" ht="14.4" customHeight="1" x14ac:dyDescent="0.3">
      <c r="A136" s="373" t="s">
        <v>799</v>
      </c>
      <c r="B136" s="374" t="s">
        <v>722</v>
      </c>
      <c r="C136" s="374" t="s">
        <v>719</v>
      </c>
      <c r="D136" s="374" t="s">
        <v>755</v>
      </c>
      <c r="E136" s="374" t="s">
        <v>756</v>
      </c>
      <c r="F136" s="377">
        <v>2</v>
      </c>
      <c r="G136" s="377">
        <v>788</v>
      </c>
      <c r="H136" s="377">
        <v>1</v>
      </c>
      <c r="I136" s="377">
        <v>394</v>
      </c>
      <c r="J136" s="377">
        <v>7</v>
      </c>
      <c r="K136" s="377">
        <v>2772</v>
      </c>
      <c r="L136" s="377">
        <v>3.5177664974619289</v>
      </c>
      <c r="M136" s="377">
        <v>396</v>
      </c>
      <c r="N136" s="377">
        <v>2</v>
      </c>
      <c r="O136" s="377">
        <v>792</v>
      </c>
      <c r="P136" s="438">
        <v>1.0050761421319796</v>
      </c>
      <c r="Q136" s="378">
        <v>396</v>
      </c>
    </row>
    <row r="137" spans="1:17" ht="14.4" customHeight="1" x14ac:dyDescent="0.3">
      <c r="A137" s="373" t="s">
        <v>799</v>
      </c>
      <c r="B137" s="374" t="s">
        <v>722</v>
      </c>
      <c r="C137" s="374" t="s">
        <v>719</v>
      </c>
      <c r="D137" s="374" t="s">
        <v>757</v>
      </c>
      <c r="E137" s="374" t="s">
        <v>758</v>
      </c>
      <c r="F137" s="377">
        <v>7</v>
      </c>
      <c r="G137" s="377">
        <v>11179</v>
      </c>
      <c r="H137" s="377">
        <v>1</v>
      </c>
      <c r="I137" s="377">
        <v>1597</v>
      </c>
      <c r="J137" s="377">
        <v>5</v>
      </c>
      <c r="K137" s="377">
        <v>8005</v>
      </c>
      <c r="L137" s="377">
        <v>0.71607478307540928</v>
      </c>
      <c r="M137" s="377">
        <v>1601</v>
      </c>
      <c r="N137" s="377">
        <v>2</v>
      </c>
      <c r="O137" s="377">
        <v>3210</v>
      </c>
      <c r="P137" s="438">
        <v>0.28714554074604171</v>
      </c>
      <c r="Q137" s="378">
        <v>1605</v>
      </c>
    </row>
    <row r="138" spans="1:17" ht="14.4" customHeight="1" x14ac:dyDescent="0.3">
      <c r="A138" s="373" t="s">
        <v>799</v>
      </c>
      <c r="B138" s="374" t="s">
        <v>722</v>
      </c>
      <c r="C138" s="374" t="s">
        <v>719</v>
      </c>
      <c r="D138" s="374" t="s">
        <v>759</v>
      </c>
      <c r="E138" s="374" t="s">
        <v>760</v>
      </c>
      <c r="F138" s="377">
        <v>38</v>
      </c>
      <c r="G138" s="377">
        <v>20862</v>
      </c>
      <c r="H138" s="377">
        <v>1</v>
      </c>
      <c r="I138" s="377">
        <v>549</v>
      </c>
      <c r="J138" s="377">
        <v>80</v>
      </c>
      <c r="K138" s="377">
        <v>44000</v>
      </c>
      <c r="L138" s="377">
        <v>2.1090978813153103</v>
      </c>
      <c r="M138" s="377">
        <v>550</v>
      </c>
      <c r="N138" s="377">
        <v>66</v>
      </c>
      <c r="O138" s="377">
        <v>36325</v>
      </c>
      <c r="P138" s="438">
        <v>1.7412041031540599</v>
      </c>
      <c r="Q138" s="378">
        <v>550.37878787878788</v>
      </c>
    </row>
    <row r="139" spans="1:17" ht="14.4" customHeight="1" x14ac:dyDescent="0.3">
      <c r="A139" s="373" t="s">
        <v>799</v>
      </c>
      <c r="B139" s="374" t="s">
        <v>722</v>
      </c>
      <c r="C139" s="374" t="s">
        <v>719</v>
      </c>
      <c r="D139" s="374" t="s">
        <v>767</v>
      </c>
      <c r="E139" s="374" t="s">
        <v>768</v>
      </c>
      <c r="F139" s="377">
        <v>31</v>
      </c>
      <c r="G139" s="377">
        <v>13175</v>
      </c>
      <c r="H139" s="377">
        <v>1</v>
      </c>
      <c r="I139" s="377">
        <v>425</v>
      </c>
      <c r="J139" s="377">
        <v>59</v>
      </c>
      <c r="K139" s="377">
        <v>25075</v>
      </c>
      <c r="L139" s="377">
        <v>1.903225806451613</v>
      </c>
      <c r="M139" s="377">
        <v>425</v>
      </c>
      <c r="N139" s="377">
        <v>28</v>
      </c>
      <c r="O139" s="377">
        <v>11913</v>
      </c>
      <c r="P139" s="438">
        <v>0.90421252371916505</v>
      </c>
      <c r="Q139" s="378">
        <v>425.46428571428572</v>
      </c>
    </row>
    <row r="140" spans="1:17" ht="14.4" customHeight="1" x14ac:dyDescent="0.3">
      <c r="A140" s="373" t="s">
        <v>799</v>
      </c>
      <c r="B140" s="374" t="s">
        <v>722</v>
      </c>
      <c r="C140" s="374" t="s">
        <v>719</v>
      </c>
      <c r="D140" s="374" t="s">
        <v>772</v>
      </c>
      <c r="E140" s="374" t="s">
        <v>773</v>
      </c>
      <c r="F140" s="377"/>
      <c r="G140" s="377"/>
      <c r="H140" s="377"/>
      <c r="I140" s="377"/>
      <c r="J140" s="377"/>
      <c r="K140" s="377"/>
      <c r="L140" s="377"/>
      <c r="M140" s="377"/>
      <c r="N140" s="377">
        <v>7</v>
      </c>
      <c r="O140" s="377">
        <v>11273</v>
      </c>
      <c r="P140" s="438"/>
      <c r="Q140" s="378">
        <v>1610.4285714285713</v>
      </c>
    </row>
    <row r="141" spans="1:17" ht="14.4" customHeight="1" x14ac:dyDescent="0.3">
      <c r="A141" s="373" t="s">
        <v>800</v>
      </c>
      <c r="B141" s="374" t="s">
        <v>722</v>
      </c>
      <c r="C141" s="374" t="s">
        <v>719</v>
      </c>
      <c r="D141" s="374" t="s">
        <v>727</v>
      </c>
      <c r="E141" s="374" t="s">
        <v>728</v>
      </c>
      <c r="F141" s="377"/>
      <c r="G141" s="377"/>
      <c r="H141" s="377"/>
      <c r="I141" s="377"/>
      <c r="J141" s="377"/>
      <c r="K141" s="377"/>
      <c r="L141" s="377"/>
      <c r="M141" s="377"/>
      <c r="N141" s="377">
        <v>2</v>
      </c>
      <c r="O141" s="377">
        <v>4458</v>
      </c>
      <c r="P141" s="438"/>
      <c r="Q141" s="378">
        <v>2229</v>
      </c>
    </row>
    <row r="142" spans="1:17" ht="14.4" customHeight="1" x14ac:dyDescent="0.3">
      <c r="A142" s="373" t="s">
        <v>800</v>
      </c>
      <c r="B142" s="374" t="s">
        <v>722</v>
      </c>
      <c r="C142" s="374" t="s">
        <v>719</v>
      </c>
      <c r="D142" s="374" t="s">
        <v>731</v>
      </c>
      <c r="E142" s="374" t="s">
        <v>732</v>
      </c>
      <c r="F142" s="377">
        <v>4</v>
      </c>
      <c r="G142" s="377">
        <v>14756</v>
      </c>
      <c r="H142" s="377">
        <v>1</v>
      </c>
      <c r="I142" s="377">
        <v>3689</v>
      </c>
      <c r="J142" s="377"/>
      <c r="K142" s="377"/>
      <c r="L142" s="377"/>
      <c r="M142" s="377"/>
      <c r="N142" s="377"/>
      <c r="O142" s="377"/>
      <c r="P142" s="438"/>
      <c r="Q142" s="378"/>
    </row>
    <row r="143" spans="1:17" ht="14.4" customHeight="1" x14ac:dyDescent="0.3">
      <c r="A143" s="373" t="s">
        <v>800</v>
      </c>
      <c r="B143" s="374" t="s">
        <v>722</v>
      </c>
      <c r="C143" s="374" t="s">
        <v>719</v>
      </c>
      <c r="D143" s="374" t="s">
        <v>743</v>
      </c>
      <c r="E143" s="374" t="s">
        <v>744</v>
      </c>
      <c r="F143" s="377">
        <v>1</v>
      </c>
      <c r="G143" s="377">
        <v>1441</v>
      </c>
      <c r="H143" s="377">
        <v>1</v>
      </c>
      <c r="I143" s="377">
        <v>1441</v>
      </c>
      <c r="J143" s="377"/>
      <c r="K143" s="377"/>
      <c r="L143" s="377"/>
      <c r="M143" s="377"/>
      <c r="N143" s="377"/>
      <c r="O143" s="377"/>
      <c r="P143" s="438"/>
      <c r="Q143" s="378"/>
    </row>
    <row r="144" spans="1:17" ht="14.4" customHeight="1" x14ac:dyDescent="0.3">
      <c r="A144" s="373" t="s">
        <v>800</v>
      </c>
      <c r="B144" s="374" t="s">
        <v>722</v>
      </c>
      <c r="C144" s="374" t="s">
        <v>719</v>
      </c>
      <c r="D144" s="374" t="s">
        <v>747</v>
      </c>
      <c r="E144" s="374" t="s">
        <v>748</v>
      </c>
      <c r="F144" s="377">
        <v>1</v>
      </c>
      <c r="G144" s="377">
        <v>16</v>
      </c>
      <c r="H144" s="377">
        <v>1</v>
      </c>
      <c r="I144" s="377">
        <v>16</v>
      </c>
      <c r="J144" s="377"/>
      <c r="K144" s="377"/>
      <c r="L144" s="377"/>
      <c r="M144" s="377"/>
      <c r="N144" s="377">
        <v>1</v>
      </c>
      <c r="O144" s="377">
        <v>16</v>
      </c>
      <c r="P144" s="438">
        <v>1</v>
      </c>
      <c r="Q144" s="378">
        <v>16</v>
      </c>
    </row>
    <row r="145" spans="1:17" ht="14.4" customHeight="1" x14ac:dyDescent="0.3">
      <c r="A145" s="373" t="s">
        <v>800</v>
      </c>
      <c r="B145" s="374" t="s">
        <v>722</v>
      </c>
      <c r="C145" s="374" t="s">
        <v>719</v>
      </c>
      <c r="D145" s="374" t="s">
        <v>749</v>
      </c>
      <c r="E145" s="374" t="s">
        <v>734</v>
      </c>
      <c r="F145" s="377">
        <v>2</v>
      </c>
      <c r="G145" s="377">
        <v>1370</v>
      </c>
      <c r="H145" s="377">
        <v>1</v>
      </c>
      <c r="I145" s="377">
        <v>685</v>
      </c>
      <c r="J145" s="377"/>
      <c r="K145" s="377"/>
      <c r="L145" s="377"/>
      <c r="M145" s="377"/>
      <c r="N145" s="377">
        <v>2</v>
      </c>
      <c r="O145" s="377">
        <v>1388</v>
      </c>
      <c r="P145" s="438">
        <v>1.0131386861313869</v>
      </c>
      <c r="Q145" s="378">
        <v>694</v>
      </c>
    </row>
    <row r="146" spans="1:17" ht="14.4" customHeight="1" x14ac:dyDescent="0.3">
      <c r="A146" s="373" t="s">
        <v>800</v>
      </c>
      <c r="B146" s="374" t="s">
        <v>722</v>
      </c>
      <c r="C146" s="374" t="s">
        <v>719</v>
      </c>
      <c r="D146" s="374" t="s">
        <v>750</v>
      </c>
      <c r="E146" s="374" t="s">
        <v>736</v>
      </c>
      <c r="F146" s="377">
        <v>5</v>
      </c>
      <c r="G146" s="377">
        <v>6855</v>
      </c>
      <c r="H146" s="377">
        <v>1</v>
      </c>
      <c r="I146" s="377">
        <v>1371</v>
      </c>
      <c r="J146" s="377"/>
      <c r="K146" s="377"/>
      <c r="L146" s="377"/>
      <c r="M146" s="377"/>
      <c r="N146" s="377"/>
      <c r="O146" s="377"/>
      <c r="P146" s="438"/>
      <c r="Q146" s="378"/>
    </row>
    <row r="147" spans="1:17" ht="14.4" customHeight="1" x14ac:dyDescent="0.3">
      <c r="A147" s="373" t="s">
        <v>800</v>
      </c>
      <c r="B147" s="374" t="s">
        <v>722</v>
      </c>
      <c r="C147" s="374" t="s">
        <v>719</v>
      </c>
      <c r="D147" s="374" t="s">
        <v>751</v>
      </c>
      <c r="E147" s="374" t="s">
        <v>752</v>
      </c>
      <c r="F147" s="377">
        <v>1</v>
      </c>
      <c r="G147" s="377">
        <v>2310</v>
      </c>
      <c r="H147" s="377">
        <v>1</v>
      </c>
      <c r="I147" s="377">
        <v>2310</v>
      </c>
      <c r="J147" s="377"/>
      <c r="K147" s="377"/>
      <c r="L147" s="377"/>
      <c r="M147" s="377"/>
      <c r="N147" s="377"/>
      <c r="O147" s="377"/>
      <c r="P147" s="438"/>
      <c r="Q147" s="378"/>
    </row>
    <row r="148" spans="1:17" ht="14.4" customHeight="1" x14ac:dyDescent="0.3">
      <c r="A148" s="373" t="s">
        <v>800</v>
      </c>
      <c r="B148" s="374" t="s">
        <v>722</v>
      </c>
      <c r="C148" s="374" t="s">
        <v>719</v>
      </c>
      <c r="D148" s="374" t="s">
        <v>753</v>
      </c>
      <c r="E148" s="374" t="s">
        <v>754</v>
      </c>
      <c r="F148" s="377">
        <v>2</v>
      </c>
      <c r="G148" s="377">
        <v>130</v>
      </c>
      <c r="H148" s="377">
        <v>1</v>
      </c>
      <c r="I148" s="377">
        <v>65</v>
      </c>
      <c r="J148" s="377"/>
      <c r="K148" s="377"/>
      <c r="L148" s="377"/>
      <c r="M148" s="377"/>
      <c r="N148" s="377">
        <v>2</v>
      </c>
      <c r="O148" s="377">
        <v>132</v>
      </c>
      <c r="P148" s="438">
        <v>1.0153846153846153</v>
      </c>
      <c r="Q148" s="378">
        <v>66</v>
      </c>
    </row>
    <row r="149" spans="1:17" ht="14.4" customHeight="1" x14ac:dyDescent="0.3">
      <c r="A149" s="373" t="s">
        <v>800</v>
      </c>
      <c r="B149" s="374" t="s">
        <v>722</v>
      </c>
      <c r="C149" s="374" t="s">
        <v>719</v>
      </c>
      <c r="D149" s="374" t="s">
        <v>755</v>
      </c>
      <c r="E149" s="374" t="s">
        <v>756</v>
      </c>
      <c r="F149" s="377">
        <v>1</v>
      </c>
      <c r="G149" s="377">
        <v>394</v>
      </c>
      <c r="H149" s="377">
        <v>1</v>
      </c>
      <c r="I149" s="377">
        <v>394</v>
      </c>
      <c r="J149" s="377"/>
      <c r="K149" s="377"/>
      <c r="L149" s="377"/>
      <c r="M149" s="377"/>
      <c r="N149" s="377"/>
      <c r="O149" s="377"/>
      <c r="P149" s="438"/>
      <c r="Q149" s="378"/>
    </row>
    <row r="150" spans="1:17" ht="14.4" customHeight="1" x14ac:dyDescent="0.3">
      <c r="A150" s="373" t="s">
        <v>800</v>
      </c>
      <c r="B150" s="374" t="s">
        <v>722</v>
      </c>
      <c r="C150" s="374" t="s">
        <v>719</v>
      </c>
      <c r="D150" s="374" t="s">
        <v>759</v>
      </c>
      <c r="E150" s="374" t="s">
        <v>760</v>
      </c>
      <c r="F150" s="377">
        <v>8</v>
      </c>
      <c r="G150" s="377">
        <v>4392</v>
      </c>
      <c r="H150" s="377">
        <v>1</v>
      </c>
      <c r="I150" s="377">
        <v>549</v>
      </c>
      <c r="J150" s="377"/>
      <c r="K150" s="377"/>
      <c r="L150" s="377"/>
      <c r="M150" s="377"/>
      <c r="N150" s="377"/>
      <c r="O150" s="377"/>
      <c r="P150" s="438"/>
      <c r="Q150" s="378"/>
    </row>
    <row r="151" spans="1:17" ht="14.4" customHeight="1" x14ac:dyDescent="0.3">
      <c r="A151" s="373" t="s">
        <v>801</v>
      </c>
      <c r="B151" s="374" t="s">
        <v>722</v>
      </c>
      <c r="C151" s="374" t="s">
        <v>719</v>
      </c>
      <c r="D151" s="374" t="s">
        <v>723</v>
      </c>
      <c r="E151" s="374" t="s">
        <v>724</v>
      </c>
      <c r="F151" s="377"/>
      <c r="G151" s="377"/>
      <c r="H151" s="377"/>
      <c r="I151" s="377"/>
      <c r="J151" s="377">
        <v>3</v>
      </c>
      <c r="K151" s="377">
        <v>378</v>
      </c>
      <c r="L151" s="377"/>
      <c r="M151" s="377">
        <v>126</v>
      </c>
      <c r="N151" s="377">
        <v>3</v>
      </c>
      <c r="O151" s="377">
        <v>380</v>
      </c>
      <c r="P151" s="438"/>
      <c r="Q151" s="378">
        <v>126.66666666666667</v>
      </c>
    </row>
    <row r="152" spans="1:17" ht="14.4" customHeight="1" x14ac:dyDescent="0.3">
      <c r="A152" s="373" t="s">
        <v>801</v>
      </c>
      <c r="B152" s="374" t="s">
        <v>722</v>
      </c>
      <c r="C152" s="374" t="s">
        <v>719</v>
      </c>
      <c r="D152" s="374" t="s">
        <v>725</v>
      </c>
      <c r="E152" s="374" t="s">
        <v>726</v>
      </c>
      <c r="F152" s="377">
        <v>1</v>
      </c>
      <c r="G152" s="377">
        <v>1217</v>
      </c>
      <c r="H152" s="377">
        <v>1</v>
      </c>
      <c r="I152" s="377">
        <v>1217</v>
      </c>
      <c r="J152" s="377"/>
      <c r="K152" s="377"/>
      <c r="L152" s="377"/>
      <c r="M152" s="377"/>
      <c r="N152" s="377"/>
      <c r="O152" s="377"/>
      <c r="P152" s="438"/>
      <c r="Q152" s="378"/>
    </row>
    <row r="153" spans="1:17" ht="14.4" customHeight="1" x14ac:dyDescent="0.3">
      <c r="A153" s="373" t="s">
        <v>801</v>
      </c>
      <c r="B153" s="374" t="s">
        <v>722</v>
      </c>
      <c r="C153" s="374" t="s">
        <v>719</v>
      </c>
      <c r="D153" s="374" t="s">
        <v>727</v>
      </c>
      <c r="E153" s="374" t="s">
        <v>728</v>
      </c>
      <c r="F153" s="377"/>
      <c r="G153" s="377"/>
      <c r="H153" s="377"/>
      <c r="I153" s="377"/>
      <c r="J153" s="377">
        <v>3</v>
      </c>
      <c r="K153" s="377">
        <v>6639</v>
      </c>
      <c r="L153" s="377"/>
      <c r="M153" s="377">
        <v>2213</v>
      </c>
      <c r="N153" s="377">
        <v>6</v>
      </c>
      <c r="O153" s="377">
        <v>13310</v>
      </c>
      <c r="P153" s="438"/>
      <c r="Q153" s="378">
        <v>2218.3333333333335</v>
      </c>
    </row>
    <row r="154" spans="1:17" ht="14.4" customHeight="1" x14ac:dyDescent="0.3">
      <c r="A154" s="373" t="s">
        <v>801</v>
      </c>
      <c r="B154" s="374" t="s">
        <v>722</v>
      </c>
      <c r="C154" s="374" t="s">
        <v>719</v>
      </c>
      <c r="D154" s="374" t="s">
        <v>729</v>
      </c>
      <c r="E154" s="374" t="s">
        <v>730</v>
      </c>
      <c r="F154" s="377">
        <v>1</v>
      </c>
      <c r="G154" s="377">
        <v>1032</v>
      </c>
      <c r="H154" s="377">
        <v>1</v>
      </c>
      <c r="I154" s="377">
        <v>1032</v>
      </c>
      <c r="J154" s="377"/>
      <c r="K154" s="377"/>
      <c r="L154" s="377"/>
      <c r="M154" s="377"/>
      <c r="N154" s="377"/>
      <c r="O154" s="377"/>
      <c r="P154" s="438"/>
      <c r="Q154" s="378"/>
    </row>
    <row r="155" spans="1:17" ht="14.4" customHeight="1" x14ac:dyDescent="0.3">
      <c r="A155" s="373" t="s">
        <v>801</v>
      </c>
      <c r="B155" s="374" t="s">
        <v>722</v>
      </c>
      <c r="C155" s="374" t="s">
        <v>719</v>
      </c>
      <c r="D155" s="374" t="s">
        <v>731</v>
      </c>
      <c r="E155" s="374" t="s">
        <v>732</v>
      </c>
      <c r="F155" s="377">
        <v>2</v>
      </c>
      <c r="G155" s="377">
        <v>7378</v>
      </c>
      <c r="H155" s="377">
        <v>1</v>
      </c>
      <c r="I155" s="377">
        <v>3689</v>
      </c>
      <c r="J155" s="377">
        <v>1</v>
      </c>
      <c r="K155" s="377">
        <v>3698</v>
      </c>
      <c r="L155" s="377">
        <v>0.50121984277581999</v>
      </c>
      <c r="M155" s="377">
        <v>3698</v>
      </c>
      <c r="N155" s="377">
        <v>6</v>
      </c>
      <c r="O155" s="377">
        <v>22220</v>
      </c>
      <c r="P155" s="438">
        <v>3.0116562754133911</v>
      </c>
      <c r="Q155" s="378">
        <v>3703.3333333333335</v>
      </c>
    </row>
    <row r="156" spans="1:17" ht="14.4" customHeight="1" x14ac:dyDescent="0.3">
      <c r="A156" s="373" t="s">
        <v>801</v>
      </c>
      <c r="B156" s="374" t="s">
        <v>722</v>
      </c>
      <c r="C156" s="374" t="s">
        <v>719</v>
      </c>
      <c r="D156" s="374" t="s">
        <v>733</v>
      </c>
      <c r="E156" s="374" t="s">
        <v>734</v>
      </c>
      <c r="F156" s="377">
        <v>1</v>
      </c>
      <c r="G156" s="377">
        <v>437</v>
      </c>
      <c r="H156" s="377">
        <v>1</v>
      </c>
      <c r="I156" s="377">
        <v>437</v>
      </c>
      <c r="J156" s="377"/>
      <c r="K156" s="377"/>
      <c r="L156" s="377"/>
      <c r="M156" s="377"/>
      <c r="N156" s="377"/>
      <c r="O156" s="377"/>
      <c r="P156" s="438"/>
      <c r="Q156" s="378"/>
    </row>
    <row r="157" spans="1:17" ht="14.4" customHeight="1" x14ac:dyDescent="0.3">
      <c r="A157" s="373" t="s">
        <v>801</v>
      </c>
      <c r="B157" s="374" t="s">
        <v>722</v>
      </c>
      <c r="C157" s="374" t="s">
        <v>719</v>
      </c>
      <c r="D157" s="374" t="s">
        <v>735</v>
      </c>
      <c r="E157" s="374" t="s">
        <v>736</v>
      </c>
      <c r="F157" s="377">
        <v>4</v>
      </c>
      <c r="G157" s="377">
        <v>3324</v>
      </c>
      <c r="H157" s="377">
        <v>1</v>
      </c>
      <c r="I157" s="377">
        <v>831</v>
      </c>
      <c r="J157" s="377"/>
      <c r="K157" s="377"/>
      <c r="L157" s="377"/>
      <c r="M157" s="377"/>
      <c r="N157" s="377"/>
      <c r="O157" s="377"/>
      <c r="P157" s="438"/>
      <c r="Q157" s="378"/>
    </row>
    <row r="158" spans="1:17" ht="14.4" customHeight="1" x14ac:dyDescent="0.3">
      <c r="A158" s="373" t="s">
        <v>801</v>
      </c>
      <c r="B158" s="374" t="s">
        <v>722</v>
      </c>
      <c r="C158" s="374" t="s">
        <v>719</v>
      </c>
      <c r="D158" s="374" t="s">
        <v>737</v>
      </c>
      <c r="E158" s="374" t="s">
        <v>738</v>
      </c>
      <c r="F158" s="377"/>
      <c r="G158" s="377"/>
      <c r="H158" s="377"/>
      <c r="I158" s="377"/>
      <c r="J158" s="377"/>
      <c r="K158" s="377"/>
      <c r="L158" s="377"/>
      <c r="M158" s="377"/>
      <c r="N158" s="377">
        <v>2</v>
      </c>
      <c r="O158" s="377">
        <v>3226</v>
      </c>
      <c r="P158" s="438"/>
      <c r="Q158" s="378">
        <v>1613</v>
      </c>
    </row>
    <row r="159" spans="1:17" ht="14.4" customHeight="1" x14ac:dyDescent="0.3">
      <c r="A159" s="373" t="s">
        <v>801</v>
      </c>
      <c r="B159" s="374" t="s">
        <v>722</v>
      </c>
      <c r="C159" s="374" t="s">
        <v>719</v>
      </c>
      <c r="D159" s="374" t="s">
        <v>741</v>
      </c>
      <c r="E159" s="374" t="s">
        <v>742</v>
      </c>
      <c r="F159" s="377"/>
      <c r="G159" s="377"/>
      <c r="H159" s="377"/>
      <c r="I159" s="377"/>
      <c r="J159" s="377">
        <v>2</v>
      </c>
      <c r="K159" s="377">
        <v>1638</v>
      </c>
      <c r="L159" s="377"/>
      <c r="M159" s="377">
        <v>819</v>
      </c>
      <c r="N159" s="377">
        <v>3</v>
      </c>
      <c r="O159" s="377">
        <v>2463</v>
      </c>
      <c r="P159" s="438"/>
      <c r="Q159" s="378">
        <v>821</v>
      </c>
    </row>
    <row r="160" spans="1:17" ht="14.4" customHeight="1" x14ac:dyDescent="0.3">
      <c r="A160" s="373" t="s">
        <v>801</v>
      </c>
      <c r="B160" s="374" t="s">
        <v>722</v>
      </c>
      <c r="C160" s="374" t="s">
        <v>719</v>
      </c>
      <c r="D160" s="374" t="s">
        <v>743</v>
      </c>
      <c r="E160" s="374" t="s">
        <v>744</v>
      </c>
      <c r="F160" s="377">
        <v>1</v>
      </c>
      <c r="G160" s="377">
        <v>1441</v>
      </c>
      <c r="H160" s="377">
        <v>1</v>
      </c>
      <c r="I160" s="377">
        <v>1441</v>
      </c>
      <c r="J160" s="377">
        <v>1</v>
      </c>
      <c r="K160" s="377">
        <v>1447</v>
      </c>
      <c r="L160" s="377">
        <v>1.0041637751561416</v>
      </c>
      <c r="M160" s="377">
        <v>1447</v>
      </c>
      <c r="N160" s="377">
        <v>2</v>
      </c>
      <c r="O160" s="377">
        <v>2894</v>
      </c>
      <c r="P160" s="438">
        <v>2.0083275503122833</v>
      </c>
      <c r="Q160" s="378">
        <v>1447</v>
      </c>
    </row>
    <row r="161" spans="1:17" ht="14.4" customHeight="1" x14ac:dyDescent="0.3">
      <c r="A161" s="373" t="s">
        <v>801</v>
      </c>
      <c r="B161" s="374" t="s">
        <v>722</v>
      </c>
      <c r="C161" s="374" t="s">
        <v>719</v>
      </c>
      <c r="D161" s="374" t="s">
        <v>747</v>
      </c>
      <c r="E161" s="374" t="s">
        <v>748</v>
      </c>
      <c r="F161" s="377">
        <v>2</v>
      </c>
      <c r="G161" s="377">
        <v>32</v>
      </c>
      <c r="H161" s="377">
        <v>1</v>
      </c>
      <c r="I161" s="377">
        <v>16</v>
      </c>
      <c r="J161" s="377">
        <v>5</v>
      </c>
      <c r="K161" s="377">
        <v>80</v>
      </c>
      <c r="L161" s="377">
        <v>2.5</v>
      </c>
      <c r="M161" s="377">
        <v>16</v>
      </c>
      <c r="N161" s="377">
        <v>7</v>
      </c>
      <c r="O161" s="377">
        <v>112</v>
      </c>
      <c r="P161" s="438">
        <v>3.5</v>
      </c>
      <c r="Q161" s="378">
        <v>16</v>
      </c>
    </row>
    <row r="162" spans="1:17" ht="14.4" customHeight="1" x14ac:dyDescent="0.3">
      <c r="A162" s="373" t="s">
        <v>801</v>
      </c>
      <c r="B162" s="374" t="s">
        <v>722</v>
      </c>
      <c r="C162" s="374" t="s">
        <v>719</v>
      </c>
      <c r="D162" s="374" t="s">
        <v>749</v>
      </c>
      <c r="E162" s="374" t="s">
        <v>734</v>
      </c>
      <c r="F162" s="377">
        <v>4</v>
      </c>
      <c r="G162" s="377">
        <v>2740</v>
      </c>
      <c r="H162" s="377">
        <v>1</v>
      </c>
      <c r="I162" s="377">
        <v>685</v>
      </c>
      <c r="J162" s="377">
        <v>8</v>
      </c>
      <c r="K162" s="377">
        <v>5504</v>
      </c>
      <c r="L162" s="377">
        <v>2.0087591240875913</v>
      </c>
      <c r="M162" s="377">
        <v>688</v>
      </c>
      <c r="N162" s="377">
        <v>12</v>
      </c>
      <c r="O162" s="377">
        <v>8280</v>
      </c>
      <c r="P162" s="438">
        <v>3.0218978102189782</v>
      </c>
      <c r="Q162" s="378">
        <v>690</v>
      </c>
    </row>
    <row r="163" spans="1:17" ht="14.4" customHeight="1" x14ac:dyDescent="0.3">
      <c r="A163" s="373" t="s">
        <v>801</v>
      </c>
      <c r="B163" s="374" t="s">
        <v>722</v>
      </c>
      <c r="C163" s="374" t="s">
        <v>719</v>
      </c>
      <c r="D163" s="374" t="s">
        <v>750</v>
      </c>
      <c r="E163" s="374" t="s">
        <v>736</v>
      </c>
      <c r="F163" s="377">
        <v>4</v>
      </c>
      <c r="G163" s="377">
        <v>5484</v>
      </c>
      <c r="H163" s="377">
        <v>1</v>
      </c>
      <c r="I163" s="377">
        <v>1371</v>
      </c>
      <c r="J163" s="377">
        <v>1</v>
      </c>
      <c r="K163" s="377">
        <v>1375</v>
      </c>
      <c r="L163" s="377">
        <v>0.25072939460247995</v>
      </c>
      <c r="M163" s="377">
        <v>1375</v>
      </c>
      <c r="N163" s="377">
        <v>11</v>
      </c>
      <c r="O163" s="377">
        <v>15157</v>
      </c>
      <c r="P163" s="438">
        <v>2.763858497447119</v>
      </c>
      <c r="Q163" s="378">
        <v>1377.909090909091</v>
      </c>
    </row>
    <row r="164" spans="1:17" ht="14.4" customHeight="1" x14ac:dyDescent="0.3">
      <c r="A164" s="373" t="s">
        <v>801</v>
      </c>
      <c r="B164" s="374" t="s">
        <v>722</v>
      </c>
      <c r="C164" s="374" t="s">
        <v>719</v>
      </c>
      <c r="D164" s="374" t="s">
        <v>751</v>
      </c>
      <c r="E164" s="374" t="s">
        <v>752</v>
      </c>
      <c r="F164" s="377">
        <v>1</v>
      </c>
      <c r="G164" s="377">
        <v>2310</v>
      </c>
      <c r="H164" s="377">
        <v>1</v>
      </c>
      <c r="I164" s="377">
        <v>2310</v>
      </c>
      <c r="J164" s="377">
        <v>2</v>
      </c>
      <c r="K164" s="377">
        <v>4638</v>
      </c>
      <c r="L164" s="377">
        <v>2.0077922077922077</v>
      </c>
      <c r="M164" s="377">
        <v>2319</v>
      </c>
      <c r="N164" s="377">
        <v>8</v>
      </c>
      <c r="O164" s="377">
        <v>18582</v>
      </c>
      <c r="P164" s="438">
        <v>8.0441558441558438</v>
      </c>
      <c r="Q164" s="378">
        <v>2322.75</v>
      </c>
    </row>
    <row r="165" spans="1:17" ht="14.4" customHeight="1" x14ac:dyDescent="0.3">
      <c r="A165" s="373" t="s">
        <v>801</v>
      </c>
      <c r="B165" s="374" t="s">
        <v>722</v>
      </c>
      <c r="C165" s="374" t="s">
        <v>719</v>
      </c>
      <c r="D165" s="374" t="s">
        <v>753</v>
      </c>
      <c r="E165" s="374" t="s">
        <v>754</v>
      </c>
      <c r="F165" s="377">
        <v>5</v>
      </c>
      <c r="G165" s="377">
        <v>325</v>
      </c>
      <c r="H165" s="377">
        <v>1</v>
      </c>
      <c r="I165" s="377">
        <v>65</v>
      </c>
      <c r="J165" s="377">
        <v>8</v>
      </c>
      <c r="K165" s="377">
        <v>520</v>
      </c>
      <c r="L165" s="377">
        <v>1.6</v>
      </c>
      <c r="M165" s="377">
        <v>65</v>
      </c>
      <c r="N165" s="377">
        <v>12</v>
      </c>
      <c r="O165" s="377">
        <v>784</v>
      </c>
      <c r="P165" s="438">
        <v>2.4123076923076923</v>
      </c>
      <c r="Q165" s="378">
        <v>65.333333333333329</v>
      </c>
    </row>
    <row r="166" spans="1:17" ht="14.4" customHeight="1" x14ac:dyDescent="0.3">
      <c r="A166" s="373" t="s">
        <v>801</v>
      </c>
      <c r="B166" s="374" t="s">
        <v>722</v>
      </c>
      <c r="C166" s="374" t="s">
        <v>719</v>
      </c>
      <c r="D166" s="374" t="s">
        <v>755</v>
      </c>
      <c r="E166" s="374" t="s">
        <v>756</v>
      </c>
      <c r="F166" s="377">
        <v>1</v>
      </c>
      <c r="G166" s="377">
        <v>394</v>
      </c>
      <c r="H166" s="377">
        <v>1</v>
      </c>
      <c r="I166" s="377">
        <v>394</v>
      </c>
      <c r="J166" s="377">
        <v>1</v>
      </c>
      <c r="K166" s="377">
        <v>396</v>
      </c>
      <c r="L166" s="377">
        <v>1.0050761421319796</v>
      </c>
      <c r="M166" s="377">
        <v>396</v>
      </c>
      <c r="N166" s="377">
        <v>2</v>
      </c>
      <c r="O166" s="377">
        <v>792</v>
      </c>
      <c r="P166" s="438">
        <v>2.0101522842639592</v>
      </c>
      <c r="Q166" s="378">
        <v>396</v>
      </c>
    </row>
    <row r="167" spans="1:17" ht="14.4" customHeight="1" x14ac:dyDescent="0.3">
      <c r="A167" s="373" t="s">
        <v>801</v>
      </c>
      <c r="B167" s="374" t="s">
        <v>722</v>
      </c>
      <c r="C167" s="374" t="s">
        <v>719</v>
      </c>
      <c r="D167" s="374" t="s">
        <v>757</v>
      </c>
      <c r="E167" s="374" t="s">
        <v>758</v>
      </c>
      <c r="F167" s="377">
        <v>2</v>
      </c>
      <c r="G167" s="377">
        <v>3194</v>
      </c>
      <c r="H167" s="377">
        <v>1</v>
      </c>
      <c r="I167" s="377">
        <v>1597</v>
      </c>
      <c r="J167" s="377"/>
      <c r="K167" s="377"/>
      <c r="L167" s="377"/>
      <c r="M167" s="377"/>
      <c r="N167" s="377"/>
      <c r="O167" s="377"/>
      <c r="P167" s="438"/>
      <c r="Q167" s="378"/>
    </row>
    <row r="168" spans="1:17" ht="14.4" customHeight="1" x14ac:dyDescent="0.3">
      <c r="A168" s="373" t="s">
        <v>801</v>
      </c>
      <c r="B168" s="374" t="s">
        <v>722</v>
      </c>
      <c r="C168" s="374" t="s">
        <v>719</v>
      </c>
      <c r="D168" s="374" t="s">
        <v>759</v>
      </c>
      <c r="E168" s="374" t="s">
        <v>760</v>
      </c>
      <c r="F168" s="377">
        <v>6</v>
      </c>
      <c r="G168" s="377">
        <v>3294</v>
      </c>
      <c r="H168" s="377">
        <v>1</v>
      </c>
      <c r="I168" s="377">
        <v>549</v>
      </c>
      <c r="J168" s="377">
        <v>15</v>
      </c>
      <c r="K168" s="377">
        <v>8250</v>
      </c>
      <c r="L168" s="377">
        <v>2.5045537340619308</v>
      </c>
      <c r="M168" s="377">
        <v>550</v>
      </c>
      <c r="N168" s="377">
        <v>33</v>
      </c>
      <c r="O168" s="377">
        <v>18159</v>
      </c>
      <c r="P168" s="438">
        <v>5.5127504553734061</v>
      </c>
      <c r="Q168" s="378">
        <v>550.27272727272725</v>
      </c>
    </row>
    <row r="169" spans="1:17" ht="14.4" customHeight="1" x14ac:dyDescent="0.3">
      <c r="A169" s="373" t="s">
        <v>801</v>
      </c>
      <c r="B169" s="374" t="s">
        <v>722</v>
      </c>
      <c r="C169" s="374" t="s">
        <v>719</v>
      </c>
      <c r="D169" s="374" t="s">
        <v>767</v>
      </c>
      <c r="E169" s="374" t="s">
        <v>768</v>
      </c>
      <c r="F169" s="377">
        <v>10</v>
      </c>
      <c r="G169" s="377">
        <v>4250</v>
      </c>
      <c r="H169" s="377">
        <v>1</v>
      </c>
      <c r="I169" s="377">
        <v>425</v>
      </c>
      <c r="J169" s="377"/>
      <c r="K169" s="377"/>
      <c r="L169" s="377"/>
      <c r="M169" s="377"/>
      <c r="N169" s="377"/>
      <c r="O169" s="377"/>
      <c r="P169" s="438"/>
      <c r="Q169" s="378"/>
    </row>
    <row r="170" spans="1:17" ht="14.4" customHeight="1" x14ac:dyDescent="0.3">
      <c r="A170" s="373" t="s">
        <v>801</v>
      </c>
      <c r="B170" s="374" t="s">
        <v>722</v>
      </c>
      <c r="C170" s="374" t="s">
        <v>719</v>
      </c>
      <c r="D170" s="374" t="s">
        <v>769</v>
      </c>
      <c r="E170" s="374" t="s">
        <v>770</v>
      </c>
      <c r="F170" s="377">
        <v>1</v>
      </c>
      <c r="G170" s="377">
        <v>1200</v>
      </c>
      <c r="H170" s="377">
        <v>1</v>
      </c>
      <c r="I170" s="377">
        <v>1200</v>
      </c>
      <c r="J170" s="377"/>
      <c r="K170" s="377"/>
      <c r="L170" s="377"/>
      <c r="M170" s="377"/>
      <c r="N170" s="377"/>
      <c r="O170" s="377"/>
      <c r="P170" s="438"/>
      <c r="Q170" s="378"/>
    </row>
    <row r="171" spans="1:17" ht="14.4" customHeight="1" x14ac:dyDescent="0.3">
      <c r="A171" s="373" t="s">
        <v>801</v>
      </c>
      <c r="B171" s="374" t="s">
        <v>722</v>
      </c>
      <c r="C171" s="374" t="s">
        <v>719</v>
      </c>
      <c r="D171" s="374" t="s">
        <v>771</v>
      </c>
      <c r="E171" s="374" t="s">
        <v>730</v>
      </c>
      <c r="F171" s="377">
        <v>1</v>
      </c>
      <c r="G171" s="377">
        <v>912</v>
      </c>
      <c r="H171" s="377">
        <v>1</v>
      </c>
      <c r="I171" s="377">
        <v>912</v>
      </c>
      <c r="J171" s="377"/>
      <c r="K171" s="377"/>
      <c r="L171" s="377"/>
      <c r="M171" s="377"/>
      <c r="N171" s="377"/>
      <c r="O171" s="377"/>
      <c r="P171" s="438"/>
      <c r="Q171" s="378"/>
    </row>
    <row r="172" spans="1:17" ht="14.4" customHeight="1" x14ac:dyDescent="0.3">
      <c r="A172" s="373" t="s">
        <v>801</v>
      </c>
      <c r="B172" s="374" t="s">
        <v>722</v>
      </c>
      <c r="C172" s="374" t="s">
        <v>719</v>
      </c>
      <c r="D172" s="374" t="s">
        <v>772</v>
      </c>
      <c r="E172" s="374" t="s">
        <v>773</v>
      </c>
      <c r="F172" s="377"/>
      <c r="G172" s="377"/>
      <c r="H172" s="377"/>
      <c r="I172" s="377"/>
      <c r="J172" s="377"/>
      <c r="K172" s="377"/>
      <c r="L172" s="377"/>
      <c r="M172" s="377"/>
      <c r="N172" s="377">
        <v>1</v>
      </c>
      <c r="O172" s="377">
        <v>1607</v>
      </c>
      <c r="P172" s="438"/>
      <c r="Q172" s="378">
        <v>1607</v>
      </c>
    </row>
    <row r="173" spans="1:17" ht="14.4" customHeight="1" x14ac:dyDescent="0.3">
      <c r="A173" s="373" t="s">
        <v>802</v>
      </c>
      <c r="B173" s="374" t="s">
        <v>722</v>
      </c>
      <c r="C173" s="374" t="s">
        <v>719</v>
      </c>
      <c r="D173" s="374" t="s">
        <v>723</v>
      </c>
      <c r="E173" s="374" t="s">
        <v>724</v>
      </c>
      <c r="F173" s="377">
        <v>1</v>
      </c>
      <c r="G173" s="377">
        <v>125</v>
      </c>
      <c r="H173" s="377">
        <v>1</v>
      </c>
      <c r="I173" s="377">
        <v>125</v>
      </c>
      <c r="J173" s="377">
        <v>2</v>
      </c>
      <c r="K173" s="377">
        <v>252</v>
      </c>
      <c r="L173" s="377">
        <v>2.016</v>
      </c>
      <c r="M173" s="377">
        <v>126</v>
      </c>
      <c r="N173" s="377">
        <v>4</v>
      </c>
      <c r="O173" s="377">
        <v>505</v>
      </c>
      <c r="P173" s="438">
        <v>4.04</v>
      </c>
      <c r="Q173" s="378">
        <v>126.25</v>
      </c>
    </row>
    <row r="174" spans="1:17" ht="14.4" customHeight="1" x14ac:dyDescent="0.3">
      <c r="A174" s="373" t="s">
        <v>802</v>
      </c>
      <c r="B174" s="374" t="s">
        <v>722</v>
      </c>
      <c r="C174" s="374" t="s">
        <v>719</v>
      </c>
      <c r="D174" s="374" t="s">
        <v>725</v>
      </c>
      <c r="E174" s="374" t="s">
        <v>726</v>
      </c>
      <c r="F174" s="377"/>
      <c r="G174" s="377"/>
      <c r="H174" s="377"/>
      <c r="I174" s="377"/>
      <c r="J174" s="377">
        <v>1</v>
      </c>
      <c r="K174" s="377">
        <v>1220</v>
      </c>
      <c r="L174" s="377"/>
      <c r="M174" s="377">
        <v>1220</v>
      </c>
      <c r="N174" s="377"/>
      <c r="O174" s="377"/>
      <c r="P174" s="438"/>
      <c r="Q174" s="378"/>
    </row>
    <row r="175" spans="1:17" ht="14.4" customHeight="1" x14ac:dyDescent="0.3">
      <c r="A175" s="373" t="s">
        <v>802</v>
      </c>
      <c r="B175" s="374" t="s">
        <v>722</v>
      </c>
      <c r="C175" s="374" t="s">
        <v>719</v>
      </c>
      <c r="D175" s="374" t="s">
        <v>729</v>
      </c>
      <c r="E175" s="374" t="s">
        <v>730</v>
      </c>
      <c r="F175" s="377"/>
      <c r="G175" s="377"/>
      <c r="H175" s="377"/>
      <c r="I175" s="377"/>
      <c r="J175" s="377">
        <v>1</v>
      </c>
      <c r="K175" s="377">
        <v>1035</v>
      </c>
      <c r="L175" s="377"/>
      <c r="M175" s="377">
        <v>1035</v>
      </c>
      <c r="N175" s="377"/>
      <c r="O175" s="377"/>
      <c r="P175" s="438"/>
      <c r="Q175" s="378"/>
    </row>
    <row r="176" spans="1:17" ht="14.4" customHeight="1" x14ac:dyDescent="0.3">
      <c r="A176" s="373" t="s">
        <v>802</v>
      </c>
      <c r="B176" s="374" t="s">
        <v>722</v>
      </c>
      <c r="C176" s="374" t="s">
        <v>719</v>
      </c>
      <c r="D176" s="374" t="s">
        <v>731</v>
      </c>
      <c r="E176" s="374" t="s">
        <v>732</v>
      </c>
      <c r="F176" s="377">
        <v>6</v>
      </c>
      <c r="G176" s="377">
        <v>22134</v>
      </c>
      <c r="H176" s="377">
        <v>1</v>
      </c>
      <c r="I176" s="377">
        <v>3689</v>
      </c>
      <c r="J176" s="377">
        <v>5</v>
      </c>
      <c r="K176" s="377">
        <v>18490</v>
      </c>
      <c r="L176" s="377">
        <v>0.83536640462636669</v>
      </c>
      <c r="M176" s="377">
        <v>3698</v>
      </c>
      <c r="N176" s="377">
        <v>10</v>
      </c>
      <c r="O176" s="377">
        <v>37012</v>
      </c>
      <c r="P176" s="438">
        <v>1.6721785488388905</v>
      </c>
      <c r="Q176" s="378">
        <v>3701.2</v>
      </c>
    </row>
    <row r="177" spans="1:17" ht="14.4" customHeight="1" x14ac:dyDescent="0.3">
      <c r="A177" s="373" t="s">
        <v>802</v>
      </c>
      <c r="B177" s="374" t="s">
        <v>722</v>
      </c>
      <c r="C177" s="374" t="s">
        <v>719</v>
      </c>
      <c r="D177" s="374" t="s">
        <v>733</v>
      </c>
      <c r="E177" s="374" t="s">
        <v>734</v>
      </c>
      <c r="F177" s="377">
        <v>1</v>
      </c>
      <c r="G177" s="377">
        <v>437</v>
      </c>
      <c r="H177" s="377">
        <v>1</v>
      </c>
      <c r="I177" s="377">
        <v>437</v>
      </c>
      <c r="J177" s="377">
        <v>1</v>
      </c>
      <c r="K177" s="377">
        <v>438</v>
      </c>
      <c r="L177" s="377">
        <v>1.0022883295194509</v>
      </c>
      <c r="M177" s="377">
        <v>438</v>
      </c>
      <c r="N177" s="377">
        <v>12</v>
      </c>
      <c r="O177" s="377">
        <v>5258</v>
      </c>
      <c r="P177" s="438">
        <v>12.032036613272311</v>
      </c>
      <c r="Q177" s="378">
        <v>438.16666666666669</v>
      </c>
    </row>
    <row r="178" spans="1:17" ht="14.4" customHeight="1" x14ac:dyDescent="0.3">
      <c r="A178" s="373" t="s">
        <v>802</v>
      </c>
      <c r="B178" s="374" t="s">
        <v>722</v>
      </c>
      <c r="C178" s="374" t="s">
        <v>719</v>
      </c>
      <c r="D178" s="374" t="s">
        <v>735</v>
      </c>
      <c r="E178" s="374" t="s">
        <v>736</v>
      </c>
      <c r="F178" s="377">
        <v>9</v>
      </c>
      <c r="G178" s="377">
        <v>7479</v>
      </c>
      <c r="H178" s="377">
        <v>1</v>
      </c>
      <c r="I178" s="377">
        <v>831</v>
      </c>
      <c r="J178" s="377">
        <v>1</v>
      </c>
      <c r="K178" s="377">
        <v>832</v>
      </c>
      <c r="L178" s="377">
        <v>0.11124481882604627</v>
      </c>
      <c r="M178" s="377">
        <v>832</v>
      </c>
      <c r="N178" s="377">
        <v>4</v>
      </c>
      <c r="O178" s="377">
        <v>3328</v>
      </c>
      <c r="P178" s="438">
        <v>0.44497927530418507</v>
      </c>
      <c r="Q178" s="378">
        <v>832</v>
      </c>
    </row>
    <row r="179" spans="1:17" ht="14.4" customHeight="1" x14ac:dyDescent="0.3">
      <c r="A179" s="373" t="s">
        <v>802</v>
      </c>
      <c r="B179" s="374" t="s">
        <v>722</v>
      </c>
      <c r="C179" s="374" t="s">
        <v>719</v>
      </c>
      <c r="D179" s="374" t="s">
        <v>743</v>
      </c>
      <c r="E179" s="374" t="s">
        <v>744</v>
      </c>
      <c r="F179" s="377">
        <v>11</v>
      </c>
      <c r="G179" s="377">
        <v>15851</v>
      </c>
      <c r="H179" s="377">
        <v>1</v>
      </c>
      <c r="I179" s="377">
        <v>1441</v>
      </c>
      <c r="J179" s="377">
        <v>21</v>
      </c>
      <c r="K179" s="377">
        <v>30387</v>
      </c>
      <c r="L179" s="377">
        <v>1.9170399343889974</v>
      </c>
      <c r="M179" s="377">
        <v>1447</v>
      </c>
      <c r="N179" s="377">
        <v>20</v>
      </c>
      <c r="O179" s="377">
        <v>28990</v>
      </c>
      <c r="P179" s="438">
        <v>1.828906693584001</v>
      </c>
      <c r="Q179" s="378">
        <v>1449.5</v>
      </c>
    </row>
    <row r="180" spans="1:17" ht="14.4" customHeight="1" x14ac:dyDescent="0.3">
      <c r="A180" s="373" t="s">
        <v>802</v>
      </c>
      <c r="B180" s="374" t="s">
        <v>722</v>
      </c>
      <c r="C180" s="374" t="s">
        <v>719</v>
      </c>
      <c r="D180" s="374" t="s">
        <v>747</v>
      </c>
      <c r="E180" s="374" t="s">
        <v>748</v>
      </c>
      <c r="F180" s="377">
        <v>2</v>
      </c>
      <c r="G180" s="377">
        <v>32</v>
      </c>
      <c r="H180" s="377">
        <v>1</v>
      </c>
      <c r="I180" s="377">
        <v>16</v>
      </c>
      <c r="J180" s="377">
        <v>4</v>
      </c>
      <c r="K180" s="377">
        <v>64</v>
      </c>
      <c r="L180" s="377">
        <v>2</v>
      </c>
      <c r="M180" s="377">
        <v>16</v>
      </c>
      <c r="N180" s="377">
        <v>4</v>
      </c>
      <c r="O180" s="377">
        <v>64</v>
      </c>
      <c r="P180" s="438">
        <v>2</v>
      </c>
      <c r="Q180" s="378">
        <v>16</v>
      </c>
    </row>
    <row r="181" spans="1:17" ht="14.4" customHeight="1" x14ac:dyDescent="0.3">
      <c r="A181" s="373" t="s">
        <v>802</v>
      </c>
      <c r="B181" s="374" t="s">
        <v>722</v>
      </c>
      <c r="C181" s="374" t="s">
        <v>719</v>
      </c>
      <c r="D181" s="374" t="s">
        <v>749</v>
      </c>
      <c r="E181" s="374" t="s">
        <v>734</v>
      </c>
      <c r="F181" s="377">
        <v>5</v>
      </c>
      <c r="G181" s="377">
        <v>3425</v>
      </c>
      <c r="H181" s="377">
        <v>1</v>
      </c>
      <c r="I181" s="377">
        <v>685</v>
      </c>
      <c r="J181" s="377">
        <v>9</v>
      </c>
      <c r="K181" s="377">
        <v>6192</v>
      </c>
      <c r="L181" s="377">
        <v>1.8078832116788321</v>
      </c>
      <c r="M181" s="377">
        <v>688</v>
      </c>
      <c r="N181" s="377">
        <v>9</v>
      </c>
      <c r="O181" s="377">
        <v>6204</v>
      </c>
      <c r="P181" s="438">
        <v>1.8113868613138686</v>
      </c>
      <c r="Q181" s="378">
        <v>689.33333333333337</v>
      </c>
    </row>
    <row r="182" spans="1:17" ht="14.4" customHeight="1" x14ac:dyDescent="0.3">
      <c r="A182" s="373" t="s">
        <v>802</v>
      </c>
      <c r="B182" s="374" t="s">
        <v>722</v>
      </c>
      <c r="C182" s="374" t="s">
        <v>719</v>
      </c>
      <c r="D182" s="374" t="s">
        <v>750</v>
      </c>
      <c r="E182" s="374" t="s">
        <v>736</v>
      </c>
      <c r="F182" s="377">
        <v>6</v>
      </c>
      <c r="G182" s="377">
        <v>8226</v>
      </c>
      <c r="H182" s="377">
        <v>1</v>
      </c>
      <c r="I182" s="377">
        <v>1371</v>
      </c>
      <c r="J182" s="377">
        <v>10</v>
      </c>
      <c r="K182" s="377">
        <v>13750</v>
      </c>
      <c r="L182" s="377">
        <v>1.6715292973498663</v>
      </c>
      <c r="M182" s="377">
        <v>1375</v>
      </c>
      <c r="N182" s="377">
        <v>9</v>
      </c>
      <c r="O182" s="377">
        <v>12383</v>
      </c>
      <c r="P182" s="438">
        <v>1.5053488937515196</v>
      </c>
      <c r="Q182" s="378">
        <v>1375.8888888888889</v>
      </c>
    </row>
    <row r="183" spans="1:17" ht="14.4" customHeight="1" x14ac:dyDescent="0.3">
      <c r="A183" s="373" t="s">
        <v>802</v>
      </c>
      <c r="B183" s="374" t="s">
        <v>722</v>
      </c>
      <c r="C183" s="374" t="s">
        <v>719</v>
      </c>
      <c r="D183" s="374" t="s">
        <v>751</v>
      </c>
      <c r="E183" s="374" t="s">
        <v>752</v>
      </c>
      <c r="F183" s="377">
        <v>5</v>
      </c>
      <c r="G183" s="377">
        <v>11550</v>
      </c>
      <c r="H183" s="377">
        <v>1</v>
      </c>
      <c r="I183" s="377">
        <v>2310</v>
      </c>
      <c r="J183" s="377">
        <v>7</v>
      </c>
      <c r="K183" s="377">
        <v>16233</v>
      </c>
      <c r="L183" s="377">
        <v>1.4054545454545455</v>
      </c>
      <c r="M183" s="377">
        <v>2319</v>
      </c>
      <c r="N183" s="377">
        <v>7</v>
      </c>
      <c r="O183" s="377">
        <v>16263</v>
      </c>
      <c r="P183" s="438">
        <v>1.408051948051948</v>
      </c>
      <c r="Q183" s="378">
        <v>2323.2857142857142</v>
      </c>
    </row>
    <row r="184" spans="1:17" ht="14.4" customHeight="1" x14ac:dyDescent="0.3">
      <c r="A184" s="373" t="s">
        <v>802</v>
      </c>
      <c r="B184" s="374" t="s">
        <v>722</v>
      </c>
      <c r="C184" s="374" t="s">
        <v>719</v>
      </c>
      <c r="D184" s="374" t="s">
        <v>753</v>
      </c>
      <c r="E184" s="374" t="s">
        <v>754</v>
      </c>
      <c r="F184" s="377">
        <v>6</v>
      </c>
      <c r="G184" s="377">
        <v>390</v>
      </c>
      <c r="H184" s="377">
        <v>1</v>
      </c>
      <c r="I184" s="377">
        <v>65</v>
      </c>
      <c r="J184" s="377">
        <v>9</v>
      </c>
      <c r="K184" s="377">
        <v>585</v>
      </c>
      <c r="L184" s="377">
        <v>1.5</v>
      </c>
      <c r="M184" s="377">
        <v>65</v>
      </c>
      <c r="N184" s="377">
        <v>10</v>
      </c>
      <c r="O184" s="377">
        <v>653</v>
      </c>
      <c r="P184" s="438">
        <v>1.6743589743589744</v>
      </c>
      <c r="Q184" s="378">
        <v>65.3</v>
      </c>
    </row>
    <row r="185" spans="1:17" ht="14.4" customHeight="1" x14ac:dyDescent="0.3">
      <c r="A185" s="373" t="s">
        <v>802</v>
      </c>
      <c r="B185" s="374" t="s">
        <v>722</v>
      </c>
      <c r="C185" s="374" t="s">
        <v>719</v>
      </c>
      <c r="D185" s="374" t="s">
        <v>755</v>
      </c>
      <c r="E185" s="374" t="s">
        <v>756</v>
      </c>
      <c r="F185" s="377">
        <v>11</v>
      </c>
      <c r="G185" s="377">
        <v>4334</v>
      </c>
      <c r="H185" s="377">
        <v>1</v>
      </c>
      <c r="I185" s="377">
        <v>394</v>
      </c>
      <c r="J185" s="377">
        <v>21</v>
      </c>
      <c r="K185" s="377">
        <v>8316</v>
      </c>
      <c r="L185" s="377">
        <v>1.9187817258883249</v>
      </c>
      <c r="M185" s="377">
        <v>396</v>
      </c>
      <c r="N185" s="377">
        <v>20</v>
      </c>
      <c r="O185" s="377">
        <v>7935</v>
      </c>
      <c r="P185" s="438">
        <v>1.8308721735117675</v>
      </c>
      <c r="Q185" s="378">
        <v>396.75</v>
      </c>
    </row>
    <row r="186" spans="1:17" ht="14.4" customHeight="1" x14ac:dyDescent="0.3">
      <c r="A186" s="373" t="s">
        <v>802</v>
      </c>
      <c r="B186" s="374" t="s">
        <v>722</v>
      </c>
      <c r="C186" s="374" t="s">
        <v>719</v>
      </c>
      <c r="D186" s="374" t="s">
        <v>757</v>
      </c>
      <c r="E186" s="374" t="s">
        <v>758</v>
      </c>
      <c r="F186" s="377">
        <v>4</v>
      </c>
      <c r="G186" s="377">
        <v>6388</v>
      </c>
      <c r="H186" s="377">
        <v>1</v>
      </c>
      <c r="I186" s="377">
        <v>1597</v>
      </c>
      <c r="J186" s="377"/>
      <c r="K186" s="377"/>
      <c r="L186" s="377"/>
      <c r="M186" s="377"/>
      <c r="N186" s="377">
        <v>3</v>
      </c>
      <c r="O186" s="377">
        <v>4803</v>
      </c>
      <c r="P186" s="438">
        <v>0.75187852222917972</v>
      </c>
      <c r="Q186" s="378">
        <v>1601</v>
      </c>
    </row>
    <row r="187" spans="1:17" ht="14.4" customHeight="1" x14ac:dyDescent="0.3">
      <c r="A187" s="373" t="s">
        <v>802</v>
      </c>
      <c r="B187" s="374" t="s">
        <v>722</v>
      </c>
      <c r="C187" s="374" t="s">
        <v>719</v>
      </c>
      <c r="D187" s="374" t="s">
        <v>759</v>
      </c>
      <c r="E187" s="374" t="s">
        <v>760</v>
      </c>
      <c r="F187" s="377">
        <v>37</v>
      </c>
      <c r="G187" s="377">
        <v>20313</v>
      </c>
      <c r="H187" s="377">
        <v>1</v>
      </c>
      <c r="I187" s="377">
        <v>549</v>
      </c>
      <c r="J187" s="377">
        <v>45</v>
      </c>
      <c r="K187" s="377">
        <v>24750</v>
      </c>
      <c r="L187" s="377">
        <v>1.2184315463003987</v>
      </c>
      <c r="M187" s="377">
        <v>550</v>
      </c>
      <c r="N187" s="377">
        <v>59</v>
      </c>
      <c r="O187" s="377">
        <v>32470</v>
      </c>
      <c r="P187" s="438">
        <v>1.5984837296312706</v>
      </c>
      <c r="Q187" s="378">
        <v>550.33898305084745</v>
      </c>
    </row>
    <row r="188" spans="1:17" ht="14.4" customHeight="1" x14ac:dyDescent="0.3">
      <c r="A188" s="373" t="s">
        <v>802</v>
      </c>
      <c r="B188" s="374" t="s">
        <v>722</v>
      </c>
      <c r="C188" s="374" t="s">
        <v>719</v>
      </c>
      <c r="D188" s="374" t="s">
        <v>765</v>
      </c>
      <c r="E188" s="374" t="s">
        <v>766</v>
      </c>
      <c r="F188" s="377"/>
      <c r="G188" s="377"/>
      <c r="H188" s="377"/>
      <c r="I188" s="377"/>
      <c r="J188" s="377">
        <v>1</v>
      </c>
      <c r="K188" s="377">
        <v>122</v>
      </c>
      <c r="L188" s="377"/>
      <c r="M188" s="377">
        <v>122</v>
      </c>
      <c r="N188" s="377">
        <v>1</v>
      </c>
      <c r="O188" s="377">
        <v>122</v>
      </c>
      <c r="P188" s="438"/>
      <c r="Q188" s="378">
        <v>122</v>
      </c>
    </row>
    <row r="189" spans="1:17" ht="14.4" customHeight="1" x14ac:dyDescent="0.3">
      <c r="A189" s="373" t="s">
        <v>802</v>
      </c>
      <c r="B189" s="374" t="s">
        <v>722</v>
      </c>
      <c r="C189" s="374" t="s">
        <v>719</v>
      </c>
      <c r="D189" s="374" t="s">
        <v>767</v>
      </c>
      <c r="E189" s="374" t="s">
        <v>768</v>
      </c>
      <c r="F189" s="377">
        <v>44</v>
      </c>
      <c r="G189" s="377">
        <v>18700</v>
      </c>
      <c r="H189" s="377">
        <v>1</v>
      </c>
      <c r="I189" s="377">
        <v>425</v>
      </c>
      <c r="J189" s="377">
        <v>51</v>
      </c>
      <c r="K189" s="377">
        <v>21675</v>
      </c>
      <c r="L189" s="377">
        <v>1.1590909090909092</v>
      </c>
      <c r="M189" s="377">
        <v>425</v>
      </c>
      <c r="N189" s="377">
        <v>46</v>
      </c>
      <c r="O189" s="377">
        <v>19558</v>
      </c>
      <c r="P189" s="438">
        <v>1.0458823529411765</v>
      </c>
      <c r="Q189" s="378">
        <v>425.17391304347825</v>
      </c>
    </row>
    <row r="190" spans="1:17" ht="14.4" customHeight="1" x14ac:dyDescent="0.3">
      <c r="A190" s="373" t="s">
        <v>802</v>
      </c>
      <c r="B190" s="374" t="s">
        <v>722</v>
      </c>
      <c r="C190" s="374" t="s">
        <v>719</v>
      </c>
      <c r="D190" s="374" t="s">
        <v>771</v>
      </c>
      <c r="E190" s="374" t="s">
        <v>730</v>
      </c>
      <c r="F190" s="377"/>
      <c r="G190" s="377"/>
      <c r="H190" s="377"/>
      <c r="I190" s="377"/>
      <c r="J190" s="377"/>
      <c r="K190" s="377"/>
      <c r="L190" s="377"/>
      <c r="M190" s="377"/>
      <c r="N190" s="377">
        <v>1</v>
      </c>
      <c r="O190" s="377">
        <v>915</v>
      </c>
      <c r="P190" s="438"/>
      <c r="Q190" s="378">
        <v>915</v>
      </c>
    </row>
    <row r="191" spans="1:17" ht="14.4" customHeight="1" x14ac:dyDescent="0.3">
      <c r="A191" s="373" t="s">
        <v>803</v>
      </c>
      <c r="B191" s="374" t="s">
        <v>722</v>
      </c>
      <c r="C191" s="374" t="s">
        <v>719</v>
      </c>
      <c r="D191" s="374" t="s">
        <v>727</v>
      </c>
      <c r="E191" s="374" t="s">
        <v>728</v>
      </c>
      <c r="F191" s="377"/>
      <c r="G191" s="377"/>
      <c r="H191" s="377"/>
      <c r="I191" s="377"/>
      <c r="J191" s="377">
        <v>2</v>
      </c>
      <c r="K191" s="377">
        <v>4426</v>
      </c>
      <c r="L191" s="377"/>
      <c r="M191" s="377">
        <v>2213</v>
      </c>
      <c r="N191" s="377"/>
      <c r="O191" s="377"/>
      <c r="P191" s="438"/>
      <c r="Q191" s="378"/>
    </row>
    <row r="192" spans="1:17" ht="14.4" customHeight="1" x14ac:dyDescent="0.3">
      <c r="A192" s="373" t="s">
        <v>803</v>
      </c>
      <c r="B192" s="374" t="s">
        <v>722</v>
      </c>
      <c r="C192" s="374" t="s">
        <v>719</v>
      </c>
      <c r="D192" s="374" t="s">
        <v>731</v>
      </c>
      <c r="E192" s="374" t="s">
        <v>732</v>
      </c>
      <c r="F192" s="377"/>
      <c r="G192" s="377"/>
      <c r="H192" s="377"/>
      <c r="I192" s="377"/>
      <c r="J192" s="377">
        <v>1</v>
      </c>
      <c r="K192" s="377">
        <v>3698</v>
      </c>
      <c r="L192" s="377"/>
      <c r="M192" s="377">
        <v>3698</v>
      </c>
      <c r="N192" s="377"/>
      <c r="O192" s="377"/>
      <c r="P192" s="438"/>
      <c r="Q192" s="378"/>
    </row>
    <row r="193" spans="1:17" ht="14.4" customHeight="1" x14ac:dyDescent="0.3">
      <c r="A193" s="373" t="s">
        <v>803</v>
      </c>
      <c r="B193" s="374" t="s">
        <v>722</v>
      </c>
      <c r="C193" s="374" t="s">
        <v>719</v>
      </c>
      <c r="D193" s="374" t="s">
        <v>743</v>
      </c>
      <c r="E193" s="374" t="s">
        <v>744</v>
      </c>
      <c r="F193" s="377"/>
      <c r="G193" s="377"/>
      <c r="H193" s="377"/>
      <c r="I193" s="377"/>
      <c r="J193" s="377">
        <v>2</v>
      </c>
      <c r="K193" s="377">
        <v>2894</v>
      </c>
      <c r="L193" s="377"/>
      <c r="M193" s="377">
        <v>1447</v>
      </c>
      <c r="N193" s="377"/>
      <c r="O193" s="377"/>
      <c r="P193" s="438"/>
      <c r="Q193" s="378"/>
    </row>
    <row r="194" spans="1:17" ht="14.4" customHeight="1" x14ac:dyDescent="0.3">
      <c r="A194" s="373" t="s">
        <v>803</v>
      </c>
      <c r="B194" s="374" t="s">
        <v>722</v>
      </c>
      <c r="C194" s="374" t="s">
        <v>719</v>
      </c>
      <c r="D194" s="374" t="s">
        <v>747</v>
      </c>
      <c r="E194" s="374" t="s">
        <v>748</v>
      </c>
      <c r="F194" s="377"/>
      <c r="G194" s="377"/>
      <c r="H194" s="377"/>
      <c r="I194" s="377"/>
      <c r="J194" s="377">
        <v>1</v>
      </c>
      <c r="K194" s="377">
        <v>16</v>
      </c>
      <c r="L194" s="377"/>
      <c r="M194" s="377">
        <v>16</v>
      </c>
      <c r="N194" s="377"/>
      <c r="O194" s="377"/>
      <c r="P194" s="438"/>
      <c r="Q194" s="378"/>
    </row>
    <row r="195" spans="1:17" ht="14.4" customHeight="1" x14ac:dyDescent="0.3">
      <c r="A195" s="373" t="s">
        <v>803</v>
      </c>
      <c r="B195" s="374" t="s">
        <v>722</v>
      </c>
      <c r="C195" s="374" t="s">
        <v>719</v>
      </c>
      <c r="D195" s="374" t="s">
        <v>749</v>
      </c>
      <c r="E195" s="374" t="s">
        <v>734</v>
      </c>
      <c r="F195" s="377"/>
      <c r="G195" s="377"/>
      <c r="H195" s="377"/>
      <c r="I195" s="377"/>
      <c r="J195" s="377">
        <v>2</v>
      </c>
      <c r="K195" s="377">
        <v>1376</v>
      </c>
      <c r="L195" s="377"/>
      <c r="M195" s="377">
        <v>688</v>
      </c>
      <c r="N195" s="377"/>
      <c r="O195" s="377"/>
      <c r="P195" s="438"/>
      <c r="Q195" s="378"/>
    </row>
    <row r="196" spans="1:17" ht="14.4" customHeight="1" x14ac:dyDescent="0.3">
      <c r="A196" s="373" t="s">
        <v>803</v>
      </c>
      <c r="B196" s="374" t="s">
        <v>722</v>
      </c>
      <c r="C196" s="374" t="s">
        <v>719</v>
      </c>
      <c r="D196" s="374" t="s">
        <v>750</v>
      </c>
      <c r="E196" s="374" t="s">
        <v>736</v>
      </c>
      <c r="F196" s="377"/>
      <c r="G196" s="377"/>
      <c r="H196" s="377"/>
      <c r="I196" s="377"/>
      <c r="J196" s="377">
        <v>1</v>
      </c>
      <c r="K196" s="377">
        <v>1375</v>
      </c>
      <c r="L196" s="377"/>
      <c r="M196" s="377">
        <v>1375</v>
      </c>
      <c r="N196" s="377"/>
      <c r="O196" s="377"/>
      <c r="P196" s="438"/>
      <c r="Q196" s="378"/>
    </row>
    <row r="197" spans="1:17" ht="14.4" customHeight="1" x14ac:dyDescent="0.3">
      <c r="A197" s="373" t="s">
        <v>803</v>
      </c>
      <c r="B197" s="374" t="s">
        <v>722</v>
      </c>
      <c r="C197" s="374" t="s">
        <v>719</v>
      </c>
      <c r="D197" s="374" t="s">
        <v>751</v>
      </c>
      <c r="E197" s="374" t="s">
        <v>752</v>
      </c>
      <c r="F197" s="377"/>
      <c r="G197" s="377"/>
      <c r="H197" s="377"/>
      <c r="I197" s="377"/>
      <c r="J197" s="377">
        <v>1</v>
      </c>
      <c r="K197" s="377">
        <v>2319</v>
      </c>
      <c r="L197" s="377"/>
      <c r="M197" s="377">
        <v>2319</v>
      </c>
      <c r="N197" s="377"/>
      <c r="O197" s="377"/>
      <c r="P197" s="438"/>
      <c r="Q197" s="378"/>
    </row>
    <row r="198" spans="1:17" ht="14.4" customHeight="1" x14ac:dyDescent="0.3">
      <c r="A198" s="373" t="s">
        <v>803</v>
      </c>
      <c r="B198" s="374" t="s">
        <v>722</v>
      </c>
      <c r="C198" s="374" t="s">
        <v>719</v>
      </c>
      <c r="D198" s="374" t="s">
        <v>753</v>
      </c>
      <c r="E198" s="374" t="s">
        <v>754</v>
      </c>
      <c r="F198" s="377"/>
      <c r="G198" s="377"/>
      <c r="H198" s="377"/>
      <c r="I198" s="377"/>
      <c r="J198" s="377">
        <v>2</v>
      </c>
      <c r="K198" s="377">
        <v>130</v>
      </c>
      <c r="L198" s="377"/>
      <c r="M198" s="377">
        <v>65</v>
      </c>
      <c r="N198" s="377"/>
      <c r="O198" s="377"/>
      <c r="P198" s="438"/>
      <c r="Q198" s="378"/>
    </row>
    <row r="199" spans="1:17" ht="14.4" customHeight="1" x14ac:dyDescent="0.3">
      <c r="A199" s="373" t="s">
        <v>803</v>
      </c>
      <c r="B199" s="374" t="s">
        <v>722</v>
      </c>
      <c r="C199" s="374" t="s">
        <v>719</v>
      </c>
      <c r="D199" s="374" t="s">
        <v>755</v>
      </c>
      <c r="E199" s="374" t="s">
        <v>756</v>
      </c>
      <c r="F199" s="377"/>
      <c r="G199" s="377"/>
      <c r="H199" s="377"/>
      <c r="I199" s="377"/>
      <c r="J199" s="377">
        <v>2</v>
      </c>
      <c r="K199" s="377">
        <v>792</v>
      </c>
      <c r="L199" s="377"/>
      <c r="M199" s="377">
        <v>396</v>
      </c>
      <c r="N199" s="377"/>
      <c r="O199" s="377"/>
      <c r="P199" s="438"/>
      <c r="Q199" s="378"/>
    </row>
    <row r="200" spans="1:17" ht="14.4" customHeight="1" x14ac:dyDescent="0.3">
      <c r="A200" s="373" t="s">
        <v>803</v>
      </c>
      <c r="B200" s="374" t="s">
        <v>722</v>
      </c>
      <c r="C200" s="374" t="s">
        <v>719</v>
      </c>
      <c r="D200" s="374" t="s">
        <v>759</v>
      </c>
      <c r="E200" s="374" t="s">
        <v>760</v>
      </c>
      <c r="F200" s="377"/>
      <c r="G200" s="377"/>
      <c r="H200" s="377"/>
      <c r="I200" s="377"/>
      <c r="J200" s="377">
        <v>5</v>
      </c>
      <c r="K200" s="377">
        <v>2750</v>
      </c>
      <c r="L200" s="377"/>
      <c r="M200" s="377">
        <v>550</v>
      </c>
      <c r="N200" s="377"/>
      <c r="O200" s="377"/>
      <c r="P200" s="438"/>
      <c r="Q200" s="378"/>
    </row>
    <row r="201" spans="1:17" ht="14.4" customHeight="1" x14ac:dyDescent="0.3">
      <c r="A201" s="373" t="s">
        <v>804</v>
      </c>
      <c r="B201" s="374" t="s">
        <v>722</v>
      </c>
      <c r="C201" s="374" t="s">
        <v>719</v>
      </c>
      <c r="D201" s="374" t="s">
        <v>725</v>
      </c>
      <c r="E201" s="374" t="s">
        <v>726</v>
      </c>
      <c r="F201" s="377"/>
      <c r="G201" s="377"/>
      <c r="H201" s="377"/>
      <c r="I201" s="377"/>
      <c r="J201" s="377">
        <v>1</v>
      </c>
      <c r="K201" s="377">
        <v>1220</v>
      </c>
      <c r="L201" s="377"/>
      <c r="M201" s="377">
        <v>1220</v>
      </c>
      <c r="N201" s="377"/>
      <c r="O201" s="377"/>
      <c r="P201" s="438"/>
      <c r="Q201" s="378"/>
    </row>
    <row r="202" spans="1:17" ht="14.4" customHeight="1" x14ac:dyDescent="0.3">
      <c r="A202" s="373" t="s">
        <v>804</v>
      </c>
      <c r="B202" s="374" t="s">
        <v>722</v>
      </c>
      <c r="C202" s="374" t="s">
        <v>719</v>
      </c>
      <c r="D202" s="374" t="s">
        <v>729</v>
      </c>
      <c r="E202" s="374" t="s">
        <v>730</v>
      </c>
      <c r="F202" s="377"/>
      <c r="G202" s="377"/>
      <c r="H202" s="377"/>
      <c r="I202" s="377"/>
      <c r="J202" s="377">
        <v>1</v>
      </c>
      <c r="K202" s="377">
        <v>1035</v>
      </c>
      <c r="L202" s="377"/>
      <c r="M202" s="377">
        <v>1035</v>
      </c>
      <c r="N202" s="377"/>
      <c r="O202" s="377"/>
      <c r="P202" s="438"/>
      <c r="Q202" s="378"/>
    </row>
    <row r="203" spans="1:17" ht="14.4" customHeight="1" x14ac:dyDescent="0.3">
      <c r="A203" s="373" t="s">
        <v>804</v>
      </c>
      <c r="B203" s="374" t="s">
        <v>722</v>
      </c>
      <c r="C203" s="374" t="s">
        <v>719</v>
      </c>
      <c r="D203" s="374" t="s">
        <v>743</v>
      </c>
      <c r="E203" s="374" t="s">
        <v>744</v>
      </c>
      <c r="F203" s="377">
        <v>1</v>
      </c>
      <c r="G203" s="377">
        <v>1441</v>
      </c>
      <c r="H203" s="377">
        <v>1</v>
      </c>
      <c r="I203" s="377">
        <v>1441</v>
      </c>
      <c r="J203" s="377">
        <v>2</v>
      </c>
      <c r="K203" s="377">
        <v>2894</v>
      </c>
      <c r="L203" s="377">
        <v>2.0083275503122833</v>
      </c>
      <c r="M203" s="377">
        <v>1447</v>
      </c>
      <c r="N203" s="377"/>
      <c r="O203" s="377"/>
      <c r="P203" s="438"/>
      <c r="Q203" s="378"/>
    </row>
    <row r="204" spans="1:17" ht="14.4" customHeight="1" x14ac:dyDescent="0.3">
      <c r="A204" s="373" t="s">
        <v>804</v>
      </c>
      <c r="B204" s="374" t="s">
        <v>722</v>
      </c>
      <c r="C204" s="374" t="s">
        <v>719</v>
      </c>
      <c r="D204" s="374" t="s">
        <v>747</v>
      </c>
      <c r="E204" s="374" t="s">
        <v>748</v>
      </c>
      <c r="F204" s="377">
        <v>1</v>
      </c>
      <c r="G204" s="377">
        <v>16</v>
      </c>
      <c r="H204" s="377">
        <v>1</v>
      </c>
      <c r="I204" s="377">
        <v>16</v>
      </c>
      <c r="J204" s="377">
        <v>5</v>
      </c>
      <c r="K204" s="377">
        <v>80</v>
      </c>
      <c r="L204" s="377">
        <v>5</v>
      </c>
      <c r="M204" s="377">
        <v>16</v>
      </c>
      <c r="N204" s="377">
        <v>1</v>
      </c>
      <c r="O204" s="377">
        <v>16</v>
      </c>
      <c r="P204" s="438">
        <v>1</v>
      </c>
      <c r="Q204" s="378">
        <v>16</v>
      </c>
    </row>
    <row r="205" spans="1:17" ht="14.4" customHeight="1" x14ac:dyDescent="0.3">
      <c r="A205" s="373" t="s">
        <v>804</v>
      </c>
      <c r="B205" s="374" t="s">
        <v>722</v>
      </c>
      <c r="C205" s="374" t="s">
        <v>719</v>
      </c>
      <c r="D205" s="374" t="s">
        <v>749</v>
      </c>
      <c r="E205" s="374" t="s">
        <v>734</v>
      </c>
      <c r="F205" s="377">
        <v>2</v>
      </c>
      <c r="G205" s="377">
        <v>1370</v>
      </c>
      <c r="H205" s="377">
        <v>1</v>
      </c>
      <c r="I205" s="377">
        <v>685</v>
      </c>
      <c r="J205" s="377">
        <v>8</v>
      </c>
      <c r="K205" s="377">
        <v>5504</v>
      </c>
      <c r="L205" s="377">
        <v>4.0175182481751825</v>
      </c>
      <c r="M205" s="377">
        <v>688</v>
      </c>
      <c r="N205" s="377">
        <v>1</v>
      </c>
      <c r="O205" s="377">
        <v>694</v>
      </c>
      <c r="P205" s="438">
        <v>0.50656934306569346</v>
      </c>
      <c r="Q205" s="378">
        <v>694</v>
      </c>
    </row>
    <row r="206" spans="1:17" ht="14.4" customHeight="1" x14ac:dyDescent="0.3">
      <c r="A206" s="373" t="s">
        <v>804</v>
      </c>
      <c r="B206" s="374" t="s">
        <v>722</v>
      </c>
      <c r="C206" s="374" t="s">
        <v>719</v>
      </c>
      <c r="D206" s="374" t="s">
        <v>750</v>
      </c>
      <c r="E206" s="374" t="s">
        <v>736</v>
      </c>
      <c r="F206" s="377"/>
      <c r="G206" s="377"/>
      <c r="H206" s="377"/>
      <c r="I206" s="377"/>
      <c r="J206" s="377">
        <v>1</v>
      </c>
      <c r="K206" s="377">
        <v>1375</v>
      </c>
      <c r="L206" s="377"/>
      <c r="M206" s="377">
        <v>1375</v>
      </c>
      <c r="N206" s="377"/>
      <c r="O206" s="377"/>
      <c r="P206" s="438"/>
      <c r="Q206" s="378"/>
    </row>
    <row r="207" spans="1:17" ht="14.4" customHeight="1" x14ac:dyDescent="0.3">
      <c r="A207" s="373" t="s">
        <v>804</v>
      </c>
      <c r="B207" s="374" t="s">
        <v>722</v>
      </c>
      <c r="C207" s="374" t="s">
        <v>719</v>
      </c>
      <c r="D207" s="374" t="s">
        <v>751</v>
      </c>
      <c r="E207" s="374" t="s">
        <v>752</v>
      </c>
      <c r="F207" s="377"/>
      <c r="G207" s="377"/>
      <c r="H207" s="377"/>
      <c r="I207" s="377"/>
      <c r="J207" s="377">
        <v>1</v>
      </c>
      <c r="K207" s="377">
        <v>2319</v>
      </c>
      <c r="L207" s="377"/>
      <c r="M207" s="377">
        <v>2319</v>
      </c>
      <c r="N207" s="377">
        <v>1</v>
      </c>
      <c r="O207" s="377">
        <v>2334</v>
      </c>
      <c r="P207" s="438"/>
      <c r="Q207" s="378">
        <v>2334</v>
      </c>
    </row>
    <row r="208" spans="1:17" ht="14.4" customHeight="1" x14ac:dyDescent="0.3">
      <c r="A208" s="373" t="s">
        <v>804</v>
      </c>
      <c r="B208" s="374" t="s">
        <v>722</v>
      </c>
      <c r="C208" s="374" t="s">
        <v>719</v>
      </c>
      <c r="D208" s="374" t="s">
        <v>753</v>
      </c>
      <c r="E208" s="374" t="s">
        <v>754</v>
      </c>
      <c r="F208" s="377">
        <v>2</v>
      </c>
      <c r="G208" s="377">
        <v>130</v>
      </c>
      <c r="H208" s="377">
        <v>1</v>
      </c>
      <c r="I208" s="377">
        <v>65</v>
      </c>
      <c r="J208" s="377">
        <v>8</v>
      </c>
      <c r="K208" s="377">
        <v>520</v>
      </c>
      <c r="L208" s="377">
        <v>4</v>
      </c>
      <c r="M208" s="377">
        <v>65</v>
      </c>
      <c r="N208" s="377">
        <v>1</v>
      </c>
      <c r="O208" s="377">
        <v>66</v>
      </c>
      <c r="P208" s="438">
        <v>0.50769230769230766</v>
      </c>
      <c r="Q208" s="378">
        <v>66</v>
      </c>
    </row>
    <row r="209" spans="1:17" ht="14.4" customHeight="1" x14ac:dyDescent="0.3">
      <c r="A209" s="373" t="s">
        <v>804</v>
      </c>
      <c r="B209" s="374" t="s">
        <v>722</v>
      </c>
      <c r="C209" s="374" t="s">
        <v>719</v>
      </c>
      <c r="D209" s="374" t="s">
        <v>755</v>
      </c>
      <c r="E209" s="374" t="s">
        <v>756</v>
      </c>
      <c r="F209" s="377">
        <v>1</v>
      </c>
      <c r="G209" s="377">
        <v>394</v>
      </c>
      <c r="H209" s="377">
        <v>1</v>
      </c>
      <c r="I209" s="377">
        <v>394</v>
      </c>
      <c r="J209" s="377">
        <v>2</v>
      </c>
      <c r="K209" s="377">
        <v>792</v>
      </c>
      <c r="L209" s="377">
        <v>2.0101522842639592</v>
      </c>
      <c r="M209" s="377">
        <v>396</v>
      </c>
      <c r="N209" s="377"/>
      <c r="O209" s="377"/>
      <c r="P209" s="438"/>
      <c r="Q209" s="378"/>
    </row>
    <row r="210" spans="1:17" ht="14.4" customHeight="1" x14ac:dyDescent="0.3">
      <c r="A210" s="373" t="s">
        <v>804</v>
      </c>
      <c r="B210" s="374" t="s">
        <v>722</v>
      </c>
      <c r="C210" s="374" t="s">
        <v>719</v>
      </c>
      <c r="D210" s="374" t="s">
        <v>759</v>
      </c>
      <c r="E210" s="374" t="s">
        <v>760</v>
      </c>
      <c r="F210" s="377">
        <v>6</v>
      </c>
      <c r="G210" s="377">
        <v>3294</v>
      </c>
      <c r="H210" s="377">
        <v>1</v>
      </c>
      <c r="I210" s="377">
        <v>549</v>
      </c>
      <c r="J210" s="377">
        <v>22</v>
      </c>
      <c r="K210" s="377">
        <v>12100</v>
      </c>
      <c r="L210" s="377">
        <v>3.6733454766241653</v>
      </c>
      <c r="M210" s="377">
        <v>550</v>
      </c>
      <c r="N210" s="377">
        <v>5</v>
      </c>
      <c r="O210" s="377">
        <v>2755</v>
      </c>
      <c r="P210" s="438">
        <v>0.83636915604128714</v>
      </c>
      <c r="Q210" s="378">
        <v>551</v>
      </c>
    </row>
    <row r="211" spans="1:17" ht="14.4" customHeight="1" x14ac:dyDescent="0.3">
      <c r="A211" s="373" t="s">
        <v>805</v>
      </c>
      <c r="B211" s="374" t="s">
        <v>722</v>
      </c>
      <c r="C211" s="374" t="s">
        <v>719</v>
      </c>
      <c r="D211" s="374" t="s">
        <v>727</v>
      </c>
      <c r="E211" s="374" t="s">
        <v>728</v>
      </c>
      <c r="F211" s="377"/>
      <c r="G211" s="377"/>
      <c r="H211" s="377"/>
      <c r="I211" s="377"/>
      <c r="J211" s="377"/>
      <c r="K211" s="377"/>
      <c r="L211" s="377"/>
      <c r="M211" s="377"/>
      <c r="N211" s="377">
        <v>1</v>
      </c>
      <c r="O211" s="377">
        <v>2213</v>
      </c>
      <c r="P211" s="438"/>
      <c r="Q211" s="378">
        <v>2213</v>
      </c>
    </row>
    <row r="212" spans="1:17" ht="14.4" customHeight="1" x14ac:dyDescent="0.3">
      <c r="A212" s="373" t="s">
        <v>805</v>
      </c>
      <c r="B212" s="374" t="s">
        <v>722</v>
      </c>
      <c r="C212" s="374" t="s">
        <v>719</v>
      </c>
      <c r="D212" s="374" t="s">
        <v>743</v>
      </c>
      <c r="E212" s="374" t="s">
        <v>744</v>
      </c>
      <c r="F212" s="377"/>
      <c r="G212" s="377"/>
      <c r="H212" s="377"/>
      <c r="I212" s="377"/>
      <c r="J212" s="377"/>
      <c r="K212" s="377"/>
      <c r="L212" s="377"/>
      <c r="M212" s="377"/>
      <c r="N212" s="377">
        <v>1</v>
      </c>
      <c r="O212" s="377">
        <v>1447</v>
      </c>
      <c r="P212" s="438"/>
      <c r="Q212" s="378">
        <v>1447</v>
      </c>
    </row>
    <row r="213" spans="1:17" ht="14.4" customHeight="1" x14ac:dyDescent="0.3">
      <c r="A213" s="373" t="s">
        <v>805</v>
      </c>
      <c r="B213" s="374" t="s">
        <v>722</v>
      </c>
      <c r="C213" s="374" t="s">
        <v>719</v>
      </c>
      <c r="D213" s="374" t="s">
        <v>747</v>
      </c>
      <c r="E213" s="374" t="s">
        <v>748</v>
      </c>
      <c r="F213" s="377"/>
      <c r="G213" s="377"/>
      <c r="H213" s="377"/>
      <c r="I213" s="377"/>
      <c r="J213" s="377"/>
      <c r="K213" s="377"/>
      <c r="L213" s="377"/>
      <c r="M213" s="377"/>
      <c r="N213" s="377">
        <v>1</v>
      </c>
      <c r="O213" s="377">
        <v>16</v>
      </c>
      <c r="P213" s="438"/>
      <c r="Q213" s="378">
        <v>16</v>
      </c>
    </row>
    <row r="214" spans="1:17" ht="14.4" customHeight="1" x14ac:dyDescent="0.3">
      <c r="A214" s="373" t="s">
        <v>805</v>
      </c>
      <c r="B214" s="374" t="s">
        <v>722</v>
      </c>
      <c r="C214" s="374" t="s">
        <v>719</v>
      </c>
      <c r="D214" s="374" t="s">
        <v>755</v>
      </c>
      <c r="E214" s="374" t="s">
        <v>756</v>
      </c>
      <c r="F214" s="377"/>
      <c r="G214" s="377"/>
      <c r="H214" s="377"/>
      <c r="I214" s="377"/>
      <c r="J214" s="377"/>
      <c r="K214" s="377"/>
      <c r="L214" s="377"/>
      <c r="M214" s="377"/>
      <c r="N214" s="377">
        <v>1</v>
      </c>
      <c r="O214" s="377">
        <v>396</v>
      </c>
      <c r="P214" s="438"/>
      <c r="Q214" s="378">
        <v>396</v>
      </c>
    </row>
    <row r="215" spans="1:17" ht="14.4" customHeight="1" x14ac:dyDescent="0.3">
      <c r="A215" s="373" t="s">
        <v>805</v>
      </c>
      <c r="B215" s="374" t="s">
        <v>722</v>
      </c>
      <c r="C215" s="374" t="s">
        <v>719</v>
      </c>
      <c r="D215" s="374" t="s">
        <v>767</v>
      </c>
      <c r="E215" s="374" t="s">
        <v>768</v>
      </c>
      <c r="F215" s="377"/>
      <c r="G215" s="377"/>
      <c r="H215" s="377"/>
      <c r="I215" s="377"/>
      <c r="J215" s="377"/>
      <c r="K215" s="377"/>
      <c r="L215" s="377"/>
      <c r="M215" s="377"/>
      <c r="N215" s="377">
        <v>3</v>
      </c>
      <c r="O215" s="377">
        <v>1275</v>
      </c>
      <c r="P215" s="438"/>
      <c r="Q215" s="378">
        <v>425</v>
      </c>
    </row>
    <row r="216" spans="1:17" ht="14.4" customHeight="1" x14ac:dyDescent="0.3">
      <c r="A216" s="373" t="s">
        <v>806</v>
      </c>
      <c r="B216" s="374" t="s">
        <v>722</v>
      </c>
      <c r="C216" s="374" t="s">
        <v>719</v>
      </c>
      <c r="D216" s="374" t="s">
        <v>733</v>
      </c>
      <c r="E216" s="374" t="s">
        <v>734</v>
      </c>
      <c r="F216" s="377">
        <v>1</v>
      </c>
      <c r="G216" s="377">
        <v>437</v>
      </c>
      <c r="H216" s="377">
        <v>1</v>
      </c>
      <c r="I216" s="377">
        <v>437</v>
      </c>
      <c r="J216" s="377"/>
      <c r="K216" s="377"/>
      <c r="L216" s="377"/>
      <c r="M216" s="377"/>
      <c r="N216" s="377"/>
      <c r="O216" s="377"/>
      <c r="P216" s="438"/>
      <c r="Q216" s="378"/>
    </row>
    <row r="217" spans="1:17" ht="14.4" customHeight="1" x14ac:dyDescent="0.3">
      <c r="A217" s="373" t="s">
        <v>806</v>
      </c>
      <c r="B217" s="374" t="s">
        <v>722</v>
      </c>
      <c r="C217" s="374" t="s">
        <v>719</v>
      </c>
      <c r="D217" s="374" t="s">
        <v>747</v>
      </c>
      <c r="E217" s="374" t="s">
        <v>748</v>
      </c>
      <c r="F217" s="377">
        <v>1</v>
      </c>
      <c r="G217" s="377">
        <v>16</v>
      </c>
      <c r="H217" s="377">
        <v>1</v>
      </c>
      <c r="I217" s="377">
        <v>16</v>
      </c>
      <c r="J217" s="377"/>
      <c r="K217" s="377"/>
      <c r="L217" s="377"/>
      <c r="M217" s="377"/>
      <c r="N217" s="377"/>
      <c r="O217" s="377"/>
      <c r="P217" s="438"/>
      <c r="Q217" s="378"/>
    </row>
    <row r="218" spans="1:17" ht="14.4" customHeight="1" x14ac:dyDescent="0.3">
      <c r="A218" s="373" t="s">
        <v>806</v>
      </c>
      <c r="B218" s="374" t="s">
        <v>722</v>
      </c>
      <c r="C218" s="374" t="s">
        <v>719</v>
      </c>
      <c r="D218" s="374" t="s">
        <v>753</v>
      </c>
      <c r="E218" s="374" t="s">
        <v>754</v>
      </c>
      <c r="F218" s="377">
        <v>1</v>
      </c>
      <c r="G218" s="377">
        <v>65</v>
      </c>
      <c r="H218" s="377">
        <v>1</v>
      </c>
      <c r="I218" s="377">
        <v>65</v>
      </c>
      <c r="J218" s="377"/>
      <c r="K218" s="377"/>
      <c r="L218" s="377"/>
      <c r="M218" s="377"/>
      <c r="N218" s="377"/>
      <c r="O218" s="377"/>
      <c r="P218" s="438"/>
      <c r="Q218" s="378"/>
    </row>
    <row r="219" spans="1:17" ht="14.4" customHeight="1" x14ac:dyDescent="0.3">
      <c r="A219" s="373" t="s">
        <v>807</v>
      </c>
      <c r="B219" s="374" t="s">
        <v>718</v>
      </c>
      <c r="C219" s="374" t="s">
        <v>719</v>
      </c>
      <c r="D219" s="374" t="s">
        <v>720</v>
      </c>
      <c r="E219" s="374" t="s">
        <v>721</v>
      </c>
      <c r="F219" s="377"/>
      <c r="G219" s="377"/>
      <c r="H219" s="377"/>
      <c r="I219" s="377"/>
      <c r="J219" s="377"/>
      <c r="K219" s="377"/>
      <c r="L219" s="377"/>
      <c r="M219" s="377"/>
      <c r="N219" s="377">
        <v>3</v>
      </c>
      <c r="O219" s="377">
        <v>31965</v>
      </c>
      <c r="P219" s="438"/>
      <c r="Q219" s="378">
        <v>10655</v>
      </c>
    </row>
    <row r="220" spans="1:17" ht="14.4" customHeight="1" x14ac:dyDescent="0.3">
      <c r="A220" s="373" t="s">
        <v>807</v>
      </c>
      <c r="B220" s="374" t="s">
        <v>722</v>
      </c>
      <c r="C220" s="374" t="s">
        <v>719</v>
      </c>
      <c r="D220" s="374" t="s">
        <v>723</v>
      </c>
      <c r="E220" s="374" t="s">
        <v>724</v>
      </c>
      <c r="F220" s="377"/>
      <c r="G220" s="377"/>
      <c r="H220" s="377"/>
      <c r="I220" s="377"/>
      <c r="J220" s="377">
        <v>1</v>
      </c>
      <c r="K220" s="377">
        <v>126</v>
      </c>
      <c r="L220" s="377"/>
      <c r="M220" s="377">
        <v>126</v>
      </c>
      <c r="N220" s="377"/>
      <c r="O220" s="377"/>
      <c r="P220" s="438"/>
      <c r="Q220" s="378"/>
    </row>
    <row r="221" spans="1:17" ht="14.4" customHeight="1" x14ac:dyDescent="0.3">
      <c r="A221" s="373" t="s">
        <v>807</v>
      </c>
      <c r="B221" s="374" t="s">
        <v>722</v>
      </c>
      <c r="C221" s="374" t="s">
        <v>719</v>
      </c>
      <c r="D221" s="374" t="s">
        <v>731</v>
      </c>
      <c r="E221" s="374" t="s">
        <v>732</v>
      </c>
      <c r="F221" s="377"/>
      <c r="G221" s="377"/>
      <c r="H221" s="377"/>
      <c r="I221" s="377"/>
      <c r="J221" s="377">
        <v>3</v>
      </c>
      <c r="K221" s="377">
        <v>11094</v>
      </c>
      <c r="L221" s="377"/>
      <c r="M221" s="377">
        <v>3698</v>
      </c>
      <c r="N221" s="377"/>
      <c r="O221" s="377"/>
      <c r="P221" s="438"/>
      <c r="Q221" s="378"/>
    </row>
    <row r="222" spans="1:17" ht="14.4" customHeight="1" x14ac:dyDescent="0.3">
      <c r="A222" s="373" t="s">
        <v>807</v>
      </c>
      <c r="B222" s="374" t="s">
        <v>722</v>
      </c>
      <c r="C222" s="374" t="s">
        <v>719</v>
      </c>
      <c r="D222" s="374" t="s">
        <v>733</v>
      </c>
      <c r="E222" s="374" t="s">
        <v>734</v>
      </c>
      <c r="F222" s="377"/>
      <c r="G222" s="377"/>
      <c r="H222" s="377"/>
      <c r="I222" s="377"/>
      <c r="J222" s="377">
        <v>2</v>
      </c>
      <c r="K222" s="377">
        <v>876</v>
      </c>
      <c r="L222" s="377"/>
      <c r="M222" s="377">
        <v>438</v>
      </c>
      <c r="N222" s="377"/>
      <c r="O222" s="377"/>
      <c r="P222" s="438"/>
      <c r="Q222" s="378"/>
    </row>
    <row r="223" spans="1:17" ht="14.4" customHeight="1" x14ac:dyDescent="0.3">
      <c r="A223" s="373" t="s">
        <v>807</v>
      </c>
      <c r="B223" s="374" t="s">
        <v>722</v>
      </c>
      <c r="C223" s="374" t="s">
        <v>719</v>
      </c>
      <c r="D223" s="374" t="s">
        <v>743</v>
      </c>
      <c r="E223" s="374" t="s">
        <v>744</v>
      </c>
      <c r="F223" s="377"/>
      <c r="G223" s="377"/>
      <c r="H223" s="377"/>
      <c r="I223" s="377"/>
      <c r="J223" s="377"/>
      <c r="K223" s="377"/>
      <c r="L223" s="377"/>
      <c r="M223" s="377"/>
      <c r="N223" s="377">
        <v>1</v>
      </c>
      <c r="O223" s="377">
        <v>1447</v>
      </c>
      <c r="P223" s="438"/>
      <c r="Q223" s="378">
        <v>1447</v>
      </c>
    </row>
    <row r="224" spans="1:17" ht="14.4" customHeight="1" x14ac:dyDescent="0.3">
      <c r="A224" s="373" t="s">
        <v>807</v>
      </c>
      <c r="B224" s="374" t="s">
        <v>722</v>
      </c>
      <c r="C224" s="374" t="s">
        <v>719</v>
      </c>
      <c r="D224" s="374" t="s">
        <v>747</v>
      </c>
      <c r="E224" s="374" t="s">
        <v>748</v>
      </c>
      <c r="F224" s="377">
        <v>2</v>
      </c>
      <c r="G224" s="377">
        <v>32</v>
      </c>
      <c r="H224" s="377">
        <v>1</v>
      </c>
      <c r="I224" s="377">
        <v>16</v>
      </c>
      <c r="J224" s="377">
        <v>3</v>
      </c>
      <c r="K224" s="377">
        <v>48</v>
      </c>
      <c r="L224" s="377">
        <v>1.5</v>
      </c>
      <c r="M224" s="377">
        <v>16</v>
      </c>
      <c r="N224" s="377"/>
      <c r="O224" s="377"/>
      <c r="P224" s="438"/>
      <c r="Q224" s="378"/>
    </row>
    <row r="225" spans="1:17" ht="14.4" customHeight="1" x14ac:dyDescent="0.3">
      <c r="A225" s="373" t="s">
        <v>807</v>
      </c>
      <c r="B225" s="374" t="s">
        <v>722</v>
      </c>
      <c r="C225" s="374" t="s">
        <v>719</v>
      </c>
      <c r="D225" s="374" t="s">
        <v>749</v>
      </c>
      <c r="E225" s="374" t="s">
        <v>734</v>
      </c>
      <c r="F225" s="377">
        <v>4</v>
      </c>
      <c r="G225" s="377">
        <v>2740</v>
      </c>
      <c r="H225" s="377">
        <v>1</v>
      </c>
      <c r="I225" s="377">
        <v>685</v>
      </c>
      <c r="J225" s="377">
        <v>3</v>
      </c>
      <c r="K225" s="377">
        <v>2064</v>
      </c>
      <c r="L225" s="377">
        <v>0.75328467153284673</v>
      </c>
      <c r="M225" s="377">
        <v>688</v>
      </c>
      <c r="N225" s="377"/>
      <c r="O225" s="377"/>
      <c r="P225" s="438"/>
      <c r="Q225" s="378"/>
    </row>
    <row r="226" spans="1:17" ht="14.4" customHeight="1" x14ac:dyDescent="0.3">
      <c r="A226" s="373" t="s">
        <v>807</v>
      </c>
      <c r="B226" s="374" t="s">
        <v>722</v>
      </c>
      <c r="C226" s="374" t="s">
        <v>719</v>
      </c>
      <c r="D226" s="374" t="s">
        <v>750</v>
      </c>
      <c r="E226" s="374" t="s">
        <v>736</v>
      </c>
      <c r="F226" s="377"/>
      <c r="G226" s="377"/>
      <c r="H226" s="377"/>
      <c r="I226" s="377"/>
      <c r="J226" s="377">
        <v>8</v>
      </c>
      <c r="K226" s="377">
        <v>11000</v>
      </c>
      <c r="L226" s="377"/>
      <c r="M226" s="377">
        <v>1375</v>
      </c>
      <c r="N226" s="377"/>
      <c r="O226" s="377"/>
      <c r="P226" s="438"/>
      <c r="Q226" s="378"/>
    </row>
    <row r="227" spans="1:17" ht="14.4" customHeight="1" x14ac:dyDescent="0.3">
      <c r="A227" s="373" t="s">
        <v>807</v>
      </c>
      <c r="B227" s="374" t="s">
        <v>722</v>
      </c>
      <c r="C227" s="374" t="s">
        <v>719</v>
      </c>
      <c r="D227" s="374" t="s">
        <v>751</v>
      </c>
      <c r="E227" s="374" t="s">
        <v>752</v>
      </c>
      <c r="F227" s="377"/>
      <c r="G227" s="377"/>
      <c r="H227" s="377"/>
      <c r="I227" s="377"/>
      <c r="J227" s="377">
        <v>3</v>
      </c>
      <c r="K227" s="377">
        <v>6957</v>
      </c>
      <c r="L227" s="377"/>
      <c r="M227" s="377">
        <v>2319</v>
      </c>
      <c r="N227" s="377"/>
      <c r="O227" s="377"/>
      <c r="P227" s="438"/>
      <c r="Q227" s="378"/>
    </row>
    <row r="228" spans="1:17" ht="14.4" customHeight="1" x14ac:dyDescent="0.3">
      <c r="A228" s="373" t="s">
        <v>807</v>
      </c>
      <c r="B228" s="374" t="s">
        <v>722</v>
      </c>
      <c r="C228" s="374" t="s">
        <v>719</v>
      </c>
      <c r="D228" s="374" t="s">
        <v>753</v>
      </c>
      <c r="E228" s="374" t="s">
        <v>754</v>
      </c>
      <c r="F228" s="377">
        <v>4</v>
      </c>
      <c r="G228" s="377">
        <v>260</v>
      </c>
      <c r="H228" s="377">
        <v>1</v>
      </c>
      <c r="I228" s="377">
        <v>65</v>
      </c>
      <c r="J228" s="377">
        <v>5</v>
      </c>
      <c r="K228" s="377">
        <v>325</v>
      </c>
      <c r="L228" s="377">
        <v>1.25</v>
      </c>
      <c r="M228" s="377">
        <v>65</v>
      </c>
      <c r="N228" s="377"/>
      <c r="O228" s="377"/>
      <c r="P228" s="438"/>
      <c r="Q228" s="378"/>
    </row>
    <row r="229" spans="1:17" ht="14.4" customHeight="1" x14ac:dyDescent="0.3">
      <c r="A229" s="373" t="s">
        <v>807</v>
      </c>
      <c r="B229" s="374" t="s">
        <v>722</v>
      </c>
      <c r="C229" s="374" t="s">
        <v>719</v>
      </c>
      <c r="D229" s="374" t="s">
        <v>755</v>
      </c>
      <c r="E229" s="374" t="s">
        <v>756</v>
      </c>
      <c r="F229" s="377"/>
      <c r="G229" s="377"/>
      <c r="H229" s="377"/>
      <c r="I229" s="377"/>
      <c r="J229" s="377"/>
      <c r="K229" s="377"/>
      <c r="L229" s="377"/>
      <c r="M229" s="377"/>
      <c r="N229" s="377">
        <v>1</v>
      </c>
      <c r="O229" s="377">
        <v>396</v>
      </c>
      <c r="P229" s="438"/>
      <c r="Q229" s="378">
        <v>396</v>
      </c>
    </row>
    <row r="230" spans="1:17" ht="14.4" customHeight="1" thickBot="1" x14ac:dyDescent="0.35">
      <c r="A230" s="379" t="s">
        <v>807</v>
      </c>
      <c r="B230" s="380" t="s">
        <v>722</v>
      </c>
      <c r="C230" s="380" t="s">
        <v>719</v>
      </c>
      <c r="D230" s="380" t="s">
        <v>759</v>
      </c>
      <c r="E230" s="380" t="s">
        <v>760</v>
      </c>
      <c r="F230" s="383"/>
      <c r="G230" s="383"/>
      <c r="H230" s="383"/>
      <c r="I230" s="383"/>
      <c r="J230" s="383">
        <v>21</v>
      </c>
      <c r="K230" s="383">
        <v>11550</v>
      </c>
      <c r="L230" s="383"/>
      <c r="M230" s="383">
        <v>550</v>
      </c>
      <c r="N230" s="383"/>
      <c r="O230" s="383"/>
      <c r="P230" s="423"/>
      <c r="Q230" s="384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4" bestFit="1" customWidth="1"/>
    <col min="2" max="2" width="11.6640625" style="124" hidden="1" customWidth="1"/>
    <col min="3" max="4" width="11" style="126" customWidth="1"/>
    <col min="5" max="5" width="11" style="127" customWidth="1"/>
    <col min="6" max="16384" width="8.88671875" style="124"/>
  </cols>
  <sheetData>
    <row r="1" spans="1:5" ht="18.600000000000001" thickBot="1" x14ac:dyDescent="0.4">
      <c r="A1" s="272" t="s">
        <v>106</v>
      </c>
      <c r="B1" s="272"/>
      <c r="C1" s="273"/>
      <c r="D1" s="273"/>
      <c r="E1" s="273"/>
    </row>
    <row r="2" spans="1:5" ht="14.4" customHeight="1" thickBot="1" x14ac:dyDescent="0.35">
      <c r="A2" s="202" t="s">
        <v>233</v>
      </c>
      <c r="B2" s="125"/>
    </row>
    <row r="3" spans="1:5" ht="14.4" customHeight="1" thickBot="1" x14ac:dyDescent="0.35">
      <c r="A3" s="128"/>
      <c r="C3" s="129" t="s">
        <v>94</v>
      </c>
      <c r="D3" s="130" t="s">
        <v>59</v>
      </c>
      <c r="E3" s="131" t="s">
        <v>61</v>
      </c>
    </row>
    <row r="4" spans="1:5" ht="14.4" customHeight="1" thickBot="1" x14ac:dyDescent="0.35">
      <c r="A4" s="132" t="str">
        <f>HYPERLINK("#HI!A1","NÁKLADY CELKEM (v tisících Kč)")</f>
        <v>NÁKLADY CELKEM (v tisících Kč)</v>
      </c>
      <c r="B4" s="133"/>
      <c r="C4" s="134">
        <f ca="1">IF(ISERROR(VLOOKUP("Náklady celkem",INDIRECT("HI!$A:$G"),6,0)),0,VLOOKUP("Náklady celkem",INDIRECT("HI!$A:$G"),6,0))</f>
        <v>8766.4541633080007</v>
      </c>
      <c r="D4" s="134">
        <f ca="1">IF(ISERROR(VLOOKUP("Náklady celkem",INDIRECT("HI!$A:$G"),5,0)),0,VLOOKUP("Náklady celkem",INDIRECT("HI!$A:$G"),5,0))</f>
        <v>8228.3480100000106</v>
      </c>
      <c r="E4" s="135">
        <f ca="1">IF(C4=0,0,D4/C4)</f>
        <v>0.93861758205954771</v>
      </c>
    </row>
    <row r="5" spans="1:5" ht="14.4" customHeight="1" x14ac:dyDescent="0.3">
      <c r="A5" s="136" t="s">
        <v>120</v>
      </c>
      <c r="B5" s="137"/>
      <c r="C5" s="138"/>
      <c r="D5" s="138"/>
      <c r="E5" s="139"/>
    </row>
    <row r="6" spans="1:5" ht="14.4" customHeight="1" x14ac:dyDescent="0.3">
      <c r="A6" s="140" t="s">
        <v>125</v>
      </c>
      <c r="B6" s="141"/>
      <c r="C6" s="142"/>
      <c r="D6" s="142"/>
      <c r="E6" s="139"/>
    </row>
    <row r="7" spans="1:5" ht="14.4" customHeight="1" x14ac:dyDescent="0.3">
      <c r="A7" s="14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1" t="s">
        <v>98</v>
      </c>
      <c r="C7" s="142">
        <f>IF(ISERROR(HI!F5),"",HI!F5)</f>
        <v>17.023828939987499</v>
      </c>
      <c r="D7" s="142">
        <f>IF(ISERROR(HI!E5),"",HI!E5)</f>
        <v>8.8171600000000012</v>
      </c>
      <c r="E7" s="139">
        <f t="shared" ref="E7:E11" si="0">IF(C7=0,0,D7/C7)</f>
        <v>0.51793048620743931</v>
      </c>
    </row>
    <row r="8" spans="1:5" ht="14.4" customHeight="1" x14ac:dyDescent="0.3">
      <c r="A8" s="145" t="s">
        <v>121</v>
      </c>
      <c r="B8" s="141"/>
      <c r="C8" s="142"/>
      <c r="D8" s="142"/>
      <c r="E8" s="139"/>
    </row>
    <row r="9" spans="1:5" ht="14.4" customHeight="1" x14ac:dyDescent="0.3">
      <c r="A9" s="145" t="s">
        <v>122</v>
      </c>
      <c r="B9" s="141"/>
      <c r="C9" s="142"/>
      <c r="D9" s="142"/>
      <c r="E9" s="139"/>
    </row>
    <row r="10" spans="1:5" ht="14.4" customHeight="1" x14ac:dyDescent="0.3">
      <c r="A10" s="146" t="s">
        <v>126</v>
      </c>
      <c r="B10" s="141"/>
      <c r="C10" s="138"/>
      <c r="D10" s="138"/>
      <c r="E10" s="139"/>
    </row>
    <row r="11" spans="1:5" ht="14.4" customHeight="1" x14ac:dyDescent="0.3">
      <c r="A11" s="14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41" t="s">
        <v>98</v>
      </c>
      <c r="C11" s="142">
        <f>IF(ISERROR(HI!F6),"",HI!F6)</f>
        <v>496.02696096201669</v>
      </c>
      <c r="D11" s="142">
        <f>IF(ISERROR(HI!E6),"",HI!E6)</f>
        <v>424.67343000000108</v>
      </c>
      <c r="E11" s="139">
        <f t="shared" si="0"/>
        <v>0.8561498939016754</v>
      </c>
    </row>
    <row r="12" spans="1:5" ht="14.4" customHeight="1" thickBot="1" x14ac:dyDescent="0.35">
      <c r="A12" s="148" t="str">
        <f>HYPERLINK("#HI!A1","Osobní náklady")</f>
        <v>Osobní náklady</v>
      </c>
      <c r="B12" s="141"/>
      <c r="C12" s="138">
        <f ca="1">IF(ISERROR(VLOOKUP("Osobní náklady (Kč) *",INDIRECT("HI!$A:$G"),6,0)),0,VLOOKUP("Osobní náklady (Kč) *",INDIRECT("HI!$A:$G"),6,0))</f>
        <v>7212.1165241104572</v>
      </c>
      <c r="D12" s="138">
        <f ca="1">IF(ISERROR(VLOOKUP("Osobní náklady (Kč) *",INDIRECT("HI!$A:$G"),5,0)),0,VLOOKUP("Osobní náklady (Kč) *",INDIRECT("HI!$A:$G"),5,0))</f>
        <v>6792.5549800000099</v>
      </c>
      <c r="E12" s="139">
        <f ca="1">IF(C12=0,0,D12/C12)</f>
        <v>0.94182546237185261</v>
      </c>
    </row>
    <row r="13" spans="1:5" ht="14.4" customHeight="1" thickBot="1" x14ac:dyDescent="0.35">
      <c r="A13" s="152"/>
      <c r="B13" s="153"/>
      <c r="C13" s="154"/>
      <c r="D13" s="154"/>
      <c r="E13" s="155"/>
    </row>
    <row r="14" spans="1:5" ht="14.4" customHeight="1" thickBot="1" x14ac:dyDescent="0.35">
      <c r="A14" s="156" t="str">
        <f>HYPERLINK("#HI!A1","VÝNOSY CELKEM (v tisících)")</f>
        <v>VÝNOSY CELKEM (v tisících)</v>
      </c>
      <c r="B14" s="157"/>
      <c r="C14" s="158">
        <f ca="1">IF(ISERROR(VLOOKUP("Výnosy celkem",INDIRECT("HI!$A:$G"),6,0)),0,VLOOKUP("Výnosy celkem",INDIRECT("HI!$A:$G"),6,0))</f>
        <v>6714</v>
      </c>
      <c r="D14" s="158">
        <f ca="1">IF(ISERROR(VLOOKUP("Výnosy celkem",INDIRECT("HI!$A:$G"),5,0)),0,VLOOKUP("Výnosy celkem",INDIRECT("HI!$A:$G"),5,0))</f>
        <v>6722.8940000000002</v>
      </c>
      <c r="E14" s="159">
        <f t="shared" ref="E14:E17" ca="1" si="1">IF(C14=0,0,D14/C14)</f>
        <v>1.0013246946678582</v>
      </c>
    </row>
    <row r="15" spans="1:5" ht="14.4" customHeight="1" x14ac:dyDescent="0.3">
      <c r="A15" s="160" t="str">
        <f>HYPERLINK("#HI!A1","Ambulance (body za výkony + Kč za ZUM a ZULP)")</f>
        <v>Ambulance (body za výkony + Kč za ZUM a ZULP)</v>
      </c>
      <c r="B15" s="137"/>
      <c r="C15" s="138">
        <f ca="1">IF(ISERROR(VLOOKUP("Ambulance *",INDIRECT("HI!$A:$G"),6,0)),0,VLOOKUP("Ambulance *",INDIRECT("HI!$A:$G"),6,0))</f>
        <v>6714</v>
      </c>
      <c r="D15" s="138">
        <f ca="1">IF(ISERROR(VLOOKUP("Ambulance *",INDIRECT("HI!$A:$G"),5,0)),0,VLOOKUP("Ambulance *",INDIRECT("HI!$A:$G"),5,0))</f>
        <v>6722.8940000000002</v>
      </c>
      <c r="E15" s="139">
        <f t="shared" ca="1" si="1"/>
        <v>1.0013246946678582</v>
      </c>
    </row>
    <row r="16" spans="1:5" ht="14.4" customHeight="1" x14ac:dyDescent="0.3">
      <c r="A16" s="161" t="str">
        <f>HYPERLINK("#'ZV Vykáz.-A'!A1","Zdravotní výkony vykázané u ambulantních pacientů (min. 100 %)")</f>
        <v>Zdravotní výkony vykázané u ambulantních pacientů (min. 100 %)</v>
      </c>
      <c r="B16" s="124" t="s">
        <v>108</v>
      </c>
      <c r="C16" s="144">
        <v>1</v>
      </c>
      <c r="D16" s="144">
        <f>IF(ISERROR(VLOOKUP("Celkem:",'ZV Vykáz.-A'!$A:$S,7,0)),"",VLOOKUP("Celkem:",'ZV Vykáz.-A'!$A:$S,7,0))</f>
        <v>1.0013246946678582</v>
      </c>
      <c r="E16" s="139">
        <f t="shared" si="1"/>
        <v>1.0013246946678582</v>
      </c>
    </row>
    <row r="17" spans="1:5" ht="14.4" customHeight="1" x14ac:dyDescent="0.3">
      <c r="A17" s="161" t="str">
        <f>HYPERLINK("#'ZV Vykáz.-H'!A1","Zdravotní výkony vykázané u hospitalizovaných pacientů (max. 85 %)")</f>
        <v>Zdravotní výkony vykázané u hospitalizovaných pacientů (max. 85 %)</v>
      </c>
      <c r="B17" s="124" t="s">
        <v>110</v>
      </c>
      <c r="C17" s="144">
        <v>0.85</v>
      </c>
      <c r="D17" s="144">
        <f>IF(ISERROR(VLOOKUP("Celkem:",'ZV Vykáz.-H'!$A:$S,7,0)),"",VLOOKUP("Celkem:",'ZV Vykáz.-H'!$A:$S,7,0))</f>
        <v>1.7691346009551301</v>
      </c>
      <c r="E17" s="139">
        <f t="shared" si="1"/>
        <v>2.0813348246530943</v>
      </c>
    </row>
    <row r="18" spans="1:5" ht="14.4" customHeight="1" x14ac:dyDescent="0.3">
      <c r="A18" s="162" t="str">
        <f>HYPERLINK("#HI!A1","Hospitalizace (casemix * 30000)")</f>
        <v>Hospitalizace (casemix * 30000)</v>
      </c>
      <c r="B18" s="141"/>
      <c r="C18" s="138">
        <f ca="1">IF(ISERROR(VLOOKUP("Hospitalizace *",INDIRECT("HI!$A:$G"),6,0)),0,VLOOKUP("Hospitalizace *",INDIRECT("HI!$A:$G"),6,0))</f>
        <v>0</v>
      </c>
      <c r="D18" s="138">
        <f ca="1">IF(ISERROR(VLOOKUP("Hospitalizace *",INDIRECT("HI!$A:$G"),5,0)),0,VLOOKUP("Hospitalizace *",INDIRECT("HI!$A:$G"),5,0))</f>
        <v>0</v>
      </c>
      <c r="E18" s="139">
        <f ca="1">IF(C18=0,0,D18/C18)</f>
        <v>0</v>
      </c>
    </row>
    <row r="19" spans="1:5" ht="14.4" customHeight="1" thickBot="1" x14ac:dyDescent="0.35">
      <c r="A19" s="163" t="s">
        <v>123</v>
      </c>
      <c r="B19" s="149"/>
      <c r="C19" s="150"/>
      <c r="D19" s="150"/>
      <c r="E19" s="151"/>
    </row>
    <row r="20" spans="1:5" ht="14.4" customHeight="1" thickBot="1" x14ac:dyDescent="0.35">
      <c r="A20" s="164"/>
      <c r="B20" s="165"/>
      <c r="C20" s="166"/>
      <c r="D20" s="166"/>
      <c r="E20" s="167"/>
    </row>
    <row r="21" spans="1:5" ht="14.4" customHeight="1" thickBot="1" x14ac:dyDescent="0.35">
      <c r="A21" s="168" t="s">
        <v>124</v>
      </c>
      <c r="B21" s="169"/>
      <c r="C21" s="170"/>
      <c r="D21" s="170"/>
      <c r="E21" s="171"/>
    </row>
  </sheetData>
  <mergeCells count="1">
    <mergeCell ref="A1:E1"/>
  </mergeCells>
  <conditionalFormatting sqref="E5">
    <cfRule type="cellIs" dxfId="46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45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44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3" priority="5" operator="lessThan">
      <formula>1</formula>
    </cfRule>
    <cfRule type="iconSet" priority="6">
      <iconSet iconSet="3Symbols2">
        <cfvo type="percent" val="0"/>
        <cfvo type="num" val="1"/>
        <cfvo type="num" val="1"/>
      </iconSet>
    </cfRule>
  </conditionalFormatting>
  <conditionalFormatting sqref="E18">
    <cfRule type="cellIs" dxfId="42" priority="3" operator="lessThan">
      <formula>1</formula>
    </cfRule>
    <cfRule type="iconSet" priority="4">
      <iconSet iconSet="3Symbols2">
        <cfvo type="percent" val="0"/>
        <cfvo type="num" val="1"/>
        <cfvo type="num" val="1"/>
      </iconSet>
    </cfRule>
  </conditionalFormatting>
  <conditionalFormatting sqref="E6">
    <cfRule type="cellIs" dxfId="41" priority="1" operator="greaterThan">
      <formula>1</formula>
    </cfRule>
    <cfRule type="iconSet" priority="2">
      <iconSet iconSet="3Symbols2" reverse="1">
        <cfvo type="percent" val="0"/>
        <cfvo type="num" val="1"/>
        <cfvo type="num" val="1"/>
      </iconSet>
    </cfRule>
  </conditionalFormatting>
  <conditionalFormatting sqref="E14 E16">
    <cfRule type="cellIs" dxfId="40" priority="16" operator="lessThan">
      <formula>1</formula>
    </cfRule>
  </conditionalFormatting>
  <conditionalFormatting sqref="E14 E16">
    <cfRule type="iconSet" priority="56">
      <iconSet iconSet="3Symbols2">
        <cfvo type="percent" val="0"/>
        <cfvo type="num" val="1"/>
        <cfvo type="num" val="1"/>
      </iconSet>
    </cfRule>
  </conditionalFormatting>
  <conditionalFormatting sqref="E4 E7 E11 E17">
    <cfRule type="cellIs" dxfId="39" priority="61" operator="greaterThan">
      <formula>1</formula>
    </cfRule>
    <cfRule type="iconSet" priority="62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05" bestFit="1" customWidth="1"/>
    <col min="2" max="3" width="9.5546875" style="105" customWidth="1"/>
    <col min="4" max="4" width="2.21875" style="105" customWidth="1"/>
    <col min="5" max="8" width="9.5546875" style="105" customWidth="1"/>
    <col min="9" max="16384" width="8.88671875" style="105"/>
  </cols>
  <sheetData>
    <row r="1" spans="1:8" ht="18.600000000000001" customHeight="1" thickBot="1" x14ac:dyDescent="0.4">
      <c r="A1" s="272" t="s">
        <v>114</v>
      </c>
      <c r="B1" s="272"/>
      <c r="C1" s="272"/>
      <c r="D1" s="272"/>
      <c r="E1" s="272"/>
      <c r="F1" s="272"/>
      <c r="G1" s="273"/>
      <c r="H1" s="273"/>
    </row>
    <row r="2" spans="1:8" ht="14.4" customHeight="1" thickBot="1" x14ac:dyDescent="0.35">
      <c r="A2" s="202" t="s">
        <v>233</v>
      </c>
      <c r="B2" s="86"/>
      <c r="C2" s="86"/>
      <c r="D2" s="86"/>
      <c r="E2" s="86"/>
      <c r="F2" s="86"/>
    </row>
    <row r="3" spans="1:8" ht="14.4" customHeight="1" x14ac:dyDescent="0.3">
      <c r="A3" s="274"/>
      <c r="B3" s="82">
        <v>2012</v>
      </c>
      <c r="C3" s="40">
        <v>2013</v>
      </c>
      <c r="D3" s="7"/>
      <c r="E3" s="278">
        <v>2014</v>
      </c>
      <c r="F3" s="279"/>
      <c r="G3" s="279"/>
      <c r="H3" s="280"/>
    </row>
    <row r="4" spans="1:8" ht="14.4" customHeight="1" thickBot="1" x14ac:dyDescent="0.35">
      <c r="A4" s="275"/>
      <c r="B4" s="276" t="s">
        <v>59</v>
      </c>
      <c r="C4" s="277"/>
      <c r="D4" s="7"/>
      <c r="E4" s="103" t="s">
        <v>59</v>
      </c>
      <c r="F4" s="84" t="s">
        <v>60</v>
      </c>
      <c r="G4" s="84" t="s">
        <v>54</v>
      </c>
      <c r="H4" s="85" t="s">
        <v>61</v>
      </c>
    </row>
    <row r="5" spans="1:8" ht="14.4" customHeight="1" x14ac:dyDescent="0.3">
      <c r="A5" s="87" t="str">
        <f>HYPERLINK("#'Léky Žádanky'!A1","Léky (Kč)")</f>
        <v>Léky (Kč)</v>
      </c>
      <c r="B5" s="27">
        <v>33.417119999999997</v>
      </c>
      <c r="C5" s="29">
        <v>18.95712</v>
      </c>
      <c r="D5" s="8"/>
      <c r="E5" s="92">
        <v>8.8171600000000012</v>
      </c>
      <c r="F5" s="28">
        <v>17.023828939987499</v>
      </c>
      <c r="G5" s="91">
        <f>E5-F5</f>
        <v>-8.2066689399874981</v>
      </c>
      <c r="H5" s="97">
        <f>IF(F5&lt;0.00000001,"",E5/F5)</f>
        <v>0.51793048620743931</v>
      </c>
    </row>
    <row r="6" spans="1:8" ht="14.4" customHeight="1" x14ac:dyDescent="0.3">
      <c r="A6" s="87" t="str">
        <f>HYPERLINK("#'Materiál Žádanky'!A1","Materiál - SZM (Kč)")</f>
        <v>Materiál - SZM (Kč)</v>
      </c>
      <c r="B6" s="10">
        <v>324.25355999999999</v>
      </c>
      <c r="C6" s="31">
        <v>469.49554000000001</v>
      </c>
      <c r="D6" s="8"/>
      <c r="E6" s="93">
        <v>424.67343000000108</v>
      </c>
      <c r="F6" s="30">
        <v>496.02696096201669</v>
      </c>
      <c r="G6" s="94">
        <f>E6-F6</f>
        <v>-71.353530962015611</v>
      </c>
      <c r="H6" s="98">
        <f>IF(F6&lt;0.00000001,"",E6/F6)</f>
        <v>0.8561498939016754</v>
      </c>
    </row>
    <row r="7" spans="1:8" ht="14.4" customHeight="1" x14ac:dyDescent="0.3">
      <c r="A7" s="87" t="str">
        <f>HYPERLINK("#'Osobní náklady'!A1","Osobní náklady (Kč) *")</f>
        <v>Osobní náklady (Kč) *</v>
      </c>
      <c r="B7" s="10">
        <v>6556.7053599999999</v>
      </c>
      <c r="C7" s="31">
        <v>6220.75756</v>
      </c>
      <c r="D7" s="8"/>
      <c r="E7" s="93">
        <v>6792.5549800000099</v>
      </c>
      <c r="F7" s="30">
        <v>7212.1165241104572</v>
      </c>
      <c r="G7" s="94">
        <f>E7-F7</f>
        <v>-419.56154411044736</v>
      </c>
      <c r="H7" s="98">
        <f>IF(F7&lt;0.00000001,"",E7/F7)</f>
        <v>0.94182546237185261</v>
      </c>
    </row>
    <row r="8" spans="1:8" ht="14.4" customHeight="1" thickBot="1" x14ac:dyDescent="0.35">
      <c r="A8" s="1" t="s">
        <v>62</v>
      </c>
      <c r="B8" s="11">
        <v>469.21416000000067</v>
      </c>
      <c r="C8" s="33">
        <v>531.74401000000023</v>
      </c>
      <c r="D8" s="8"/>
      <c r="E8" s="95">
        <v>1002.3024399999996</v>
      </c>
      <c r="F8" s="32">
        <v>1041.2868492955395</v>
      </c>
      <c r="G8" s="96">
        <f>E8-F8</f>
        <v>-38.984409295539876</v>
      </c>
      <c r="H8" s="99">
        <f>IF(F8&lt;0.00000001,"",E8/F8)</f>
        <v>0.96256131600825079</v>
      </c>
    </row>
    <row r="9" spans="1:8" ht="14.4" customHeight="1" thickBot="1" x14ac:dyDescent="0.35">
      <c r="A9" s="2" t="s">
        <v>63</v>
      </c>
      <c r="B9" s="3">
        <v>7383.5902000000006</v>
      </c>
      <c r="C9" s="35">
        <v>7240.9542300000003</v>
      </c>
      <c r="D9" s="8"/>
      <c r="E9" s="3">
        <v>8228.3480100000106</v>
      </c>
      <c r="F9" s="34">
        <v>8766.4541633080007</v>
      </c>
      <c r="G9" s="34">
        <f>E9-F9</f>
        <v>-538.1061533079901</v>
      </c>
      <c r="H9" s="100">
        <f>IF(F9&lt;0.00000001,"",E9/F9)</f>
        <v>0.93861758205954771</v>
      </c>
    </row>
    <row r="10" spans="1:8" ht="14.4" customHeight="1" thickBot="1" x14ac:dyDescent="0.35">
      <c r="A10" s="12"/>
      <c r="B10" s="12"/>
      <c r="C10" s="83"/>
      <c r="D10" s="8"/>
      <c r="E10" s="12"/>
      <c r="F10" s="13"/>
    </row>
    <row r="11" spans="1:8" ht="14.4" customHeight="1" x14ac:dyDescent="0.3">
      <c r="A11" s="108" t="str">
        <f>HYPERLINK("#'ZV Vykáz.-A'!A1","Ambulance *")</f>
        <v>Ambulance *</v>
      </c>
      <c r="B11" s="9">
        <f>IF(ISERROR(VLOOKUP("Celkem:",'ZV Vykáz.-A'!A:F,2,0)),0,VLOOKUP("Celkem:",'ZV Vykáz.-A'!A:F,2,0)/1000)</f>
        <v>6714</v>
      </c>
      <c r="C11" s="29">
        <f>IF(ISERROR(VLOOKUP("Celkem:",'ZV Vykáz.-A'!A:F,4,0)),0,VLOOKUP("Celkem:",'ZV Vykáz.-A'!A:F,4,0)/1000)</f>
        <v>8131.85</v>
      </c>
      <c r="D11" s="8"/>
      <c r="E11" s="92">
        <f>IF(ISERROR(VLOOKUP("Celkem:",'ZV Vykáz.-A'!A:F,6,0)),0,VLOOKUP("Celkem:",'ZV Vykáz.-A'!A:F,6,0)/1000)</f>
        <v>6722.8940000000002</v>
      </c>
      <c r="F11" s="28">
        <f>B11</f>
        <v>6714</v>
      </c>
      <c r="G11" s="91">
        <f>E11-F11</f>
        <v>8.8940000000002328</v>
      </c>
      <c r="H11" s="97">
        <f>IF(F11&lt;0.00000001,"",E11/F11)</f>
        <v>1.0013246946678582</v>
      </c>
    </row>
    <row r="12" spans="1:8" ht="14.4" customHeight="1" thickBot="1" x14ac:dyDescent="0.35">
      <c r="A12" s="10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>
        <f>B12</f>
        <v>0</v>
      </c>
      <c r="G12" s="96">
        <f>E12-F12</f>
        <v>0</v>
      </c>
      <c r="H12" s="99" t="str">
        <f>IF(F12&lt;0.00000001,"",E12/F12)</f>
        <v/>
      </c>
    </row>
    <row r="13" spans="1:8" ht="14.4" customHeight="1" thickBot="1" x14ac:dyDescent="0.35">
      <c r="A13" s="4" t="s">
        <v>66</v>
      </c>
      <c r="B13" s="5">
        <f>SUM(B11:B12)</f>
        <v>6714</v>
      </c>
      <c r="C13" s="37">
        <f>SUM(C11:C12)</f>
        <v>8131.85</v>
      </c>
      <c r="D13" s="8"/>
      <c r="E13" s="5">
        <f>SUM(E11:E12)</f>
        <v>6722.8940000000002</v>
      </c>
      <c r="F13" s="36">
        <f>SUM(F11:F12)</f>
        <v>6714</v>
      </c>
      <c r="G13" s="36">
        <f>E13-F13</f>
        <v>8.8940000000002328</v>
      </c>
      <c r="H13" s="101">
        <f>IF(F13&lt;0.00000001,"",E13/F13)</f>
        <v>1.0013246946678582</v>
      </c>
    </row>
    <row r="14" spans="1:8" ht="14.4" customHeight="1" thickBot="1" x14ac:dyDescent="0.35">
      <c r="A14" s="12"/>
      <c r="B14" s="12"/>
      <c r="C14" s="83"/>
      <c r="D14" s="8"/>
      <c r="E14" s="12"/>
      <c r="F14" s="13"/>
    </row>
    <row r="15" spans="1:8" ht="14.4" customHeight="1" thickBot="1" x14ac:dyDescent="0.35">
      <c r="A15" s="110" t="str">
        <f>HYPERLINK("#'HI Graf'!A1","Hospodářský index (Výnosy / Náklady) *")</f>
        <v>Hospodářský index (Výnosy / Náklady) *</v>
      </c>
      <c r="B15" s="6">
        <f>IF(B9=0,"",B13/B9)</f>
        <v>0.90931373737399446</v>
      </c>
      <c r="C15" s="39">
        <f>IF(C9=0,"",C13/C9)</f>
        <v>1.1230356858642925</v>
      </c>
      <c r="D15" s="8"/>
      <c r="E15" s="6">
        <f>IF(E9=0,"",E13/E9)</f>
        <v>0.81704055198316672</v>
      </c>
      <c r="F15" s="38">
        <f>IF(F9=0,"",F13/F9)</f>
        <v>0.76587407803960816</v>
      </c>
      <c r="G15" s="38">
        <f>IF(ISERROR(F15-E15),"",E15-F15)</f>
        <v>5.1166473943558555E-2</v>
      </c>
      <c r="H15" s="102">
        <f>IF(ISERROR(F15-E15),"",IF(F15&lt;0.00000001,"",E15/F15))</f>
        <v>1.0668079458630175</v>
      </c>
    </row>
    <row r="17" spans="1:8" ht="14.4" customHeight="1" x14ac:dyDescent="0.3">
      <c r="A17" s="88" t="s">
        <v>128</v>
      </c>
    </row>
    <row r="18" spans="1:8" ht="14.4" customHeight="1" x14ac:dyDescent="0.3">
      <c r="A18" s="255" t="s">
        <v>190</v>
      </c>
      <c r="B18" s="256"/>
      <c r="C18" s="256"/>
      <c r="D18" s="256"/>
      <c r="E18" s="256"/>
      <c r="F18" s="256"/>
      <c r="G18" s="256"/>
      <c r="H18" s="256"/>
    </row>
    <row r="19" spans="1:8" x14ac:dyDescent="0.3">
      <c r="A19" s="254" t="s">
        <v>189</v>
      </c>
      <c r="B19" s="256"/>
      <c r="C19" s="256"/>
      <c r="D19" s="256"/>
      <c r="E19" s="256"/>
      <c r="F19" s="256"/>
      <c r="G19" s="256"/>
      <c r="H19" s="256"/>
    </row>
    <row r="20" spans="1:8" ht="14.4" customHeight="1" x14ac:dyDescent="0.3">
      <c r="A20" s="89" t="s">
        <v>129</v>
      </c>
    </row>
    <row r="21" spans="1:8" ht="14.4" customHeight="1" x14ac:dyDescent="0.3">
      <c r="A21" s="89" t="s">
        <v>130</v>
      </c>
    </row>
    <row r="22" spans="1:8" ht="14.4" customHeight="1" x14ac:dyDescent="0.3">
      <c r="A22" s="90" t="s">
        <v>131</v>
      </c>
    </row>
    <row r="23" spans="1:8" ht="14.4" customHeight="1" x14ac:dyDescent="0.3">
      <c r="A23" s="90" t="s">
        <v>132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38" priority="4" operator="greaterThan">
      <formula>0</formula>
    </cfRule>
  </conditionalFormatting>
  <conditionalFormatting sqref="G11:G13 G15">
    <cfRule type="cellIs" dxfId="37" priority="3" operator="lessThan">
      <formula>0</formula>
    </cfRule>
  </conditionalFormatting>
  <conditionalFormatting sqref="H5:H9">
    <cfRule type="cellIs" dxfId="36" priority="2" operator="greaterThan">
      <formula>1</formula>
    </cfRule>
  </conditionalFormatting>
  <conditionalFormatting sqref="H11:H13 H15">
    <cfRule type="cellIs" dxfId="35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5"/>
    <col min="2" max="13" width="8.88671875" style="105" customWidth="1"/>
    <col min="14" max="16384" width="8.88671875" style="105"/>
  </cols>
  <sheetData>
    <row r="1" spans="1:13" ht="18.600000000000001" customHeight="1" thickBot="1" x14ac:dyDescent="0.4">
      <c r="A1" s="272" t="s">
        <v>91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</row>
    <row r="2" spans="1:13" ht="14.4" customHeight="1" x14ac:dyDescent="0.3">
      <c r="A2" s="202" t="s">
        <v>233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1:13" ht="14.4" customHeight="1" x14ac:dyDescent="0.3">
      <c r="A3" s="172"/>
      <c r="B3" s="173" t="s">
        <v>68</v>
      </c>
      <c r="C3" s="174" t="s">
        <v>69</v>
      </c>
      <c r="D3" s="174" t="s">
        <v>70</v>
      </c>
      <c r="E3" s="173" t="s">
        <v>71</v>
      </c>
      <c r="F3" s="174" t="s">
        <v>72</v>
      </c>
      <c r="G3" s="174" t="s">
        <v>73</v>
      </c>
      <c r="H3" s="174" t="s">
        <v>74</v>
      </c>
      <c r="I3" s="174" t="s">
        <v>75</v>
      </c>
      <c r="J3" s="174" t="s">
        <v>76</v>
      </c>
      <c r="K3" s="174" t="s">
        <v>77</v>
      </c>
      <c r="L3" s="174" t="s">
        <v>78</v>
      </c>
      <c r="M3" s="174" t="s">
        <v>79</v>
      </c>
    </row>
    <row r="4" spans="1:13" ht="14.4" customHeight="1" x14ac:dyDescent="0.3">
      <c r="A4" s="172" t="s">
        <v>67</v>
      </c>
      <c r="B4" s="175">
        <f>(B10+B8)/B6</f>
        <v>0.92379700531631592</v>
      </c>
      <c r="C4" s="175">
        <f t="shared" ref="C4:M4" si="0">(C10+C8)/C6</f>
        <v>0.88349473173557724</v>
      </c>
      <c r="D4" s="175">
        <f t="shared" si="0"/>
        <v>0.87891129602306928</v>
      </c>
      <c r="E4" s="175">
        <f t="shared" si="0"/>
        <v>0.85503583616372392</v>
      </c>
      <c r="F4" s="175">
        <f t="shared" si="0"/>
        <v>0.81704055198316683</v>
      </c>
      <c r="G4" s="175">
        <f t="shared" si="0"/>
        <v>0.81704055198316683</v>
      </c>
      <c r="H4" s="175">
        <f t="shared" si="0"/>
        <v>0.81704055198316683</v>
      </c>
      <c r="I4" s="175">
        <f t="shared" si="0"/>
        <v>0.81704055198316683</v>
      </c>
      <c r="J4" s="175">
        <f t="shared" si="0"/>
        <v>0.81704055198316683</v>
      </c>
      <c r="K4" s="175">
        <f t="shared" si="0"/>
        <v>0.81704055198316683</v>
      </c>
      <c r="L4" s="175">
        <f t="shared" si="0"/>
        <v>0.81704055198316683</v>
      </c>
      <c r="M4" s="175">
        <f t="shared" si="0"/>
        <v>0.81704055198316683</v>
      </c>
    </row>
    <row r="5" spans="1:13" ht="14.4" customHeight="1" x14ac:dyDescent="0.3">
      <c r="A5" s="176" t="s">
        <v>39</v>
      </c>
      <c r="B5" s="175">
        <f>IF(ISERROR(VLOOKUP($A5,'Man Tab'!$A:$Q,COLUMN()+2,0)),0,VLOOKUP($A5,'Man Tab'!$A:$Q,COLUMN()+2,0))</f>
        <v>1667.6813100000099</v>
      </c>
      <c r="C5" s="175">
        <f>IF(ISERROR(VLOOKUP($A5,'Man Tab'!$A:$Q,COLUMN()+2,0)),0,VLOOKUP($A5,'Man Tab'!$A:$Q,COLUMN()+2,0))</f>
        <v>1628.49341</v>
      </c>
      <c r="D5" s="175">
        <f>IF(ISERROR(VLOOKUP($A5,'Man Tab'!$A:$Q,COLUMN()+2,0)),0,VLOOKUP($A5,'Man Tab'!$A:$Q,COLUMN()+2,0))</f>
        <v>1635.7723599999999</v>
      </c>
      <c r="E5" s="175">
        <f>IF(ISERROR(VLOOKUP($A5,'Man Tab'!$A:$Q,COLUMN()+2,0)),0,VLOOKUP($A5,'Man Tab'!$A:$Q,COLUMN()+2,0))</f>
        <v>1653.5429799999999</v>
      </c>
      <c r="F5" s="175">
        <f>IF(ISERROR(VLOOKUP($A5,'Man Tab'!$A:$Q,COLUMN()+2,0)),0,VLOOKUP($A5,'Man Tab'!$A:$Q,COLUMN()+2,0))</f>
        <v>1642.8579500000001</v>
      </c>
      <c r="G5" s="175">
        <f>IF(ISERROR(VLOOKUP($A5,'Man Tab'!$A:$Q,COLUMN()+2,0)),0,VLOOKUP($A5,'Man Tab'!$A:$Q,COLUMN()+2,0))</f>
        <v>4.9406564584124654E-324</v>
      </c>
      <c r="H5" s="175">
        <f>IF(ISERROR(VLOOKUP($A5,'Man Tab'!$A:$Q,COLUMN()+2,0)),0,VLOOKUP($A5,'Man Tab'!$A:$Q,COLUMN()+2,0))</f>
        <v>4.9406564584124654E-324</v>
      </c>
      <c r="I5" s="175">
        <f>IF(ISERROR(VLOOKUP($A5,'Man Tab'!$A:$Q,COLUMN()+2,0)),0,VLOOKUP($A5,'Man Tab'!$A:$Q,COLUMN()+2,0))</f>
        <v>4.9406564584124654E-324</v>
      </c>
      <c r="J5" s="175">
        <f>IF(ISERROR(VLOOKUP($A5,'Man Tab'!$A:$Q,COLUMN()+2,0)),0,VLOOKUP($A5,'Man Tab'!$A:$Q,COLUMN()+2,0))</f>
        <v>4.9406564584124654E-324</v>
      </c>
      <c r="K5" s="175">
        <f>IF(ISERROR(VLOOKUP($A5,'Man Tab'!$A:$Q,COLUMN()+2,0)),0,VLOOKUP($A5,'Man Tab'!$A:$Q,COLUMN()+2,0))</f>
        <v>4.9406564584124654E-324</v>
      </c>
      <c r="L5" s="175">
        <f>IF(ISERROR(VLOOKUP($A5,'Man Tab'!$A:$Q,COLUMN()+2,0)),0,VLOOKUP($A5,'Man Tab'!$A:$Q,COLUMN()+2,0))</f>
        <v>4.9406564584124654E-324</v>
      </c>
      <c r="M5" s="175">
        <f>IF(ISERROR(VLOOKUP($A5,'Man Tab'!$A:$Q,COLUMN()+2,0)),0,VLOOKUP($A5,'Man Tab'!$A:$Q,COLUMN()+2,0))</f>
        <v>4.9406564584124654E-324</v>
      </c>
    </row>
    <row r="6" spans="1:13" ht="14.4" customHeight="1" x14ac:dyDescent="0.3">
      <c r="A6" s="176" t="s">
        <v>63</v>
      </c>
      <c r="B6" s="177">
        <f>B5</f>
        <v>1667.6813100000099</v>
      </c>
      <c r="C6" s="177">
        <f t="shared" ref="C6:M6" si="1">C5+B6</f>
        <v>3296.17472000001</v>
      </c>
      <c r="D6" s="177">
        <f t="shared" si="1"/>
        <v>4931.9470800000099</v>
      </c>
      <c r="E6" s="177">
        <f t="shared" si="1"/>
        <v>6585.4900600000101</v>
      </c>
      <c r="F6" s="177">
        <f t="shared" si="1"/>
        <v>8228.3480100000106</v>
      </c>
      <c r="G6" s="177">
        <f t="shared" si="1"/>
        <v>8228.3480100000106</v>
      </c>
      <c r="H6" s="177">
        <f t="shared" si="1"/>
        <v>8228.3480100000106</v>
      </c>
      <c r="I6" s="177">
        <f t="shared" si="1"/>
        <v>8228.3480100000106</v>
      </c>
      <c r="J6" s="177">
        <f t="shared" si="1"/>
        <v>8228.3480100000106</v>
      </c>
      <c r="K6" s="177">
        <f t="shared" si="1"/>
        <v>8228.3480100000106</v>
      </c>
      <c r="L6" s="177">
        <f t="shared" si="1"/>
        <v>8228.3480100000106</v>
      </c>
      <c r="M6" s="177">
        <f t="shared" si="1"/>
        <v>8228.3480100000106</v>
      </c>
    </row>
    <row r="7" spans="1:13" ht="14.4" customHeight="1" x14ac:dyDescent="0.3">
      <c r="A7" s="176" t="s">
        <v>89</v>
      </c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</row>
    <row r="8" spans="1:13" ht="14.4" customHeight="1" x14ac:dyDescent="0.3">
      <c r="A8" s="176" t="s">
        <v>64</v>
      </c>
      <c r="B8" s="177">
        <f>B7*30</f>
        <v>0</v>
      </c>
      <c r="C8" s="177">
        <f t="shared" ref="C8:M8" si="2">C7*30</f>
        <v>0</v>
      </c>
      <c r="D8" s="177">
        <f t="shared" si="2"/>
        <v>0</v>
      </c>
      <c r="E8" s="177">
        <f t="shared" si="2"/>
        <v>0</v>
      </c>
      <c r="F8" s="177">
        <f t="shared" si="2"/>
        <v>0</v>
      </c>
      <c r="G8" s="177">
        <f t="shared" si="2"/>
        <v>0</v>
      </c>
      <c r="H8" s="177">
        <f t="shared" si="2"/>
        <v>0</v>
      </c>
      <c r="I8" s="177">
        <f t="shared" si="2"/>
        <v>0</v>
      </c>
      <c r="J8" s="177">
        <f t="shared" si="2"/>
        <v>0</v>
      </c>
      <c r="K8" s="177">
        <f t="shared" si="2"/>
        <v>0</v>
      </c>
      <c r="L8" s="177">
        <f t="shared" si="2"/>
        <v>0</v>
      </c>
      <c r="M8" s="177">
        <f t="shared" si="2"/>
        <v>0</v>
      </c>
    </row>
    <row r="9" spans="1:13" ht="14.4" customHeight="1" x14ac:dyDescent="0.3">
      <c r="A9" s="176" t="s">
        <v>90</v>
      </c>
      <c r="B9" s="176">
        <v>1540599</v>
      </c>
      <c r="C9" s="176">
        <v>1371554</v>
      </c>
      <c r="D9" s="176">
        <v>1422591</v>
      </c>
      <c r="E9" s="176">
        <v>1296086</v>
      </c>
      <c r="F9" s="176">
        <v>1092064</v>
      </c>
      <c r="G9" s="176">
        <v>0</v>
      </c>
      <c r="H9" s="176">
        <v>0</v>
      </c>
      <c r="I9" s="176">
        <v>0</v>
      </c>
      <c r="J9" s="176">
        <v>0</v>
      </c>
      <c r="K9" s="176">
        <v>0</v>
      </c>
      <c r="L9" s="176">
        <v>0</v>
      </c>
      <c r="M9" s="176">
        <v>0</v>
      </c>
    </row>
    <row r="10" spans="1:13" ht="14.4" customHeight="1" x14ac:dyDescent="0.3">
      <c r="A10" s="176" t="s">
        <v>65</v>
      </c>
      <c r="B10" s="177">
        <f>B9/1000</f>
        <v>1540.5989999999999</v>
      </c>
      <c r="C10" s="177">
        <f t="shared" ref="C10:M10" si="3">C9/1000+B10</f>
        <v>2912.1530000000002</v>
      </c>
      <c r="D10" s="177">
        <f t="shared" si="3"/>
        <v>4334.7440000000006</v>
      </c>
      <c r="E10" s="177">
        <f t="shared" si="3"/>
        <v>5630.8300000000008</v>
      </c>
      <c r="F10" s="177">
        <f t="shared" si="3"/>
        <v>6722.8940000000011</v>
      </c>
      <c r="G10" s="177">
        <f t="shared" si="3"/>
        <v>6722.8940000000011</v>
      </c>
      <c r="H10" s="177">
        <f t="shared" si="3"/>
        <v>6722.8940000000011</v>
      </c>
      <c r="I10" s="177">
        <f t="shared" si="3"/>
        <v>6722.8940000000011</v>
      </c>
      <c r="J10" s="177">
        <f t="shared" si="3"/>
        <v>6722.8940000000011</v>
      </c>
      <c r="K10" s="177">
        <f t="shared" si="3"/>
        <v>6722.8940000000011</v>
      </c>
      <c r="L10" s="177">
        <f t="shared" si="3"/>
        <v>6722.8940000000011</v>
      </c>
      <c r="M10" s="177">
        <f t="shared" si="3"/>
        <v>6722.8940000000011</v>
      </c>
    </row>
    <row r="11" spans="1:13" ht="14.4" customHeight="1" x14ac:dyDescent="0.3">
      <c r="A11" s="172"/>
      <c r="B11" s="172" t="s">
        <v>80</v>
      </c>
      <c r="C11" s="172">
        <f ca="1">IF(MONTH(TODAY())=1,12,MONTH(TODAY())-1)</f>
        <v>5</v>
      </c>
      <c r="D11" s="172"/>
      <c r="E11" s="172"/>
      <c r="F11" s="172"/>
      <c r="G11" s="172"/>
      <c r="H11" s="172"/>
      <c r="I11" s="172"/>
      <c r="J11" s="172"/>
      <c r="K11" s="172"/>
      <c r="L11" s="172"/>
      <c r="M11" s="172"/>
    </row>
    <row r="12" spans="1:13" ht="14.4" customHeight="1" x14ac:dyDescent="0.3">
      <c r="A12" s="172">
        <v>0</v>
      </c>
      <c r="B12" s="175">
        <f>IF(ISERROR(HI!F15),#REF!,HI!F15)</f>
        <v>0.76587407803960816</v>
      </c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</row>
    <row r="13" spans="1:13" ht="14.4" customHeight="1" x14ac:dyDescent="0.3">
      <c r="A13" s="172">
        <v>1</v>
      </c>
      <c r="B13" s="175">
        <f>IF(ISERROR(HI!F15),#REF!,HI!F15)</f>
        <v>0.76587407803960816</v>
      </c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5" bestFit="1" customWidth="1"/>
    <col min="2" max="2" width="12.77734375" style="105" bestFit="1" customWidth="1"/>
    <col min="3" max="3" width="13.6640625" style="105" bestFit="1" customWidth="1"/>
    <col min="4" max="15" width="7.77734375" style="105" bestFit="1" customWidth="1"/>
    <col min="16" max="16" width="8.88671875" style="105" customWidth="1"/>
    <col min="17" max="17" width="6.6640625" style="105" bestFit="1" customWidth="1"/>
    <col min="18" max="16384" width="8.88671875" style="105"/>
  </cols>
  <sheetData>
    <row r="1" spans="1:17" s="178" customFormat="1" ht="18.600000000000001" customHeight="1" thickBot="1" x14ac:dyDescent="0.4">
      <c r="A1" s="281" t="s">
        <v>235</v>
      </c>
      <c r="B1" s="281"/>
      <c r="C1" s="281"/>
      <c r="D1" s="281"/>
      <c r="E1" s="281"/>
      <c r="F1" s="281"/>
      <c r="G1" s="281"/>
      <c r="H1" s="272"/>
      <c r="I1" s="272"/>
      <c r="J1" s="272"/>
      <c r="K1" s="272"/>
      <c r="L1" s="272"/>
      <c r="M1" s="272"/>
      <c r="N1" s="272"/>
      <c r="O1" s="272"/>
      <c r="P1" s="272"/>
      <c r="Q1" s="272"/>
    </row>
    <row r="2" spans="1:17" s="178" customFormat="1" ht="14.4" customHeight="1" thickBot="1" x14ac:dyDescent="0.3">
      <c r="A2" s="202" t="s">
        <v>233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</row>
    <row r="3" spans="1:17" ht="14.4" customHeight="1" x14ac:dyDescent="0.3">
      <c r="A3" s="60"/>
      <c r="B3" s="282" t="s">
        <v>15</v>
      </c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  <c r="P3" s="113"/>
      <c r="Q3" s="115"/>
    </row>
    <row r="4" spans="1:17" ht="14.4" customHeight="1" x14ac:dyDescent="0.3">
      <c r="A4" s="61"/>
      <c r="B4" s="20">
        <v>2014</v>
      </c>
      <c r="C4" s="114" t="s">
        <v>16</v>
      </c>
      <c r="D4" s="104" t="s">
        <v>134</v>
      </c>
      <c r="E4" s="104" t="s">
        <v>135</v>
      </c>
      <c r="F4" s="104" t="s">
        <v>136</v>
      </c>
      <c r="G4" s="104" t="s">
        <v>137</v>
      </c>
      <c r="H4" s="104" t="s">
        <v>138</v>
      </c>
      <c r="I4" s="104" t="s">
        <v>139</v>
      </c>
      <c r="J4" s="104" t="s">
        <v>140</v>
      </c>
      <c r="K4" s="104" t="s">
        <v>141</v>
      </c>
      <c r="L4" s="104" t="s">
        <v>142</v>
      </c>
      <c r="M4" s="104" t="s">
        <v>143</v>
      </c>
      <c r="N4" s="104" t="s">
        <v>144</v>
      </c>
      <c r="O4" s="104" t="s">
        <v>145</v>
      </c>
      <c r="P4" s="284" t="s">
        <v>3</v>
      </c>
      <c r="Q4" s="285"/>
    </row>
    <row r="5" spans="1:17" ht="14.4" customHeight="1" thickBot="1" x14ac:dyDescent="0.35">
      <c r="A5" s="62"/>
      <c r="B5" s="21" t="s">
        <v>17</v>
      </c>
      <c r="C5" s="22" t="s">
        <v>17</v>
      </c>
      <c r="D5" s="22" t="s">
        <v>18</v>
      </c>
      <c r="E5" s="22" t="s">
        <v>18</v>
      </c>
      <c r="F5" s="22" t="s">
        <v>18</v>
      </c>
      <c r="G5" s="22" t="s">
        <v>18</v>
      </c>
      <c r="H5" s="22" t="s">
        <v>18</v>
      </c>
      <c r="I5" s="22" t="s">
        <v>18</v>
      </c>
      <c r="J5" s="22" t="s">
        <v>18</v>
      </c>
      <c r="K5" s="22" t="s">
        <v>18</v>
      </c>
      <c r="L5" s="22" t="s">
        <v>18</v>
      </c>
      <c r="M5" s="22" t="s">
        <v>18</v>
      </c>
      <c r="N5" s="22" t="s">
        <v>18</v>
      </c>
      <c r="O5" s="22" t="s">
        <v>18</v>
      </c>
      <c r="P5" s="22" t="s">
        <v>18</v>
      </c>
      <c r="Q5" s="23" t="s">
        <v>19</v>
      </c>
    </row>
    <row r="6" spans="1:17" ht="14.4" customHeight="1" x14ac:dyDescent="0.3">
      <c r="A6" s="14" t="s">
        <v>20</v>
      </c>
      <c r="B6" s="43">
        <v>4.9406564584124654E-324</v>
      </c>
      <c r="C6" s="44">
        <v>0</v>
      </c>
      <c r="D6" s="44">
        <v>4.9406564584124654E-324</v>
      </c>
      <c r="E6" s="44">
        <v>4.9406564584124654E-324</v>
      </c>
      <c r="F6" s="44">
        <v>4.9406564584124654E-324</v>
      </c>
      <c r="G6" s="44">
        <v>4.9406564584124654E-324</v>
      </c>
      <c r="H6" s="44">
        <v>4.9406564584124654E-324</v>
      </c>
      <c r="I6" s="44">
        <v>4.9406564584124654E-324</v>
      </c>
      <c r="J6" s="44">
        <v>4.9406564584124654E-324</v>
      </c>
      <c r="K6" s="44">
        <v>4.9406564584124654E-324</v>
      </c>
      <c r="L6" s="44">
        <v>4.9406564584124654E-324</v>
      </c>
      <c r="M6" s="44">
        <v>4.9406564584124654E-324</v>
      </c>
      <c r="N6" s="44">
        <v>4.9406564584124654E-324</v>
      </c>
      <c r="O6" s="44">
        <v>4.9406564584124654E-324</v>
      </c>
      <c r="P6" s="45">
        <v>2.4703282292062327E-323</v>
      </c>
      <c r="Q6" s="70" t="s">
        <v>234</v>
      </c>
    </row>
    <row r="7" spans="1:17" ht="14.4" customHeight="1" x14ac:dyDescent="0.3">
      <c r="A7" s="15" t="s">
        <v>21</v>
      </c>
      <c r="B7" s="46">
        <v>40.857189455970001</v>
      </c>
      <c r="C7" s="47">
        <v>3.4047657879969999</v>
      </c>
      <c r="D7" s="47">
        <v>1.89856</v>
      </c>
      <c r="E7" s="47">
        <v>2.0157500000000002</v>
      </c>
      <c r="F7" s="47">
        <v>2.3473600000000001</v>
      </c>
      <c r="G7" s="47">
        <v>0.23089999999999999</v>
      </c>
      <c r="H7" s="47">
        <v>2.3245900000000002</v>
      </c>
      <c r="I7" s="47">
        <v>4.9406564584124654E-324</v>
      </c>
      <c r="J7" s="47">
        <v>4.9406564584124654E-324</v>
      </c>
      <c r="K7" s="47">
        <v>4.9406564584124654E-324</v>
      </c>
      <c r="L7" s="47">
        <v>4.9406564584124654E-324</v>
      </c>
      <c r="M7" s="47">
        <v>4.9406564584124654E-324</v>
      </c>
      <c r="N7" s="47">
        <v>4.9406564584124654E-324</v>
      </c>
      <c r="O7" s="47">
        <v>4.9406564584124654E-324</v>
      </c>
      <c r="P7" s="48">
        <v>8.8171599999999994</v>
      </c>
      <c r="Q7" s="71">
        <v>0.517930486207</v>
      </c>
    </row>
    <row r="8" spans="1:17" ht="14.4" customHeight="1" x14ac:dyDescent="0.3">
      <c r="A8" s="15" t="s">
        <v>22</v>
      </c>
      <c r="B8" s="46">
        <v>4.9406564584124654E-324</v>
      </c>
      <c r="C8" s="47">
        <v>0</v>
      </c>
      <c r="D8" s="47">
        <v>4.9406564584124654E-324</v>
      </c>
      <c r="E8" s="47">
        <v>4.9406564584124654E-324</v>
      </c>
      <c r="F8" s="47">
        <v>4.9406564584124654E-324</v>
      </c>
      <c r="G8" s="47">
        <v>4.9406564584124654E-324</v>
      </c>
      <c r="H8" s="47">
        <v>4.9406564584124654E-324</v>
      </c>
      <c r="I8" s="47">
        <v>4.9406564584124654E-324</v>
      </c>
      <c r="J8" s="47">
        <v>4.9406564584124654E-324</v>
      </c>
      <c r="K8" s="47">
        <v>4.9406564584124654E-324</v>
      </c>
      <c r="L8" s="47">
        <v>4.9406564584124654E-324</v>
      </c>
      <c r="M8" s="47">
        <v>4.9406564584124654E-324</v>
      </c>
      <c r="N8" s="47">
        <v>4.9406564584124654E-324</v>
      </c>
      <c r="O8" s="47">
        <v>4.9406564584124654E-324</v>
      </c>
      <c r="P8" s="48">
        <v>2.4703282292062327E-323</v>
      </c>
      <c r="Q8" s="71" t="s">
        <v>234</v>
      </c>
    </row>
    <row r="9" spans="1:17" ht="14.4" customHeight="1" x14ac:dyDescent="0.3">
      <c r="A9" s="15" t="s">
        <v>23</v>
      </c>
      <c r="B9" s="46">
        <v>1190.4647063088401</v>
      </c>
      <c r="C9" s="47">
        <v>99.205392192402996</v>
      </c>
      <c r="D9" s="47">
        <v>110.930930000001</v>
      </c>
      <c r="E9" s="47">
        <v>105.99149</v>
      </c>
      <c r="F9" s="47">
        <v>31.45384</v>
      </c>
      <c r="G9" s="47">
        <v>99.031059999999997</v>
      </c>
      <c r="H9" s="47">
        <v>77.266109999999998</v>
      </c>
      <c r="I9" s="47">
        <v>4.9406564584124654E-324</v>
      </c>
      <c r="J9" s="47">
        <v>4.9406564584124654E-324</v>
      </c>
      <c r="K9" s="47">
        <v>4.9406564584124654E-324</v>
      </c>
      <c r="L9" s="47">
        <v>4.9406564584124654E-324</v>
      </c>
      <c r="M9" s="47">
        <v>4.9406564584124654E-324</v>
      </c>
      <c r="N9" s="47">
        <v>4.9406564584124654E-324</v>
      </c>
      <c r="O9" s="47">
        <v>4.9406564584124654E-324</v>
      </c>
      <c r="P9" s="48">
        <v>424.67343000000102</v>
      </c>
      <c r="Q9" s="71">
        <v>0.85614989390100005</v>
      </c>
    </row>
    <row r="10" spans="1:17" ht="14.4" customHeight="1" x14ac:dyDescent="0.3">
      <c r="A10" s="15" t="s">
        <v>24</v>
      </c>
      <c r="B10" s="46">
        <v>0</v>
      </c>
      <c r="C10" s="47">
        <v>0</v>
      </c>
      <c r="D10" s="47">
        <v>4.9406564584124654E-324</v>
      </c>
      <c r="E10" s="47">
        <v>4.9406564584124654E-324</v>
      </c>
      <c r="F10" s="47">
        <v>4.9406564584124654E-324</v>
      </c>
      <c r="G10" s="47">
        <v>4.9406564584124654E-324</v>
      </c>
      <c r="H10" s="47">
        <v>4.9406564584124654E-324</v>
      </c>
      <c r="I10" s="47">
        <v>4.9406564584124654E-324</v>
      </c>
      <c r="J10" s="47">
        <v>4.9406564584124654E-324</v>
      </c>
      <c r="K10" s="47">
        <v>4.9406564584124654E-324</v>
      </c>
      <c r="L10" s="47">
        <v>4.9406564584124654E-324</v>
      </c>
      <c r="M10" s="47">
        <v>4.9406564584124654E-324</v>
      </c>
      <c r="N10" s="47">
        <v>4.9406564584124654E-324</v>
      </c>
      <c r="O10" s="47">
        <v>4.9406564584124654E-324</v>
      </c>
      <c r="P10" s="48">
        <v>2.4703282292062327E-323</v>
      </c>
      <c r="Q10" s="71" t="s">
        <v>234</v>
      </c>
    </row>
    <row r="11" spans="1:17" ht="14.4" customHeight="1" x14ac:dyDescent="0.3">
      <c r="A11" s="15" t="s">
        <v>25</v>
      </c>
      <c r="B11" s="46">
        <v>170.601841284606</v>
      </c>
      <c r="C11" s="47">
        <v>14.216820107049999</v>
      </c>
      <c r="D11" s="47">
        <v>15.756970000000001</v>
      </c>
      <c r="E11" s="47">
        <v>-1.24681</v>
      </c>
      <c r="F11" s="47">
        <v>24.72167</v>
      </c>
      <c r="G11" s="47">
        <v>14.115600000000001</v>
      </c>
      <c r="H11" s="47">
        <v>14.10758</v>
      </c>
      <c r="I11" s="47">
        <v>4.9406564584124654E-324</v>
      </c>
      <c r="J11" s="47">
        <v>4.9406564584124654E-324</v>
      </c>
      <c r="K11" s="47">
        <v>4.9406564584124654E-324</v>
      </c>
      <c r="L11" s="47">
        <v>4.9406564584124654E-324</v>
      </c>
      <c r="M11" s="47">
        <v>4.9406564584124654E-324</v>
      </c>
      <c r="N11" s="47">
        <v>4.9406564584124654E-324</v>
      </c>
      <c r="O11" s="47">
        <v>4.9406564584124654E-324</v>
      </c>
      <c r="P11" s="48">
        <v>67.455010000000001</v>
      </c>
      <c r="Q11" s="71">
        <v>0.94894652238699995</v>
      </c>
    </row>
    <row r="12" spans="1:17" ht="14.4" customHeight="1" x14ac:dyDescent="0.3">
      <c r="A12" s="15" t="s">
        <v>26</v>
      </c>
      <c r="B12" s="46">
        <v>21.150116570289001</v>
      </c>
      <c r="C12" s="47">
        <v>1.7625097141899999</v>
      </c>
      <c r="D12" s="47">
        <v>18.265000000000001</v>
      </c>
      <c r="E12" s="47">
        <v>4.9406564584124654E-324</v>
      </c>
      <c r="F12" s="47">
        <v>0.60987999999999998</v>
      </c>
      <c r="G12" s="47">
        <v>0.32064999999999999</v>
      </c>
      <c r="H12" s="47">
        <v>4.9406564584124654E-324</v>
      </c>
      <c r="I12" s="47">
        <v>4.9406564584124654E-324</v>
      </c>
      <c r="J12" s="47">
        <v>4.9406564584124654E-324</v>
      </c>
      <c r="K12" s="47">
        <v>4.9406564584124654E-324</v>
      </c>
      <c r="L12" s="47">
        <v>4.9406564584124654E-324</v>
      </c>
      <c r="M12" s="47">
        <v>4.9406564584124654E-324</v>
      </c>
      <c r="N12" s="47">
        <v>4.9406564584124654E-324</v>
      </c>
      <c r="O12" s="47">
        <v>4.9406564584124654E-324</v>
      </c>
      <c r="P12" s="48">
        <v>19.195530000000002</v>
      </c>
      <c r="Q12" s="71">
        <v>2.1782041648270001</v>
      </c>
    </row>
    <row r="13" spans="1:17" ht="14.4" customHeight="1" x14ac:dyDescent="0.3">
      <c r="A13" s="15" t="s">
        <v>27</v>
      </c>
      <c r="B13" s="46">
        <v>31.863843538878999</v>
      </c>
      <c r="C13" s="47">
        <v>2.6553202949060002</v>
      </c>
      <c r="D13" s="47">
        <v>1.5521199999999999</v>
      </c>
      <c r="E13" s="47">
        <v>1.7442599999999999</v>
      </c>
      <c r="F13" s="47">
        <v>2.8555100000000002</v>
      </c>
      <c r="G13" s="47">
        <v>3.1</v>
      </c>
      <c r="H13" s="47">
        <v>-0.72963</v>
      </c>
      <c r="I13" s="47">
        <v>4.9406564584124654E-324</v>
      </c>
      <c r="J13" s="47">
        <v>4.9406564584124654E-324</v>
      </c>
      <c r="K13" s="47">
        <v>4.9406564584124654E-324</v>
      </c>
      <c r="L13" s="47">
        <v>4.9406564584124654E-324</v>
      </c>
      <c r="M13" s="47">
        <v>4.9406564584124654E-324</v>
      </c>
      <c r="N13" s="47">
        <v>4.9406564584124654E-324</v>
      </c>
      <c r="O13" s="47">
        <v>4.9406564584124654E-324</v>
      </c>
      <c r="P13" s="48">
        <v>8.5222599999999993</v>
      </c>
      <c r="Q13" s="71">
        <v>0.64190071656100001</v>
      </c>
    </row>
    <row r="14" spans="1:17" ht="14.4" customHeight="1" x14ac:dyDescent="0.3">
      <c r="A14" s="15" t="s">
        <v>28</v>
      </c>
      <c r="B14" s="46">
        <v>0</v>
      </c>
      <c r="C14" s="47">
        <v>0</v>
      </c>
      <c r="D14" s="47">
        <v>4.9406564584124654E-324</v>
      </c>
      <c r="E14" s="47">
        <v>4.9406564584124654E-324</v>
      </c>
      <c r="F14" s="47">
        <v>4.9406564584124654E-324</v>
      </c>
      <c r="G14" s="47">
        <v>4.9406564584124654E-324</v>
      </c>
      <c r="H14" s="47">
        <v>4.9406564584124654E-324</v>
      </c>
      <c r="I14" s="47">
        <v>4.9406564584124654E-324</v>
      </c>
      <c r="J14" s="47">
        <v>4.9406564584124654E-324</v>
      </c>
      <c r="K14" s="47">
        <v>4.9406564584124654E-324</v>
      </c>
      <c r="L14" s="47">
        <v>4.9406564584124654E-324</v>
      </c>
      <c r="M14" s="47">
        <v>4.9406564584124654E-324</v>
      </c>
      <c r="N14" s="47">
        <v>4.9406564584124654E-324</v>
      </c>
      <c r="O14" s="47">
        <v>4.9406564584124654E-324</v>
      </c>
      <c r="P14" s="48">
        <v>2.4703282292062327E-323</v>
      </c>
      <c r="Q14" s="71" t="s">
        <v>234</v>
      </c>
    </row>
    <row r="15" spans="1:17" ht="14.4" customHeight="1" x14ac:dyDescent="0.3">
      <c r="A15" s="15" t="s">
        <v>29</v>
      </c>
      <c r="B15" s="46">
        <v>4.9406564584124654E-324</v>
      </c>
      <c r="C15" s="47">
        <v>0</v>
      </c>
      <c r="D15" s="47">
        <v>4.9406564584124654E-324</v>
      </c>
      <c r="E15" s="47">
        <v>4.9406564584124654E-324</v>
      </c>
      <c r="F15" s="47">
        <v>4.9406564584124654E-324</v>
      </c>
      <c r="G15" s="47">
        <v>4.9406564584124654E-324</v>
      </c>
      <c r="H15" s="47">
        <v>4.9406564584124654E-324</v>
      </c>
      <c r="I15" s="47">
        <v>4.9406564584124654E-324</v>
      </c>
      <c r="J15" s="47">
        <v>4.9406564584124654E-324</v>
      </c>
      <c r="K15" s="47">
        <v>4.9406564584124654E-324</v>
      </c>
      <c r="L15" s="47">
        <v>4.9406564584124654E-324</v>
      </c>
      <c r="M15" s="47">
        <v>4.9406564584124654E-324</v>
      </c>
      <c r="N15" s="47">
        <v>4.9406564584124654E-324</v>
      </c>
      <c r="O15" s="47">
        <v>4.9406564584124654E-324</v>
      </c>
      <c r="P15" s="48">
        <v>2.4703282292062327E-323</v>
      </c>
      <c r="Q15" s="71" t="s">
        <v>234</v>
      </c>
    </row>
    <row r="16" spans="1:17" ht="14.4" customHeight="1" x14ac:dyDescent="0.3">
      <c r="A16" s="15" t="s">
        <v>30</v>
      </c>
      <c r="B16" s="46">
        <v>4.9406564584124654E-324</v>
      </c>
      <c r="C16" s="47">
        <v>0</v>
      </c>
      <c r="D16" s="47">
        <v>4.9406564584124654E-324</v>
      </c>
      <c r="E16" s="47">
        <v>4.9406564584124654E-324</v>
      </c>
      <c r="F16" s="47">
        <v>4.9406564584124654E-324</v>
      </c>
      <c r="G16" s="47">
        <v>4.9406564584124654E-324</v>
      </c>
      <c r="H16" s="47">
        <v>4.9406564584124654E-324</v>
      </c>
      <c r="I16" s="47">
        <v>4.9406564584124654E-324</v>
      </c>
      <c r="J16" s="47">
        <v>4.9406564584124654E-324</v>
      </c>
      <c r="K16" s="47">
        <v>4.9406564584124654E-324</v>
      </c>
      <c r="L16" s="47">
        <v>4.9406564584124654E-324</v>
      </c>
      <c r="M16" s="47">
        <v>4.9406564584124654E-324</v>
      </c>
      <c r="N16" s="47">
        <v>4.9406564584124654E-324</v>
      </c>
      <c r="O16" s="47">
        <v>4.9406564584124654E-324</v>
      </c>
      <c r="P16" s="48">
        <v>2.4703282292062327E-323</v>
      </c>
      <c r="Q16" s="71" t="s">
        <v>234</v>
      </c>
    </row>
    <row r="17" spans="1:17" ht="14.4" customHeight="1" x14ac:dyDescent="0.3">
      <c r="A17" s="15" t="s">
        <v>31</v>
      </c>
      <c r="B17" s="46">
        <v>145.40613290015901</v>
      </c>
      <c r="C17" s="47">
        <v>12.117177741679001</v>
      </c>
      <c r="D17" s="47">
        <v>3.0489999999999999</v>
      </c>
      <c r="E17" s="47">
        <v>4.9406564584124654E-324</v>
      </c>
      <c r="F17" s="47">
        <v>4.9406564584124654E-324</v>
      </c>
      <c r="G17" s="47">
        <v>1.863</v>
      </c>
      <c r="H17" s="47">
        <v>4.9406564584124654E-324</v>
      </c>
      <c r="I17" s="47">
        <v>4.9406564584124654E-324</v>
      </c>
      <c r="J17" s="47">
        <v>4.9406564584124654E-324</v>
      </c>
      <c r="K17" s="47">
        <v>4.9406564584124654E-324</v>
      </c>
      <c r="L17" s="47">
        <v>4.9406564584124654E-324</v>
      </c>
      <c r="M17" s="47">
        <v>4.9406564584124654E-324</v>
      </c>
      <c r="N17" s="47">
        <v>4.9406564584124654E-324</v>
      </c>
      <c r="O17" s="47">
        <v>4.9406564584124654E-324</v>
      </c>
      <c r="P17" s="48">
        <v>4.9119999999999999</v>
      </c>
      <c r="Q17" s="71">
        <v>8.1074984697999994E-2</v>
      </c>
    </row>
    <row r="18" spans="1:17" ht="14.4" customHeight="1" x14ac:dyDescent="0.3">
      <c r="A18" s="15" t="s">
        <v>32</v>
      </c>
      <c r="B18" s="46">
        <v>0</v>
      </c>
      <c r="C18" s="47">
        <v>0</v>
      </c>
      <c r="D18" s="47">
        <v>4.9406564584124654E-324</v>
      </c>
      <c r="E18" s="47">
        <v>1.012</v>
      </c>
      <c r="F18" s="47">
        <v>0.58299999999999996</v>
      </c>
      <c r="G18" s="47">
        <v>0.72599999999999998</v>
      </c>
      <c r="H18" s="47">
        <v>7.133</v>
      </c>
      <c r="I18" s="47">
        <v>4.9406564584124654E-324</v>
      </c>
      <c r="J18" s="47">
        <v>4.9406564584124654E-324</v>
      </c>
      <c r="K18" s="47">
        <v>4.9406564584124654E-324</v>
      </c>
      <c r="L18" s="47">
        <v>4.9406564584124654E-324</v>
      </c>
      <c r="M18" s="47">
        <v>4.9406564584124654E-324</v>
      </c>
      <c r="N18" s="47">
        <v>4.9406564584124654E-324</v>
      </c>
      <c r="O18" s="47">
        <v>4.9406564584124654E-324</v>
      </c>
      <c r="P18" s="48">
        <v>9.4540000000000006</v>
      </c>
      <c r="Q18" s="71" t="s">
        <v>234</v>
      </c>
    </row>
    <row r="19" spans="1:17" ht="14.4" customHeight="1" x14ac:dyDescent="0.3">
      <c r="A19" s="15" t="s">
        <v>33</v>
      </c>
      <c r="B19" s="46">
        <v>431.19025838665101</v>
      </c>
      <c r="C19" s="47">
        <v>35.932521532220001</v>
      </c>
      <c r="D19" s="47">
        <v>16.583310000000001</v>
      </c>
      <c r="E19" s="47">
        <v>7.5413699999999997</v>
      </c>
      <c r="F19" s="47">
        <v>37.846290000000003</v>
      </c>
      <c r="G19" s="47">
        <v>21.491209999999999</v>
      </c>
      <c r="H19" s="47">
        <v>35.883290000000002</v>
      </c>
      <c r="I19" s="47">
        <v>4.9406564584124654E-324</v>
      </c>
      <c r="J19" s="47">
        <v>4.9406564584124654E-324</v>
      </c>
      <c r="K19" s="47">
        <v>4.9406564584124654E-324</v>
      </c>
      <c r="L19" s="47">
        <v>4.9406564584124654E-324</v>
      </c>
      <c r="M19" s="47">
        <v>4.9406564584124654E-324</v>
      </c>
      <c r="N19" s="47">
        <v>4.9406564584124654E-324</v>
      </c>
      <c r="O19" s="47">
        <v>4.9406564584124654E-324</v>
      </c>
      <c r="P19" s="48">
        <v>119.34547000000001</v>
      </c>
      <c r="Q19" s="71">
        <v>0.66427550815199998</v>
      </c>
    </row>
    <row r="20" spans="1:17" ht="14.4" customHeight="1" x14ac:dyDescent="0.3">
      <c r="A20" s="15" t="s">
        <v>34</v>
      </c>
      <c r="B20" s="46">
        <v>17309.079657865099</v>
      </c>
      <c r="C20" s="47">
        <v>1442.4233048220899</v>
      </c>
      <c r="D20" s="47">
        <v>1350.10942000001</v>
      </c>
      <c r="E20" s="47">
        <v>1334.69362</v>
      </c>
      <c r="F20" s="47">
        <v>1391.51937</v>
      </c>
      <c r="G20" s="47">
        <v>1361.61256</v>
      </c>
      <c r="H20" s="47">
        <v>1354.6200100000001</v>
      </c>
      <c r="I20" s="47">
        <v>4.9406564584124654E-324</v>
      </c>
      <c r="J20" s="47">
        <v>4.9406564584124654E-324</v>
      </c>
      <c r="K20" s="47">
        <v>4.9406564584124654E-324</v>
      </c>
      <c r="L20" s="47">
        <v>4.9406564584124654E-324</v>
      </c>
      <c r="M20" s="47">
        <v>4.9406564584124654E-324</v>
      </c>
      <c r="N20" s="47">
        <v>4.9406564584124654E-324</v>
      </c>
      <c r="O20" s="47">
        <v>4.9406564584124654E-324</v>
      </c>
      <c r="P20" s="48">
        <v>6792.5549800000099</v>
      </c>
      <c r="Q20" s="71">
        <v>0.94182546237099996</v>
      </c>
    </row>
    <row r="21" spans="1:17" ht="14.4" customHeight="1" x14ac:dyDescent="0.3">
      <c r="A21" s="16" t="s">
        <v>35</v>
      </c>
      <c r="B21" s="46">
        <v>1663.9999205404099</v>
      </c>
      <c r="C21" s="47">
        <v>138.66666004503401</v>
      </c>
      <c r="D21" s="47">
        <v>144.07000000000099</v>
      </c>
      <c r="E21" s="47">
        <v>145.55199999999999</v>
      </c>
      <c r="F21" s="47">
        <v>145.55199999999999</v>
      </c>
      <c r="G21" s="47">
        <v>145.55199999999999</v>
      </c>
      <c r="H21" s="47">
        <v>145.55199999999999</v>
      </c>
      <c r="I21" s="47">
        <v>1.4821969375237396E-323</v>
      </c>
      <c r="J21" s="47">
        <v>1.4821969375237396E-323</v>
      </c>
      <c r="K21" s="47">
        <v>1.4821969375237396E-323</v>
      </c>
      <c r="L21" s="47">
        <v>1.4821969375237396E-323</v>
      </c>
      <c r="M21" s="47">
        <v>1.4821969375237396E-323</v>
      </c>
      <c r="N21" s="47">
        <v>1.4821969375237396E-323</v>
      </c>
      <c r="O21" s="47">
        <v>1.4821969375237396E-323</v>
      </c>
      <c r="P21" s="48">
        <v>726.27800000000104</v>
      </c>
      <c r="Q21" s="71">
        <v>1.047516396175</v>
      </c>
    </row>
    <row r="22" spans="1:17" ht="14.4" customHeight="1" x14ac:dyDescent="0.3">
      <c r="A22" s="15" t="s">
        <v>36</v>
      </c>
      <c r="B22" s="46">
        <v>0</v>
      </c>
      <c r="C22" s="47">
        <v>0</v>
      </c>
      <c r="D22" s="47">
        <v>4.9406564584124654E-324</v>
      </c>
      <c r="E22" s="47">
        <v>9.0169499999999996</v>
      </c>
      <c r="F22" s="47">
        <v>0</v>
      </c>
      <c r="G22" s="47">
        <v>4.9406564584124654E-324</v>
      </c>
      <c r="H22" s="47">
        <v>4.9406564584124654E-324</v>
      </c>
      <c r="I22" s="47">
        <v>4.9406564584124654E-324</v>
      </c>
      <c r="J22" s="47">
        <v>4.9406564584124654E-324</v>
      </c>
      <c r="K22" s="47">
        <v>4.9406564584124654E-324</v>
      </c>
      <c r="L22" s="47">
        <v>4.9406564584124654E-324</v>
      </c>
      <c r="M22" s="47">
        <v>4.9406564584124654E-324</v>
      </c>
      <c r="N22" s="47">
        <v>4.9406564584124654E-324</v>
      </c>
      <c r="O22" s="47">
        <v>4.9406564584124654E-324</v>
      </c>
      <c r="P22" s="48">
        <v>9.0169499999999996</v>
      </c>
      <c r="Q22" s="71" t="s">
        <v>234</v>
      </c>
    </row>
    <row r="23" spans="1:17" ht="14.4" customHeight="1" x14ac:dyDescent="0.3">
      <c r="A23" s="16" t="s">
        <v>37</v>
      </c>
      <c r="B23" s="46">
        <v>1.9762625833649862E-323</v>
      </c>
      <c r="C23" s="47">
        <v>0</v>
      </c>
      <c r="D23" s="47">
        <v>1.9762625833649862E-323</v>
      </c>
      <c r="E23" s="47">
        <v>1.9762625833649862E-323</v>
      </c>
      <c r="F23" s="47">
        <v>1.9762625833649862E-323</v>
      </c>
      <c r="G23" s="47">
        <v>1.9762625833649862E-323</v>
      </c>
      <c r="H23" s="47">
        <v>1.9762625833649862E-323</v>
      </c>
      <c r="I23" s="47">
        <v>1.9762625833649862E-323</v>
      </c>
      <c r="J23" s="47">
        <v>1.9762625833649862E-323</v>
      </c>
      <c r="K23" s="47">
        <v>1.9762625833649862E-323</v>
      </c>
      <c r="L23" s="47">
        <v>1.9762625833649862E-323</v>
      </c>
      <c r="M23" s="47">
        <v>1.9762625833649862E-323</v>
      </c>
      <c r="N23" s="47">
        <v>1.9762625833649862E-323</v>
      </c>
      <c r="O23" s="47">
        <v>1.9762625833649862E-323</v>
      </c>
      <c r="P23" s="48">
        <v>9.8813129168249309E-323</v>
      </c>
      <c r="Q23" s="71" t="s">
        <v>234</v>
      </c>
    </row>
    <row r="24" spans="1:17" ht="14.4" customHeight="1" x14ac:dyDescent="0.3">
      <c r="A24" s="16" t="s">
        <v>38</v>
      </c>
      <c r="B24" s="46">
        <v>34.876325088338</v>
      </c>
      <c r="C24" s="47">
        <v>2.9063604240280001</v>
      </c>
      <c r="D24" s="47">
        <v>5.4660000000000002</v>
      </c>
      <c r="E24" s="47">
        <v>22.172779999999001</v>
      </c>
      <c r="F24" s="47">
        <v>-1.7165600000000001</v>
      </c>
      <c r="G24" s="47">
        <v>5.5</v>
      </c>
      <c r="H24" s="47">
        <v>6.7009999999999996</v>
      </c>
      <c r="I24" s="47">
        <v>-1.0869444208507424E-322</v>
      </c>
      <c r="J24" s="47">
        <v>-1.0869444208507424E-322</v>
      </c>
      <c r="K24" s="47">
        <v>-1.0869444208507424E-322</v>
      </c>
      <c r="L24" s="47">
        <v>-1.0869444208507424E-322</v>
      </c>
      <c r="M24" s="47">
        <v>-1.0869444208507424E-322</v>
      </c>
      <c r="N24" s="47">
        <v>-1.0869444208507424E-322</v>
      </c>
      <c r="O24" s="47">
        <v>-1.0869444208507424E-322</v>
      </c>
      <c r="P24" s="48">
        <v>38.123219999999002</v>
      </c>
      <c r="Q24" s="71"/>
    </row>
    <row r="25" spans="1:17" ht="14.4" customHeight="1" x14ac:dyDescent="0.3">
      <c r="A25" s="17" t="s">
        <v>39</v>
      </c>
      <c r="B25" s="49">
        <v>21039.489991939201</v>
      </c>
      <c r="C25" s="50">
        <v>1753.2908326616</v>
      </c>
      <c r="D25" s="50">
        <v>1667.6813100000099</v>
      </c>
      <c r="E25" s="50">
        <v>1628.49341</v>
      </c>
      <c r="F25" s="50">
        <v>1635.7723599999999</v>
      </c>
      <c r="G25" s="50">
        <v>1653.5429799999999</v>
      </c>
      <c r="H25" s="50">
        <v>1642.8579500000001</v>
      </c>
      <c r="I25" s="50">
        <v>4.9406564584124654E-324</v>
      </c>
      <c r="J25" s="50">
        <v>4.9406564584124654E-324</v>
      </c>
      <c r="K25" s="50">
        <v>4.9406564584124654E-324</v>
      </c>
      <c r="L25" s="50">
        <v>4.9406564584124654E-324</v>
      </c>
      <c r="M25" s="50">
        <v>4.9406564584124654E-324</v>
      </c>
      <c r="N25" s="50">
        <v>4.9406564584124654E-324</v>
      </c>
      <c r="O25" s="50">
        <v>4.9406564584124654E-324</v>
      </c>
      <c r="P25" s="51">
        <v>8228.3480100000106</v>
      </c>
      <c r="Q25" s="72">
        <v>0.93861758205900003</v>
      </c>
    </row>
    <row r="26" spans="1:17" ht="14.4" customHeight="1" x14ac:dyDescent="0.3">
      <c r="A26" s="15" t="s">
        <v>40</v>
      </c>
      <c r="B26" s="46">
        <v>2523.0019846895402</v>
      </c>
      <c r="C26" s="47">
        <v>210.25016539079499</v>
      </c>
      <c r="D26" s="47">
        <v>202.71498</v>
      </c>
      <c r="E26" s="47">
        <v>187.95821000000001</v>
      </c>
      <c r="F26" s="47">
        <v>213.26238000000001</v>
      </c>
      <c r="G26" s="47">
        <v>192.62952999999999</v>
      </c>
      <c r="H26" s="47">
        <v>197.91963000000001</v>
      </c>
      <c r="I26" s="47">
        <v>4.9406564584124654E-324</v>
      </c>
      <c r="J26" s="47">
        <v>4.9406564584124654E-324</v>
      </c>
      <c r="K26" s="47">
        <v>4.9406564584124654E-324</v>
      </c>
      <c r="L26" s="47">
        <v>4.9406564584124654E-324</v>
      </c>
      <c r="M26" s="47">
        <v>4.9406564584124654E-324</v>
      </c>
      <c r="N26" s="47">
        <v>4.9406564584124654E-324</v>
      </c>
      <c r="O26" s="47">
        <v>4.9406564584124654E-324</v>
      </c>
      <c r="P26" s="48">
        <v>994.48473000000001</v>
      </c>
      <c r="Q26" s="71">
        <v>0.94600137712200005</v>
      </c>
    </row>
    <row r="27" spans="1:17" ht="14.4" customHeight="1" x14ac:dyDescent="0.3">
      <c r="A27" s="18" t="s">
        <v>41</v>
      </c>
      <c r="B27" s="49">
        <v>23562.491976628698</v>
      </c>
      <c r="C27" s="50">
        <v>1963.5409980524</v>
      </c>
      <c r="D27" s="50">
        <v>1870.3962900000099</v>
      </c>
      <c r="E27" s="50">
        <v>1816.45162</v>
      </c>
      <c r="F27" s="50">
        <v>1849.0347400000001</v>
      </c>
      <c r="G27" s="50">
        <v>1846.1725100000001</v>
      </c>
      <c r="H27" s="50">
        <v>1840.7775799999999</v>
      </c>
      <c r="I27" s="50">
        <v>9.8813129168249309E-324</v>
      </c>
      <c r="J27" s="50">
        <v>9.8813129168249309E-324</v>
      </c>
      <c r="K27" s="50">
        <v>9.8813129168249309E-324</v>
      </c>
      <c r="L27" s="50">
        <v>9.8813129168249309E-324</v>
      </c>
      <c r="M27" s="50">
        <v>9.8813129168249309E-324</v>
      </c>
      <c r="N27" s="50">
        <v>9.8813129168249309E-324</v>
      </c>
      <c r="O27" s="50">
        <v>9.8813129168249309E-324</v>
      </c>
      <c r="P27" s="51">
        <v>9222.8327400000107</v>
      </c>
      <c r="Q27" s="72">
        <v>0.93940821700599997</v>
      </c>
    </row>
    <row r="28" spans="1:17" ht="14.4" customHeight="1" x14ac:dyDescent="0.3">
      <c r="A28" s="16" t="s">
        <v>42</v>
      </c>
      <c r="B28" s="46">
        <v>1007.04727849767</v>
      </c>
      <c r="C28" s="47">
        <v>83.920606541471997</v>
      </c>
      <c r="D28" s="47">
        <v>64.867059999999995</v>
      </c>
      <c r="E28" s="47">
        <v>61.408799999999999</v>
      </c>
      <c r="F28" s="47">
        <v>64.077770000000001</v>
      </c>
      <c r="G28" s="47">
        <v>85.714659999999995</v>
      </c>
      <c r="H28" s="47">
        <v>71.516949999999994</v>
      </c>
      <c r="I28" s="47">
        <v>1.2351641146031164E-322</v>
      </c>
      <c r="J28" s="47">
        <v>1.2351641146031164E-322</v>
      </c>
      <c r="K28" s="47">
        <v>1.2351641146031164E-322</v>
      </c>
      <c r="L28" s="47">
        <v>1.2351641146031164E-322</v>
      </c>
      <c r="M28" s="47">
        <v>1.2351641146031164E-322</v>
      </c>
      <c r="N28" s="47">
        <v>1.2351641146031164E-322</v>
      </c>
      <c r="O28" s="47">
        <v>1.2351641146031164E-322</v>
      </c>
      <c r="P28" s="48">
        <v>347.58524</v>
      </c>
      <c r="Q28" s="71">
        <v>0.82836684415100004</v>
      </c>
    </row>
    <row r="29" spans="1:17" ht="14.4" customHeight="1" x14ac:dyDescent="0.3">
      <c r="A29" s="16" t="s">
        <v>43</v>
      </c>
      <c r="B29" s="46">
        <v>9.8813129168249309E-324</v>
      </c>
      <c r="C29" s="47">
        <v>0</v>
      </c>
      <c r="D29" s="47">
        <v>9.8813129168249309E-324</v>
      </c>
      <c r="E29" s="47">
        <v>9.8813129168249309E-324</v>
      </c>
      <c r="F29" s="47">
        <v>9.8813129168249309E-324</v>
      </c>
      <c r="G29" s="47">
        <v>9.8813129168249309E-324</v>
      </c>
      <c r="H29" s="47">
        <v>9.8813129168249309E-324</v>
      </c>
      <c r="I29" s="47">
        <v>9.8813129168249309E-324</v>
      </c>
      <c r="J29" s="47">
        <v>9.8813129168249309E-324</v>
      </c>
      <c r="K29" s="47">
        <v>9.8813129168249309E-324</v>
      </c>
      <c r="L29" s="47">
        <v>9.8813129168249309E-324</v>
      </c>
      <c r="M29" s="47">
        <v>9.8813129168249309E-324</v>
      </c>
      <c r="N29" s="47">
        <v>9.8813129168249309E-324</v>
      </c>
      <c r="O29" s="47">
        <v>9.8813129168249309E-324</v>
      </c>
      <c r="P29" s="48">
        <v>4.9406564584124654E-323</v>
      </c>
      <c r="Q29" s="71" t="s">
        <v>234</v>
      </c>
    </row>
    <row r="30" spans="1:17" ht="14.4" customHeight="1" x14ac:dyDescent="0.3">
      <c r="A30" s="16" t="s">
        <v>44</v>
      </c>
      <c r="B30" s="46">
        <v>4.9406564584124654E-323</v>
      </c>
      <c r="C30" s="47">
        <v>0</v>
      </c>
      <c r="D30" s="47">
        <v>4.9406564584124654E-323</v>
      </c>
      <c r="E30" s="47">
        <v>4.9406564584124654E-323</v>
      </c>
      <c r="F30" s="47">
        <v>4.9406564584124654E-323</v>
      </c>
      <c r="G30" s="47">
        <v>4.9406564584124654E-323</v>
      </c>
      <c r="H30" s="47">
        <v>4.9406564584124654E-323</v>
      </c>
      <c r="I30" s="47">
        <v>4.9406564584124654E-323</v>
      </c>
      <c r="J30" s="47">
        <v>4.9406564584124654E-323</v>
      </c>
      <c r="K30" s="47">
        <v>4.9406564584124654E-323</v>
      </c>
      <c r="L30" s="47">
        <v>4.9406564584124654E-323</v>
      </c>
      <c r="M30" s="47">
        <v>4.9406564584124654E-323</v>
      </c>
      <c r="N30" s="47">
        <v>4.9406564584124654E-323</v>
      </c>
      <c r="O30" s="47">
        <v>4.9406564584124654E-323</v>
      </c>
      <c r="P30" s="48">
        <v>2.4703282292062327E-322</v>
      </c>
      <c r="Q30" s="71">
        <v>0</v>
      </c>
    </row>
    <row r="31" spans="1:17" ht="14.4" customHeight="1" thickBot="1" x14ac:dyDescent="0.35">
      <c r="A31" s="19" t="s">
        <v>45</v>
      </c>
      <c r="B31" s="52">
        <v>1.9762625833649862E-323</v>
      </c>
      <c r="C31" s="53">
        <v>0</v>
      </c>
      <c r="D31" s="53">
        <v>0.66600000000000004</v>
      </c>
      <c r="E31" s="53">
        <v>10.76295</v>
      </c>
      <c r="F31" s="53">
        <v>2.4703282292062327E-323</v>
      </c>
      <c r="G31" s="53">
        <v>2.4703282292062327E-323</v>
      </c>
      <c r="H31" s="53">
        <v>2.4703282292062327E-323</v>
      </c>
      <c r="I31" s="53">
        <v>2.4703282292062327E-323</v>
      </c>
      <c r="J31" s="53">
        <v>2.4703282292062327E-323</v>
      </c>
      <c r="K31" s="53">
        <v>2.4703282292062327E-323</v>
      </c>
      <c r="L31" s="53">
        <v>2.4703282292062327E-323</v>
      </c>
      <c r="M31" s="53">
        <v>2.4703282292062327E-323</v>
      </c>
      <c r="N31" s="53">
        <v>2.4703282292062327E-323</v>
      </c>
      <c r="O31" s="53">
        <v>2.4703282292062327E-323</v>
      </c>
      <c r="P31" s="54">
        <v>11.42895</v>
      </c>
      <c r="Q31" s="73" t="s">
        <v>234</v>
      </c>
    </row>
    <row r="32" spans="1:17" ht="14.4" customHeight="1" x14ac:dyDescent="0.3"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</row>
    <row r="33" spans="1:17" ht="14.4" customHeight="1" x14ac:dyDescent="0.3">
      <c r="A33" s="88" t="s">
        <v>128</v>
      </c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</row>
    <row r="34" spans="1:17" ht="14.4" customHeight="1" x14ac:dyDescent="0.3">
      <c r="A34" s="111" t="s">
        <v>154</v>
      </c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</row>
    <row r="35" spans="1:17" ht="14.4" customHeight="1" x14ac:dyDescent="0.3">
      <c r="A35" s="112" t="s">
        <v>46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17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5" customWidth="1"/>
    <col min="2" max="11" width="10" style="105" customWidth="1"/>
    <col min="12" max="16384" width="8.88671875" style="105"/>
  </cols>
  <sheetData>
    <row r="1" spans="1:11" s="55" customFormat="1" ht="18.600000000000001" customHeight="1" thickBot="1" x14ac:dyDescent="0.4">
      <c r="A1" s="281" t="s">
        <v>47</v>
      </c>
      <c r="B1" s="281"/>
      <c r="C1" s="281"/>
      <c r="D1" s="281"/>
      <c r="E1" s="281"/>
      <c r="F1" s="281"/>
      <c r="G1" s="281"/>
      <c r="H1" s="286"/>
      <c r="I1" s="286"/>
      <c r="J1" s="286"/>
      <c r="K1" s="286"/>
    </row>
    <row r="2" spans="1:11" s="55" customFormat="1" ht="14.4" customHeight="1" thickBot="1" x14ac:dyDescent="0.35">
      <c r="A2" s="202" t="s">
        <v>233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60"/>
      <c r="B3" s="282" t="s">
        <v>48</v>
      </c>
      <c r="C3" s="283"/>
      <c r="D3" s="283"/>
      <c r="E3" s="283"/>
      <c r="F3" s="289" t="s">
        <v>49</v>
      </c>
      <c r="G3" s="283"/>
      <c r="H3" s="283"/>
      <c r="I3" s="283"/>
      <c r="J3" s="283"/>
      <c r="K3" s="290"/>
    </row>
    <row r="4" spans="1:11" ht="14.4" customHeight="1" x14ac:dyDescent="0.3">
      <c r="A4" s="61"/>
      <c r="B4" s="287"/>
      <c r="C4" s="288"/>
      <c r="D4" s="288"/>
      <c r="E4" s="288"/>
      <c r="F4" s="291" t="s">
        <v>150</v>
      </c>
      <c r="G4" s="293" t="s">
        <v>50</v>
      </c>
      <c r="H4" s="116" t="s">
        <v>118</v>
      </c>
      <c r="I4" s="291" t="s">
        <v>51</v>
      </c>
      <c r="J4" s="293" t="s">
        <v>152</v>
      </c>
      <c r="K4" s="294" t="s">
        <v>153</v>
      </c>
    </row>
    <row r="5" spans="1:11" ht="42" thickBot="1" x14ac:dyDescent="0.35">
      <c r="A5" s="62"/>
      <c r="B5" s="24" t="s">
        <v>146</v>
      </c>
      <c r="C5" s="25" t="s">
        <v>147</v>
      </c>
      <c r="D5" s="26" t="s">
        <v>148</v>
      </c>
      <c r="E5" s="26" t="s">
        <v>149</v>
      </c>
      <c r="F5" s="292"/>
      <c r="G5" s="292"/>
      <c r="H5" s="25" t="s">
        <v>151</v>
      </c>
      <c r="I5" s="292"/>
      <c r="J5" s="292"/>
      <c r="K5" s="295"/>
    </row>
    <row r="6" spans="1:11" ht="14.4" customHeight="1" thickBot="1" x14ac:dyDescent="0.35">
      <c r="A6" s="346" t="s">
        <v>236</v>
      </c>
      <c r="B6" s="328">
        <v>17171.902846385299</v>
      </c>
      <c r="C6" s="328">
        <v>19303.046869999998</v>
      </c>
      <c r="D6" s="329">
        <v>2131.1440236147</v>
      </c>
      <c r="E6" s="330">
        <v>1.124106457081</v>
      </c>
      <c r="F6" s="328">
        <v>21039.489991939201</v>
      </c>
      <c r="G6" s="329">
        <v>8766.4541633080007</v>
      </c>
      <c r="H6" s="331">
        <v>1642.8579500000001</v>
      </c>
      <c r="I6" s="328">
        <v>8228.3480100000106</v>
      </c>
      <c r="J6" s="329">
        <v>-538.10615330799396</v>
      </c>
      <c r="K6" s="332">
        <v>0.391090659191</v>
      </c>
    </row>
    <row r="7" spans="1:11" ht="14.4" customHeight="1" thickBot="1" x14ac:dyDescent="0.35">
      <c r="A7" s="347" t="s">
        <v>237</v>
      </c>
      <c r="B7" s="328">
        <v>1474.0673906767599</v>
      </c>
      <c r="C7" s="328">
        <v>1483.7766099999999</v>
      </c>
      <c r="D7" s="329">
        <v>9.7092193232429995</v>
      </c>
      <c r="E7" s="330">
        <v>1.006586686188</v>
      </c>
      <c r="F7" s="328">
        <v>1454.93769715859</v>
      </c>
      <c r="G7" s="329">
        <v>606.22404048274598</v>
      </c>
      <c r="H7" s="331">
        <v>92.969650000000001</v>
      </c>
      <c r="I7" s="328">
        <v>531.07661000000098</v>
      </c>
      <c r="J7" s="329">
        <v>-75.147430482743999</v>
      </c>
      <c r="K7" s="332">
        <v>0.36501673647999999</v>
      </c>
    </row>
    <row r="8" spans="1:11" ht="14.4" customHeight="1" thickBot="1" x14ac:dyDescent="0.35">
      <c r="A8" s="348" t="s">
        <v>238</v>
      </c>
      <c r="B8" s="328">
        <v>1474.0673906767599</v>
      </c>
      <c r="C8" s="328">
        <v>1483.7766099999999</v>
      </c>
      <c r="D8" s="329">
        <v>9.7092193232429995</v>
      </c>
      <c r="E8" s="330">
        <v>1.006586686188</v>
      </c>
      <c r="F8" s="328">
        <v>1454.93769715859</v>
      </c>
      <c r="G8" s="329">
        <v>606.22404048274598</v>
      </c>
      <c r="H8" s="331">
        <v>92.969650000000001</v>
      </c>
      <c r="I8" s="328">
        <v>531.07661000000098</v>
      </c>
      <c r="J8" s="329">
        <v>-75.147430482743999</v>
      </c>
      <c r="K8" s="332">
        <v>0.36501673647999999</v>
      </c>
    </row>
    <row r="9" spans="1:11" ht="14.4" customHeight="1" thickBot="1" x14ac:dyDescent="0.35">
      <c r="A9" s="349" t="s">
        <v>239</v>
      </c>
      <c r="B9" s="333">
        <v>4.9406564584124654E-324</v>
      </c>
      <c r="C9" s="333">
        <v>-4.8000000000000001E-4</v>
      </c>
      <c r="D9" s="334">
        <v>-4.8000000000000001E-4</v>
      </c>
      <c r="E9" s="335" t="s">
        <v>240</v>
      </c>
      <c r="F9" s="333">
        <v>0</v>
      </c>
      <c r="G9" s="334">
        <v>0</v>
      </c>
      <c r="H9" s="336">
        <v>1E-3</v>
      </c>
      <c r="I9" s="333">
        <v>1.2199999999999999E-3</v>
      </c>
      <c r="J9" s="334">
        <v>1.2199999999999999E-3</v>
      </c>
      <c r="K9" s="337" t="s">
        <v>234</v>
      </c>
    </row>
    <row r="10" spans="1:11" ht="14.4" customHeight="1" thickBot="1" x14ac:dyDescent="0.35">
      <c r="A10" s="350" t="s">
        <v>241</v>
      </c>
      <c r="B10" s="328">
        <v>4.9406564584124654E-324</v>
      </c>
      <c r="C10" s="328">
        <v>-4.8000000000000001E-4</v>
      </c>
      <c r="D10" s="329">
        <v>-4.8000000000000001E-4</v>
      </c>
      <c r="E10" s="338" t="s">
        <v>240</v>
      </c>
      <c r="F10" s="328">
        <v>0</v>
      </c>
      <c r="G10" s="329">
        <v>0</v>
      </c>
      <c r="H10" s="331">
        <v>1E-3</v>
      </c>
      <c r="I10" s="328">
        <v>1.2199999999999999E-3</v>
      </c>
      <c r="J10" s="329">
        <v>1.2199999999999999E-3</v>
      </c>
      <c r="K10" s="339" t="s">
        <v>234</v>
      </c>
    </row>
    <row r="11" spans="1:11" ht="14.4" customHeight="1" thickBot="1" x14ac:dyDescent="0.35">
      <c r="A11" s="349" t="s">
        <v>242</v>
      </c>
      <c r="B11" s="333">
        <v>54.188132448730002</v>
      </c>
      <c r="C11" s="333">
        <v>40.844389999999997</v>
      </c>
      <c r="D11" s="334">
        <v>-13.34374244873</v>
      </c>
      <c r="E11" s="340">
        <v>0.75375157168600004</v>
      </c>
      <c r="F11" s="333">
        <v>40.857189455970001</v>
      </c>
      <c r="G11" s="334">
        <v>17.023828939986998</v>
      </c>
      <c r="H11" s="336">
        <v>2.3245900000000002</v>
      </c>
      <c r="I11" s="333">
        <v>8.8171599999999994</v>
      </c>
      <c r="J11" s="334">
        <v>-8.2066689399870008</v>
      </c>
      <c r="K11" s="341">
        <v>0.21580436925300001</v>
      </c>
    </row>
    <row r="12" spans="1:11" ht="14.4" customHeight="1" thickBot="1" x14ac:dyDescent="0.35">
      <c r="A12" s="350" t="s">
        <v>243</v>
      </c>
      <c r="B12" s="328">
        <v>53.283357985510001</v>
      </c>
      <c r="C12" s="328">
        <v>39.94012</v>
      </c>
      <c r="D12" s="329">
        <v>-13.343237985509999</v>
      </c>
      <c r="E12" s="330">
        <v>0.74957963442999997</v>
      </c>
      <c r="F12" s="328">
        <v>39.970374267769998</v>
      </c>
      <c r="G12" s="329">
        <v>16.654322611571001</v>
      </c>
      <c r="H12" s="331">
        <v>2.3245900000000002</v>
      </c>
      <c r="I12" s="328">
        <v>8.8171599999999994</v>
      </c>
      <c r="J12" s="329">
        <v>-7.8371626115700002</v>
      </c>
      <c r="K12" s="332">
        <v>0.22059238026899999</v>
      </c>
    </row>
    <row r="13" spans="1:11" ht="14.4" customHeight="1" thickBot="1" x14ac:dyDescent="0.35">
      <c r="A13" s="350" t="s">
        <v>244</v>
      </c>
      <c r="B13" s="328">
        <v>4.9406564584124654E-324</v>
      </c>
      <c r="C13" s="328">
        <v>7.2099999999999997E-2</v>
      </c>
      <c r="D13" s="329">
        <v>7.2099999999999997E-2</v>
      </c>
      <c r="E13" s="338" t="s">
        <v>240</v>
      </c>
      <c r="F13" s="328">
        <v>7.2976624550999999E-2</v>
      </c>
      <c r="G13" s="329">
        <v>3.0406926896000001E-2</v>
      </c>
      <c r="H13" s="331">
        <v>4.9406564584124654E-324</v>
      </c>
      <c r="I13" s="328">
        <v>2.4703282292062327E-323</v>
      </c>
      <c r="J13" s="329">
        <v>-3.0406926896000001E-2</v>
      </c>
      <c r="K13" s="332">
        <v>3.4090529563046012E-322</v>
      </c>
    </row>
    <row r="14" spans="1:11" ht="14.4" customHeight="1" thickBot="1" x14ac:dyDescent="0.35">
      <c r="A14" s="350" t="s">
        <v>245</v>
      </c>
      <c r="B14" s="328">
        <v>4.9406564584124654E-324</v>
      </c>
      <c r="C14" s="328">
        <v>0.39415</v>
      </c>
      <c r="D14" s="329">
        <v>0.39415</v>
      </c>
      <c r="E14" s="338" t="s">
        <v>240</v>
      </c>
      <c r="F14" s="328">
        <v>0.39477555006699999</v>
      </c>
      <c r="G14" s="329">
        <v>0.16448981252799999</v>
      </c>
      <c r="H14" s="331">
        <v>4.9406564584124654E-324</v>
      </c>
      <c r="I14" s="328">
        <v>2.4703282292062327E-323</v>
      </c>
      <c r="J14" s="329">
        <v>-0.16448981252799999</v>
      </c>
      <c r="K14" s="332">
        <v>6.4228533959362051E-323</v>
      </c>
    </row>
    <row r="15" spans="1:11" ht="14.4" customHeight="1" thickBot="1" x14ac:dyDescent="0.35">
      <c r="A15" s="350" t="s">
        <v>246</v>
      </c>
      <c r="B15" s="328">
        <v>0.90477446321900001</v>
      </c>
      <c r="C15" s="328">
        <v>0.43802000000000002</v>
      </c>
      <c r="D15" s="329">
        <v>-0.46675446321899999</v>
      </c>
      <c r="E15" s="330">
        <v>0.48412064863199999</v>
      </c>
      <c r="F15" s="328">
        <v>0.41906301357999998</v>
      </c>
      <c r="G15" s="329">
        <v>0.17460958899199999</v>
      </c>
      <c r="H15" s="331">
        <v>4.9406564584124654E-324</v>
      </c>
      <c r="I15" s="328">
        <v>2.4703282292062327E-323</v>
      </c>
      <c r="J15" s="329">
        <v>-0.17460958899199999</v>
      </c>
      <c r="K15" s="332">
        <v>5.9287877500949585E-323</v>
      </c>
    </row>
    <row r="16" spans="1:11" ht="14.4" customHeight="1" thickBot="1" x14ac:dyDescent="0.35">
      <c r="A16" s="349" t="s">
        <v>247</v>
      </c>
      <c r="B16" s="333">
        <v>1198.1272008686601</v>
      </c>
      <c r="C16" s="333">
        <v>1189.11303</v>
      </c>
      <c r="D16" s="334">
        <v>-9.0141708686560005</v>
      </c>
      <c r="E16" s="340">
        <v>0.99247644919300004</v>
      </c>
      <c r="F16" s="333">
        <v>1190.4647063088401</v>
      </c>
      <c r="G16" s="334">
        <v>496.02696096201799</v>
      </c>
      <c r="H16" s="336">
        <v>77.266109999999998</v>
      </c>
      <c r="I16" s="333">
        <v>424.67343000000102</v>
      </c>
      <c r="J16" s="334">
        <v>-71.353530962017004</v>
      </c>
      <c r="K16" s="341">
        <v>0.35672912245900001</v>
      </c>
    </row>
    <row r="17" spans="1:11" ht="14.4" customHeight="1" thickBot="1" x14ac:dyDescent="0.35">
      <c r="A17" s="350" t="s">
        <v>248</v>
      </c>
      <c r="B17" s="328">
        <v>970.64038025406296</v>
      </c>
      <c r="C17" s="328">
        <v>965.77656999999999</v>
      </c>
      <c r="D17" s="329">
        <v>-4.8638102540619998</v>
      </c>
      <c r="E17" s="330">
        <v>0.99498907076900001</v>
      </c>
      <c r="F17" s="328">
        <v>965.77554709598201</v>
      </c>
      <c r="G17" s="329">
        <v>402.40647795665899</v>
      </c>
      <c r="H17" s="331">
        <v>50.951410000000003</v>
      </c>
      <c r="I17" s="328">
        <v>320.87612999999999</v>
      </c>
      <c r="J17" s="329">
        <v>-81.530347956658005</v>
      </c>
      <c r="K17" s="332">
        <v>0.332247105411</v>
      </c>
    </row>
    <row r="18" spans="1:11" ht="14.4" customHeight="1" thickBot="1" x14ac:dyDescent="0.35">
      <c r="A18" s="350" t="s">
        <v>249</v>
      </c>
      <c r="B18" s="328">
        <v>35.997721255552001</v>
      </c>
      <c r="C18" s="328">
        <v>32.321579999999997</v>
      </c>
      <c r="D18" s="329">
        <v>-3.6761412555519999</v>
      </c>
      <c r="E18" s="330">
        <v>0.89787850098999999</v>
      </c>
      <c r="F18" s="328">
        <v>33.002086201333</v>
      </c>
      <c r="G18" s="329">
        <v>13.750869250555001</v>
      </c>
      <c r="H18" s="331">
        <v>0.6845</v>
      </c>
      <c r="I18" s="328">
        <v>11.41924</v>
      </c>
      <c r="J18" s="329">
        <v>-2.3316292505549998</v>
      </c>
      <c r="K18" s="332">
        <v>0.34601570125999997</v>
      </c>
    </row>
    <row r="19" spans="1:11" ht="14.4" customHeight="1" thickBot="1" x14ac:dyDescent="0.35">
      <c r="A19" s="350" t="s">
        <v>250</v>
      </c>
      <c r="B19" s="328">
        <v>30.236678500842</v>
      </c>
      <c r="C19" s="328">
        <v>33.004460000000002</v>
      </c>
      <c r="D19" s="329">
        <v>2.767781499157</v>
      </c>
      <c r="E19" s="330">
        <v>1.0915372202360001</v>
      </c>
      <c r="F19" s="328">
        <v>32.079515455878997</v>
      </c>
      <c r="G19" s="329">
        <v>13.366464773283001</v>
      </c>
      <c r="H19" s="331">
        <v>2.7952699999999999</v>
      </c>
      <c r="I19" s="328">
        <v>12.675240000000001</v>
      </c>
      <c r="J19" s="329">
        <v>-0.69122477328300003</v>
      </c>
      <c r="K19" s="332">
        <v>0.39511943431399998</v>
      </c>
    </row>
    <row r="20" spans="1:11" ht="14.4" customHeight="1" thickBot="1" x14ac:dyDescent="0.35">
      <c r="A20" s="350" t="s">
        <v>251</v>
      </c>
      <c r="B20" s="328">
        <v>111.429102950323</v>
      </c>
      <c r="C20" s="328">
        <v>115.80829</v>
      </c>
      <c r="D20" s="329">
        <v>4.3791870496760001</v>
      </c>
      <c r="E20" s="330">
        <v>1.0393002091350001</v>
      </c>
      <c r="F20" s="328">
        <v>117.80754502966199</v>
      </c>
      <c r="G20" s="329">
        <v>49.086477095691997</v>
      </c>
      <c r="H20" s="331">
        <v>19.852930000000001</v>
      </c>
      <c r="I20" s="328">
        <v>64.607519999999994</v>
      </c>
      <c r="J20" s="329">
        <v>15.521042904307</v>
      </c>
      <c r="K20" s="332">
        <v>0.54841580803400003</v>
      </c>
    </row>
    <row r="21" spans="1:11" ht="14.4" customHeight="1" thickBot="1" x14ac:dyDescent="0.35">
      <c r="A21" s="350" t="s">
        <v>252</v>
      </c>
      <c r="B21" s="328">
        <v>0</v>
      </c>
      <c r="C21" s="328">
        <v>0.06</v>
      </c>
      <c r="D21" s="329">
        <v>0.06</v>
      </c>
      <c r="E21" s="338" t="s">
        <v>234</v>
      </c>
      <c r="F21" s="328">
        <v>6.1548945922999997E-2</v>
      </c>
      <c r="G21" s="329">
        <v>2.5645394134000001E-2</v>
      </c>
      <c r="H21" s="331">
        <v>4.9406564584124654E-324</v>
      </c>
      <c r="I21" s="328">
        <v>0.41299999999999998</v>
      </c>
      <c r="J21" s="329">
        <v>0.38735460586499998</v>
      </c>
      <c r="K21" s="332">
        <v>0</v>
      </c>
    </row>
    <row r="22" spans="1:11" ht="14.4" customHeight="1" thickBot="1" x14ac:dyDescent="0.35">
      <c r="A22" s="350" t="s">
        <v>253</v>
      </c>
      <c r="B22" s="328">
        <v>49.823317907875001</v>
      </c>
      <c r="C22" s="328">
        <v>42.142130000000002</v>
      </c>
      <c r="D22" s="329">
        <v>-7.6811879078749996</v>
      </c>
      <c r="E22" s="330">
        <v>0.84583146545800003</v>
      </c>
      <c r="F22" s="328">
        <v>41.738463580062003</v>
      </c>
      <c r="G22" s="329">
        <v>17.391026491691999</v>
      </c>
      <c r="H22" s="331">
        <v>2.9820000000000002</v>
      </c>
      <c r="I22" s="328">
        <v>14.6823</v>
      </c>
      <c r="J22" s="329">
        <v>-2.708726491692</v>
      </c>
      <c r="K22" s="332">
        <v>0.35176905761799998</v>
      </c>
    </row>
    <row r="23" spans="1:11" ht="14.4" customHeight="1" thickBot="1" x14ac:dyDescent="0.35">
      <c r="A23" s="349" t="s">
        <v>254</v>
      </c>
      <c r="B23" s="333">
        <v>0</v>
      </c>
      <c r="C23" s="333">
        <v>3.81528</v>
      </c>
      <c r="D23" s="334">
        <v>3.81528</v>
      </c>
      <c r="E23" s="335" t="s">
        <v>234</v>
      </c>
      <c r="F23" s="333">
        <v>0</v>
      </c>
      <c r="G23" s="334">
        <v>0</v>
      </c>
      <c r="H23" s="336">
        <v>4.9406564584124654E-324</v>
      </c>
      <c r="I23" s="333">
        <v>2.4703282292062327E-323</v>
      </c>
      <c r="J23" s="334">
        <v>2.4703282292062327E-323</v>
      </c>
      <c r="K23" s="337" t="s">
        <v>234</v>
      </c>
    </row>
    <row r="24" spans="1:11" ht="14.4" customHeight="1" thickBot="1" x14ac:dyDescent="0.35">
      <c r="A24" s="350" t="s">
        <v>255</v>
      </c>
      <c r="B24" s="328">
        <v>0</v>
      </c>
      <c r="C24" s="328">
        <v>3.81528</v>
      </c>
      <c r="D24" s="329">
        <v>3.81528</v>
      </c>
      <c r="E24" s="338" t="s">
        <v>234</v>
      </c>
      <c r="F24" s="328">
        <v>0</v>
      </c>
      <c r="G24" s="329">
        <v>0</v>
      </c>
      <c r="H24" s="331">
        <v>4.9406564584124654E-324</v>
      </c>
      <c r="I24" s="328">
        <v>2.4703282292062327E-323</v>
      </c>
      <c r="J24" s="329">
        <v>2.4703282292062327E-323</v>
      </c>
      <c r="K24" s="339" t="s">
        <v>234</v>
      </c>
    </row>
    <row r="25" spans="1:11" ht="14.4" customHeight="1" thickBot="1" x14ac:dyDescent="0.35">
      <c r="A25" s="349" t="s">
        <v>256</v>
      </c>
      <c r="B25" s="333">
        <v>165.68994975723101</v>
      </c>
      <c r="C25" s="333">
        <v>172.09411</v>
      </c>
      <c r="D25" s="334">
        <v>6.4041602427689996</v>
      </c>
      <c r="E25" s="340">
        <v>1.0386514707259999</v>
      </c>
      <c r="F25" s="333">
        <v>170.601841284606</v>
      </c>
      <c r="G25" s="334">
        <v>71.084100535252006</v>
      </c>
      <c r="H25" s="336">
        <v>14.10758</v>
      </c>
      <c r="I25" s="333">
        <v>67.455010000000001</v>
      </c>
      <c r="J25" s="334">
        <v>-3.6290905352520002</v>
      </c>
      <c r="K25" s="341">
        <v>0.395394384328</v>
      </c>
    </row>
    <row r="26" spans="1:11" ht="14.4" customHeight="1" thickBot="1" x14ac:dyDescent="0.35">
      <c r="A26" s="350" t="s">
        <v>257</v>
      </c>
      <c r="B26" s="328">
        <v>33.001493852400003</v>
      </c>
      <c r="C26" s="328">
        <v>2.5059200000000001</v>
      </c>
      <c r="D26" s="329">
        <v>-30.4955738524</v>
      </c>
      <c r="E26" s="330">
        <v>7.5933532317999999E-2</v>
      </c>
      <c r="F26" s="328">
        <v>2.8920952648710001</v>
      </c>
      <c r="G26" s="329">
        <v>1.2050396936959999</v>
      </c>
      <c r="H26" s="331">
        <v>4.9406564584124654E-324</v>
      </c>
      <c r="I26" s="328">
        <v>9.8813129168249309E-324</v>
      </c>
      <c r="J26" s="329">
        <v>-1.2050396936959999</v>
      </c>
      <c r="K26" s="332">
        <v>4.9406564584124654E-324</v>
      </c>
    </row>
    <row r="27" spans="1:11" ht="14.4" customHeight="1" thickBot="1" x14ac:dyDescent="0.35">
      <c r="A27" s="350" t="s">
        <v>258</v>
      </c>
      <c r="B27" s="328">
        <v>14.743887104637</v>
      </c>
      <c r="C27" s="328">
        <v>13.60758</v>
      </c>
      <c r="D27" s="329">
        <v>-1.1363071046369999</v>
      </c>
      <c r="E27" s="330">
        <v>0.92293028991699999</v>
      </c>
      <c r="F27" s="328">
        <v>13.696818428427999</v>
      </c>
      <c r="G27" s="329">
        <v>5.7070076785110002</v>
      </c>
      <c r="H27" s="331">
        <v>1.16476</v>
      </c>
      <c r="I27" s="328">
        <v>5.2751400000000004</v>
      </c>
      <c r="J27" s="329">
        <v>-0.431867678511</v>
      </c>
      <c r="K27" s="332">
        <v>0.38513615607599999</v>
      </c>
    </row>
    <row r="28" spans="1:11" ht="14.4" customHeight="1" thickBot="1" x14ac:dyDescent="0.35">
      <c r="A28" s="350" t="s">
        <v>259</v>
      </c>
      <c r="B28" s="328">
        <v>11.671665332312999</v>
      </c>
      <c r="C28" s="328">
        <v>24.604579999999999</v>
      </c>
      <c r="D28" s="329">
        <v>12.932914667685999</v>
      </c>
      <c r="E28" s="330">
        <v>2.108060786482</v>
      </c>
      <c r="F28" s="328">
        <v>25.309455717633998</v>
      </c>
      <c r="G28" s="329">
        <v>10.545606549014</v>
      </c>
      <c r="H28" s="331">
        <v>3.0017399999999999</v>
      </c>
      <c r="I28" s="328">
        <v>10.63861</v>
      </c>
      <c r="J28" s="329">
        <v>9.3003450985E-2</v>
      </c>
      <c r="K28" s="332">
        <v>0.42034131901799998</v>
      </c>
    </row>
    <row r="29" spans="1:11" ht="14.4" customHeight="1" thickBot="1" x14ac:dyDescent="0.35">
      <c r="A29" s="350" t="s">
        <v>260</v>
      </c>
      <c r="B29" s="328">
        <v>25.015052885187998</v>
      </c>
      <c r="C29" s="328">
        <v>27.703679999999999</v>
      </c>
      <c r="D29" s="329">
        <v>2.6886271148110001</v>
      </c>
      <c r="E29" s="330">
        <v>1.107480369006</v>
      </c>
      <c r="F29" s="328">
        <v>30.404511458742</v>
      </c>
      <c r="G29" s="329">
        <v>12.668546441142</v>
      </c>
      <c r="H29" s="331">
        <v>2.3126600000000002</v>
      </c>
      <c r="I29" s="328">
        <v>9.1701599999999992</v>
      </c>
      <c r="J29" s="329">
        <v>-3.4983864411419998</v>
      </c>
      <c r="K29" s="332">
        <v>0.30160524080200002</v>
      </c>
    </row>
    <row r="30" spans="1:11" ht="14.4" customHeight="1" thickBot="1" x14ac:dyDescent="0.35">
      <c r="A30" s="350" t="s">
        <v>261</v>
      </c>
      <c r="B30" s="328">
        <v>1.316708619203</v>
      </c>
      <c r="C30" s="328">
        <v>1.5640000000000001</v>
      </c>
      <c r="D30" s="329">
        <v>0.24729138079599999</v>
      </c>
      <c r="E30" s="330">
        <v>1.18781025444</v>
      </c>
      <c r="F30" s="328">
        <v>2.7159437498179999</v>
      </c>
      <c r="G30" s="329">
        <v>1.13164322909</v>
      </c>
      <c r="H30" s="331">
        <v>4.9406564584124654E-324</v>
      </c>
      <c r="I30" s="328">
        <v>1.4930000000000001</v>
      </c>
      <c r="J30" s="329">
        <v>0.36135677090899998</v>
      </c>
      <c r="K30" s="332">
        <v>0.54971683419399997</v>
      </c>
    </row>
    <row r="31" spans="1:11" ht="14.4" customHeight="1" thickBot="1" x14ac:dyDescent="0.35">
      <c r="A31" s="350" t="s">
        <v>262</v>
      </c>
      <c r="B31" s="328">
        <v>14.977087466232</v>
      </c>
      <c r="C31" s="328">
        <v>24.640809999999998</v>
      </c>
      <c r="D31" s="329">
        <v>9.6637225337670003</v>
      </c>
      <c r="E31" s="330">
        <v>1.645233764946</v>
      </c>
      <c r="F31" s="328">
        <v>27.550664638493</v>
      </c>
      <c r="G31" s="329">
        <v>11.479443599372001</v>
      </c>
      <c r="H31" s="331">
        <v>6.0822799999999999</v>
      </c>
      <c r="I31" s="328">
        <v>13.035780000000001</v>
      </c>
      <c r="J31" s="329">
        <v>1.556336400627</v>
      </c>
      <c r="K31" s="332">
        <v>0.47315664326200002</v>
      </c>
    </row>
    <row r="32" spans="1:11" ht="14.4" customHeight="1" thickBot="1" x14ac:dyDescent="0.35">
      <c r="A32" s="350" t="s">
        <v>263</v>
      </c>
      <c r="B32" s="328">
        <v>4.9406564584124654E-324</v>
      </c>
      <c r="C32" s="328">
        <v>5.45</v>
      </c>
      <c r="D32" s="329">
        <v>5.45</v>
      </c>
      <c r="E32" s="338" t="s">
        <v>240</v>
      </c>
      <c r="F32" s="328">
        <v>0</v>
      </c>
      <c r="G32" s="329">
        <v>0</v>
      </c>
      <c r="H32" s="331">
        <v>4.9406564584124654E-324</v>
      </c>
      <c r="I32" s="328">
        <v>2.4703282292062327E-323</v>
      </c>
      <c r="J32" s="329">
        <v>2.4703282292062327E-323</v>
      </c>
      <c r="K32" s="339" t="s">
        <v>234</v>
      </c>
    </row>
    <row r="33" spans="1:11" ht="14.4" customHeight="1" thickBot="1" x14ac:dyDescent="0.35">
      <c r="A33" s="350" t="s">
        <v>264</v>
      </c>
      <c r="B33" s="328">
        <v>4.9406564584124654E-324</v>
      </c>
      <c r="C33" s="328">
        <v>38.261949999999999</v>
      </c>
      <c r="D33" s="329">
        <v>38.261949999999999</v>
      </c>
      <c r="E33" s="338" t="s">
        <v>240</v>
      </c>
      <c r="F33" s="328">
        <v>32.282513973188003</v>
      </c>
      <c r="G33" s="329">
        <v>13.451047488827999</v>
      </c>
      <c r="H33" s="331">
        <v>1.5461400000000001</v>
      </c>
      <c r="I33" s="328">
        <v>13.81358</v>
      </c>
      <c r="J33" s="329">
        <v>0.36253251117099999</v>
      </c>
      <c r="K33" s="332">
        <v>0.42789666292599998</v>
      </c>
    </row>
    <row r="34" spans="1:11" ht="14.4" customHeight="1" thickBot="1" x14ac:dyDescent="0.35">
      <c r="A34" s="350" t="s">
        <v>265</v>
      </c>
      <c r="B34" s="328">
        <v>4.9406564584124654E-324</v>
      </c>
      <c r="C34" s="328">
        <v>0.84599999999999997</v>
      </c>
      <c r="D34" s="329">
        <v>0.84599999999999997</v>
      </c>
      <c r="E34" s="338" t="s">
        <v>240</v>
      </c>
      <c r="F34" s="328">
        <v>0</v>
      </c>
      <c r="G34" s="329">
        <v>0</v>
      </c>
      <c r="H34" s="331">
        <v>4.9406564584124654E-324</v>
      </c>
      <c r="I34" s="328">
        <v>2.4703282292062327E-323</v>
      </c>
      <c r="J34" s="329">
        <v>2.4703282292062327E-323</v>
      </c>
      <c r="K34" s="339" t="s">
        <v>234</v>
      </c>
    </row>
    <row r="35" spans="1:11" ht="14.4" customHeight="1" thickBot="1" x14ac:dyDescent="0.35">
      <c r="A35" s="350" t="s">
        <v>266</v>
      </c>
      <c r="B35" s="328">
        <v>64.964054497253997</v>
      </c>
      <c r="C35" s="328">
        <v>32.909590000000001</v>
      </c>
      <c r="D35" s="329">
        <v>-32.054464497254003</v>
      </c>
      <c r="E35" s="330">
        <v>0.50658152811799995</v>
      </c>
      <c r="F35" s="328">
        <v>35.749838053428</v>
      </c>
      <c r="G35" s="329">
        <v>14.895765855595</v>
      </c>
      <c r="H35" s="331">
        <v>4.9406564584124654E-324</v>
      </c>
      <c r="I35" s="328">
        <v>14.028740000000001</v>
      </c>
      <c r="J35" s="329">
        <v>-0.86702585559400003</v>
      </c>
      <c r="K35" s="332">
        <v>0.39241408531700001</v>
      </c>
    </row>
    <row r="36" spans="1:11" ht="14.4" customHeight="1" thickBot="1" x14ac:dyDescent="0.35">
      <c r="A36" s="349" t="s">
        <v>267</v>
      </c>
      <c r="B36" s="333">
        <v>28.078352677297001</v>
      </c>
      <c r="C36" s="333">
        <v>25.839400000000001</v>
      </c>
      <c r="D36" s="334">
        <v>-2.2389526772970001</v>
      </c>
      <c r="E36" s="340">
        <v>0.92026054010199998</v>
      </c>
      <c r="F36" s="333">
        <v>21.150116570289001</v>
      </c>
      <c r="G36" s="334">
        <v>8.812548570953</v>
      </c>
      <c r="H36" s="336">
        <v>4.9406564584124654E-324</v>
      </c>
      <c r="I36" s="333">
        <v>19.195530000000002</v>
      </c>
      <c r="J36" s="334">
        <v>10.382981429046</v>
      </c>
      <c r="K36" s="341">
        <v>0.90758506867800004</v>
      </c>
    </row>
    <row r="37" spans="1:11" ht="14.4" customHeight="1" thickBot="1" x14ac:dyDescent="0.35">
      <c r="A37" s="350" t="s">
        <v>268</v>
      </c>
      <c r="B37" s="328">
        <v>1.0187344328729999</v>
      </c>
      <c r="C37" s="328">
        <v>0.28410000000000002</v>
      </c>
      <c r="D37" s="329">
        <v>-0.73463443287300001</v>
      </c>
      <c r="E37" s="330">
        <v>0.27887542703200002</v>
      </c>
      <c r="F37" s="328">
        <v>0.448994692822</v>
      </c>
      <c r="G37" s="329">
        <v>0.18708112200900001</v>
      </c>
      <c r="H37" s="331">
        <v>4.9406564584124654E-324</v>
      </c>
      <c r="I37" s="328">
        <v>0.32064999999999999</v>
      </c>
      <c r="J37" s="329">
        <v>0.13356887799</v>
      </c>
      <c r="K37" s="332">
        <v>0.71415098023500001</v>
      </c>
    </row>
    <row r="38" spans="1:11" ht="14.4" customHeight="1" thickBot="1" x14ac:dyDescent="0.35">
      <c r="A38" s="350" t="s">
        <v>269</v>
      </c>
      <c r="B38" s="328">
        <v>26.043570997195999</v>
      </c>
      <c r="C38" s="328">
        <v>25.555299999999999</v>
      </c>
      <c r="D38" s="329">
        <v>-0.48827099719599998</v>
      </c>
      <c r="E38" s="330">
        <v>0.98125176469599995</v>
      </c>
      <c r="F38" s="328">
        <v>20.701121877466001</v>
      </c>
      <c r="G38" s="329">
        <v>8.6254674489440006</v>
      </c>
      <c r="H38" s="331">
        <v>4.9406564584124654E-324</v>
      </c>
      <c r="I38" s="328">
        <v>2.4703282292062327E-323</v>
      </c>
      <c r="J38" s="329">
        <v>-8.6254674489440006</v>
      </c>
      <c r="K38" s="332">
        <v>0</v>
      </c>
    </row>
    <row r="39" spans="1:11" ht="14.4" customHeight="1" thickBot="1" x14ac:dyDescent="0.35">
      <c r="A39" s="350" t="s">
        <v>270</v>
      </c>
      <c r="B39" s="328">
        <v>1.0160472472269999</v>
      </c>
      <c r="C39" s="328">
        <v>4.9406564584124654E-324</v>
      </c>
      <c r="D39" s="329">
        <v>-1.0160472472269999</v>
      </c>
      <c r="E39" s="330">
        <v>4.9406564584124654E-324</v>
      </c>
      <c r="F39" s="328">
        <v>4.9406564584124654E-324</v>
      </c>
      <c r="G39" s="329">
        <v>0</v>
      </c>
      <c r="H39" s="331">
        <v>4.9406564584124654E-324</v>
      </c>
      <c r="I39" s="328">
        <v>18.265000000000001</v>
      </c>
      <c r="J39" s="329">
        <v>18.265000000000001</v>
      </c>
      <c r="K39" s="339" t="s">
        <v>240</v>
      </c>
    </row>
    <row r="40" spans="1:11" ht="14.4" customHeight="1" thickBot="1" x14ac:dyDescent="0.35">
      <c r="A40" s="350" t="s">
        <v>271</v>
      </c>
      <c r="B40" s="328">
        <v>4.9406564584124654E-324</v>
      </c>
      <c r="C40" s="328">
        <v>4.9406564584124654E-324</v>
      </c>
      <c r="D40" s="329">
        <v>0</v>
      </c>
      <c r="E40" s="330">
        <v>1</v>
      </c>
      <c r="F40" s="328">
        <v>4.9406564584124654E-324</v>
      </c>
      <c r="G40" s="329">
        <v>0</v>
      </c>
      <c r="H40" s="331">
        <v>4.9406564584124654E-324</v>
      </c>
      <c r="I40" s="328">
        <v>0.60987999999999998</v>
      </c>
      <c r="J40" s="329">
        <v>0.60987999999999998</v>
      </c>
      <c r="K40" s="339" t="s">
        <v>240</v>
      </c>
    </row>
    <row r="41" spans="1:11" ht="14.4" customHeight="1" thickBot="1" x14ac:dyDescent="0.35">
      <c r="A41" s="349" t="s">
        <v>272</v>
      </c>
      <c r="B41" s="333">
        <v>27.983754924842</v>
      </c>
      <c r="C41" s="333">
        <v>45.685879999999997</v>
      </c>
      <c r="D41" s="334">
        <v>17.702125075156999</v>
      </c>
      <c r="E41" s="340">
        <v>1.632585767088</v>
      </c>
      <c r="F41" s="333">
        <v>31.863843538878999</v>
      </c>
      <c r="G41" s="334">
        <v>13.276601474533001</v>
      </c>
      <c r="H41" s="336">
        <v>-0.72963</v>
      </c>
      <c r="I41" s="333">
        <v>8.5222599999999993</v>
      </c>
      <c r="J41" s="334">
        <v>-4.7543414745329997</v>
      </c>
      <c r="K41" s="341">
        <v>0.26745863190000002</v>
      </c>
    </row>
    <row r="42" spans="1:11" ht="14.4" customHeight="1" thickBot="1" x14ac:dyDescent="0.35">
      <c r="A42" s="350" t="s">
        <v>273</v>
      </c>
      <c r="B42" s="328">
        <v>12.337216973791</v>
      </c>
      <c r="C42" s="328">
        <v>23.323650000000001</v>
      </c>
      <c r="D42" s="329">
        <v>10.986433026207999</v>
      </c>
      <c r="E42" s="330">
        <v>1.8905114540450001</v>
      </c>
      <c r="F42" s="328">
        <v>20.863713821836001</v>
      </c>
      <c r="G42" s="329">
        <v>8.6932140924310009</v>
      </c>
      <c r="H42" s="331">
        <v>-1.2124200000000001</v>
      </c>
      <c r="I42" s="328">
        <v>1.91845</v>
      </c>
      <c r="J42" s="329">
        <v>-6.774764092431</v>
      </c>
      <c r="K42" s="332">
        <v>9.1951510473E-2</v>
      </c>
    </row>
    <row r="43" spans="1:11" ht="14.4" customHeight="1" thickBot="1" x14ac:dyDescent="0.35">
      <c r="A43" s="350" t="s">
        <v>274</v>
      </c>
      <c r="B43" s="328">
        <v>4.9406564584124654E-324</v>
      </c>
      <c r="C43" s="328">
        <v>10.96</v>
      </c>
      <c r="D43" s="329">
        <v>10.96</v>
      </c>
      <c r="E43" s="338" t="s">
        <v>240</v>
      </c>
      <c r="F43" s="328">
        <v>0</v>
      </c>
      <c r="G43" s="329">
        <v>0</v>
      </c>
      <c r="H43" s="331">
        <v>4.9406564584124654E-324</v>
      </c>
      <c r="I43" s="328">
        <v>2.4703282292062327E-323</v>
      </c>
      <c r="J43" s="329">
        <v>2.4703282292062327E-323</v>
      </c>
      <c r="K43" s="339" t="s">
        <v>234</v>
      </c>
    </row>
    <row r="44" spans="1:11" ht="14.4" customHeight="1" thickBot="1" x14ac:dyDescent="0.35">
      <c r="A44" s="350" t="s">
        <v>275</v>
      </c>
      <c r="B44" s="328">
        <v>15.646537951051</v>
      </c>
      <c r="C44" s="328">
        <v>11.402229999999999</v>
      </c>
      <c r="D44" s="329">
        <v>-4.2443079510499997</v>
      </c>
      <c r="E44" s="330">
        <v>0.72873820621899998</v>
      </c>
      <c r="F44" s="328">
        <v>0</v>
      </c>
      <c r="G44" s="329">
        <v>0</v>
      </c>
      <c r="H44" s="331">
        <v>4.9406564584124654E-324</v>
      </c>
      <c r="I44" s="328">
        <v>2.4703282292062327E-323</v>
      </c>
      <c r="J44" s="329">
        <v>2.4703282292062327E-323</v>
      </c>
      <c r="K44" s="339" t="s">
        <v>234</v>
      </c>
    </row>
    <row r="45" spans="1:11" ht="14.4" customHeight="1" thickBot="1" x14ac:dyDescent="0.35">
      <c r="A45" s="350" t="s">
        <v>276</v>
      </c>
      <c r="B45" s="328">
        <v>4.9406564584124654E-324</v>
      </c>
      <c r="C45" s="328">
        <v>4.9406564584124654E-324</v>
      </c>
      <c r="D45" s="329">
        <v>0</v>
      </c>
      <c r="E45" s="330">
        <v>1</v>
      </c>
      <c r="F45" s="328">
        <v>7.0006733584010004</v>
      </c>
      <c r="G45" s="329">
        <v>2.9169472326669998</v>
      </c>
      <c r="H45" s="331">
        <v>0.48279</v>
      </c>
      <c r="I45" s="328">
        <v>4.4028499999999999</v>
      </c>
      <c r="J45" s="329">
        <v>1.485902767332</v>
      </c>
      <c r="K45" s="332">
        <v>0.628918073247</v>
      </c>
    </row>
    <row r="46" spans="1:11" ht="14.4" customHeight="1" thickBot="1" x14ac:dyDescent="0.35">
      <c r="A46" s="350" t="s">
        <v>277</v>
      </c>
      <c r="B46" s="328">
        <v>4.9406564584124654E-324</v>
      </c>
      <c r="C46" s="328">
        <v>4.9406564584124654E-324</v>
      </c>
      <c r="D46" s="329">
        <v>0</v>
      </c>
      <c r="E46" s="330">
        <v>1</v>
      </c>
      <c r="F46" s="328">
        <v>3.999456358642</v>
      </c>
      <c r="G46" s="329">
        <v>1.666440149434</v>
      </c>
      <c r="H46" s="331">
        <v>4.9406564584124654E-324</v>
      </c>
      <c r="I46" s="328">
        <v>2.2009599999999998</v>
      </c>
      <c r="J46" s="329">
        <v>0.53451985056499995</v>
      </c>
      <c r="K46" s="332">
        <v>0.55031479347000001</v>
      </c>
    </row>
    <row r="47" spans="1:11" ht="14.4" customHeight="1" thickBot="1" x14ac:dyDescent="0.35">
      <c r="A47" s="349" t="s">
        <v>278</v>
      </c>
      <c r="B47" s="333">
        <v>4.9406564584124654E-324</v>
      </c>
      <c r="C47" s="333">
        <v>6.3849999999989997</v>
      </c>
      <c r="D47" s="334">
        <v>6.3849999999989997</v>
      </c>
      <c r="E47" s="335" t="s">
        <v>240</v>
      </c>
      <c r="F47" s="333">
        <v>0</v>
      </c>
      <c r="G47" s="334">
        <v>0</v>
      </c>
      <c r="H47" s="336">
        <v>4.9406564584124654E-324</v>
      </c>
      <c r="I47" s="333">
        <v>2.4119999999999999</v>
      </c>
      <c r="J47" s="334">
        <v>2.4119999999999999</v>
      </c>
      <c r="K47" s="337" t="s">
        <v>234</v>
      </c>
    </row>
    <row r="48" spans="1:11" ht="14.4" customHeight="1" thickBot="1" x14ac:dyDescent="0.35">
      <c r="A48" s="350" t="s">
        <v>279</v>
      </c>
      <c r="B48" s="328">
        <v>4.9406564584124654E-324</v>
      </c>
      <c r="C48" s="328">
        <v>4.9406564584124654E-324</v>
      </c>
      <c r="D48" s="329">
        <v>0</v>
      </c>
      <c r="E48" s="330">
        <v>1</v>
      </c>
      <c r="F48" s="328">
        <v>4.9406564584124654E-324</v>
      </c>
      <c r="G48" s="329">
        <v>0</v>
      </c>
      <c r="H48" s="331">
        <v>4.9406564584124654E-324</v>
      </c>
      <c r="I48" s="328">
        <v>2.4119999999999999</v>
      </c>
      <c r="J48" s="329">
        <v>2.4119999999999999</v>
      </c>
      <c r="K48" s="339" t="s">
        <v>240</v>
      </c>
    </row>
    <row r="49" spans="1:11" ht="14.4" customHeight="1" thickBot="1" x14ac:dyDescent="0.35">
      <c r="A49" s="350" t="s">
        <v>280</v>
      </c>
      <c r="B49" s="328">
        <v>4.9406564584124654E-324</v>
      </c>
      <c r="C49" s="328">
        <v>6.3849999999989997</v>
      </c>
      <c r="D49" s="329">
        <v>6.3849999999989997</v>
      </c>
      <c r="E49" s="338" t="s">
        <v>240</v>
      </c>
      <c r="F49" s="328">
        <v>0</v>
      </c>
      <c r="G49" s="329">
        <v>0</v>
      </c>
      <c r="H49" s="331">
        <v>4.9406564584124654E-324</v>
      </c>
      <c r="I49" s="328">
        <v>2.4703282292062327E-323</v>
      </c>
      <c r="J49" s="329">
        <v>2.4703282292062327E-323</v>
      </c>
      <c r="K49" s="339" t="s">
        <v>234</v>
      </c>
    </row>
    <row r="50" spans="1:11" ht="14.4" customHeight="1" thickBot="1" x14ac:dyDescent="0.35">
      <c r="A50" s="351" t="s">
        <v>281</v>
      </c>
      <c r="B50" s="333">
        <v>356.83891659683701</v>
      </c>
      <c r="C50" s="333">
        <v>627.27164000000005</v>
      </c>
      <c r="D50" s="334">
        <v>270.43272340316298</v>
      </c>
      <c r="E50" s="340">
        <v>1.7578565868939999</v>
      </c>
      <c r="F50" s="333">
        <v>576.59639128680999</v>
      </c>
      <c r="G50" s="334">
        <v>240.24849636950401</v>
      </c>
      <c r="H50" s="336">
        <v>43.016289999999998</v>
      </c>
      <c r="I50" s="333">
        <v>133.71146999999999</v>
      </c>
      <c r="J50" s="334">
        <v>-106.53702636950401</v>
      </c>
      <c r="K50" s="341">
        <v>0.23189786134699999</v>
      </c>
    </row>
    <row r="51" spans="1:11" ht="14.4" customHeight="1" thickBot="1" x14ac:dyDescent="0.35">
      <c r="A51" s="348" t="s">
        <v>31</v>
      </c>
      <c r="B51" s="328">
        <v>93.319100301633995</v>
      </c>
      <c r="C51" s="328">
        <v>146.27715000000001</v>
      </c>
      <c r="D51" s="329">
        <v>52.958049698365997</v>
      </c>
      <c r="E51" s="330">
        <v>1.5674942163729999</v>
      </c>
      <c r="F51" s="328">
        <v>145.40613290015901</v>
      </c>
      <c r="G51" s="329">
        <v>60.585888708398997</v>
      </c>
      <c r="H51" s="331">
        <v>4.9406564584124654E-324</v>
      </c>
      <c r="I51" s="328">
        <v>4.9119999999999999</v>
      </c>
      <c r="J51" s="329">
        <v>-55.673888708398998</v>
      </c>
      <c r="K51" s="332">
        <v>3.3781243624E-2</v>
      </c>
    </row>
    <row r="52" spans="1:11" ht="14.4" customHeight="1" thickBot="1" x14ac:dyDescent="0.35">
      <c r="A52" s="352" t="s">
        <v>282</v>
      </c>
      <c r="B52" s="328">
        <v>93.319100301633995</v>
      </c>
      <c r="C52" s="328">
        <v>146.27715000000001</v>
      </c>
      <c r="D52" s="329">
        <v>52.958049698365997</v>
      </c>
      <c r="E52" s="330">
        <v>1.5674942163729999</v>
      </c>
      <c r="F52" s="328">
        <v>145.40613290015901</v>
      </c>
      <c r="G52" s="329">
        <v>60.585888708398997</v>
      </c>
      <c r="H52" s="331">
        <v>4.9406564584124654E-324</v>
      </c>
      <c r="I52" s="328">
        <v>4.9119999999999999</v>
      </c>
      <c r="J52" s="329">
        <v>-55.673888708398998</v>
      </c>
      <c r="K52" s="332">
        <v>3.3781243624E-2</v>
      </c>
    </row>
    <row r="53" spans="1:11" ht="14.4" customHeight="1" thickBot="1" x14ac:dyDescent="0.35">
      <c r="A53" s="350" t="s">
        <v>283</v>
      </c>
      <c r="B53" s="328">
        <v>36.598071418829001</v>
      </c>
      <c r="C53" s="328">
        <v>90.962209999999999</v>
      </c>
      <c r="D53" s="329">
        <v>54.364138581170003</v>
      </c>
      <c r="E53" s="330">
        <v>2.4854372504770001</v>
      </c>
      <c r="F53" s="328">
        <v>83.879879755079003</v>
      </c>
      <c r="G53" s="329">
        <v>34.949949897948997</v>
      </c>
      <c r="H53" s="331">
        <v>4.9406564584124654E-324</v>
      </c>
      <c r="I53" s="328">
        <v>4.9119999999999999</v>
      </c>
      <c r="J53" s="329">
        <v>-30.037949897949002</v>
      </c>
      <c r="K53" s="332">
        <v>5.8559931347999999E-2</v>
      </c>
    </row>
    <row r="54" spans="1:11" ht="14.4" customHeight="1" thickBot="1" x14ac:dyDescent="0.35">
      <c r="A54" s="350" t="s">
        <v>284</v>
      </c>
      <c r="B54" s="328">
        <v>4.9406564584124654E-324</v>
      </c>
      <c r="C54" s="328">
        <v>0.48399999999999999</v>
      </c>
      <c r="D54" s="329">
        <v>0.48399999999999999</v>
      </c>
      <c r="E54" s="338" t="s">
        <v>240</v>
      </c>
      <c r="F54" s="328">
        <v>0</v>
      </c>
      <c r="G54" s="329">
        <v>0</v>
      </c>
      <c r="H54" s="331">
        <v>4.9406564584124654E-324</v>
      </c>
      <c r="I54" s="328">
        <v>2.4703282292062327E-323</v>
      </c>
      <c r="J54" s="329">
        <v>2.4703282292062327E-323</v>
      </c>
      <c r="K54" s="339" t="s">
        <v>234</v>
      </c>
    </row>
    <row r="55" spans="1:11" ht="14.4" customHeight="1" thickBot="1" x14ac:dyDescent="0.35">
      <c r="A55" s="350" t="s">
        <v>285</v>
      </c>
      <c r="B55" s="328">
        <v>50.721505847045997</v>
      </c>
      <c r="C55" s="328">
        <v>42.939900000000002</v>
      </c>
      <c r="D55" s="329">
        <v>-7.7816058470450002</v>
      </c>
      <c r="E55" s="330">
        <v>0.84658172668300002</v>
      </c>
      <c r="F55" s="328">
        <v>55.834531247377001</v>
      </c>
      <c r="G55" s="329">
        <v>23.26438801974</v>
      </c>
      <c r="H55" s="331">
        <v>4.9406564584124654E-324</v>
      </c>
      <c r="I55" s="328">
        <v>2.4703282292062327E-323</v>
      </c>
      <c r="J55" s="329">
        <v>-23.26438801974</v>
      </c>
      <c r="K55" s="332">
        <v>0</v>
      </c>
    </row>
    <row r="56" spans="1:11" ht="14.4" customHeight="1" thickBot="1" x14ac:dyDescent="0.35">
      <c r="A56" s="350" t="s">
        <v>286</v>
      </c>
      <c r="B56" s="328">
        <v>4.9995967953439999</v>
      </c>
      <c r="C56" s="328">
        <v>6.6791999999999998</v>
      </c>
      <c r="D56" s="329">
        <v>1.679603204655</v>
      </c>
      <c r="E56" s="330">
        <v>1.3359477320690001</v>
      </c>
      <c r="F56" s="328">
        <v>0</v>
      </c>
      <c r="G56" s="329">
        <v>0</v>
      </c>
      <c r="H56" s="331">
        <v>4.9406564584124654E-324</v>
      </c>
      <c r="I56" s="328">
        <v>2.4703282292062327E-323</v>
      </c>
      <c r="J56" s="329">
        <v>2.4703282292062327E-323</v>
      </c>
      <c r="K56" s="339" t="s">
        <v>234</v>
      </c>
    </row>
    <row r="57" spans="1:11" ht="14.4" customHeight="1" thickBot="1" x14ac:dyDescent="0.35">
      <c r="A57" s="350" t="s">
        <v>287</v>
      </c>
      <c r="B57" s="328">
        <v>0.99992624041400002</v>
      </c>
      <c r="C57" s="328">
        <v>5.2118399999999996</v>
      </c>
      <c r="D57" s="329">
        <v>4.2119137595850002</v>
      </c>
      <c r="E57" s="330">
        <v>5.2122244515169998</v>
      </c>
      <c r="F57" s="328">
        <v>5.6917218977020001</v>
      </c>
      <c r="G57" s="329">
        <v>2.3715507907090001</v>
      </c>
      <c r="H57" s="331">
        <v>4.9406564584124654E-324</v>
      </c>
      <c r="I57" s="328">
        <v>2.4703282292062327E-323</v>
      </c>
      <c r="J57" s="329">
        <v>-2.3715507907090001</v>
      </c>
      <c r="K57" s="332">
        <v>4.9406564584124654E-324</v>
      </c>
    </row>
    <row r="58" spans="1:11" ht="14.4" customHeight="1" thickBot="1" x14ac:dyDescent="0.35">
      <c r="A58" s="353" t="s">
        <v>32</v>
      </c>
      <c r="B58" s="333">
        <v>0</v>
      </c>
      <c r="C58" s="333">
        <v>31.824000000000002</v>
      </c>
      <c r="D58" s="334">
        <v>31.824000000000002</v>
      </c>
      <c r="E58" s="335" t="s">
        <v>234</v>
      </c>
      <c r="F58" s="333">
        <v>0</v>
      </c>
      <c r="G58" s="334">
        <v>0</v>
      </c>
      <c r="H58" s="336">
        <v>7.133</v>
      </c>
      <c r="I58" s="333">
        <v>9.4540000000000006</v>
      </c>
      <c r="J58" s="334">
        <v>9.4540000000000006</v>
      </c>
      <c r="K58" s="337" t="s">
        <v>234</v>
      </c>
    </row>
    <row r="59" spans="1:11" ht="14.4" customHeight="1" thickBot="1" x14ac:dyDescent="0.35">
      <c r="A59" s="349" t="s">
        <v>288</v>
      </c>
      <c r="B59" s="333">
        <v>0</v>
      </c>
      <c r="C59" s="333">
        <v>26.666</v>
      </c>
      <c r="D59" s="334">
        <v>26.666</v>
      </c>
      <c r="E59" s="335" t="s">
        <v>234</v>
      </c>
      <c r="F59" s="333">
        <v>0</v>
      </c>
      <c r="G59" s="334">
        <v>0</v>
      </c>
      <c r="H59" s="336">
        <v>7.133</v>
      </c>
      <c r="I59" s="333">
        <v>9.4540000000000006</v>
      </c>
      <c r="J59" s="334">
        <v>9.4540000000000006</v>
      </c>
      <c r="K59" s="337" t="s">
        <v>234</v>
      </c>
    </row>
    <row r="60" spans="1:11" ht="14.4" customHeight="1" thickBot="1" x14ac:dyDescent="0.35">
      <c r="A60" s="350" t="s">
        <v>289</v>
      </c>
      <c r="B60" s="328">
        <v>0</v>
      </c>
      <c r="C60" s="328">
        <v>17.986000000000001</v>
      </c>
      <c r="D60" s="329">
        <v>17.986000000000001</v>
      </c>
      <c r="E60" s="338" t="s">
        <v>234</v>
      </c>
      <c r="F60" s="328">
        <v>0</v>
      </c>
      <c r="G60" s="329">
        <v>0</v>
      </c>
      <c r="H60" s="331">
        <v>7.133</v>
      </c>
      <c r="I60" s="328">
        <v>9.4540000000000006</v>
      </c>
      <c r="J60" s="329">
        <v>9.4540000000000006</v>
      </c>
      <c r="K60" s="339" t="s">
        <v>234</v>
      </c>
    </row>
    <row r="61" spans="1:11" ht="14.4" customHeight="1" thickBot="1" x14ac:dyDescent="0.35">
      <c r="A61" s="350" t="s">
        <v>290</v>
      </c>
      <c r="B61" s="328">
        <v>0</v>
      </c>
      <c r="C61" s="328">
        <v>8.68</v>
      </c>
      <c r="D61" s="329">
        <v>8.68</v>
      </c>
      <c r="E61" s="338" t="s">
        <v>234</v>
      </c>
      <c r="F61" s="328">
        <v>0</v>
      </c>
      <c r="G61" s="329">
        <v>0</v>
      </c>
      <c r="H61" s="331">
        <v>4.9406564584124654E-324</v>
      </c>
      <c r="I61" s="328">
        <v>2.4703282292062327E-323</v>
      </c>
      <c r="J61" s="329">
        <v>2.4703282292062327E-323</v>
      </c>
      <c r="K61" s="339" t="s">
        <v>234</v>
      </c>
    </row>
    <row r="62" spans="1:11" ht="14.4" customHeight="1" thickBot="1" x14ac:dyDescent="0.35">
      <c r="A62" s="349" t="s">
        <v>291</v>
      </c>
      <c r="B62" s="333">
        <v>4.9406564584124654E-324</v>
      </c>
      <c r="C62" s="333">
        <v>5.1580000000000004</v>
      </c>
      <c r="D62" s="334">
        <v>5.1580000000000004</v>
      </c>
      <c r="E62" s="335" t="s">
        <v>240</v>
      </c>
      <c r="F62" s="333">
        <v>0</v>
      </c>
      <c r="G62" s="334">
        <v>0</v>
      </c>
      <c r="H62" s="336">
        <v>4.9406564584124654E-324</v>
      </c>
      <c r="I62" s="333">
        <v>2.4703282292062327E-323</v>
      </c>
      <c r="J62" s="334">
        <v>2.4703282292062327E-323</v>
      </c>
      <c r="K62" s="337" t="s">
        <v>234</v>
      </c>
    </row>
    <row r="63" spans="1:11" ht="14.4" customHeight="1" thickBot="1" x14ac:dyDescent="0.35">
      <c r="A63" s="350" t="s">
        <v>292</v>
      </c>
      <c r="B63" s="328">
        <v>4.9406564584124654E-324</v>
      </c>
      <c r="C63" s="328">
        <v>5.1580000000000004</v>
      </c>
      <c r="D63" s="329">
        <v>5.1580000000000004</v>
      </c>
      <c r="E63" s="338" t="s">
        <v>240</v>
      </c>
      <c r="F63" s="328">
        <v>0</v>
      </c>
      <c r="G63" s="329">
        <v>0</v>
      </c>
      <c r="H63" s="331">
        <v>4.9406564584124654E-324</v>
      </c>
      <c r="I63" s="328">
        <v>2.4703282292062327E-323</v>
      </c>
      <c r="J63" s="329">
        <v>2.4703282292062327E-323</v>
      </c>
      <c r="K63" s="339" t="s">
        <v>234</v>
      </c>
    </row>
    <row r="64" spans="1:11" ht="14.4" customHeight="1" thickBot="1" x14ac:dyDescent="0.35">
      <c r="A64" s="348" t="s">
        <v>33</v>
      </c>
      <c r="B64" s="328">
        <v>263.51981629520299</v>
      </c>
      <c r="C64" s="328">
        <v>449.17048999999997</v>
      </c>
      <c r="D64" s="329">
        <v>185.65067370479699</v>
      </c>
      <c r="E64" s="330">
        <v>1.7045036548470001</v>
      </c>
      <c r="F64" s="328">
        <v>431.19025838665101</v>
      </c>
      <c r="G64" s="329">
        <v>179.662607661104</v>
      </c>
      <c r="H64" s="331">
        <v>35.883290000000002</v>
      </c>
      <c r="I64" s="328">
        <v>119.34547000000001</v>
      </c>
      <c r="J64" s="329">
        <v>-60.317137661103999</v>
      </c>
      <c r="K64" s="332">
        <v>0.27678146173000001</v>
      </c>
    </row>
    <row r="65" spans="1:11" ht="14.4" customHeight="1" thickBot="1" x14ac:dyDescent="0.35">
      <c r="A65" s="349" t="s">
        <v>293</v>
      </c>
      <c r="B65" s="333">
        <v>1.5496644510919999</v>
      </c>
      <c r="C65" s="333">
        <v>5.19937</v>
      </c>
      <c r="D65" s="334">
        <v>3.6497055489069998</v>
      </c>
      <c r="E65" s="340">
        <v>3.355158593419</v>
      </c>
      <c r="F65" s="333">
        <v>2.0781818738269999</v>
      </c>
      <c r="G65" s="334">
        <v>0.86590911409399995</v>
      </c>
      <c r="H65" s="336">
        <v>4.9406564584124654E-324</v>
      </c>
      <c r="I65" s="333">
        <v>0.20799999999999999</v>
      </c>
      <c r="J65" s="334">
        <v>-0.65790911409399999</v>
      </c>
      <c r="K65" s="341">
        <v>0.100087486383</v>
      </c>
    </row>
    <row r="66" spans="1:11" ht="14.4" customHeight="1" thickBot="1" x14ac:dyDescent="0.35">
      <c r="A66" s="350" t="s">
        <v>294</v>
      </c>
      <c r="B66" s="328">
        <v>1.5496644510919999</v>
      </c>
      <c r="C66" s="328">
        <v>5.19937</v>
      </c>
      <c r="D66" s="329">
        <v>3.6497055489069998</v>
      </c>
      <c r="E66" s="330">
        <v>3.355158593419</v>
      </c>
      <c r="F66" s="328">
        <v>2.0781818738269999</v>
      </c>
      <c r="G66" s="329">
        <v>0.86590911409399995</v>
      </c>
      <c r="H66" s="331">
        <v>4.9406564584124654E-324</v>
      </c>
      <c r="I66" s="328">
        <v>0.20799999999999999</v>
      </c>
      <c r="J66" s="329">
        <v>-0.65790911409399999</v>
      </c>
      <c r="K66" s="332">
        <v>0.100087486383</v>
      </c>
    </row>
    <row r="67" spans="1:11" ht="14.4" customHeight="1" thickBot="1" x14ac:dyDescent="0.35">
      <c r="A67" s="349" t="s">
        <v>295</v>
      </c>
      <c r="B67" s="333">
        <v>63.592415441878998</v>
      </c>
      <c r="C67" s="333">
        <v>41.702950000000001</v>
      </c>
      <c r="D67" s="334">
        <v>-21.889465441879</v>
      </c>
      <c r="E67" s="340">
        <v>0.65578496602400005</v>
      </c>
      <c r="F67" s="333">
        <v>44.350146169155003</v>
      </c>
      <c r="G67" s="334">
        <v>18.479227570481001</v>
      </c>
      <c r="H67" s="336">
        <v>0.54493999999999998</v>
      </c>
      <c r="I67" s="333">
        <v>10.68633</v>
      </c>
      <c r="J67" s="334">
        <v>-7.7928975704810002</v>
      </c>
      <c r="K67" s="341">
        <v>0.24095365907499999</v>
      </c>
    </row>
    <row r="68" spans="1:11" ht="14.4" customHeight="1" thickBot="1" x14ac:dyDescent="0.35">
      <c r="A68" s="350" t="s">
        <v>296</v>
      </c>
      <c r="B68" s="328">
        <v>6.5817198489000001E-2</v>
      </c>
      <c r="C68" s="328">
        <v>0.42999999999900002</v>
      </c>
      <c r="D68" s="329">
        <v>0.36418280150999999</v>
      </c>
      <c r="E68" s="330">
        <v>6.5332467784309998</v>
      </c>
      <c r="F68" s="328">
        <v>0.43988407792799999</v>
      </c>
      <c r="G68" s="329">
        <v>0.18328503247</v>
      </c>
      <c r="H68" s="331">
        <v>4.9406564584124654E-324</v>
      </c>
      <c r="I68" s="328">
        <v>1.9E-2</v>
      </c>
      <c r="J68" s="329">
        <v>-0.16428503247000001</v>
      </c>
      <c r="K68" s="332">
        <v>4.3193197829000003E-2</v>
      </c>
    </row>
    <row r="69" spans="1:11" ht="14.4" customHeight="1" thickBot="1" x14ac:dyDescent="0.35">
      <c r="A69" s="350" t="s">
        <v>297</v>
      </c>
      <c r="B69" s="328">
        <v>58.436364454646998</v>
      </c>
      <c r="C69" s="328">
        <v>37.097999999999999</v>
      </c>
      <c r="D69" s="329">
        <v>-21.338364454646001</v>
      </c>
      <c r="E69" s="330">
        <v>0.63484442172599997</v>
      </c>
      <c r="F69" s="328">
        <v>39.989183536014998</v>
      </c>
      <c r="G69" s="329">
        <v>16.662159806672001</v>
      </c>
      <c r="H69" s="331">
        <v>4.9406564584124654E-324</v>
      </c>
      <c r="I69" s="328">
        <v>8.8190000000000008</v>
      </c>
      <c r="J69" s="329">
        <v>-7.8431598066720003</v>
      </c>
      <c r="K69" s="332">
        <v>0.22053463512300001</v>
      </c>
    </row>
    <row r="70" spans="1:11" ht="14.4" customHeight="1" thickBot="1" x14ac:dyDescent="0.35">
      <c r="A70" s="350" t="s">
        <v>298</v>
      </c>
      <c r="B70" s="328">
        <v>5.0902337887420002</v>
      </c>
      <c r="C70" s="328">
        <v>4.1749499999999999</v>
      </c>
      <c r="D70" s="329">
        <v>-0.915283788742</v>
      </c>
      <c r="E70" s="330">
        <v>0.82018826114300003</v>
      </c>
      <c r="F70" s="328">
        <v>3.921078555212</v>
      </c>
      <c r="G70" s="329">
        <v>1.633782731338</v>
      </c>
      <c r="H70" s="331">
        <v>0.54493999999999998</v>
      </c>
      <c r="I70" s="328">
        <v>1.84833</v>
      </c>
      <c r="J70" s="329">
        <v>0.21454726866099999</v>
      </c>
      <c r="K70" s="332">
        <v>0.471383057996</v>
      </c>
    </row>
    <row r="71" spans="1:11" ht="14.4" customHeight="1" thickBot="1" x14ac:dyDescent="0.35">
      <c r="A71" s="349" t="s">
        <v>299</v>
      </c>
      <c r="B71" s="333">
        <v>16.930613168490002</v>
      </c>
      <c r="C71" s="333">
        <v>14.470319999999999</v>
      </c>
      <c r="D71" s="334">
        <v>-2.4602931684899998</v>
      </c>
      <c r="E71" s="340">
        <v>0.85468375279700004</v>
      </c>
      <c r="F71" s="333">
        <v>13.441202956276999</v>
      </c>
      <c r="G71" s="334">
        <v>5.6005012317820002</v>
      </c>
      <c r="H71" s="336">
        <v>1.2003200000000001</v>
      </c>
      <c r="I71" s="333">
        <v>5.5532000000000004</v>
      </c>
      <c r="J71" s="334">
        <v>-4.7301231781999999E-2</v>
      </c>
      <c r="K71" s="341">
        <v>0.41314754475900001</v>
      </c>
    </row>
    <row r="72" spans="1:11" ht="14.4" customHeight="1" thickBot="1" x14ac:dyDescent="0.35">
      <c r="A72" s="350" t="s">
        <v>300</v>
      </c>
      <c r="B72" s="328">
        <v>1.9994809029539999</v>
      </c>
      <c r="C72" s="328">
        <v>1.62</v>
      </c>
      <c r="D72" s="329">
        <v>-0.379480902954</v>
      </c>
      <c r="E72" s="330">
        <v>0.81021028888299995</v>
      </c>
      <c r="F72" s="328">
        <v>1.6780130766300001</v>
      </c>
      <c r="G72" s="329">
        <v>0.69917211526199996</v>
      </c>
      <c r="H72" s="331">
        <v>4.9406564584124654E-324</v>
      </c>
      <c r="I72" s="328">
        <v>0.81</v>
      </c>
      <c r="J72" s="329">
        <v>0.110827884737</v>
      </c>
      <c r="K72" s="332">
        <v>0.482713759076</v>
      </c>
    </row>
    <row r="73" spans="1:11" ht="14.4" customHeight="1" thickBot="1" x14ac:dyDescent="0.35">
      <c r="A73" s="350" t="s">
        <v>301</v>
      </c>
      <c r="B73" s="328">
        <v>14.931132265536</v>
      </c>
      <c r="C73" s="328">
        <v>12.85032</v>
      </c>
      <c r="D73" s="329">
        <v>-2.0808122655360002</v>
      </c>
      <c r="E73" s="330">
        <v>0.86063935215800003</v>
      </c>
      <c r="F73" s="328">
        <v>11.763189879645999</v>
      </c>
      <c r="G73" s="329">
        <v>4.9013291165190003</v>
      </c>
      <c r="H73" s="331">
        <v>1.2003200000000001</v>
      </c>
      <c r="I73" s="328">
        <v>4.7431999999999999</v>
      </c>
      <c r="J73" s="329">
        <v>-0.158129116519</v>
      </c>
      <c r="K73" s="332">
        <v>0.40322395953200002</v>
      </c>
    </row>
    <row r="74" spans="1:11" ht="14.4" customHeight="1" thickBot="1" x14ac:dyDescent="0.35">
      <c r="A74" s="349" t="s">
        <v>302</v>
      </c>
      <c r="B74" s="333">
        <v>51.722303332476002</v>
      </c>
      <c r="C74" s="333">
        <v>53.87773</v>
      </c>
      <c r="D74" s="334">
        <v>2.1554266675229998</v>
      </c>
      <c r="E74" s="340">
        <v>1.041673060336</v>
      </c>
      <c r="F74" s="333">
        <v>55.319776613099002</v>
      </c>
      <c r="G74" s="334">
        <v>23.049906922123998</v>
      </c>
      <c r="H74" s="336">
        <v>4.7172799999999997</v>
      </c>
      <c r="I74" s="333">
        <v>18.873850000000001</v>
      </c>
      <c r="J74" s="334">
        <v>-4.1760569221240003</v>
      </c>
      <c r="K74" s="341">
        <v>0.34117726345799998</v>
      </c>
    </row>
    <row r="75" spans="1:11" ht="14.4" customHeight="1" thickBot="1" x14ac:dyDescent="0.35">
      <c r="A75" s="350" t="s">
        <v>303</v>
      </c>
      <c r="B75" s="328">
        <v>10.000010154197</v>
      </c>
      <c r="C75" s="328">
        <v>11.056100000000001</v>
      </c>
      <c r="D75" s="329">
        <v>1.056089845802</v>
      </c>
      <c r="E75" s="330">
        <v>1.1056088773420001</v>
      </c>
      <c r="F75" s="328">
        <v>12.023745812851001</v>
      </c>
      <c r="G75" s="329">
        <v>5.0098940886880001</v>
      </c>
      <c r="H75" s="331">
        <v>1.33775</v>
      </c>
      <c r="I75" s="328">
        <v>1.33775</v>
      </c>
      <c r="J75" s="329">
        <v>-3.6721440886879999</v>
      </c>
      <c r="K75" s="332">
        <v>0.111259005373</v>
      </c>
    </row>
    <row r="76" spans="1:11" ht="14.4" customHeight="1" thickBot="1" x14ac:dyDescent="0.35">
      <c r="A76" s="350" t="s">
        <v>304</v>
      </c>
      <c r="B76" s="328">
        <v>41.722293178278001</v>
      </c>
      <c r="C76" s="328">
        <v>42.821629999999999</v>
      </c>
      <c r="D76" s="329">
        <v>1.099336821721</v>
      </c>
      <c r="E76" s="330">
        <v>1.0263489069739999</v>
      </c>
      <c r="F76" s="328">
        <v>43.296030800247003</v>
      </c>
      <c r="G76" s="329">
        <v>18.040012833435998</v>
      </c>
      <c r="H76" s="331">
        <v>3.3795299999999999</v>
      </c>
      <c r="I76" s="328">
        <v>17.536100000000001</v>
      </c>
      <c r="J76" s="329">
        <v>-0.50391283343600002</v>
      </c>
      <c r="K76" s="332">
        <v>0.40502788999</v>
      </c>
    </row>
    <row r="77" spans="1:11" ht="14.4" customHeight="1" thickBot="1" x14ac:dyDescent="0.35">
      <c r="A77" s="349" t="s">
        <v>305</v>
      </c>
      <c r="B77" s="333">
        <v>129.724819901264</v>
      </c>
      <c r="C77" s="333">
        <v>243.23299</v>
      </c>
      <c r="D77" s="334">
        <v>113.508170098736</v>
      </c>
      <c r="E77" s="340">
        <v>1.8749919266420001</v>
      </c>
      <c r="F77" s="333">
        <v>236.00095077429299</v>
      </c>
      <c r="G77" s="334">
        <v>98.333729489288004</v>
      </c>
      <c r="H77" s="336">
        <v>28.98075</v>
      </c>
      <c r="I77" s="333">
        <v>82.264089999999996</v>
      </c>
      <c r="J77" s="334">
        <v>-16.069639489288001</v>
      </c>
      <c r="K77" s="341">
        <v>0.34857524823500002</v>
      </c>
    </row>
    <row r="78" spans="1:11" ht="14.4" customHeight="1" thickBot="1" x14ac:dyDescent="0.35">
      <c r="A78" s="350" t="s">
        <v>306</v>
      </c>
      <c r="B78" s="328">
        <v>129.28764329400801</v>
      </c>
      <c r="C78" s="328">
        <v>141.28826000000001</v>
      </c>
      <c r="D78" s="329">
        <v>12.000616705991</v>
      </c>
      <c r="E78" s="330">
        <v>1.092821064722</v>
      </c>
      <c r="F78" s="328">
        <v>139.686553552552</v>
      </c>
      <c r="G78" s="329">
        <v>58.202730646896001</v>
      </c>
      <c r="H78" s="331">
        <v>13.506629999999999</v>
      </c>
      <c r="I78" s="328">
        <v>66.789969999999997</v>
      </c>
      <c r="J78" s="329">
        <v>8.5872393531029996</v>
      </c>
      <c r="K78" s="332">
        <v>0.478141727327</v>
      </c>
    </row>
    <row r="79" spans="1:11" ht="14.4" customHeight="1" thickBot="1" x14ac:dyDescent="0.35">
      <c r="A79" s="350" t="s">
        <v>307</v>
      </c>
      <c r="B79" s="328">
        <v>0.43717660725500002</v>
      </c>
      <c r="C79" s="328">
        <v>101.94473000000001</v>
      </c>
      <c r="D79" s="329">
        <v>101.507553392744</v>
      </c>
      <c r="E79" s="330">
        <v>233.18889507819</v>
      </c>
      <c r="F79" s="328">
        <v>96.314397221739995</v>
      </c>
      <c r="G79" s="329">
        <v>40.130998842391001</v>
      </c>
      <c r="H79" s="331">
        <v>15.474119999999999</v>
      </c>
      <c r="I79" s="328">
        <v>15.474119999999999</v>
      </c>
      <c r="J79" s="329">
        <v>-24.656878842390999</v>
      </c>
      <c r="K79" s="332">
        <v>0.16066258468399999</v>
      </c>
    </row>
    <row r="80" spans="1:11" ht="14.4" customHeight="1" thickBot="1" x14ac:dyDescent="0.35">
      <c r="A80" s="349" t="s">
        <v>308</v>
      </c>
      <c r="B80" s="333">
        <v>0</v>
      </c>
      <c r="C80" s="333">
        <v>89.356129999999993</v>
      </c>
      <c r="D80" s="334">
        <v>89.356129999999993</v>
      </c>
      <c r="E80" s="335" t="s">
        <v>234</v>
      </c>
      <c r="F80" s="333">
        <v>79.999999999997996</v>
      </c>
      <c r="G80" s="334">
        <v>33.333333333332</v>
      </c>
      <c r="H80" s="336">
        <v>0.44</v>
      </c>
      <c r="I80" s="333">
        <v>1.76</v>
      </c>
      <c r="J80" s="334">
        <v>-31.573333333331998</v>
      </c>
      <c r="K80" s="341">
        <v>2.1999999999999999E-2</v>
      </c>
    </row>
    <row r="81" spans="1:11" ht="14.4" customHeight="1" thickBot="1" x14ac:dyDescent="0.35">
      <c r="A81" s="350" t="s">
        <v>309</v>
      </c>
      <c r="B81" s="328">
        <v>0</v>
      </c>
      <c r="C81" s="328">
        <v>36.854999999999997</v>
      </c>
      <c r="D81" s="329">
        <v>36.854999999999997</v>
      </c>
      <c r="E81" s="338" t="s">
        <v>234</v>
      </c>
      <c r="F81" s="328">
        <v>0</v>
      </c>
      <c r="G81" s="329">
        <v>0</v>
      </c>
      <c r="H81" s="331">
        <v>4.9406564584124654E-324</v>
      </c>
      <c r="I81" s="328">
        <v>2.4703282292062327E-323</v>
      </c>
      <c r="J81" s="329">
        <v>2.4703282292062327E-323</v>
      </c>
      <c r="K81" s="339" t="s">
        <v>234</v>
      </c>
    </row>
    <row r="82" spans="1:11" ht="14.4" customHeight="1" thickBot="1" x14ac:dyDescent="0.35">
      <c r="A82" s="350" t="s">
        <v>310</v>
      </c>
      <c r="B82" s="328">
        <v>0</v>
      </c>
      <c r="C82" s="328">
        <v>23.461130000000001</v>
      </c>
      <c r="D82" s="329">
        <v>23.461130000000001</v>
      </c>
      <c r="E82" s="338" t="s">
        <v>234</v>
      </c>
      <c r="F82" s="328">
        <v>29.999999999999002</v>
      </c>
      <c r="G82" s="329">
        <v>12.499999999999</v>
      </c>
      <c r="H82" s="331">
        <v>0.44</v>
      </c>
      <c r="I82" s="328">
        <v>1.76</v>
      </c>
      <c r="J82" s="329">
        <v>-10.739999999999</v>
      </c>
      <c r="K82" s="332">
        <v>5.8666666665999997E-2</v>
      </c>
    </row>
    <row r="83" spans="1:11" ht="14.4" customHeight="1" thickBot="1" x14ac:dyDescent="0.35">
      <c r="A83" s="350" t="s">
        <v>311</v>
      </c>
      <c r="B83" s="328">
        <v>4.9406564584124654E-324</v>
      </c>
      <c r="C83" s="328">
        <v>29.04</v>
      </c>
      <c r="D83" s="329">
        <v>29.04</v>
      </c>
      <c r="E83" s="338" t="s">
        <v>240</v>
      </c>
      <c r="F83" s="328">
        <v>49.999999999998998</v>
      </c>
      <c r="G83" s="329">
        <v>20.833333333333002</v>
      </c>
      <c r="H83" s="331">
        <v>4.9406564584124654E-324</v>
      </c>
      <c r="I83" s="328">
        <v>2.4703282292062327E-323</v>
      </c>
      <c r="J83" s="329">
        <v>-20.833333333333002</v>
      </c>
      <c r="K83" s="332">
        <v>0</v>
      </c>
    </row>
    <row r="84" spans="1:11" ht="14.4" customHeight="1" thickBot="1" x14ac:dyDescent="0.35">
      <c r="A84" s="349" t="s">
        <v>312</v>
      </c>
      <c r="B84" s="333">
        <v>4.9406564584124654E-324</v>
      </c>
      <c r="C84" s="333">
        <v>1.331</v>
      </c>
      <c r="D84" s="334">
        <v>1.331</v>
      </c>
      <c r="E84" s="335" t="s">
        <v>240</v>
      </c>
      <c r="F84" s="333">
        <v>0</v>
      </c>
      <c r="G84" s="334">
        <v>0</v>
      </c>
      <c r="H84" s="336">
        <v>4.9406564584124654E-324</v>
      </c>
      <c r="I84" s="333">
        <v>2.4703282292062327E-323</v>
      </c>
      <c r="J84" s="334">
        <v>2.4703282292062327E-323</v>
      </c>
      <c r="K84" s="337" t="s">
        <v>234</v>
      </c>
    </row>
    <row r="85" spans="1:11" ht="14.4" customHeight="1" thickBot="1" x14ac:dyDescent="0.35">
      <c r="A85" s="350" t="s">
        <v>313</v>
      </c>
      <c r="B85" s="328">
        <v>4.9406564584124654E-324</v>
      </c>
      <c r="C85" s="328">
        <v>1.331</v>
      </c>
      <c r="D85" s="329">
        <v>1.331</v>
      </c>
      <c r="E85" s="338" t="s">
        <v>240</v>
      </c>
      <c r="F85" s="328">
        <v>0</v>
      </c>
      <c r="G85" s="329">
        <v>0</v>
      </c>
      <c r="H85" s="331">
        <v>4.9406564584124654E-324</v>
      </c>
      <c r="I85" s="328">
        <v>2.4703282292062327E-323</v>
      </c>
      <c r="J85" s="329">
        <v>2.4703282292062327E-323</v>
      </c>
      <c r="K85" s="339" t="s">
        <v>234</v>
      </c>
    </row>
    <row r="86" spans="1:11" ht="14.4" customHeight="1" thickBot="1" x14ac:dyDescent="0.35">
      <c r="A86" s="347" t="s">
        <v>34</v>
      </c>
      <c r="B86" s="328">
        <v>14061.9965391118</v>
      </c>
      <c r="C86" s="328">
        <v>16336.68872</v>
      </c>
      <c r="D86" s="329">
        <v>2274.6921808882398</v>
      </c>
      <c r="E86" s="330">
        <v>1.1617616797550001</v>
      </c>
      <c r="F86" s="328">
        <v>17309.079657865099</v>
      </c>
      <c r="G86" s="329">
        <v>7212.11652411044</v>
      </c>
      <c r="H86" s="331">
        <v>1354.6200100000001</v>
      </c>
      <c r="I86" s="328">
        <v>6792.5549800000099</v>
      </c>
      <c r="J86" s="329">
        <v>-419.56154411043099</v>
      </c>
      <c r="K86" s="332">
        <v>0.39242727598799998</v>
      </c>
    </row>
    <row r="87" spans="1:11" ht="14.4" customHeight="1" thickBot="1" x14ac:dyDescent="0.35">
      <c r="A87" s="353" t="s">
        <v>314</v>
      </c>
      <c r="B87" s="333">
        <v>10742.9999999994</v>
      </c>
      <c r="C87" s="333">
        <v>12153.096</v>
      </c>
      <c r="D87" s="334">
        <v>1410.0960000006</v>
      </c>
      <c r="E87" s="340">
        <v>1.131257190728</v>
      </c>
      <c r="F87" s="333">
        <v>13142.9999999998</v>
      </c>
      <c r="G87" s="334">
        <v>5476.2499999999</v>
      </c>
      <c r="H87" s="336">
        <v>1006.784</v>
      </c>
      <c r="I87" s="333">
        <v>5048.8010000000004</v>
      </c>
      <c r="J87" s="334">
        <v>-427.448999999894</v>
      </c>
      <c r="K87" s="341">
        <v>0.38414372669800001</v>
      </c>
    </row>
    <row r="88" spans="1:11" ht="14.4" customHeight="1" thickBot="1" x14ac:dyDescent="0.35">
      <c r="A88" s="349" t="s">
        <v>315</v>
      </c>
      <c r="B88" s="333">
        <v>9482.9999999994798</v>
      </c>
      <c r="C88" s="333">
        <v>10867.558999999999</v>
      </c>
      <c r="D88" s="334">
        <v>1384.55900000053</v>
      </c>
      <c r="E88" s="340">
        <v>1.146004323526</v>
      </c>
      <c r="F88" s="333">
        <v>11903.9999999998</v>
      </c>
      <c r="G88" s="334">
        <v>4959.99999999991</v>
      </c>
      <c r="H88" s="336">
        <v>892.87400000000002</v>
      </c>
      <c r="I88" s="333">
        <v>4529.1030000000001</v>
      </c>
      <c r="J88" s="334">
        <v>-430.89699999990398</v>
      </c>
      <c r="K88" s="341">
        <v>0.38046900201599998</v>
      </c>
    </row>
    <row r="89" spans="1:11" ht="14.4" customHeight="1" thickBot="1" x14ac:dyDescent="0.35">
      <c r="A89" s="350" t="s">
        <v>316</v>
      </c>
      <c r="B89" s="328">
        <v>9482.9999999994798</v>
      </c>
      <c r="C89" s="328">
        <v>10867.558999999999</v>
      </c>
      <c r="D89" s="329">
        <v>1384.55900000053</v>
      </c>
      <c r="E89" s="330">
        <v>1.146004323526</v>
      </c>
      <c r="F89" s="328">
        <v>11903.9999999998</v>
      </c>
      <c r="G89" s="329">
        <v>4959.99999999991</v>
      </c>
      <c r="H89" s="331">
        <v>892.87400000000002</v>
      </c>
      <c r="I89" s="328">
        <v>4529.1030000000001</v>
      </c>
      <c r="J89" s="329">
        <v>-430.89699999990398</v>
      </c>
      <c r="K89" s="332">
        <v>0.38046900201599998</v>
      </c>
    </row>
    <row r="90" spans="1:11" ht="14.4" customHeight="1" thickBot="1" x14ac:dyDescent="0.35">
      <c r="A90" s="349" t="s">
        <v>317</v>
      </c>
      <c r="B90" s="333">
        <v>4.9406564584124654E-324</v>
      </c>
      <c r="C90" s="333">
        <v>0.57099999999999995</v>
      </c>
      <c r="D90" s="334">
        <v>0.57099999999999995</v>
      </c>
      <c r="E90" s="335" t="s">
        <v>240</v>
      </c>
      <c r="F90" s="333">
        <v>0</v>
      </c>
      <c r="G90" s="334">
        <v>0</v>
      </c>
      <c r="H90" s="336">
        <v>4.9406564584124654E-324</v>
      </c>
      <c r="I90" s="333">
        <v>2.4703282292062327E-323</v>
      </c>
      <c r="J90" s="334">
        <v>2.4703282292062327E-323</v>
      </c>
      <c r="K90" s="337" t="s">
        <v>234</v>
      </c>
    </row>
    <row r="91" spans="1:11" ht="14.4" customHeight="1" thickBot="1" x14ac:dyDescent="0.35">
      <c r="A91" s="350" t="s">
        <v>318</v>
      </c>
      <c r="B91" s="328">
        <v>4.9406564584124654E-324</v>
      </c>
      <c r="C91" s="328">
        <v>0.57099999999999995</v>
      </c>
      <c r="D91" s="329">
        <v>0.57099999999999995</v>
      </c>
      <c r="E91" s="338" t="s">
        <v>240</v>
      </c>
      <c r="F91" s="328">
        <v>0</v>
      </c>
      <c r="G91" s="329">
        <v>0</v>
      </c>
      <c r="H91" s="331">
        <v>4.9406564584124654E-324</v>
      </c>
      <c r="I91" s="328">
        <v>2.4703282292062327E-323</v>
      </c>
      <c r="J91" s="329">
        <v>2.4703282292062327E-323</v>
      </c>
      <c r="K91" s="339" t="s">
        <v>234</v>
      </c>
    </row>
    <row r="92" spans="1:11" ht="14.4" customHeight="1" thickBot="1" x14ac:dyDescent="0.35">
      <c r="A92" s="349" t="s">
        <v>319</v>
      </c>
      <c r="B92" s="333">
        <v>1259.99999999993</v>
      </c>
      <c r="C92" s="333">
        <v>1240.23</v>
      </c>
      <c r="D92" s="334">
        <v>-19.76999999993</v>
      </c>
      <c r="E92" s="340">
        <v>0.98430952380900005</v>
      </c>
      <c r="F92" s="333">
        <v>1201.99999999998</v>
      </c>
      <c r="G92" s="334">
        <v>500.83333333332399</v>
      </c>
      <c r="H92" s="336">
        <v>113.91</v>
      </c>
      <c r="I92" s="333">
        <v>516.900000000001</v>
      </c>
      <c r="J92" s="334">
        <v>16.066666666675999</v>
      </c>
      <c r="K92" s="341">
        <v>0.43003327787000001</v>
      </c>
    </row>
    <row r="93" spans="1:11" ht="14.4" customHeight="1" thickBot="1" x14ac:dyDescent="0.35">
      <c r="A93" s="350" t="s">
        <v>320</v>
      </c>
      <c r="B93" s="328">
        <v>1259.99999999993</v>
      </c>
      <c r="C93" s="328">
        <v>1240.23</v>
      </c>
      <c r="D93" s="329">
        <v>-19.76999999993</v>
      </c>
      <c r="E93" s="330">
        <v>0.98430952380900005</v>
      </c>
      <c r="F93" s="328">
        <v>1201.99999999998</v>
      </c>
      <c r="G93" s="329">
        <v>500.83333333332399</v>
      </c>
      <c r="H93" s="331">
        <v>113.91</v>
      </c>
      <c r="I93" s="328">
        <v>516.900000000001</v>
      </c>
      <c r="J93" s="329">
        <v>16.066666666675999</v>
      </c>
      <c r="K93" s="332">
        <v>0.43003327787000001</v>
      </c>
    </row>
    <row r="94" spans="1:11" ht="14.4" customHeight="1" thickBot="1" x14ac:dyDescent="0.35">
      <c r="A94" s="349" t="s">
        <v>321</v>
      </c>
      <c r="B94" s="333">
        <v>0</v>
      </c>
      <c r="C94" s="333">
        <v>44.735999999999997</v>
      </c>
      <c r="D94" s="334">
        <v>44.735999999999997</v>
      </c>
      <c r="E94" s="335" t="s">
        <v>234</v>
      </c>
      <c r="F94" s="333">
        <v>36.999999999998998</v>
      </c>
      <c r="G94" s="334">
        <v>15.416666666666</v>
      </c>
      <c r="H94" s="336">
        <v>4.9406564584124654E-324</v>
      </c>
      <c r="I94" s="333">
        <v>2.798</v>
      </c>
      <c r="J94" s="334">
        <v>-12.618666666666</v>
      </c>
      <c r="K94" s="341">
        <v>7.5621621621000001E-2</v>
      </c>
    </row>
    <row r="95" spans="1:11" ht="14.4" customHeight="1" thickBot="1" x14ac:dyDescent="0.35">
      <c r="A95" s="350" t="s">
        <v>322</v>
      </c>
      <c r="B95" s="328">
        <v>0</v>
      </c>
      <c r="C95" s="328">
        <v>44.735999999999997</v>
      </c>
      <c r="D95" s="329">
        <v>44.735999999999997</v>
      </c>
      <c r="E95" s="338" t="s">
        <v>234</v>
      </c>
      <c r="F95" s="328">
        <v>36.999999999998998</v>
      </c>
      <c r="G95" s="329">
        <v>15.416666666666</v>
      </c>
      <c r="H95" s="331">
        <v>4.9406564584124654E-324</v>
      </c>
      <c r="I95" s="328">
        <v>2.798</v>
      </c>
      <c r="J95" s="329">
        <v>-12.618666666666</v>
      </c>
      <c r="K95" s="332">
        <v>7.5621621621000001E-2</v>
      </c>
    </row>
    <row r="96" spans="1:11" ht="14.4" customHeight="1" thickBot="1" x14ac:dyDescent="0.35">
      <c r="A96" s="348" t="s">
        <v>323</v>
      </c>
      <c r="B96" s="328">
        <v>3223.9965391123601</v>
      </c>
      <c r="C96" s="328">
        <v>4074.4700800000001</v>
      </c>
      <c r="D96" s="329">
        <v>850.473540887642</v>
      </c>
      <c r="E96" s="330">
        <v>1.2637948057849999</v>
      </c>
      <c r="F96" s="328">
        <v>4047.0796578652999</v>
      </c>
      <c r="G96" s="329">
        <v>1686.2831907772099</v>
      </c>
      <c r="H96" s="331">
        <v>338.90708000000001</v>
      </c>
      <c r="I96" s="328">
        <v>1698.43505</v>
      </c>
      <c r="J96" s="329">
        <v>12.151859222793</v>
      </c>
      <c r="K96" s="332">
        <v>0.419669290842</v>
      </c>
    </row>
    <row r="97" spans="1:11" ht="14.4" customHeight="1" thickBot="1" x14ac:dyDescent="0.35">
      <c r="A97" s="349" t="s">
        <v>324</v>
      </c>
      <c r="B97" s="333">
        <v>852.99999343452998</v>
      </c>
      <c r="C97" s="333">
        <v>1078.8129899999999</v>
      </c>
      <c r="D97" s="334">
        <v>225.812996565471</v>
      </c>
      <c r="E97" s="340">
        <v>1.264728016768</v>
      </c>
      <c r="F97" s="333">
        <v>1071.0796578653601</v>
      </c>
      <c r="G97" s="334">
        <v>446.28319077723302</v>
      </c>
      <c r="H97" s="336">
        <v>89.711070000000007</v>
      </c>
      <c r="I97" s="333">
        <v>449.43428</v>
      </c>
      <c r="J97" s="334">
        <v>3.1510892227660001</v>
      </c>
      <c r="K97" s="341">
        <v>0.41960864133600001</v>
      </c>
    </row>
    <row r="98" spans="1:11" ht="14.4" customHeight="1" thickBot="1" x14ac:dyDescent="0.35">
      <c r="A98" s="350" t="s">
        <v>325</v>
      </c>
      <c r="B98" s="328">
        <v>852.99999343452998</v>
      </c>
      <c r="C98" s="328">
        <v>1078.8129899999999</v>
      </c>
      <c r="D98" s="329">
        <v>225.812996565471</v>
      </c>
      <c r="E98" s="330">
        <v>1.264728016768</v>
      </c>
      <c r="F98" s="328">
        <v>1071.0796578653601</v>
      </c>
      <c r="G98" s="329">
        <v>446.28319077723302</v>
      </c>
      <c r="H98" s="331">
        <v>89.711070000000007</v>
      </c>
      <c r="I98" s="328">
        <v>449.43428</v>
      </c>
      <c r="J98" s="329">
        <v>3.1510892227660001</v>
      </c>
      <c r="K98" s="332">
        <v>0.41960864133600001</v>
      </c>
    </row>
    <row r="99" spans="1:11" ht="14.4" customHeight="1" thickBot="1" x14ac:dyDescent="0.35">
      <c r="A99" s="349" t="s">
        <v>326</v>
      </c>
      <c r="B99" s="333">
        <v>2370.99654567783</v>
      </c>
      <c r="C99" s="333">
        <v>2995.6570900000002</v>
      </c>
      <c r="D99" s="334">
        <v>624.66054432217197</v>
      </c>
      <c r="E99" s="340">
        <v>1.2634590697570001</v>
      </c>
      <c r="F99" s="333">
        <v>2975.99999999994</v>
      </c>
      <c r="G99" s="334">
        <v>1239.99999999998</v>
      </c>
      <c r="H99" s="336">
        <v>249.19601</v>
      </c>
      <c r="I99" s="333">
        <v>1249.0007700000001</v>
      </c>
      <c r="J99" s="334">
        <v>9.0007700000259998</v>
      </c>
      <c r="K99" s="341">
        <v>0.41969111895099998</v>
      </c>
    </row>
    <row r="100" spans="1:11" ht="14.4" customHeight="1" thickBot="1" x14ac:dyDescent="0.35">
      <c r="A100" s="350" t="s">
        <v>327</v>
      </c>
      <c r="B100" s="328">
        <v>2370.99654567783</v>
      </c>
      <c r="C100" s="328">
        <v>2995.6570900000002</v>
      </c>
      <c r="D100" s="329">
        <v>624.66054432217197</v>
      </c>
      <c r="E100" s="330">
        <v>1.2634590697570001</v>
      </c>
      <c r="F100" s="328">
        <v>2975.99999999994</v>
      </c>
      <c r="G100" s="329">
        <v>1239.99999999998</v>
      </c>
      <c r="H100" s="331">
        <v>249.19601</v>
      </c>
      <c r="I100" s="328">
        <v>1249.0007700000001</v>
      </c>
      <c r="J100" s="329">
        <v>9.0007700000259998</v>
      </c>
      <c r="K100" s="332">
        <v>0.41969111895099998</v>
      </c>
    </row>
    <row r="101" spans="1:11" ht="14.4" customHeight="1" thickBot="1" x14ac:dyDescent="0.35">
      <c r="A101" s="348" t="s">
        <v>328</v>
      </c>
      <c r="B101" s="328">
        <v>94.999999999994003</v>
      </c>
      <c r="C101" s="328">
        <v>109.12264</v>
      </c>
      <c r="D101" s="329">
        <v>14.122640000004999</v>
      </c>
      <c r="E101" s="330">
        <v>1.148659368421</v>
      </c>
      <c r="F101" s="328">
        <v>118.999999999998</v>
      </c>
      <c r="G101" s="329">
        <v>49.583333333332</v>
      </c>
      <c r="H101" s="331">
        <v>8.9289299999999994</v>
      </c>
      <c r="I101" s="328">
        <v>45.318930000000002</v>
      </c>
      <c r="J101" s="329">
        <v>-4.2644033333319999</v>
      </c>
      <c r="K101" s="332">
        <v>0.38083134453700002</v>
      </c>
    </row>
    <row r="102" spans="1:11" ht="14.4" customHeight="1" thickBot="1" x14ac:dyDescent="0.35">
      <c r="A102" s="349" t="s">
        <v>329</v>
      </c>
      <c r="B102" s="333">
        <v>94.999999999994003</v>
      </c>
      <c r="C102" s="333">
        <v>109.12264</v>
      </c>
      <c r="D102" s="334">
        <v>14.122640000004999</v>
      </c>
      <c r="E102" s="340">
        <v>1.148659368421</v>
      </c>
      <c r="F102" s="333">
        <v>118.999999999998</v>
      </c>
      <c r="G102" s="334">
        <v>49.583333333332</v>
      </c>
      <c r="H102" s="336">
        <v>8.9289299999999994</v>
      </c>
      <c r="I102" s="333">
        <v>45.318930000000002</v>
      </c>
      <c r="J102" s="334">
        <v>-4.2644033333319999</v>
      </c>
      <c r="K102" s="341">
        <v>0.38083134453700002</v>
      </c>
    </row>
    <row r="103" spans="1:11" ht="14.4" customHeight="1" thickBot="1" x14ac:dyDescent="0.35">
      <c r="A103" s="350" t="s">
        <v>330</v>
      </c>
      <c r="B103" s="328">
        <v>94.999999999994003</v>
      </c>
      <c r="C103" s="328">
        <v>109.12264</v>
      </c>
      <c r="D103" s="329">
        <v>14.122640000004999</v>
      </c>
      <c r="E103" s="330">
        <v>1.148659368421</v>
      </c>
      <c r="F103" s="328">
        <v>118.999999999998</v>
      </c>
      <c r="G103" s="329">
        <v>49.583333333332</v>
      </c>
      <c r="H103" s="331">
        <v>8.9289299999999994</v>
      </c>
      <c r="I103" s="328">
        <v>45.318930000000002</v>
      </c>
      <c r="J103" s="329">
        <v>-4.2644033333319999</v>
      </c>
      <c r="K103" s="332">
        <v>0.38083134453700002</v>
      </c>
    </row>
    <row r="104" spans="1:11" ht="14.4" customHeight="1" thickBot="1" x14ac:dyDescent="0.35">
      <c r="A104" s="347" t="s">
        <v>331</v>
      </c>
      <c r="B104" s="328">
        <v>47.999999999997002</v>
      </c>
      <c r="C104" s="328">
        <v>124.376</v>
      </c>
      <c r="D104" s="329">
        <v>76.376000000001994</v>
      </c>
      <c r="E104" s="330">
        <v>2.591166666666</v>
      </c>
      <c r="F104" s="328">
        <v>34.876325088338</v>
      </c>
      <c r="G104" s="329">
        <v>14.531802120141</v>
      </c>
      <c r="H104" s="331">
        <v>6.7</v>
      </c>
      <c r="I104" s="328">
        <v>35.71</v>
      </c>
      <c r="J104" s="329">
        <v>21.178197879858999</v>
      </c>
      <c r="K104" s="332">
        <v>1.0239037487330001</v>
      </c>
    </row>
    <row r="105" spans="1:11" ht="14.4" customHeight="1" thickBot="1" x14ac:dyDescent="0.35">
      <c r="A105" s="348" t="s">
        <v>332</v>
      </c>
      <c r="B105" s="328">
        <v>47.999999999997002</v>
      </c>
      <c r="C105" s="328">
        <v>124.376</v>
      </c>
      <c r="D105" s="329">
        <v>76.376000000001994</v>
      </c>
      <c r="E105" s="330">
        <v>2.591166666666</v>
      </c>
      <c r="F105" s="328">
        <v>34.876325088338</v>
      </c>
      <c r="G105" s="329">
        <v>14.531802120141</v>
      </c>
      <c r="H105" s="331">
        <v>6.7</v>
      </c>
      <c r="I105" s="328">
        <v>35.71</v>
      </c>
      <c r="J105" s="329">
        <v>21.178197879858999</v>
      </c>
      <c r="K105" s="332">
        <v>1.0239037487330001</v>
      </c>
    </row>
    <row r="106" spans="1:11" ht="14.4" customHeight="1" thickBot="1" x14ac:dyDescent="0.35">
      <c r="A106" s="349" t="s">
        <v>333</v>
      </c>
      <c r="B106" s="333">
        <v>0</v>
      </c>
      <c r="C106" s="333">
        <v>43.265999999999998</v>
      </c>
      <c r="D106" s="334">
        <v>43.265999999999998</v>
      </c>
      <c r="E106" s="335" t="s">
        <v>234</v>
      </c>
      <c r="F106" s="333">
        <v>0</v>
      </c>
      <c r="G106" s="334">
        <v>0</v>
      </c>
      <c r="H106" s="336">
        <v>4.9406564584124654E-324</v>
      </c>
      <c r="I106" s="333">
        <v>14.11</v>
      </c>
      <c r="J106" s="334">
        <v>14.11</v>
      </c>
      <c r="K106" s="337" t="s">
        <v>234</v>
      </c>
    </row>
    <row r="107" spans="1:11" ht="14.4" customHeight="1" thickBot="1" x14ac:dyDescent="0.35">
      <c r="A107" s="350" t="s">
        <v>334</v>
      </c>
      <c r="B107" s="328">
        <v>0</v>
      </c>
      <c r="C107" s="328">
        <v>43.066000000000003</v>
      </c>
      <c r="D107" s="329">
        <v>43.066000000000003</v>
      </c>
      <c r="E107" s="338" t="s">
        <v>234</v>
      </c>
      <c r="F107" s="328">
        <v>0</v>
      </c>
      <c r="G107" s="329">
        <v>0</v>
      </c>
      <c r="H107" s="331">
        <v>4.9406564584124654E-324</v>
      </c>
      <c r="I107" s="328">
        <v>12.6</v>
      </c>
      <c r="J107" s="329">
        <v>12.6</v>
      </c>
      <c r="K107" s="339" t="s">
        <v>234</v>
      </c>
    </row>
    <row r="108" spans="1:11" ht="14.4" customHeight="1" thickBot="1" x14ac:dyDescent="0.35">
      <c r="A108" s="350" t="s">
        <v>335</v>
      </c>
      <c r="B108" s="328">
        <v>0</v>
      </c>
      <c r="C108" s="328">
        <v>0.2</v>
      </c>
      <c r="D108" s="329">
        <v>0.2</v>
      </c>
      <c r="E108" s="338" t="s">
        <v>234</v>
      </c>
      <c r="F108" s="328">
        <v>0</v>
      </c>
      <c r="G108" s="329">
        <v>0</v>
      </c>
      <c r="H108" s="331">
        <v>4.9406564584124654E-324</v>
      </c>
      <c r="I108" s="328">
        <v>1.51</v>
      </c>
      <c r="J108" s="329">
        <v>1.51</v>
      </c>
      <c r="K108" s="339" t="s">
        <v>234</v>
      </c>
    </row>
    <row r="109" spans="1:11" ht="14.4" customHeight="1" thickBot="1" x14ac:dyDescent="0.35">
      <c r="A109" s="349" t="s">
        <v>336</v>
      </c>
      <c r="B109" s="333">
        <v>47.999999999997002</v>
      </c>
      <c r="C109" s="333">
        <v>34.799999999999997</v>
      </c>
      <c r="D109" s="334">
        <v>-13.199999999997001</v>
      </c>
      <c r="E109" s="340">
        <v>0.72499999999999998</v>
      </c>
      <c r="F109" s="333">
        <v>34.876325088338</v>
      </c>
      <c r="G109" s="334">
        <v>14.531802120141</v>
      </c>
      <c r="H109" s="336">
        <v>3.2</v>
      </c>
      <c r="I109" s="333">
        <v>15.6</v>
      </c>
      <c r="J109" s="334">
        <v>1.0681978798580001</v>
      </c>
      <c r="K109" s="341">
        <v>0.44729483282600002</v>
      </c>
    </row>
    <row r="110" spans="1:11" ht="14.4" customHeight="1" thickBot="1" x14ac:dyDescent="0.35">
      <c r="A110" s="350" t="s">
        <v>337</v>
      </c>
      <c r="B110" s="328">
        <v>47.999999999997002</v>
      </c>
      <c r="C110" s="328">
        <v>34.799999999999997</v>
      </c>
      <c r="D110" s="329">
        <v>-13.199999999997001</v>
      </c>
      <c r="E110" s="330">
        <v>0.72499999999999998</v>
      </c>
      <c r="F110" s="328">
        <v>34.876325088338</v>
      </c>
      <c r="G110" s="329">
        <v>14.531802120141</v>
      </c>
      <c r="H110" s="331">
        <v>3.2</v>
      </c>
      <c r="I110" s="328">
        <v>15.6</v>
      </c>
      <c r="J110" s="329">
        <v>1.0681978798580001</v>
      </c>
      <c r="K110" s="332">
        <v>0.44729483282600002</v>
      </c>
    </row>
    <row r="111" spans="1:11" ht="14.4" customHeight="1" thickBot="1" x14ac:dyDescent="0.35">
      <c r="A111" s="349" t="s">
        <v>338</v>
      </c>
      <c r="B111" s="333">
        <v>4.9406564584124654E-324</v>
      </c>
      <c r="C111" s="333">
        <v>5.44</v>
      </c>
      <c r="D111" s="334">
        <v>5.44</v>
      </c>
      <c r="E111" s="335" t="s">
        <v>240</v>
      </c>
      <c r="F111" s="333">
        <v>0</v>
      </c>
      <c r="G111" s="334">
        <v>0</v>
      </c>
      <c r="H111" s="336">
        <v>4.9406564584124654E-324</v>
      </c>
      <c r="I111" s="333">
        <v>2.4703282292062327E-323</v>
      </c>
      <c r="J111" s="334">
        <v>2.4703282292062327E-323</v>
      </c>
      <c r="K111" s="337" t="s">
        <v>234</v>
      </c>
    </row>
    <row r="112" spans="1:11" ht="14.4" customHeight="1" thickBot="1" x14ac:dyDescent="0.35">
      <c r="A112" s="350" t="s">
        <v>339</v>
      </c>
      <c r="B112" s="328">
        <v>4.9406564584124654E-324</v>
      </c>
      <c r="C112" s="328">
        <v>5.44</v>
      </c>
      <c r="D112" s="329">
        <v>5.44</v>
      </c>
      <c r="E112" s="338" t="s">
        <v>240</v>
      </c>
      <c r="F112" s="328">
        <v>0</v>
      </c>
      <c r="G112" s="329">
        <v>0</v>
      </c>
      <c r="H112" s="331">
        <v>4.9406564584124654E-324</v>
      </c>
      <c r="I112" s="328">
        <v>2.4703282292062327E-323</v>
      </c>
      <c r="J112" s="329">
        <v>2.4703282292062327E-323</v>
      </c>
      <c r="K112" s="339" t="s">
        <v>234</v>
      </c>
    </row>
    <row r="113" spans="1:11" ht="14.4" customHeight="1" thickBot="1" x14ac:dyDescent="0.35">
      <c r="A113" s="352" t="s">
        <v>340</v>
      </c>
      <c r="B113" s="328">
        <v>4.9406564584124654E-324</v>
      </c>
      <c r="C113" s="328">
        <v>32.369999999999997</v>
      </c>
      <c r="D113" s="329">
        <v>32.369999999999997</v>
      </c>
      <c r="E113" s="338" t="s">
        <v>240</v>
      </c>
      <c r="F113" s="328">
        <v>0</v>
      </c>
      <c r="G113" s="329">
        <v>0</v>
      </c>
      <c r="H113" s="331">
        <v>4.9406564584124654E-324</v>
      </c>
      <c r="I113" s="328">
        <v>2.4703282292062327E-323</v>
      </c>
      <c r="J113" s="329">
        <v>2.4703282292062327E-323</v>
      </c>
      <c r="K113" s="339" t="s">
        <v>234</v>
      </c>
    </row>
    <row r="114" spans="1:11" ht="14.4" customHeight="1" thickBot="1" x14ac:dyDescent="0.35">
      <c r="A114" s="350" t="s">
        <v>341</v>
      </c>
      <c r="B114" s="328">
        <v>4.9406564584124654E-324</v>
      </c>
      <c r="C114" s="328">
        <v>32.369999999999997</v>
      </c>
      <c r="D114" s="329">
        <v>32.369999999999997</v>
      </c>
      <c r="E114" s="338" t="s">
        <v>240</v>
      </c>
      <c r="F114" s="328">
        <v>0</v>
      </c>
      <c r="G114" s="329">
        <v>0</v>
      </c>
      <c r="H114" s="331">
        <v>4.9406564584124654E-324</v>
      </c>
      <c r="I114" s="328">
        <v>2.4703282292062327E-323</v>
      </c>
      <c r="J114" s="329">
        <v>2.4703282292062327E-323</v>
      </c>
      <c r="K114" s="339" t="s">
        <v>234</v>
      </c>
    </row>
    <row r="115" spans="1:11" ht="14.4" customHeight="1" thickBot="1" x14ac:dyDescent="0.35">
      <c r="A115" s="352" t="s">
        <v>342</v>
      </c>
      <c r="B115" s="328">
        <v>4.9406564584124654E-324</v>
      </c>
      <c r="C115" s="328">
        <v>3</v>
      </c>
      <c r="D115" s="329">
        <v>3</v>
      </c>
      <c r="E115" s="338" t="s">
        <v>240</v>
      </c>
      <c r="F115" s="328">
        <v>0</v>
      </c>
      <c r="G115" s="329">
        <v>0</v>
      </c>
      <c r="H115" s="331">
        <v>4.9406564584124654E-324</v>
      </c>
      <c r="I115" s="328">
        <v>2</v>
      </c>
      <c r="J115" s="329">
        <v>2</v>
      </c>
      <c r="K115" s="339" t="s">
        <v>234</v>
      </c>
    </row>
    <row r="116" spans="1:11" ht="14.4" customHeight="1" thickBot="1" x14ac:dyDescent="0.35">
      <c r="A116" s="350" t="s">
        <v>343</v>
      </c>
      <c r="B116" s="328">
        <v>4.9406564584124654E-324</v>
      </c>
      <c r="C116" s="328">
        <v>3</v>
      </c>
      <c r="D116" s="329">
        <v>3</v>
      </c>
      <c r="E116" s="338" t="s">
        <v>240</v>
      </c>
      <c r="F116" s="328">
        <v>0</v>
      </c>
      <c r="G116" s="329">
        <v>0</v>
      </c>
      <c r="H116" s="331">
        <v>4.9406564584124654E-324</v>
      </c>
      <c r="I116" s="328">
        <v>2</v>
      </c>
      <c r="J116" s="329">
        <v>2</v>
      </c>
      <c r="K116" s="339" t="s">
        <v>234</v>
      </c>
    </row>
    <row r="117" spans="1:11" ht="14.4" customHeight="1" thickBot="1" x14ac:dyDescent="0.35">
      <c r="A117" s="352" t="s">
        <v>344</v>
      </c>
      <c r="B117" s="328">
        <v>4.9406564584124654E-324</v>
      </c>
      <c r="C117" s="328">
        <v>2</v>
      </c>
      <c r="D117" s="329">
        <v>2</v>
      </c>
      <c r="E117" s="338" t="s">
        <v>240</v>
      </c>
      <c r="F117" s="328">
        <v>0</v>
      </c>
      <c r="G117" s="329">
        <v>0</v>
      </c>
      <c r="H117" s="331">
        <v>3.5</v>
      </c>
      <c r="I117" s="328">
        <v>4</v>
      </c>
      <c r="J117" s="329">
        <v>4</v>
      </c>
      <c r="K117" s="339" t="s">
        <v>234</v>
      </c>
    </row>
    <row r="118" spans="1:11" ht="14.4" customHeight="1" thickBot="1" x14ac:dyDescent="0.35">
      <c r="A118" s="350" t="s">
        <v>345</v>
      </c>
      <c r="B118" s="328">
        <v>4.9406564584124654E-324</v>
      </c>
      <c r="C118" s="328">
        <v>2</v>
      </c>
      <c r="D118" s="329">
        <v>2</v>
      </c>
      <c r="E118" s="338" t="s">
        <v>240</v>
      </c>
      <c r="F118" s="328">
        <v>0</v>
      </c>
      <c r="G118" s="329">
        <v>0</v>
      </c>
      <c r="H118" s="331">
        <v>3.5</v>
      </c>
      <c r="I118" s="328">
        <v>4</v>
      </c>
      <c r="J118" s="329">
        <v>4</v>
      </c>
      <c r="K118" s="339" t="s">
        <v>234</v>
      </c>
    </row>
    <row r="119" spans="1:11" ht="14.4" customHeight="1" thickBot="1" x14ac:dyDescent="0.35">
      <c r="A119" s="349" t="s">
        <v>346</v>
      </c>
      <c r="B119" s="333">
        <v>4.9406564584124654E-324</v>
      </c>
      <c r="C119" s="333">
        <v>3.5</v>
      </c>
      <c r="D119" s="334">
        <v>3.5</v>
      </c>
      <c r="E119" s="335" t="s">
        <v>240</v>
      </c>
      <c r="F119" s="333">
        <v>0</v>
      </c>
      <c r="G119" s="334">
        <v>0</v>
      </c>
      <c r="H119" s="336">
        <v>4.9406564584124654E-324</v>
      </c>
      <c r="I119" s="333">
        <v>2.4703282292062327E-323</v>
      </c>
      <c r="J119" s="334">
        <v>2.4703282292062327E-323</v>
      </c>
      <c r="K119" s="337" t="s">
        <v>234</v>
      </c>
    </row>
    <row r="120" spans="1:11" ht="14.4" customHeight="1" thickBot="1" x14ac:dyDescent="0.35">
      <c r="A120" s="350" t="s">
        <v>347</v>
      </c>
      <c r="B120" s="328">
        <v>4.9406564584124654E-324</v>
      </c>
      <c r="C120" s="328">
        <v>3.5</v>
      </c>
      <c r="D120" s="329">
        <v>3.5</v>
      </c>
      <c r="E120" s="338" t="s">
        <v>240</v>
      </c>
      <c r="F120" s="328">
        <v>0</v>
      </c>
      <c r="G120" s="329">
        <v>0</v>
      </c>
      <c r="H120" s="331">
        <v>4.9406564584124654E-324</v>
      </c>
      <c r="I120" s="328">
        <v>2.4703282292062327E-323</v>
      </c>
      <c r="J120" s="329">
        <v>2.4703282292062327E-323</v>
      </c>
      <c r="K120" s="339" t="s">
        <v>234</v>
      </c>
    </row>
    <row r="121" spans="1:11" ht="14.4" customHeight="1" thickBot="1" x14ac:dyDescent="0.35">
      <c r="A121" s="347" t="s">
        <v>348</v>
      </c>
      <c r="B121" s="328">
        <v>1230.99999999993</v>
      </c>
      <c r="C121" s="328">
        <v>730.70616000000098</v>
      </c>
      <c r="D121" s="329">
        <v>-500.29383999993098</v>
      </c>
      <c r="E121" s="330">
        <v>0.59358745735100005</v>
      </c>
      <c r="F121" s="328">
        <v>1663.9999205404099</v>
      </c>
      <c r="G121" s="329">
        <v>693.33330022517202</v>
      </c>
      <c r="H121" s="331">
        <v>145.55199999999999</v>
      </c>
      <c r="I121" s="328">
        <v>735.29495000000099</v>
      </c>
      <c r="J121" s="329">
        <v>41.961649774827997</v>
      </c>
      <c r="K121" s="332">
        <v>0.44188400547500001</v>
      </c>
    </row>
    <row r="122" spans="1:11" ht="14.4" customHeight="1" thickBot="1" x14ac:dyDescent="0.35">
      <c r="A122" s="348" t="s">
        <v>349</v>
      </c>
      <c r="B122" s="328">
        <v>1230.99999999993</v>
      </c>
      <c r="C122" s="328">
        <v>610.06700000000103</v>
      </c>
      <c r="D122" s="329">
        <v>-620.93299999993201</v>
      </c>
      <c r="E122" s="330">
        <v>0.495586515028</v>
      </c>
      <c r="F122" s="328">
        <v>1663.9999205404099</v>
      </c>
      <c r="G122" s="329">
        <v>693.33330022517202</v>
      </c>
      <c r="H122" s="331">
        <v>145.55199999999999</v>
      </c>
      <c r="I122" s="328">
        <v>726.27800000000104</v>
      </c>
      <c r="J122" s="329">
        <v>32.944699774828003</v>
      </c>
      <c r="K122" s="332">
        <v>0.43646516507200001</v>
      </c>
    </row>
    <row r="123" spans="1:11" ht="14.4" customHeight="1" thickBot="1" x14ac:dyDescent="0.35">
      <c r="A123" s="349" t="s">
        <v>350</v>
      </c>
      <c r="B123" s="333">
        <v>1230.99999999993</v>
      </c>
      <c r="C123" s="333">
        <v>558.36900000000105</v>
      </c>
      <c r="D123" s="334">
        <v>-672.63099999993199</v>
      </c>
      <c r="E123" s="340">
        <v>0.45358976441900001</v>
      </c>
      <c r="F123" s="333">
        <v>1663.9999205404099</v>
      </c>
      <c r="G123" s="334">
        <v>693.33330022517202</v>
      </c>
      <c r="H123" s="336">
        <v>145.55199999999999</v>
      </c>
      <c r="I123" s="333">
        <v>726.27800000000104</v>
      </c>
      <c r="J123" s="334">
        <v>32.944699774828003</v>
      </c>
      <c r="K123" s="341">
        <v>0.43646516507200001</v>
      </c>
    </row>
    <row r="124" spans="1:11" ht="14.4" customHeight="1" thickBot="1" x14ac:dyDescent="0.35">
      <c r="A124" s="350" t="s">
        <v>351</v>
      </c>
      <c r="B124" s="328">
        <v>2.9999999999989999</v>
      </c>
      <c r="C124" s="328">
        <v>1.99</v>
      </c>
      <c r="D124" s="329">
        <v>-1.0099999999989999</v>
      </c>
      <c r="E124" s="330">
        <v>0.66333333333300004</v>
      </c>
      <c r="F124" s="328">
        <v>1.999920540443</v>
      </c>
      <c r="G124" s="329">
        <v>0.83330022518400004</v>
      </c>
      <c r="H124" s="331">
        <v>0.14399999999999999</v>
      </c>
      <c r="I124" s="328">
        <v>0.72</v>
      </c>
      <c r="J124" s="329">
        <v>-0.113300225184</v>
      </c>
      <c r="K124" s="332">
        <v>0.36001430328799999</v>
      </c>
    </row>
    <row r="125" spans="1:11" ht="14.4" customHeight="1" thickBot="1" x14ac:dyDescent="0.35">
      <c r="A125" s="350" t="s">
        <v>352</v>
      </c>
      <c r="B125" s="328">
        <v>405.99999999997698</v>
      </c>
      <c r="C125" s="328">
        <v>551.66900000000101</v>
      </c>
      <c r="D125" s="329">
        <v>145.669000000023</v>
      </c>
      <c r="E125" s="330">
        <v>1.358790640394</v>
      </c>
      <c r="F125" s="328">
        <v>1661.99999999997</v>
      </c>
      <c r="G125" s="329">
        <v>692.49999999998704</v>
      </c>
      <c r="H125" s="331">
        <v>145.38200000000001</v>
      </c>
      <c r="I125" s="328">
        <v>725.42800000000102</v>
      </c>
      <c r="J125" s="329">
        <v>32.928000000013</v>
      </c>
      <c r="K125" s="332">
        <v>0.43647894103399998</v>
      </c>
    </row>
    <row r="126" spans="1:11" ht="14.4" customHeight="1" thickBot="1" x14ac:dyDescent="0.35">
      <c r="A126" s="350" t="s">
        <v>353</v>
      </c>
      <c r="B126" s="328">
        <v>4.9999999999989999</v>
      </c>
      <c r="C126" s="328">
        <v>4.3460000000000001</v>
      </c>
      <c r="D126" s="329">
        <v>-0.65399999999900005</v>
      </c>
      <c r="E126" s="330">
        <v>0.86919999999999997</v>
      </c>
      <c r="F126" s="328">
        <v>0</v>
      </c>
      <c r="G126" s="329">
        <v>0</v>
      </c>
      <c r="H126" s="331">
        <v>4.9406564584124654E-324</v>
      </c>
      <c r="I126" s="328">
        <v>2.4703282292062327E-323</v>
      </c>
      <c r="J126" s="329">
        <v>2.4703282292062327E-323</v>
      </c>
      <c r="K126" s="339" t="s">
        <v>234</v>
      </c>
    </row>
    <row r="127" spans="1:11" ht="14.4" customHeight="1" thickBot="1" x14ac:dyDescent="0.35">
      <c r="A127" s="350" t="s">
        <v>354</v>
      </c>
      <c r="B127" s="328">
        <v>0</v>
      </c>
      <c r="C127" s="328">
        <v>0.36399999999999999</v>
      </c>
      <c r="D127" s="329">
        <v>0.36399999999999999</v>
      </c>
      <c r="E127" s="338" t="s">
        <v>234</v>
      </c>
      <c r="F127" s="328">
        <v>0</v>
      </c>
      <c r="G127" s="329">
        <v>0</v>
      </c>
      <c r="H127" s="331">
        <v>2.5999999999999999E-2</v>
      </c>
      <c r="I127" s="328">
        <v>0.13</v>
      </c>
      <c r="J127" s="329">
        <v>0.13</v>
      </c>
      <c r="K127" s="339" t="s">
        <v>234</v>
      </c>
    </row>
    <row r="128" spans="1:11" ht="14.4" customHeight="1" thickBot="1" x14ac:dyDescent="0.35">
      <c r="A128" s="349" t="s">
        <v>355</v>
      </c>
      <c r="B128" s="333">
        <v>4.9406564584124654E-324</v>
      </c>
      <c r="C128" s="333">
        <v>51.698</v>
      </c>
      <c r="D128" s="334">
        <v>51.698</v>
      </c>
      <c r="E128" s="335" t="s">
        <v>240</v>
      </c>
      <c r="F128" s="333">
        <v>0</v>
      </c>
      <c r="G128" s="334">
        <v>0</v>
      </c>
      <c r="H128" s="336">
        <v>4.9406564584124654E-324</v>
      </c>
      <c r="I128" s="333">
        <v>2.4703282292062327E-323</v>
      </c>
      <c r="J128" s="334">
        <v>2.4703282292062327E-323</v>
      </c>
      <c r="K128" s="337" t="s">
        <v>234</v>
      </c>
    </row>
    <row r="129" spans="1:11" ht="14.4" customHeight="1" thickBot="1" x14ac:dyDescent="0.35">
      <c r="A129" s="350" t="s">
        <v>356</v>
      </c>
      <c r="B129" s="328">
        <v>4.9406564584124654E-324</v>
      </c>
      <c r="C129" s="328">
        <v>28.719000000000001</v>
      </c>
      <c r="D129" s="329">
        <v>28.719000000000001</v>
      </c>
      <c r="E129" s="338" t="s">
        <v>240</v>
      </c>
      <c r="F129" s="328">
        <v>0</v>
      </c>
      <c r="G129" s="329">
        <v>0</v>
      </c>
      <c r="H129" s="331">
        <v>4.9406564584124654E-324</v>
      </c>
      <c r="I129" s="328">
        <v>2.4703282292062327E-323</v>
      </c>
      <c r="J129" s="329">
        <v>2.4703282292062327E-323</v>
      </c>
      <c r="K129" s="339" t="s">
        <v>234</v>
      </c>
    </row>
    <row r="130" spans="1:11" ht="14.4" customHeight="1" thickBot="1" x14ac:dyDescent="0.35">
      <c r="A130" s="350" t="s">
        <v>357</v>
      </c>
      <c r="B130" s="328">
        <v>4.9406564584124654E-324</v>
      </c>
      <c r="C130" s="328">
        <v>22.978999999999999</v>
      </c>
      <c r="D130" s="329">
        <v>22.978999999999999</v>
      </c>
      <c r="E130" s="338" t="s">
        <v>240</v>
      </c>
      <c r="F130" s="328">
        <v>0</v>
      </c>
      <c r="G130" s="329">
        <v>0</v>
      </c>
      <c r="H130" s="331">
        <v>4.9406564584124654E-324</v>
      </c>
      <c r="I130" s="328">
        <v>2.4703282292062327E-323</v>
      </c>
      <c r="J130" s="329">
        <v>2.4703282292062327E-323</v>
      </c>
      <c r="K130" s="339" t="s">
        <v>234</v>
      </c>
    </row>
    <row r="131" spans="1:11" ht="14.4" customHeight="1" thickBot="1" x14ac:dyDescent="0.35">
      <c r="A131" s="348" t="s">
        <v>358</v>
      </c>
      <c r="B131" s="328">
        <v>4.9406564584124654E-324</v>
      </c>
      <c r="C131" s="328">
        <v>60.686999999999998</v>
      </c>
      <c r="D131" s="329">
        <v>60.686999999999998</v>
      </c>
      <c r="E131" s="338" t="s">
        <v>240</v>
      </c>
      <c r="F131" s="328">
        <v>0</v>
      </c>
      <c r="G131" s="329">
        <v>0</v>
      </c>
      <c r="H131" s="331">
        <v>4.9406564584124654E-324</v>
      </c>
      <c r="I131" s="328">
        <v>2.4703282292062327E-323</v>
      </c>
      <c r="J131" s="329">
        <v>2.4703282292062327E-323</v>
      </c>
      <c r="K131" s="339" t="s">
        <v>234</v>
      </c>
    </row>
    <row r="132" spans="1:11" ht="14.4" customHeight="1" thickBot="1" x14ac:dyDescent="0.35">
      <c r="A132" s="349" t="s">
        <v>359</v>
      </c>
      <c r="B132" s="333">
        <v>4.9406564584124654E-324</v>
      </c>
      <c r="C132" s="333">
        <v>60.686999999999998</v>
      </c>
      <c r="D132" s="334">
        <v>60.686999999999998</v>
      </c>
      <c r="E132" s="335" t="s">
        <v>240</v>
      </c>
      <c r="F132" s="333">
        <v>0</v>
      </c>
      <c r="G132" s="334">
        <v>0</v>
      </c>
      <c r="H132" s="336">
        <v>4.9406564584124654E-324</v>
      </c>
      <c r="I132" s="333">
        <v>2.4703282292062327E-323</v>
      </c>
      <c r="J132" s="334">
        <v>2.4703282292062327E-323</v>
      </c>
      <c r="K132" s="337" t="s">
        <v>234</v>
      </c>
    </row>
    <row r="133" spans="1:11" ht="14.4" customHeight="1" thickBot="1" x14ac:dyDescent="0.35">
      <c r="A133" s="350" t="s">
        <v>360</v>
      </c>
      <c r="B133" s="328">
        <v>4.9406564584124654E-324</v>
      </c>
      <c r="C133" s="328">
        <v>60.686999999999998</v>
      </c>
      <c r="D133" s="329">
        <v>60.686999999999998</v>
      </c>
      <c r="E133" s="338" t="s">
        <v>240</v>
      </c>
      <c r="F133" s="328">
        <v>0</v>
      </c>
      <c r="G133" s="329">
        <v>0</v>
      </c>
      <c r="H133" s="331">
        <v>4.9406564584124654E-324</v>
      </c>
      <c r="I133" s="328">
        <v>2.4703282292062327E-323</v>
      </c>
      <c r="J133" s="329">
        <v>2.4703282292062327E-323</v>
      </c>
      <c r="K133" s="339" t="s">
        <v>234</v>
      </c>
    </row>
    <row r="134" spans="1:11" ht="14.4" customHeight="1" thickBot="1" x14ac:dyDescent="0.35">
      <c r="A134" s="348" t="s">
        <v>361</v>
      </c>
      <c r="B134" s="328">
        <v>0</v>
      </c>
      <c r="C134" s="328">
        <v>59.952159999999999</v>
      </c>
      <c r="D134" s="329">
        <v>59.952159999999999</v>
      </c>
      <c r="E134" s="338" t="s">
        <v>234</v>
      </c>
      <c r="F134" s="328">
        <v>0</v>
      </c>
      <c r="G134" s="329">
        <v>0</v>
      </c>
      <c r="H134" s="331">
        <v>4.9406564584124654E-324</v>
      </c>
      <c r="I134" s="328">
        <v>9.0169499999999996</v>
      </c>
      <c r="J134" s="329">
        <v>9.0169499999999996</v>
      </c>
      <c r="K134" s="339" t="s">
        <v>234</v>
      </c>
    </row>
    <row r="135" spans="1:11" ht="14.4" customHeight="1" thickBot="1" x14ac:dyDescent="0.35">
      <c r="A135" s="349" t="s">
        <v>362</v>
      </c>
      <c r="B135" s="333">
        <v>4.9406564584124654E-324</v>
      </c>
      <c r="C135" s="333">
        <v>46.174160000000001</v>
      </c>
      <c r="D135" s="334">
        <v>46.174160000000001</v>
      </c>
      <c r="E135" s="335" t="s">
        <v>240</v>
      </c>
      <c r="F135" s="333">
        <v>0</v>
      </c>
      <c r="G135" s="334">
        <v>0</v>
      </c>
      <c r="H135" s="336">
        <v>4.9406564584124654E-324</v>
      </c>
      <c r="I135" s="333">
        <v>2.4703282292062327E-323</v>
      </c>
      <c r="J135" s="334">
        <v>2.4703282292062327E-323</v>
      </c>
      <c r="K135" s="337" t="s">
        <v>234</v>
      </c>
    </row>
    <row r="136" spans="1:11" ht="14.4" customHeight="1" thickBot="1" x14ac:dyDescent="0.35">
      <c r="A136" s="350" t="s">
        <v>363</v>
      </c>
      <c r="B136" s="328">
        <v>4.9406564584124654E-324</v>
      </c>
      <c r="C136" s="328">
        <v>46.174160000000001</v>
      </c>
      <c r="D136" s="329">
        <v>46.174160000000001</v>
      </c>
      <c r="E136" s="338" t="s">
        <v>240</v>
      </c>
      <c r="F136" s="328">
        <v>0</v>
      </c>
      <c r="G136" s="329">
        <v>0</v>
      </c>
      <c r="H136" s="331">
        <v>4.9406564584124654E-324</v>
      </c>
      <c r="I136" s="328">
        <v>2.4703282292062327E-323</v>
      </c>
      <c r="J136" s="329">
        <v>2.4703282292062327E-323</v>
      </c>
      <c r="K136" s="339" t="s">
        <v>234</v>
      </c>
    </row>
    <row r="137" spans="1:11" ht="14.4" customHeight="1" thickBot="1" x14ac:dyDescent="0.35">
      <c r="A137" s="349" t="s">
        <v>364</v>
      </c>
      <c r="B137" s="333">
        <v>0</v>
      </c>
      <c r="C137" s="333">
        <v>13.778</v>
      </c>
      <c r="D137" s="334">
        <v>13.778</v>
      </c>
      <c r="E137" s="335" t="s">
        <v>234</v>
      </c>
      <c r="F137" s="333">
        <v>0</v>
      </c>
      <c r="G137" s="334">
        <v>0</v>
      </c>
      <c r="H137" s="336">
        <v>4.9406564584124654E-324</v>
      </c>
      <c r="I137" s="333">
        <v>2.4703282292062327E-323</v>
      </c>
      <c r="J137" s="334">
        <v>2.4703282292062327E-323</v>
      </c>
      <c r="K137" s="337" t="s">
        <v>234</v>
      </c>
    </row>
    <row r="138" spans="1:11" ht="14.4" customHeight="1" thickBot="1" x14ac:dyDescent="0.35">
      <c r="A138" s="350" t="s">
        <v>365</v>
      </c>
      <c r="B138" s="328">
        <v>0</v>
      </c>
      <c r="C138" s="328">
        <v>13.778</v>
      </c>
      <c r="D138" s="329">
        <v>13.778</v>
      </c>
      <c r="E138" s="338" t="s">
        <v>234</v>
      </c>
      <c r="F138" s="328">
        <v>0</v>
      </c>
      <c r="G138" s="329">
        <v>0</v>
      </c>
      <c r="H138" s="331">
        <v>4.9406564584124654E-324</v>
      </c>
      <c r="I138" s="328">
        <v>2.4703282292062327E-323</v>
      </c>
      <c r="J138" s="329">
        <v>2.4703282292062327E-323</v>
      </c>
      <c r="K138" s="339" t="s">
        <v>234</v>
      </c>
    </row>
    <row r="139" spans="1:11" ht="14.4" customHeight="1" thickBot="1" x14ac:dyDescent="0.35">
      <c r="A139" s="349" t="s">
        <v>366</v>
      </c>
      <c r="B139" s="333">
        <v>0</v>
      </c>
      <c r="C139" s="333">
        <v>4.9406564584124654E-324</v>
      </c>
      <c r="D139" s="334">
        <v>4.9406564584124654E-324</v>
      </c>
      <c r="E139" s="335" t="s">
        <v>234</v>
      </c>
      <c r="F139" s="333">
        <v>4.9406564584124654E-324</v>
      </c>
      <c r="G139" s="334">
        <v>0</v>
      </c>
      <c r="H139" s="336">
        <v>4.9406564584124654E-324</v>
      </c>
      <c r="I139" s="333">
        <v>9.0169499999999996</v>
      </c>
      <c r="J139" s="334">
        <v>9.0169499999999996</v>
      </c>
      <c r="K139" s="337" t="s">
        <v>240</v>
      </c>
    </row>
    <row r="140" spans="1:11" ht="14.4" customHeight="1" thickBot="1" x14ac:dyDescent="0.35">
      <c r="A140" s="350" t="s">
        <v>367</v>
      </c>
      <c r="B140" s="328">
        <v>0</v>
      </c>
      <c r="C140" s="328">
        <v>4.9406564584124654E-324</v>
      </c>
      <c r="D140" s="329">
        <v>4.9406564584124654E-324</v>
      </c>
      <c r="E140" s="338" t="s">
        <v>234</v>
      </c>
      <c r="F140" s="328">
        <v>4.9406564584124654E-324</v>
      </c>
      <c r="G140" s="329">
        <v>0</v>
      </c>
      <c r="H140" s="331">
        <v>4.9406564584124654E-324</v>
      </c>
      <c r="I140" s="328">
        <v>9.0169499999999996</v>
      </c>
      <c r="J140" s="329">
        <v>9.0169499999999996</v>
      </c>
      <c r="K140" s="339" t="s">
        <v>240</v>
      </c>
    </row>
    <row r="141" spans="1:11" ht="14.4" customHeight="1" thickBot="1" x14ac:dyDescent="0.35">
      <c r="A141" s="347" t="s">
        <v>368</v>
      </c>
      <c r="B141" s="328">
        <v>0</v>
      </c>
      <c r="C141" s="328">
        <v>0.22774</v>
      </c>
      <c r="D141" s="329">
        <v>0.22774</v>
      </c>
      <c r="E141" s="338" t="s">
        <v>234</v>
      </c>
      <c r="F141" s="328">
        <v>0</v>
      </c>
      <c r="G141" s="329">
        <v>0</v>
      </c>
      <c r="H141" s="331">
        <v>4.9406564584124654E-324</v>
      </c>
      <c r="I141" s="328">
        <v>2.4703282292062327E-323</v>
      </c>
      <c r="J141" s="329">
        <v>2.4703282292062327E-323</v>
      </c>
      <c r="K141" s="339" t="s">
        <v>234</v>
      </c>
    </row>
    <row r="142" spans="1:11" ht="14.4" customHeight="1" thickBot="1" x14ac:dyDescent="0.35">
      <c r="A142" s="348" t="s">
        <v>369</v>
      </c>
      <c r="B142" s="328">
        <v>0</v>
      </c>
      <c r="C142" s="328">
        <v>0.22774</v>
      </c>
      <c r="D142" s="329">
        <v>0.22774</v>
      </c>
      <c r="E142" s="338" t="s">
        <v>234</v>
      </c>
      <c r="F142" s="328">
        <v>0</v>
      </c>
      <c r="G142" s="329">
        <v>0</v>
      </c>
      <c r="H142" s="331">
        <v>4.9406564584124654E-324</v>
      </c>
      <c r="I142" s="328">
        <v>2.4703282292062327E-323</v>
      </c>
      <c r="J142" s="329">
        <v>2.4703282292062327E-323</v>
      </c>
      <c r="K142" s="339" t="s">
        <v>234</v>
      </c>
    </row>
    <row r="143" spans="1:11" ht="14.4" customHeight="1" thickBot="1" x14ac:dyDescent="0.35">
      <c r="A143" s="349" t="s">
        <v>370</v>
      </c>
      <c r="B143" s="333">
        <v>0</v>
      </c>
      <c r="C143" s="333">
        <v>0.22774</v>
      </c>
      <c r="D143" s="334">
        <v>0.22774</v>
      </c>
      <c r="E143" s="335" t="s">
        <v>234</v>
      </c>
      <c r="F143" s="333">
        <v>0</v>
      </c>
      <c r="G143" s="334">
        <v>0</v>
      </c>
      <c r="H143" s="336">
        <v>4.9406564584124654E-324</v>
      </c>
      <c r="I143" s="333">
        <v>2.4703282292062327E-323</v>
      </c>
      <c r="J143" s="334">
        <v>2.4703282292062327E-323</v>
      </c>
      <c r="K143" s="337" t="s">
        <v>234</v>
      </c>
    </row>
    <row r="144" spans="1:11" ht="14.4" customHeight="1" thickBot="1" x14ac:dyDescent="0.35">
      <c r="A144" s="350" t="s">
        <v>371</v>
      </c>
      <c r="B144" s="328">
        <v>0</v>
      </c>
      <c r="C144" s="328">
        <v>0.22774</v>
      </c>
      <c r="D144" s="329">
        <v>0.22774</v>
      </c>
      <c r="E144" s="338" t="s">
        <v>234</v>
      </c>
      <c r="F144" s="328">
        <v>0</v>
      </c>
      <c r="G144" s="329">
        <v>0</v>
      </c>
      <c r="H144" s="331">
        <v>4.9406564584124654E-324</v>
      </c>
      <c r="I144" s="328">
        <v>2.4703282292062327E-323</v>
      </c>
      <c r="J144" s="329">
        <v>2.4703282292062327E-323</v>
      </c>
      <c r="K144" s="339" t="s">
        <v>234</v>
      </c>
    </row>
    <row r="145" spans="1:11" ht="14.4" customHeight="1" thickBot="1" x14ac:dyDescent="0.35">
      <c r="A145" s="346" t="s">
        <v>372</v>
      </c>
      <c r="B145" s="328">
        <v>18788.0338845925</v>
      </c>
      <c r="C145" s="328">
        <v>22829.654350000001</v>
      </c>
      <c r="D145" s="329">
        <v>4041.62046540748</v>
      </c>
      <c r="E145" s="330">
        <v>1.2151167328220001</v>
      </c>
      <c r="F145" s="328">
        <v>21713.570643185602</v>
      </c>
      <c r="G145" s="329">
        <v>9047.3211013273303</v>
      </c>
      <c r="H145" s="331">
        <v>1687.4141999999999</v>
      </c>
      <c r="I145" s="328">
        <v>8841.0576899999996</v>
      </c>
      <c r="J145" s="329">
        <v>-206.26341132733401</v>
      </c>
      <c r="K145" s="332">
        <v>0.40716738095600002</v>
      </c>
    </row>
    <row r="146" spans="1:11" ht="14.4" customHeight="1" thickBot="1" x14ac:dyDescent="0.35">
      <c r="A146" s="347" t="s">
        <v>373</v>
      </c>
      <c r="B146" s="328">
        <v>18602.633950398002</v>
      </c>
      <c r="C146" s="328">
        <v>22539.103289999999</v>
      </c>
      <c r="D146" s="329">
        <v>3936.4693396020298</v>
      </c>
      <c r="E146" s="330">
        <v>1.2116081706540001</v>
      </c>
      <c r="F146" s="328">
        <v>21608.098796025901</v>
      </c>
      <c r="G146" s="329">
        <v>9003.3744983441302</v>
      </c>
      <c r="H146" s="331">
        <v>1687.1907799999999</v>
      </c>
      <c r="I146" s="328">
        <v>8805.6894499999999</v>
      </c>
      <c r="J146" s="329">
        <v>-197.68504834413201</v>
      </c>
      <c r="K146" s="332">
        <v>0.40751801132999999</v>
      </c>
    </row>
    <row r="147" spans="1:11" ht="14.4" customHeight="1" thickBot="1" x14ac:dyDescent="0.35">
      <c r="A147" s="348" t="s">
        <v>374</v>
      </c>
      <c r="B147" s="328">
        <v>17193.633950398002</v>
      </c>
      <c r="C147" s="328">
        <v>21218.101190000001</v>
      </c>
      <c r="D147" s="329">
        <v>4024.4672396020201</v>
      </c>
      <c r="E147" s="330">
        <v>1.234067286253</v>
      </c>
      <c r="F147" s="328">
        <v>20103.0239707742</v>
      </c>
      <c r="G147" s="329">
        <v>8376.2599878225792</v>
      </c>
      <c r="H147" s="331">
        <v>1513.88336</v>
      </c>
      <c r="I147" s="328">
        <v>8098.1577600000001</v>
      </c>
      <c r="J147" s="329">
        <v>-278.10222782257699</v>
      </c>
      <c r="K147" s="332">
        <v>0.402832816185</v>
      </c>
    </row>
    <row r="148" spans="1:11" ht="14.4" customHeight="1" thickBot="1" x14ac:dyDescent="0.35">
      <c r="A148" s="349" t="s">
        <v>375</v>
      </c>
      <c r="B148" s="333">
        <v>1192.63384835897</v>
      </c>
      <c r="C148" s="333">
        <v>1000.36308</v>
      </c>
      <c r="D148" s="334">
        <v>-192.270768358966</v>
      </c>
      <c r="E148" s="340">
        <v>0.83878474636300004</v>
      </c>
      <c r="F148" s="333">
        <v>1007.04727849767</v>
      </c>
      <c r="G148" s="334">
        <v>419.603032707365</v>
      </c>
      <c r="H148" s="336">
        <v>71.516949999999994</v>
      </c>
      <c r="I148" s="333">
        <v>347.58524</v>
      </c>
      <c r="J148" s="334">
        <v>-72.017792707363995</v>
      </c>
      <c r="K148" s="341">
        <v>0.34515285172900001</v>
      </c>
    </row>
    <row r="149" spans="1:11" ht="14.4" customHeight="1" thickBot="1" x14ac:dyDescent="0.35">
      <c r="A149" s="350" t="s">
        <v>376</v>
      </c>
      <c r="B149" s="328">
        <v>129.31944206542099</v>
      </c>
      <c r="C149" s="328">
        <v>134.83009999999999</v>
      </c>
      <c r="D149" s="329">
        <v>5.5106579345790001</v>
      </c>
      <c r="E149" s="330">
        <v>1.0426127568020001</v>
      </c>
      <c r="F149" s="328">
        <v>149.59395146692299</v>
      </c>
      <c r="G149" s="329">
        <v>62.330813111216997</v>
      </c>
      <c r="H149" s="331">
        <v>0.92910000000000004</v>
      </c>
      <c r="I149" s="328">
        <v>2.1734</v>
      </c>
      <c r="J149" s="329">
        <v>-60.157413111216997</v>
      </c>
      <c r="K149" s="332">
        <v>1.452866228E-2</v>
      </c>
    </row>
    <row r="150" spans="1:11" ht="14.4" customHeight="1" thickBot="1" x14ac:dyDescent="0.35">
      <c r="A150" s="350" t="s">
        <v>377</v>
      </c>
      <c r="B150" s="328">
        <v>548.16324474406099</v>
      </c>
      <c r="C150" s="328">
        <v>240.4228</v>
      </c>
      <c r="D150" s="329">
        <v>-307.74044474406099</v>
      </c>
      <c r="E150" s="330">
        <v>0.43859708272100001</v>
      </c>
      <c r="F150" s="328">
        <v>243.49522280917</v>
      </c>
      <c r="G150" s="329">
        <v>101.456342837154</v>
      </c>
      <c r="H150" s="331">
        <v>19.859010000000001</v>
      </c>
      <c r="I150" s="328">
        <v>101.02549999999999</v>
      </c>
      <c r="J150" s="329">
        <v>-0.43084283715400001</v>
      </c>
      <c r="K150" s="332">
        <v>0.41489725685099998</v>
      </c>
    </row>
    <row r="151" spans="1:11" ht="14.4" customHeight="1" thickBot="1" x14ac:dyDescent="0.35">
      <c r="A151" s="350" t="s">
        <v>378</v>
      </c>
      <c r="B151" s="328">
        <v>4.9406564584124654E-324</v>
      </c>
      <c r="C151" s="328">
        <v>4.3043399999999998</v>
      </c>
      <c r="D151" s="329">
        <v>4.3043399999999998</v>
      </c>
      <c r="E151" s="338" t="s">
        <v>240</v>
      </c>
      <c r="F151" s="328">
        <v>5.1874686730680004</v>
      </c>
      <c r="G151" s="329">
        <v>2.1614452804450002</v>
      </c>
      <c r="H151" s="331">
        <v>4.9406564584124654E-324</v>
      </c>
      <c r="I151" s="328">
        <v>2.4703282292062327E-323</v>
      </c>
      <c r="J151" s="329">
        <v>-2.1614452804450002</v>
      </c>
      <c r="K151" s="332">
        <v>4.9406564584124654E-324</v>
      </c>
    </row>
    <row r="152" spans="1:11" ht="14.4" customHeight="1" thickBot="1" x14ac:dyDescent="0.35">
      <c r="A152" s="350" t="s">
        <v>379</v>
      </c>
      <c r="B152" s="328">
        <v>48.409138486638</v>
      </c>
      <c r="C152" s="328">
        <v>56.934199999999997</v>
      </c>
      <c r="D152" s="329">
        <v>8.5250615133610008</v>
      </c>
      <c r="E152" s="330">
        <v>1.176104384004</v>
      </c>
      <c r="F152" s="328">
        <v>34.753447247171003</v>
      </c>
      <c r="G152" s="329">
        <v>14.480603019655</v>
      </c>
      <c r="H152" s="331">
        <v>4.9406564584124654E-324</v>
      </c>
      <c r="I152" s="328">
        <v>2.4703282292062327E-323</v>
      </c>
      <c r="J152" s="329">
        <v>-14.480603019655</v>
      </c>
      <c r="K152" s="332">
        <v>0</v>
      </c>
    </row>
    <row r="153" spans="1:11" ht="14.4" customHeight="1" thickBot="1" x14ac:dyDescent="0.35">
      <c r="A153" s="350" t="s">
        <v>380</v>
      </c>
      <c r="B153" s="328">
        <v>459.80059122808598</v>
      </c>
      <c r="C153" s="328">
        <v>563.87163999999996</v>
      </c>
      <c r="D153" s="329">
        <v>104.07104877191399</v>
      </c>
      <c r="E153" s="330">
        <v>1.2263395279539999</v>
      </c>
      <c r="F153" s="328">
        <v>574.017188301342</v>
      </c>
      <c r="G153" s="329">
        <v>239.17382845889301</v>
      </c>
      <c r="H153" s="331">
        <v>50.728839999999998</v>
      </c>
      <c r="I153" s="328">
        <v>244.38633999999999</v>
      </c>
      <c r="J153" s="329">
        <v>5.2125115411070002</v>
      </c>
      <c r="K153" s="332">
        <v>0.425747425304</v>
      </c>
    </row>
    <row r="154" spans="1:11" ht="14.4" customHeight="1" thickBot="1" x14ac:dyDescent="0.35">
      <c r="A154" s="349" t="s">
        <v>381</v>
      </c>
      <c r="B154" s="333">
        <v>11.000153428955</v>
      </c>
      <c r="C154" s="333">
        <v>20.354810000000001</v>
      </c>
      <c r="D154" s="334">
        <v>9.3546565710439999</v>
      </c>
      <c r="E154" s="340">
        <v>1.8504114630270001</v>
      </c>
      <c r="F154" s="333">
        <v>0</v>
      </c>
      <c r="G154" s="334">
        <v>0</v>
      </c>
      <c r="H154" s="336">
        <v>0.18976999999999999</v>
      </c>
      <c r="I154" s="333">
        <v>11.141360000000001</v>
      </c>
      <c r="J154" s="334">
        <v>11.141360000000001</v>
      </c>
      <c r="K154" s="337" t="s">
        <v>234</v>
      </c>
    </row>
    <row r="155" spans="1:11" ht="14.4" customHeight="1" thickBot="1" x14ac:dyDescent="0.35">
      <c r="A155" s="350" t="s">
        <v>382</v>
      </c>
      <c r="B155" s="328">
        <v>11.000153428955</v>
      </c>
      <c r="C155" s="328">
        <v>20.354810000000001</v>
      </c>
      <c r="D155" s="329">
        <v>9.3546565710439999</v>
      </c>
      <c r="E155" s="330">
        <v>1.8504114630270001</v>
      </c>
      <c r="F155" s="328">
        <v>0</v>
      </c>
      <c r="G155" s="329">
        <v>0</v>
      </c>
      <c r="H155" s="331">
        <v>0.18976999999999999</v>
      </c>
      <c r="I155" s="328">
        <v>11.141360000000001</v>
      </c>
      <c r="J155" s="329">
        <v>11.141360000000001</v>
      </c>
      <c r="K155" s="339" t="s">
        <v>234</v>
      </c>
    </row>
    <row r="156" spans="1:11" ht="14.4" customHeight="1" thickBot="1" x14ac:dyDescent="0.35">
      <c r="A156" s="349" t="s">
        <v>383</v>
      </c>
      <c r="B156" s="333">
        <v>0</v>
      </c>
      <c r="C156" s="333">
        <v>1227.58105</v>
      </c>
      <c r="D156" s="334">
        <v>1227.58105</v>
      </c>
      <c r="E156" s="335" t="s">
        <v>234</v>
      </c>
      <c r="F156" s="333">
        <v>3489.9766922765102</v>
      </c>
      <c r="G156" s="334">
        <v>1454.1569551152099</v>
      </c>
      <c r="H156" s="336">
        <v>47.542619999999999</v>
      </c>
      <c r="I156" s="333">
        <v>348.05192</v>
      </c>
      <c r="J156" s="334">
        <v>-1106.1050351152101</v>
      </c>
      <c r="K156" s="341">
        <v>9.9729009871999993E-2</v>
      </c>
    </row>
    <row r="157" spans="1:11" ht="14.4" customHeight="1" thickBot="1" x14ac:dyDescent="0.35">
      <c r="A157" s="350" t="s">
        <v>384</v>
      </c>
      <c r="B157" s="328">
        <v>0</v>
      </c>
      <c r="C157" s="328">
        <v>1217.0834500000001</v>
      </c>
      <c r="D157" s="329">
        <v>1217.0834500000001</v>
      </c>
      <c r="E157" s="338" t="s">
        <v>234</v>
      </c>
      <c r="F157" s="328">
        <v>3489.9766922765102</v>
      </c>
      <c r="G157" s="329">
        <v>1454.1569551152099</v>
      </c>
      <c r="H157" s="331">
        <v>45.991</v>
      </c>
      <c r="I157" s="328">
        <v>332.56650000000002</v>
      </c>
      <c r="J157" s="329">
        <v>-1121.59045511521</v>
      </c>
      <c r="K157" s="332">
        <v>9.5291897144999999E-2</v>
      </c>
    </row>
    <row r="158" spans="1:11" ht="14.4" customHeight="1" thickBot="1" x14ac:dyDescent="0.35">
      <c r="A158" s="350" t="s">
        <v>385</v>
      </c>
      <c r="B158" s="328">
        <v>4.9406564584124654E-324</v>
      </c>
      <c r="C158" s="328">
        <v>10.4976</v>
      </c>
      <c r="D158" s="329">
        <v>10.4976</v>
      </c>
      <c r="E158" s="338" t="s">
        <v>240</v>
      </c>
      <c r="F158" s="328">
        <v>0</v>
      </c>
      <c r="G158" s="329">
        <v>0</v>
      </c>
      <c r="H158" s="331">
        <v>1.55162</v>
      </c>
      <c r="I158" s="328">
        <v>15.48542</v>
      </c>
      <c r="J158" s="329">
        <v>15.48542</v>
      </c>
      <c r="K158" s="339" t="s">
        <v>234</v>
      </c>
    </row>
    <row r="159" spans="1:11" ht="14.4" customHeight="1" thickBot="1" x14ac:dyDescent="0.35">
      <c r="A159" s="349" t="s">
        <v>386</v>
      </c>
      <c r="B159" s="333">
        <v>4.9406564584124654E-324</v>
      </c>
      <c r="C159" s="333">
        <v>14.246090000000001</v>
      </c>
      <c r="D159" s="334">
        <v>14.246090000000001</v>
      </c>
      <c r="E159" s="335" t="s">
        <v>240</v>
      </c>
      <c r="F159" s="333">
        <v>0</v>
      </c>
      <c r="G159" s="334">
        <v>0</v>
      </c>
      <c r="H159" s="336">
        <v>4.9406564584124654E-324</v>
      </c>
      <c r="I159" s="333">
        <v>2.4703282292062327E-323</v>
      </c>
      <c r="J159" s="334">
        <v>2.4703282292062327E-323</v>
      </c>
      <c r="K159" s="337" t="s">
        <v>234</v>
      </c>
    </row>
    <row r="160" spans="1:11" ht="14.4" customHeight="1" thickBot="1" x14ac:dyDescent="0.35">
      <c r="A160" s="350" t="s">
        <v>387</v>
      </c>
      <c r="B160" s="328">
        <v>4.9406564584124654E-324</v>
      </c>
      <c r="C160" s="328">
        <v>14.246090000000001</v>
      </c>
      <c r="D160" s="329">
        <v>14.246090000000001</v>
      </c>
      <c r="E160" s="338" t="s">
        <v>240</v>
      </c>
      <c r="F160" s="328">
        <v>0</v>
      </c>
      <c r="G160" s="329">
        <v>0</v>
      </c>
      <c r="H160" s="331">
        <v>4.9406564584124654E-324</v>
      </c>
      <c r="I160" s="328">
        <v>2.4703282292062327E-323</v>
      </c>
      <c r="J160" s="329">
        <v>2.4703282292062327E-323</v>
      </c>
      <c r="K160" s="339" t="s">
        <v>234</v>
      </c>
    </row>
    <row r="161" spans="1:11" ht="14.4" customHeight="1" thickBot="1" x14ac:dyDescent="0.35">
      <c r="A161" s="349" t="s">
        <v>388</v>
      </c>
      <c r="B161" s="333">
        <v>4.9406564584124654E-324</v>
      </c>
      <c r="C161" s="333">
        <v>-0.17196</v>
      </c>
      <c r="D161" s="334">
        <v>-0.17196</v>
      </c>
      <c r="E161" s="335" t="s">
        <v>240</v>
      </c>
      <c r="F161" s="333">
        <v>0</v>
      </c>
      <c r="G161" s="334">
        <v>0</v>
      </c>
      <c r="H161" s="336">
        <v>4.9406564584124654E-324</v>
      </c>
      <c r="I161" s="333">
        <v>2.4703282292062327E-323</v>
      </c>
      <c r="J161" s="334">
        <v>2.4703282292062327E-323</v>
      </c>
      <c r="K161" s="337" t="s">
        <v>234</v>
      </c>
    </row>
    <row r="162" spans="1:11" ht="14.4" customHeight="1" thickBot="1" x14ac:dyDescent="0.35">
      <c r="A162" s="350" t="s">
        <v>389</v>
      </c>
      <c r="B162" s="328">
        <v>4.9406564584124654E-324</v>
      </c>
      <c r="C162" s="328">
        <v>-0.17196</v>
      </c>
      <c r="D162" s="329">
        <v>-0.17196</v>
      </c>
      <c r="E162" s="338" t="s">
        <v>240</v>
      </c>
      <c r="F162" s="328">
        <v>0</v>
      </c>
      <c r="G162" s="329">
        <v>0</v>
      </c>
      <c r="H162" s="331">
        <v>4.9406564584124654E-324</v>
      </c>
      <c r="I162" s="328">
        <v>2.4703282292062327E-323</v>
      </c>
      <c r="J162" s="329">
        <v>2.4703282292062327E-323</v>
      </c>
      <c r="K162" s="339" t="s">
        <v>234</v>
      </c>
    </row>
    <row r="163" spans="1:11" ht="14.4" customHeight="1" thickBot="1" x14ac:dyDescent="0.35">
      <c r="A163" s="349" t="s">
        <v>390</v>
      </c>
      <c r="B163" s="333">
        <v>15989.999948610101</v>
      </c>
      <c r="C163" s="333">
        <v>17630.178500000002</v>
      </c>
      <c r="D163" s="334">
        <v>1640.1785513899399</v>
      </c>
      <c r="E163" s="340">
        <v>1.1025752693340001</v>
      </c>
      <c r="F163" s="333">
        <v>15606</v>
      </c>
      <c r="G163" s="334">
        <v>6502.5</v>
      </c>
      <c r="H163" s="336">
        <v>1394.63402</v>
      </c>
      <c r="I163" s="333">
        <v>7279.2797899999996</v>
      </c>
      <c r="J163" s="334">
        <v>776.77979000000005</v>
      </c>
      <c r="K163" s="341">
        <v>0.466441098936</v>
      </c>
    </row>
    <row r="164" spans="1:11" ht="14.4" customHeight="1" thickBot="1" x14ac:dyDescent="0.35">
      <c r="A164" s="350" t="s">
        <v>391</v>
      </c>
      <c r="B164" s="328">
        <v>10753.999967579301</v>
      </c>
      <c r="C164" s="328">
        <v>10327.911050000001</v>
      </c>
      <c r="D164" s="329">
        <v>-426.08891757934703</v>
      </c>
      <c r="E164" s="330">
        <v>0.96037856436000002</v>
      </c>
      <c r="F164" s="328">
        <v>11965</v>
      </c>
      <c r="G164" s="329">
        <v>4985.4166666666697</v>
      </c>
      <c r="H164" s="331">
        <v>705.68834000000004</v>
      </c>
      <c r="I164" s="328">
        <v>4031.4659000000001</v>
      </c>
      <c r="J164" s="329">
        <v>-953.95076666666796</v>
      </c>
      <c r="K164" s="332">
        <v>0.33693822816500002</v>
      </c>
    </row>
    <row r="165" spans="1:11" ht="14.4" customHeight="1" thickBot="1" x14ac:dyDescent="0.35">
      <c r="A165" s="350" t="s">
        <v>392</v>
      </c>
      <c r="B165" s="328">
        <v>5235.9999810307099</v>
      </c>
      <c r="C165" s="328">
        <v>7302.2674500000003</v>
      </c>
      <c r="D165" s="329">
        <v>2066.2674689692899</v>
      </c>
      <c r="E165" s="330">
        <v>1.3946270963430001</v>
      </c>
      <c r="F165" s="328">
        <v>3641</v>
      </c>
      <c r="G165" s="329">
        <v>1517.0833333333301</v>
      </c>
      <c r="H165" s="331">
        <v>688.94568000000004</v>
      </c>
      <c r="I165" s="328">
        <v>3247.8138899999999</v>
      </c>
      <c r="J165" s="329">
        <v>1730.7305566666701</v>
      </c>
      <c r="K165" s="332">
        <v>0.89201150508100002</v>
      </c>
    </row>
    <row r="166" spans="1:11" ht="14.4" customHeight="1" thickBot="1" x14ac:dyDescent="0.35">
      <c r="A166" s="349" t="s">
        <v>393</v>
      </c>
      <c r="B166" s="333">
        <v>0</v>
      </c>
      <c r="C166" s="333">
        <v>1325.54962</v>
      </c>
      <c r="D166" s="334">
        <v>1325.54962</v>
      </c>
      <c r="E166" s="335" t="s">
        <v>234</v>
      </c>
      <c r="F166" s="333">
        <v>0</v>
      </c>
      <c r="G166" s="334">
        <v>0</v>
      </c>
      <c r="H166" s="336">
        <v>4.9406564584124654E-324</v>
      </c>
      <c r="I166" s="333">
        <v>112.09945</v>
      </c>
      <c r="J166" s="334">
        <v>112.09945</v>
      </c>
      <c r="K166" s="337" t="s">
        <v>234</v>
      </c>
    </row>
    <row r="167" spans="1:11" ht="14.4" customHeight="1" thickBot="1" x14ac:dyDescent="0.35">
      <c r="A167" s="350" t="s">
        <v>394</v>
      </c>
      <c r="B167" s="328">
        <v>4.9406564584124654E-324</v>
      </c>
      <c r="C167" s="328">
        <v>1084.6579999999999</v>
      </c>
      <c r="D167" s="329">
        <v>1084.6579999999999</v>
      </c>
      <c r="E167" s="338" t="s">
        <v>240</v>
      </c>
      <c r="F167" s="328">
        <v>0</v>
      </c>
      <c r="G167" s="329">
        <v>0</v>
      </c>
      <c r="H167" s="331">
        <v>4.9406564584124654E-324</v>
      </c>
      <c r="I167" s="328">
        <v>68.02449</v>
      </c>
      <c r="J167" s="329">
        <v>68.02449</v>
      </c>
      <c r="K167" s="339" t="s">
        <v>234</v>
      </c>
    </row>
    <row r="168" spans="1:11" ht="14.4" customHeight="1" thickBot="1" x14ac:dyDescent="0.35">
      <c r="A168" s="350" t="s">
        <v>395</v>
      </c>
      <c r="B168" s="328">
        <v>0</v>
      </c>
      <c r="C168" s="328">
        <v>240.89161999999999</v>
      </c>
      <c r="D168" s="329">
        <v>240.89161999999999</v>
      </c>
      <c r="E168" s="338" t="s">
        <v>234</v>
      </c>
      <c r="F168" s="328">
        <v>0</v>
      </c>
      <c r="G168" s="329">
        <v>0</v>
      </c>
      <c r="H168" s="331">
        <v>4.9406564584124654E-324</v>
      </c>
      <c r="I168" s="328">
        <v>44.074959999999997</v>
      </c>
      <c r="J168" s="329">
        <v>44.074959999999997</v>
      </c>
      <c r="K168" s="339" t="s">
        <v>234</v>
      </c>
    </row>
    <row r="169" spans="1:11" ht="14.4" customHeight="1" thickBot="1" x14ac:dyDescent="0.35">
      <c r="A169" s="353" t="s">
        <v>396</v>
      </c>
      <c r="B169" s="333">
        <v>1408.99999999999</v>
      </c>
      <c r="C169" s="333">
        <v>1321.0020999999999</v>
      </c>
      <c r="D169" s="334">
        <v>-87.997899999987993</v>
      </c>
      <c r="E169" s="340">
        <v>0.93754584811899999</v>
      </c>
      <c r="F169" s="333">
        <v>1505.0748252517301</v>
      </c>
      <c r="G169" s="334">
        <v>627.11451052155599</v>
      </c>
      <c r="H169" s="336">
        <v>173.30742000000001</v>
      </c>
      <c r="I169" s="333">
        <v>707.53169000000003</v>
      </c>
      <c r="J169" s="334">
        <v>80.417179478443998</v>
      </c>
      <c r="K169" s="341">
        <v>0.47009735205800002</v>
      </c>
    </row>
    <row r="170" spans="1:11" ht="14.4" customHeight="1" thickBot="1" x14ac:dyDescent="0.35">
      <c r="A170" s="349" t="s">
        <v>397</v>
      </c>
      <c r="B170" s="333">
        <v>1408.99999999999</v>
      </c>
      <c r="C170" s="333">
        <v>1321.0020999999999</v>
      </c>
      <c r="D170" s="334">
        <v>-87.997899999987993</v>
      </c>
      <c r="E170" s="340">
        <v>0.93754584811899999</v>
      </c>
      <c r="F170" s="333">
        <v>1505.0748252517301</v>
      </c>
      <c r="G170" s="334">
        <v>627.11451052155599</v>
      </c>
      <c r="H170" s="336">
        <v>173.30742000000001</v>
      </c>
      <c r="I170" s="333">
        <v>707.53169000000003</v>
      </c>
      <c r="J170" s="334">
        <v>80.417179478443998</v>
      </c>
      <c r="K170" s="341">
        <v>0.47009735205800002</v>
      </c>
    </row>
    <row r="171" spans="1:11" ht="14.4" customHeight="1" thickBot="1" x14ac:dyDescent="0.35">
      <c r="A171" s="350" t="s">
        <v>398</v>
      </c>
      <c r="B171" s="328">
        <v>1408.99999999999</v>
      </c>
      <c r="C171" s="328">
        <v>1321.0020999999999</v>
      </c>
      <c r="D171" s="329">
        <v>-87.997899999987993</v>
      </c>
      <c r="E171" s="330">
        <v>0.93754584811899999</v>
      </c>
      <c r="F171" s="328">
        <v>1505.0748252517301</v>
      </c>
      <c r="G171" s="329">
        <v>627.11451052155599</v>
      </c>
      <c r="H171" s="331">
        <v>173.30742000000001</v>
      </c>
      <c r="I171" s="328">
        <v>707.53169000000003</v>
      </c>
      <c r="J171" s="329">
        <v>80.417179478443998</v>
      </c>
      <c r="K171" s="332">
        <v>0.47009735205800002</v>
      </c>
    </row>
    <row r="172" spans="1:11" ht="14.4" customHeight="1" thickBot="1" x14ac:dyDescent="0.35">
      <c r="A172" s="347" t="s">
        <v>399</v>
      </c>
      <c r="B172" s="328">
        <v>185.39993419455001</v>
      </c>
      <c r="C172" s="328">
        <v>290.55106000000001</v>
      </c>
      <c r="D172" s="329">
        <v>105.15112580544999</v>
      </c>
      <c r="E172" s="330">
        <v>1.567158377171</v>
      </c>
      <c r="F172" s="328">
        <v>105.47184715968601</v>
      </c>
      <c r="G172" s="329">
        <v>43.946602983201998</v>
      </c>
      <c r="H172" s="331">
        <v>0.22342000000000001</v>
      </c>
      <c r="I172" s="328">
        <v>35.36824</v>
      </c>
      <c r="J172" s="329">
        <v>-8.5783629832020001</v>
      </c>
      <c r="K172" s="332">
        <v>0.33533346530300001</v>
      </c>
    </row>
    <row r="173" spans="1:11" ht="14.4" customHeight="1" thickBot="1" x14ac:dyDescent="0.35">
      <c r="A173" s="348" t="s">
        <v>400</v>
      </c>
      <c r="B173" s="328">
        <v>4.9406564584124654E-324</v>
      </c>
      <c r="C173" s="328">
        <v>4.9406564584124654E-324</v>
      </c>
      <c r="D173" s="329">
        <v>0</v>
      </c>
      <c r="E173" s="330">
        <v>1</v>
      </c>
      <c r="F173" s="328">
        <v>4.9406564584124654E-324</v>
      </c>
      <c r="G173" s="329">
        <v>0</v>
      </c>
      <c r="H173" s="331">
        <v>4.9406564584124654E-324</v>
      </c>
      <c r="I173" s="328">
        <v>0.05</v>
      </c>
      <c r="J173" s="329">
        <v>0.05</v>
      </c>
      <c r="K173" s="339" t="s">
        <v>240</v>
      </c>
    </row>
    <row r="174" spans="1:11" ht="14.4" customHeight="1" thickBot="1" x14ac:dyDescent="0.35">
      <c r="A174" s="349" t="s">
        <v>401</v>
      </c>
      <c r="B174" s="333">
        <v>4.9406564584124654E-324</v>
      </c>
      <c r="C174" s="333">
        <v>4.9406564584124654E-324</v>
      </c>
      <c r="D174" s="334">
        <v>0</v>
      </c>
      <c r="E174" s="340">
        <v>1</v>
      </c>
      <c r="F174" s="333">
        <v>4.9406564584124654E-324</v>
      </c>
      <c r="G174" s="334">
        <v>0</v>
      </c>
      <c r="H174" s="336">
        <v>4.9406564584124654E-324</v>
      </c>
      <c r="I174" s="333">
        <v>0.05</v>
      </c>
      <c r="J174" s="334">
        <v>0.05</v>
      </c>
      <c r="K174" s="337" t="s">
        <v>240</v>
      </c>
    </row>
    <row r="175" spans="1:11" ht="14.4" customHeight="1" thickBot="1" x14ac:dyDescent="0.35">
      <c r="A175" s="350" t="s">
        <v>402</v>
      </c>
      <c r="B175" s="328">
        <v>4.9406564584124654E-324</v>
      </c>
      <c r="C175" s="328">
        <v>4.9406564584124654E-324</v>
      </c>
      <c r="D175" s="329">
        <v>0</v>
      </c>
      <c r="E175" s="330">
        <v>1</v>
      </c>
      <c r="F175" s="328">
        <v>4.9406564584124654E-324</v>
      </c>
      <c r="G175" s="329">
        <v>0</v>
      </c>
      <c r="H175" s="331">
        <v>4.9406564584124654E-324</v>
      </c>
      <c r="I175" s="328">
        <v>0.05</v>
      </c>
      <c r="J175" s="329">
        <v>0.05</v>
      </c>
      <c r="K175" s="339" t="s">
        <v>240</v>
      </c>
    </row>
    <row r="176" spans="1:11" ht="14.4" customHeight="1" thickBot="1" x14ac:dyDescent="0.35">
      <c r="A176" s="348" t="s">
        <v>403</v>
      </c>
      <c r="B176" s="328">
        <v>93.322165388727001</v>
      </c>
      <c r="C176" s="328">
        <v>145.50815</v>
      </c>
      <c r="D176" s="329">
        <v>52.185984611271998</v>
      </c>
      <c r="E176" s="330">
        <v>1.559202461643</v>
      </c>
      <c r="F176" s="328">
        <v>0</v>
      </c>
      <c r="G176" s="329">
        <v>0</v>
      </c>
      <c r="H176" s="331">
        <v>4.9406564584124654E-324</v>
      </c>
      <c r="I176" s="328">
        <v>11.42895</v>
      </c>
      <c r="J176" s="329">
        <v>11.42895</v>
      </c>
      <c r="K176" s="339" t="s">
        <v>234</v>
      </c>
    </row>
    <row r="177" spans="1:11" ht="14.4" customHeight="1" thickBot="1" x14ac:dyDescent="0.35">
      <c r="A177" s="349" t="s">
        <v>404</v>
      </c>
      <c r="B177" s="333">
        <v>0</v>
      </c>
      <c r="C177" s="333">
        <v>1.331</v>
      </c>
      <c r="D177" s="334">
        <v>1.331</v>
      </c>
      <c r="E177" s="335" t="s">
        <v>234</v>
      </c>
      <c r="F177" s="333">
        <v>4.9406564584124654E-324</v>
      </c>
      <c r="G177" s="334">
        <v>0</v>
      </c>
      <c r="H177" s="336">
        <v>4.9406564584124654E-324</v>
      </c>
      <c r="I177" s="333">
        <v>11.42895</v>
      </c>
      <c r="J177" s="334">
        <v>11.42895</v>
      </c>
      <c r="K177" s="337" t="s">
        <v>240</v>
      </c>
    </row>
    <row r="178" spans="1:11" ht="14.4" customHeight="1" thickBot="1" x14ac:dyDescent="0.35">
      <c r="A178" s="350" t="s">
        <v>405</v>
      </c>
      <c r="B178" s="328">
        <v>0</v>
      </c>
      <c r="C178" s="328">
        <v>1.331</v>
      </c>
      <c r="D178" s="329">
        <v>1.331</v>
      </c>
      <c r="E178" s="338" t="s">
        <v>234</v>
      </c>
      <c r="F178" s="328">
        <v>4.9406564584124654E-324</v>
      </c>
      <c r="G178" s="329">
        <v>0</v>
      </c>
      <c r="H178" s="331">
        <v>4.9406564584124654E-324</v>
      </c>
      <c r="I178" s="328">
        <v>11.42895</v>
      </c>
      <c r="J178" s="329">
        <v>11.42895</v>
      </c>
      <c r="K178" s="339" t="s">
        <v>240</v>
      </c>
    </row>
    <row r="179" spans="1:11" ht="14.4" customHeight="1" thickBot="1" x14ac:dyDescent="0.35">
      <c r="A179" s="349" t="s">
        <v>406</v>
      </c>
      <c r="B179" s="333">
        <v>93.322165388727001</v>
      </c>
      <c r="C179" s="333">
        <v>144.17715000000001</v>
      </c>
      <c r="D179" s="334">
        <v>50.854984611272002</v>
      </c>
      <c r="E179" s="340">
        <v>1.544940040765</v>
      </c>
      <c r="F179" s="333">
        <v>0</v>
      </c>
      <c r="G179" s="334">
        <v>0</v>
      </c>
      <c r="H179" s="336">
        <v>4.9406564584124654E-324</v>
      </c>
      <c r="I179" s="333">
        <v>2.4703282292062327E-323</v>
      </c>
      <c r="J179" s="334">
        <v>2.4703282292062327E-323</v>
      </c>
      <c r="K179" s="337" t="s">
        <v>234</v>
      </c>
    </row>
    <row r="180" spans="1:11" ht="14.4" customHeight="1" thickBot="1" x14ac:dyDescent="0.35">
      <c r="A180" s="350" t="s">
        <v>407</v>
      </c>
      <c r="B180" s="328">
        <v>0</v>
      </c>
      <c r="C180" s="328">
        <v>90.962209999999999</v>
      </c>
      <c r="D180" s="329">
        <v>90.962209999999999</v>
      </c>
      <c r="E180" s="338" t="s">
        <v>234</v>
      </c>
      <c r="F180" s="328">
        <v>0</v>
      </c>
      <c r="G180" s="329">
        <v>0</v>
      </c>
      <c r="H180" s="331">
        <v>4.9406564584124654E-324</v>
      </c>
      <c r="I180" s="328">
        <v>2.4703282292062327E-323</v>
      </c>
      <c r="J180" s="329">
        <v>2.4703282292062327E-323</v>
      </c>
      <c r="K180" s="339" t="s">
        <v>234</v>
      </c>
    </row>
    <row r="181" spans="1:11" ht="14.4" customHeight="1" thickBot="1" x14ac:dyDescent="0.35">
      <c r="A181" s="350" t="s">
        <v>408</v>
      </c>
      <c r="B181" s="328">
        <v>4.9406564584124654E-324</v>
      </c>
      <c r="C181" s="328">
        <v>0.48399999999999999</v>
      </c>
      <c r="D181" s="329">
        <v>0.48399999999999999</v>
      </c>
      <c r="E181" s="338" t="s">
        <v>240</v>
      </c>
      <c r="F181" s="328">
        <v>0</v>
      </c>
      <c r="G181" s="329">
        <v>0</v>
      </c>
      <c r="H181" s="331">
        <v>4.9406564584124654E-324</v>
      </c>
      <c r="I181" s="328">
        <v>2.4703282292062327E-323</v>
      </c>
      <c r="J181" s="329">
        <v>2.4703282292062327E-323</v>
      </c>
      <c r="K181" s="339" t="s">
        <v>234</v>
      </c>
    </row>
    <row r="182" spans="1:11" ht="14.4" customHeight="1" thickBot="1" x14ac:dyDescent="0.35">
      <c r="A182" s="350" t="s">
        <v>409</v>
      </c>
      <c r="B182" s="328">
        <v>0</v>
      </c>
      <c r="C182" s="328">
        <v>40.8399</v>
      </c>
      <c r="D182" s="329">
        <v>40.8399</v>
      </c>
      <c r="E182" s="338" t="s">
        <v>234</v>
      </c>
      <c r="F182" s="328">
        <v>0</v>
      </c>
      <c r="G182" s="329">
        <v>0</v>
      </c>
      <c r="H182" s="331">
        <v>4.9406564584124654E-324</v>
      </c>
      <c r="I182" s="328">
        <v>2.4703282292062327E-323</v>
      </c>
      <c r="J182" s="329">
        <v>2.4703282292062327E-323</v>
      </c>
      <c r="K182" s="339" t="s">
        <v>234</v>
      </c>
    </row>
    <row r="183" spans="1:11" ht="14.4" customHeight="1" thickBot="1" x14ac:dyDescent="0.35">
      <c r="A183" s="350" t="s">
        <v>410</v>
      </c>
      <c r="B183" s="328">
        <v>0</v>
      </c>
      <c r="C183" s="328">
        <v>6.6791999999999998</v>
      </c>
      <c r="D183" s="329">
        <v>6.6791999999999998</v>
      </c>
      <c r="E183" s="338" t="s">
        <v>234</v>
      </c>
      <c r="F183" s="328">
        <v>0</v>
      </c>
      <c r="G183" s="329">
        <v>0</v>
      </c>
      <c r="H183" s="331">
        <v>4.9406564584124654E-324</v>
      </c>
      <c r="I183" s="328">
        <v>2.4703282292062327E-323</v>
      </c>
      <c r="J183" s="329">
        <v>2.4703282292062327E-323</v>
      </c>
      <c r="K183" s="339" t="s">
        <v>234</v>
      </c>
    </row>
    <row r="184" spans="1:11" ht="14.4" customHeight="1" thickBot="1" x14ac:dyDescent="0.35">
      <c r="A184" s="350" t="s">
        <v>411</v>
      </c>
      <c r="B184" s="328">
        <v>0</v>
      </c>
      <c r="C184" s="328">
        <v>5.2118399999999996</v>
      </c>
      <c r="D184" s="329">
        <v>5.2118399999999996</v>
      </c>
      <c r="E184" s="338" t="s">
        <v>234</v>
      </c>
      <c r="F184" s="328">
        <v>0</v>
      </c>
      <c r="G184" s="329">
        <v>0</v>
      </c>
      <c r="H184" s="331">
        <v>4.9406564584124654E-324</v>
      </c>
      <c r="I184" s="328">
        <v>2.4703282292062327E-323</v>
      </c>
      <c r="J184" s="329">
        <v>2.4703282292062327E-323</v>
      </c>
      <c r="K184" s="339" t="s">
        <v>234</v>
      </c>
    </row>
    <row r="185" spans="1:11" ht="14.4" customHeight="1" thickBot="1" x14ac:dyDescent="0.35">
      <c r="A185" s="353" t="s">
        <v>412</v>
      </c>
      <c r="B185" s="333">
        <v>92.077768805822004</v>
      </c>
      <c r="C185" s="333">
        <v>145.04291000000001</v>
      </c>
      <c r="D185" s="334">
        <v>52.965141194177001</v>
      </c>
      <c r="E185" s="340">
        <v>1.575221813919</v>
      </c>
      <c r="F185" s="333">
        <v>105.47184715968601</v>
      </c>
      <c r="G185" s="334">
        <v>43.946602983201998</v>
      </c>
      <c r="H185" s="336">
        <v>0.22342000000000001</v>
      </c>
      <c r="I185" s="333">
        <v>23.889289999999999</v>
      </c>
      <c r="J185" s="334">
        <v>-20.057312983201999</v>
      </c>
      <c r="K185" s="341">
        <v>0.22649920944099999</v>
      </c>
    </row>
    <row r="186" spans="1:11" ht="14.4" customHeight="1" thickBot="1" x14ac:dyDescent="0.35">
      <c r="A186" s="349" t="s">
        <v>413</v>
      </c>
      <c r="B186" s="333">
        <v>0</v>
      </c>
      <c r="C186" s="333">
        <v>37.631959999999999</v>
      </c>
      <c r="D186" s="334">
        <v>37.631959999999999</v>
      </c>
      <c r="E186" s="335" t="s">
        <v>234</v>
      </c>
      <c r="F186" s="333">
        <v>0</v>
      </c>
      <c r="G186" s="334">
        <v>0</v>
      </c>
      <c r="H186" s="336">
        <v>2.0420000000000001E-2</v>
      </c>
      <c r="I186" s="333">
        <v>7.7649999999999997E-2</v>
      </c>
      <c r="J186" s="334">
        <v>7.7649999999999997E-2</v>
      </c>
      <c r="K186" s="337" t="s">
        <v>234</v>
      </c>
    </row>
    <row r="187" spans="1:11" ht="14.4" customHeight="1" thickBot="1" x14ac:dyDescent="0.35">
      <c r="A187" s="350" t="s">
        <v>414</v>
      </c>
      <c r="B187" s="328">
        <v>0</v>
      </c>
      <c r="C187" s="328">
        <v>-0.17804</v>
      </c>
      <c r="D187" s="329">
        <v>-0.17804</v>
      </c>
      <c r="E187" s="338" t="s">
        <v>234</v>
      </c>
      <c r="F187" s="328">
        <v>0</v>
      </c>
      <c r="G187" s="329">
        <v>0</v>
      </c>
      <c r="H187" s="331">
        <v>2.0420000000000001E-2</v>
      </c>
      <c r="I187" s="328">
        <v>7.7649999999999997E-2</v>
      </c>
      <c r="J187" s="329">
        <v>7.7649999999999997E-2</v>
      </c>
      <c r="K187" s="339" t="s">
        <v>234</v>
      </c>
    </row>
    <row r="188" spans="1:11" ht="14.4" customHeight="1" thickBot="1" x14ac:dyDescent="0.35">
      <c r="A188" s="350" t="s">
        <v>415</v>
      </c>
      <c r="B188" s="328">
        <v>4.9406564584124654E-324</v>
      </c>
      <c r="C188" s="328">
        <v>37.81</v>
      </c>
      <c r="D188" s="329">
        <v>37.81</v>
      </c>
      <c r="E188" s="338" t="s">
        <v>240</v>
      </c>
      <c r="F188" s="328">
        <v>0</v>
      </c>
      <c r="G188" s="329">
        <v>0</v>
      </c>
      <c r="H188" s="331">
        <v>4.9406564584124654E-324</v>
      </c>
      <c r="I188" s="328">
        <v>2.4703282292062327E-323</v>
      </c>
      <c r="J188" s="329">
        <v>2.4703282292062327E-323</v>
      </c>
      <c r="K188" s="339" t="s">
        <v>234</v>
      </c>
    </row>
    <row r="189" spans="1:11" ht="14.4" customHeight="1" thickBot="1" x14ac:dyDescent="0.35">
      <c r="A189" s="349" t="s">
        <v>416</v>
      </c>
      <c r="B189" s="333">
        <v>92.077768805822004</v>
      </c>
      <c r="C189" s="333">
        <v>101.02594999999999</v>
      </c>
      <c r="D189" s="334">
        <v>8.9481811941769998</v>
      </c>
      <c r="E189" s="340">
        <v>1.0971806909549999</v>
      </c>
      <c r="F189" s="333">
        <v>105.47184715968601</v>
      </c>
      <c r="G189" s="334">
        <v>43.946602983201998</v>
      </c>
      <c r="H189" s="336">
        <v>0.20300000000000001</v>
      </c>
      <c r="I189" s="333">
        <v>23.811640000000001</v>
      </c>
      <c r="J189" s="334">
        <v>-20.134962983202001</v>
      </c>
      <c r="K189" s="341">
        <v>0.22576299402300001</v>
      </c>
    </row>
    <row r="190" spans="1:11" ht="14.4" customHeight="1" thickBot="1" x14ac:dyDescent="0.35">
      <c r="A190" s="350" t="s">
        <v>417</v>
      </c>
      <c r="B190" s="328">
        <v>0</v>
      </c>
      <c r="C190" s="328">
        <v>6.5000000000000002E-2</v>
      </c>
      <c r="D190" s="329">
        <v>6.5000000000000002E-2</v>
      </c>
      <c r="E190" s="338" t="s">
        <v>234</v>
      </c>
      <c r="F190" s="328">
        <v>0</v>
      </c>
      <c r="G190" s="329">
        <v>0</v>
      </c>
      <c r="H190" s="331">
        <v>4.9406564584124654E-324</v>
      </c>
      <c r="I190" s="328">
        <v>2.4703282292062327E-323</v>
      </c>
      <c r="J190" s="329">
        <v>2.4703282292062327E-323</v>
      </c>
      <c r="K190" s="339" t="s">
        <v>234</v>
      </c>
    </row>
    <row r="191" spans="1:11" ht="14.4" customHeight="1" thickBot="1" x14ac:dyDescent="0.35">
      <c r="A191" s="350" t="s">
        <v>418</v>
      </c>
      <c r="B191" s="328">
        <v>67.371120854959003</v>
      </c>
      <c r="C191" s="328">
        <v>68.112719999999996</v>
      </c>
      <c r="D191" s="329">
        <v>0.74159914504000002</v>
      </c>
      <c r="E191" s="330">
        <v>1.0110076711739999</v>
      </c>
      <c r="F191" s="328">
        <v>80.845345025952</v>
      </c>
      <c r="G191" s="329">
        <v>33.685560427479999</v>
      </c>
      <c r="H191" s="331">
        <v>4.9406564584124654E-324</v>
      </c>
      <c r="I191" s="328">
        <v>18.95</v>
      </c>
      <c r="J191" s="329">
        <v>-14.735560427479999</v>
      </c>
      <c r="K191" s="332">
        <v>0.23439815853199999</v>
      </c>
    </row>
    <row r="192" spans="1:11" ht="14.4" customHeight="1" thickBot="1" x14ac:dyDescent="0.35">
      <c r="A192" s="350" t="s">
        <v>419</v>
      </c>
      <c r="B192" s="328">
        <v>18.274048688451</v>
      </c>
      <c r="C192" s="328">
        <v>10.7</v>
      </c>
      <c r="D192" s="329">
        <v>-7.5740486884509997</v>
      </c>
      <c r="E192" s="330">
        <v>0.58552979596400001</v>
      </c>
      <c r="F192" s="328">
        <v>18.193902871321999</v>
      </c>
      <c r="G192" s="329">
        <v>7.5807928630500001</v>
      </c>
      <c r="H192" s="331">
        <v>0.20300000000000001</v>
      </c>
      <c r="I192" s="328">
        <v>0.81200000000000006</v>
      </c>
      <c r="J192" s="329">
        <v>-6.7687928630499998</v>
      </c>
      <c r="K192" s="332">
        <v>4.4630336093000003E-2</v>
      </c>
    </row>
    <row r="193" spans="1:11" ht="14.4" customHeight="1" thickBot="1" x14ac:dyDescent="0.35">
      <c r="A193" s="350" t="s">
        <v>420</v>
      </c>
      <c r="B193" s="328">
        <v>6.4325992624110002</v>
      </c>
      <c r="C193" s="328">
        <v>22.148230000000002</v>
      </c>
      <c r="D193" s="329">
        <v>15.715630737588</v>
      </c>
      <c r="E193" s="330">
        <v>3.443122926904</v>
      </c>
      <c r="F193" s="328">
        <v>6.4325992624110002</v>
      </c>
      <c r="G193" s="329">
        <v>2.680249692671</v>
      </c>
      <c r="H193" s="331">
        <v>4.9406564584124654E-324</v>
      </c>
      <c r="I193" s="328">
        <v>4.0496400000000001</v>
      </c>
      <c r="J193" s="329">
        <v>1.369390307328</v>
      </c>
      <c r="K193" s="332">
        <v>0.62954955451100003</v>
      </c>
    </row>
    <row r="194" spans="1:11" ht="14.4" customHeight="1" thickBot="1" x14ac:dyDescent="0.35">
      <c r="A194" s="349" t="s">
        <v>421</v>
      </c>
      <c r="B194" s="333">
        <v>4.9406564584124654E-324</v>
      </c>
      <c r="C194" s="333">
        <v>6.3849999999999998</v>
      </c>
      <c r="D194" s="334">
        <v>6.3849999999999998</v>
      </c>
      <c r="E194" s="335" t="s">
        <v>240</v>
      </c>
      <c r="F194" s="333">
        <v>0</v>
      </c>
      <c r="G194" s="334">
        <v>0</v>
      </c>
      <c r="H194" s="336">
        <v>4.9406564584124654E-324</v>
      </c>
      <c r="I194" s="333">
        <v>2.4703282292062327E-323</v>
      </c>
      <c r="J194" s="334">
        <v>2.4703282292062327E-323</v>
      </c>
      <c r="K194" s="337" t="s">
        <v>234</v>
      </c>
    </row>
    <row r="195" spans="1:11" ht="14.4" customHeight="1" thickBot="1" x14ac:dyDescent="0.35">
      <c r="A195" s="350" t="s">
        <v>422</v>
      </c>
      <c r="B195" s="328">
        <v>4.9406564584124654E-324</v>
      </c>
      <c r="C195" s="328">
        <v>6.3849999999999998</v>
      </c>
      <c r="D195" s="329">
        <v>6.3849999999999998</v>
      </c>
      <c r="E195" s="338" t="s">
        <v>240</v>
      </c>
      <c r="F195" s="328">
        <v>0</v>
      </c>
      <c r="G195" s="329">
        <v>0</v>
      </c>
      <c r="H195" s="331">
        <v>4.9406564584124654E-324</v>
      </c>
      <c r="I195" s="328">
        <v>2.4703282292062327E-323</v>
      </c>
      <c r="J195" s="329">
        <v>2.4703282292062327E-323</v>
      </c>
      <c r="K195" s="339" t="s">
        <v>234</v>
      </c>
    </row>
    <row r="196" spans="1:11" ht="14.4" customHeight="1" thickBot="1" x14ac:dyDescent="0.35">
      <c r="A196" s="346" t="s">
        <v>423</v>
      </c>
      <c r="B196" s="328">
        <v>2324.3839632859199</v>
      </c>
      <c r="C196" s="328">
        <v>2265.68975</v>
      </c>
      <c r="D196" s="329">
        <v>-58.694213285924</v>
      </c>
      <c r="E196" s="330">
        <v>0.97474848638900002</v>
      </c>
      <c r="F196" s="328">
        <v>2523.0019846895402</v>
      </c>
      <c r="G196" s="329">
        <v>1051.2508269539701</v>
      </c>
      <c r="H196" s="331">
        <v>197.91963000000001</v>
      </c>
      <c r="I196" s="328">
        <v>994.48473000000001</v>
      </c>
      <c r="J196" s="329">
        <v>-56.766096953972998</v>
      </c>
      <c r="K196" s="332">
        <v>0.39416724046700002</v>
      </c>
    </row>
    <row r="197" spans="1:11" ht="14.4" customHeight="1" thickBot="1" x14ac:dyDescent="0.35">
      <c r="A197" s="351" t="s">
        <v>424</v>
      </c>
      <c r="B197" s="333">
        <v>2324.3839632859199</v>
      </c>
      <c r="C197" s="333">
        <v>2265.68975</v>
      </c>
      <c r="D197" s="334">
        <v>-58.694213285924</v>
      </c>
      <c r="E197" s="340">
        <v>0.97474848638900002</v>
      </c>
      <c r="F197" s="333">
        <v>2523.0019846895402</v>
      </c>
      <c r="G197" s="334">
        <v>1051.2508269539701</v>
      </c>
      <c r="H197" s="336">
        <v>197.91963000000001</v>
      </c>
      <c r="I197" s="333">
        <v>994.48473000000001</v>
      </c>
      <c r="J197" s="334">
        <v>-56.766096953972998</v>
      </c>
      <c r="K197" s="341">
        <v>0.39416724046700002</v>
      </c>
    </row>
    <row r="198" spans="1:11" ht="14.4" customHeight="1" thickBot="1" x14ac:dyDescent="0.35">
      <c r="A198" s="353" t="s">
        <v>40</v>
      </c>
      <c r="B198" s="333">
        <v>2324.3839632859199</v>
      </c>
      <c r="C198" s="333">
        <v>2265.68975</v>
      </c>
      <c r="D198" s="334">
        <v>-58.694213285924</v>
      </c>
      <c r="E198" s="340">
        <v>0.97474848638900002</v>
      </c>
      <c r="F198" s="333">
        <v>2523.0019846895402</v>
      </c>
      <c r="G198" s="334">
        <v>1051.2508269539701</v>
      </c>
      <c r="H198" s="336">
        <v>197.91963000000001</v>
      </c>
      <c r="I198" s="333">
        <v>994.48473000000001</v>
      </c>
      <c r="J198" s="334">
        <v>-56.766096953972998</v>
      </c>
      <c r="K198" s="341">
        <v>0.39416724046700002</v>
      </c>
    </row>
    <row r="199" spans="1:11" ht="14.4" customHeight="1" thickBot="1" x14ac:dyDescent="0.35">
      <c r="A199" s="349" t="s">
        <v>425</v>
      </c>
      <c r="B199" s="333">
        <v>12.491705339519999</v>
      </c>
      <c r="C199" s="333">
        <v>13.324999999999999</v>
      </c>
      <c r="D199" s="334">
        <v>0.83329466047900003</v>
      </c>
      <c r="E199" s="340">
        <v>1.0667078383469999</v>
      </c>
      <c r="F199" s="333">
        <v>14.001984689537</v>
      </c>
      <c r="G199" s="334">
        <v>5.8341602873070002</v>
      </c>
      <c r="H199" s="336">
        <v>0.3</v>
      </c>
      <c r="I199" s="333">
        <v>2.718</v>
      </c>
      <c r="J199" s="334">
        <v>-3.1161602873069998</v>
      </c>
      <c r="K199" s="341">
        <v>0.194115338665</v>
      </c>
    </row>
    <row r="200" spans="1:11" ht="14.4" customHeight="1" thickBot="1" x14ac:dyDescent="0.35">
      <c r="A200" s="350" t="s">
        <v>426</v>
      </c>
      <c r="B200" s="328">
        <v>12.491705339519999</v>
      </c>
      <c r="C200" s="328">
        <v>13.324999999999999</v>
      </c>
      <c r="D200" s="329">
        <v>0.83329466047900003</v>
      </c>
      <c r="E200" s="330">
        <v>1.0667078383469999</v>
      </c>
      <c r="F200" s="328">
        <v>14.001984689537</v>
      </c>
      <c r="G200" s="329">
        <v>5.8341602873070002</v>
      </c>
      <c r="H200" s="331">
        <v>0.3</v>
      </c>
      <c r="I200" s="328">
        <v>2.718</v>
      </c>
      <c r="J200" s="329">
        <v>-3.1161602873069998</v>
      </c>
      <c r="K200" s="332">
        <v>0.194115338665</v>
      </c>
    </row>
    <row r="201" spans="1:11" ht="14.4" customHeight="1" thickBot="1" x14ac:dyDescent="0.35">
      <c r="A201" s="349" t="s">
        <v>427</v>
      </c>
      <c r="B201" s="333">
        <v>108.89225794643301</v>
      </c>
      <c r="C201" s="333">
        <v>105.1422</v>
      </c>
      <c r="D201" s="334">
        <v>-3.7500579464319999</v>
      </c>
      <c r="E201" s="340">
        <v>0.965561757859</v>
      </c>
      <c r="F201" s="333">
        <v>118</v>
      </c>
      <c r="G201" s="334">
        <v>49.166666666666003</v>
      </c>
      <c r="H201" s="336">
        <v>5.1421999999999999</v>
      </c>
      <c r="I201" s="333">
        <v>31.0669</v>
      </c>
      <c r="J201" s="334">
        <v>-18.099766666666</v>
      </c>
      <c r="K201" s="341">
        <v>0.26327881355900001</v>
      </c>
    </row>
    <row r="202" spans="1:11" ht="14.4" customHeight="1" thickBot="1" x14ac:dyDescent="0.35">
      <c r="A202" s="350" t="s">
        <v>428</v>
      </c>
      <c r="B202" s="328">
        <v>108.89225794643301</v>
      </c>
      <c r="C202" s="328">
        <v>105.1422</v>
      </c>
      <c r="D202" s="329">
        <v>-3.7500579464319999</v>
      </c>
      <c r="E202" s="330">
        <v>0.965561757859</v>
      </c>
      <c r="F202" s="328">
        <v>118</v>
      </c>
      <c r="G202" s="329">
        <v>49.166666666666003</v>
      </c>
      <c r="H202" s="331">
        <v>5.1421999999999999</v>
      </c>
      <c r="I202" s="328">
        <v>31.0669</v>
      </c>
      <c r="J202" s="329">
        <v>-18.099766666666</v>
      </c>
      <c r="K202" s="332">
        <v>0.26327881355900001</v>
      </c>
    </row>
    <row r="203" spans="1:11" ht="14.4" customHeight="1" thickBot="1" x14ac:dyDescent="0.35">
      <c r="A203" s="349" t="s">
        <v>429</v>
      </c>
      <c r="B203" s="333">
        <v>4.9406564584124654E-324</v>
      </c>
      <c r="C203" s="333">
        <v>2.0699999999999998</v>
      </c>
      <c r="D203" s="334">
        <v>2.0699999999999998</v>
      </c>
      <c r="E203" s="335" t="s">
        <v>240</v>
      </c>
      <c r="F203" s="333">
        <v>4.9406564584124654E-324</v>
      </c>
      <c r="G203" s="334">
        <v>0</v>
      </c>
      <c r="H203" s="336">
        <v>4.9406564584124654E-324</v>
      </c>
      <c r="I203" s="333">
        <v>1.48</v>
      </c>
      <c r="J203" s="334">
        <v>1.48</v>
      </c>
      <c r="K203" s="337" t="s">
        <v>240</v>
      </c>
    </row>
    <row r="204" spans="1:11" ht="14.4" customHeight="1" thickBot="1" x14ac:dyDescent="0.35">
      <c r="A204" s="350" t="s">
        <v>430</v>
      </c>
      <c r="B204" s="328">
        <v>4.9406564584124654E-324</v>
      </c>
      <c r="C204" s="328">
        <v>2.0699999999999998</v>
      </c>
      <c r="D204" s="329">
        <v>2.0699999999999998</v>
      </c>
      <c r="E204" s="338" t="s">
        <v>240</v>
      </c>
      <c r="F204" s="328">
        <v>4.9406564584124654E-324</v>
      </c>
      <c r="G204" s="329">
        <v>0</v>
      </c>
      <c r="H204" s="331">
        <v>4.9406564584124654E-324</v>
      </c>
      <c r="I204" s="328">
        <v>1.48</v>
      </c>
      <c r="J204" s="329">
        <v>1.48</v>
      </c>
      <c r="K204" s="339" t="s">
        <v>240</v>
      </c>
    </row>
    <row r="205" spans="1:11" ht="14.4" customHeight="1" thickBot="1" x14ac:dyDescent="0.35">
      <c r="A205" s="349" t="s">
        <v>431</v>
      </c>
      <c r="B205" s="333">
        <v>461.99999999999397</v>
      </c>
      <c r="C205" s="333">
        <v>409.71510999999998</v>
      </c>
      <c r="D205" s="334">
        <v>-52.284889999992998</v>
      </c>
      <c r="E205" s="340">
        <v>0.88682924242399996</v>
      </c>
      <c r="F205" s="333">
        <v>569</v>
      </c>
      <c r="G205" s="334">
        <v>237.083333333333</v>
      </c>
      <c r="H205" s="336">
        <v>37.747590000000002</v>
      </c>
      <c r="I205" s="333">
        <v>168.25454999999999</v>
      </c>
      <c r="J205" s="334">
        <v>-68.828783333333007</v>
      </c>
      <c r="K205" s="341">
        <v>0.29570219683600002</v>
      </c>
    </row>
    <row r="206" spans="1:11" ht="14.4" customHeight="1" thickBot="1" x14ac:dyDescent="0.35">
      <c r="A206" s="350" t="s">
        <v>432</v>
      </c>
      <c r="B206" s="328">
        <v>461.99999999999397</v>
      </c>
      <c r="C206" s="328">
        <v>409.71510999999998</v>
      </c>
      <c r="D206" s="329">
        <v>-52.284889999992998</v>
      </c>
      <c r="E206" s="330">
        <v>0.88682924242399996</v>
      </c>
      <c r="F206" s="328">
        <v>569</v>
      </c>
      <c r="G206" s="329">
        <v>237.083333333333</v>
      </c>
      <c r="H206" s="331">
        <v>37.747590000000002</v>
      </c>
      <c r="I206" s="328">
        <v>168.25454999999999</v>
      </c>
      <c r="J206" s="329">
        <v>-68.828783333333007</v>
      </c>
      <c r="K206" s="332">
        <v>0.29570219683600002</v>
      </c>
    </row>
    <row r="207" spans="1:11" ht="14.4" customHeight="1" thickBot="1" x14ac:dyDescent="0.35">
      <c r="A207" s="349" t="s">
        <v>433</v>
      </c>
      <c r="B207" s="333">
        <v>0</v>
      </c>
      <c r="C207" s="333">
        <v>7.9850000000000003</v>
      </c>
      <c r="D207" s="334">
        <v>7.9850000000000003</v>
      </c>
      <c r="E207" s="335" t="s">
        <v>234</v>
      </c>
      <c r="F207" s="333">
        <v>4.9406564584124654E-324</v>
      </c>
      <c r="G207" s="334">
        <v>0</v>
      </c>
      <c r="H207" s="336">
        <v>4.9406564584124654E-324</v>
      </c>
      <c r="I207" s="333">
        <v>2.4703282292062327E-323</v>
      </c>
      <c r="J207" s="334">
        <v>2.4703282292062327E-323</v>
      </c>
      <c r="K207" s="341">
        <v>0</v>
      </c>
    </row>
    <row r="208" spans="1:11" ht="14.4" customHeight="1" thickBot="1" x14ac:dyDescent="0.35">
      <c r="A208" s="350" t="s">
        <v>434</v>
      </c>
      <c r="B208" s="328">
        <v>0</v>
      </c>
      <c r="C208" s="328">
        <v>7.9850000000000003</v>
      </c>
      <c r="D208" s="329">
        <v>7.9850000000000003</v>
      </c>
      <c r="E208" s="338" t="s">
        <v>234</v>
      </c>
      <c r="F208" s="328">
        <v>4.9406564584124654E-324</v>
      </c>
      <c r="G208" s="329">
        <v>0</v>
      </c>
      <c r="H208" s="331">
        <v>4.9406564584124654E-324</v>
      </c>
      <c r="I208" s="328">
        <v>2.4703282292062327E-323</v>
      </c>
      <c r="J208" s="329">
        <v>2.4703282292062327E-323</v>
      </c>
      <c r="K208" s="332">
        <v>0</v>
      </c>
    </row>
    <row r="209" spans="1:11" ht="14.4" customHeight="1" thickBot="1" x14ac:dyDescent="0.35">
      <c r="A209" s="349" t="s">
        <v>435</v>
      </c>
      <c r="B209" s="333">
        <v>1740.99999999998</v>
      </c>
      <c r="C209" s="333">
        <v>1727.45244</v>
      </c>
      <c r="D209" s="334">
        <v>-13.547559999977</v>
      </c>
      <c r="E209" s="340">
        <v>0.99221851809299999</v>
      </c>
      <c r="F209" s="333">
        <v>1822</v>
      </c>
      <c r="G209" s="334">
        <v>759.16666666666595</v>
      </c>
      <c r="H209" s="336">
        <v>154.72984</v>
      </c>
      <c r="I209" s="333">
        <v>790.96528000000001</v>
      </c>
      <c r="J209" s="334">
        <v>31.798613333333002</v>
      </c>
      <c r="K209" s="341">
        <v>0.43411925356699999</v>
      </c>
    </row>
    <row r="210" spans="1:11" ht="14.4" customHeight="1" thickBot="1" x14ac:dyDescent="0.35">
      <c r="A210" s="350" t="s">
        <v>436</v>
      </c>
      <c r="B210" s="328">
        <v>1740.99999999998</v>
      </c>
      <c r="C210" s="328">
        <v>1727.45244</v>
      </c>
      <c r="D210" s="329">
        <v>-13.547559999977</v>
      </c>
      <c r="E210" s="330">
        <v>0.99221851809299999</v>
      </c>
      <c r="F210" s="328">
        <v>1822</v>
      </c>
      <c r="G210" s="329">
        <v>759.16666666666595</v>
      </c>
      <c r="H210" s="331">
        <v>154.72984</v>
      </c>
      <c r="I210" s="328">
        <v>790.96528000000001</v>
      </c>
      <c r="J210" s="329">
        <v>31.798613333333002</v>
      </c>
      <c r="K210" s="332">
        <v>0.43411925356699999</v>
      </c>
    </row>
    <row r="211" spans="1:11" ht="14.4" customHeight="1" thickBot="1" x14ac:dyDescent="0.35">
      <c r="A211" s="354" t="s">
        <v>437</v>
      </c>
      <c r="B211" s="333">
        <v>0</v>
      </c>
      <c r="C211" s="333">
        <v>4.9756</v>
      </c>
      <c r="D211" s="334">
        <v>4.9756</v>
      </c>
      <c r="E211" s="335" t="s">
        <v>234</v>
      </c>
      <c r="F211" s="333">
        <v>4.9406564584124654E-324</v>
      </c>
      <c r="G211" s="334">
        <v>0</v>
      </c>
      <c r="H211" s="336">
        <v>4.9406564584124654E-324</v>
      </c>
      <c r="I211" s="333">
        <v>2.4703282292062327E-323</v>
      </c>
      <c r="J211" s="334">
        <v>2.4703282292062327E-323</v>
      </c>
      <c r="K211" s="341">
        <v>0</v>
      </c>
    </row>
    <row r="212" spans="1:11" ht="14.4" customHeight="1" thickBot="1" x14ac:dyDescent="0.35">
      <c r="A212" s="351" t="s">
        <v>438</v>
      </c>
      <c r="B212" s="333">
        <v>0</v>
      </c>
      <c r="C212" s="333">
        <v>4.9756</v>
      </c>
      <c r="D212" s="334">
        <v>4.9756</v>
      </c>
      <c r="E212" s="335" t="s">
        <v>234</v>
      </c>
      <c r="F212" s="333">
        <v>4.9406564584124654E-324</v>
      </c>
      <c r="G212" s="334">
        <v>0</v>
      </c>
      <c r="H212" s="336">
        <v>4.9406564584124654E-324</v>
      </c>
      <c r="I212" s="333">
        <v>2.4703282292062327E-323</v>
      </c>
      <c r="J212" s="334">
        <v>2.4703282292062327E-323</v>
      </c>
      <c r="K212" s="341">
        <v>0</v>
      </c>
    </row>
    <row r="213" spans="1:11" ht="14.4" customHeight="1" thickBot="1" x14ac:dyDescent="0.35">
      <c r="A213" s="353" t="s">
        <v>439</v>
      </c>
      <c r="B213" s="333">
        <v>0</v>
      </c>
      <c r="C213" s="333">
        <v>4.9756</v>
      </c>
      <c r="D213" s="334">
        <v>4.9756</v>
      </c>
      <c r="E213" s="335" t="s">
        <v>234</v>
      </c>
      <c r="F213" s="333">
        <v>4.9406564584124654E-324</v>
      </c>
      <c r="G213" s="334">
        <v>0</v>
      </c>
      <c r="H213" s="336">
        <v>4.9406564584124654E-324</v>
      </c>
      <c r="I213" s="333">
        <v>2.4703282292062327E-323</v>
      </c>
      <c r="J213" s="334">
        <v>2.4703282292062327E-323</v>
      </c>
      <c r="K213" s="341">
        <v>0</v>
      </c>
    </row>
    <row r="214" spans="1:11" ht="14.4" customHeight="1" thickBot="1" x14ac:dyDescent="0.35">
      <c r="A214" s="349" t="s">
        <v>440</v>
      </c>
      <c r="B214" s="333">
        <v>4.9406564584124654E-324</v>
      </c>
      <c r="C214" s="333">
        <v>4.9756</v>
      </c>
      <c r="D214" s="334">
        <v>4.9756</v>
      </c>
      <c r="E214" s="335" t="s">
        <v>240</v>
      </c>
      <c r="F214" s="333">
        <v>4.9406564584124654E-324</v>
      </c>
      <c r="G214" s="334">
        <v>0</v>
      </c>
      <c r="H214" s="336">
        <v>4.9406564584124654E-324</v>
      </c>
      <c r="I214" s="333">
        <v>2.4703282292062327E-323</v>
      </c>
      <c r="J214" s="334">
        <v>2.4703282292062327E-323</v>
      </c>
      <c r="K214" s="341">
        <v>0</v>
      </c>
    </row>
    <row r="215" spans="1:11" ht="14.4" customHeight="1" thickBot="1" x14ac:dyDescent="0.35">
      <c r="A215" s="350" t="s">
        <v>441</v>
      </c>
      <c r="B215" s="328">
        <v>4.9406564584124654E-324</v>
      </c>
      <c r="C215" s="328">
        <v>4.9756</v>
      </c>
      <c r="D215" s="329">
        <v>4.9756</v>
      </c>
      <c r="E215" s="338" t="s">
        <v>240</v>
      </c>
      <c r="F215" s="328">
        <v>4.9406564584124654E-324</v>
      </c>
      <c r="G215" s="329">
        <v>0</v>
      </c>
      <c r="H215" s="331">
        <v>4.9406564584124654E-324</v>
      </c>
      <c r="I215" s="328">
        <v>2.4703282292062327E-323</v>
      </c>
      <c r="J215" s="329">
        <v>2.4703282292062327E-323</v>
      </c>
      <c r="K215" s="332">
        <v>0</v>
      </c>
    </row>
    <row r="216" spans="1:11" ht="14.4" customHeight="1" thickBot="1" x14ac:dyDescent="0.35">
      <c r="A216" s="355"/>
      <c r="B216" s="328">
        <v>-708.25292507869699</v>
      </c>
      <c r="C216" s="328">
        <v>1265.8933299999801</v>
      </c>
      <c r="D216" s="329">
        <v>1974.14625507868</v>
      </c>
      <c r="E216" s="330">
        <v>-1.7873464198669999</v>
      </c>
      <c r="F216" s="328">
        <v>-1848.9213334431399</v>
      </c>
      <c r="G216" s="329">
        <v>-770.38388893464196</v>
      </c>
      <c r="H216" s="331">
        <v>-153.36338000000001</v>
      </c>
      <c r="I216" s="328">
        <v>-381.775050000009</v>
      </c>
      <c r="J216" s="329">
        <v>388.60883893463301</v>
      </c>
      <c r="K216" s="332">
        <v>0.20648528582199999</v>
      </c>
    </row>
    <row r="217" spans="1:11" ht="14.4" customHeight="1" thickBot="1" x14ac:dyDescent="0.35">
      <c r="A217" s="356" t="s">
        <v>52</v>
      </c>
      <c r="B217" s="342">
        <v>-708.25292507871904</v>
      </c>
      <c r="C217" s="342">
        <v>1265.8933299999801</v>
      </c>
      <c r="D217" s="343">
        <v>1974.1462550787001</v>
      </c>
      <c r="E217" s="344" t="s">
        <v>234</v>
      </c>
      <c r="F217" s="342">
        <v>-1848.9213334431399</v>
      </c>
      <c r="G217" s="343">
        <v>-770.38388893464298</v>
      </c>
      <c r="H217" s="342">
        <v>-153.36338000000001</v>
      </c>
      <c r="I217" s="342">
        <v>-381.775050000009</v>
      </c>
      <c r="J217" s="343">
        <v>388.60883893463301</v>
      </c>
      <c r="K217" s="345">
        <v>0.20648528582199999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82" customWidth="1"/>
    <col min="2" max="2" width="61.109375" style="182" customWidth="1"/>
    <col min="3" max="3" width="9.5546875" style="105" customWidth="1"/>
    <col min="4" max="4" width="9.5546875" style="183" customWidth="1"/>
    <col min="5" max="5" width="2.21875" style="183" customWidth="1"/>
    <col min="6" max="6" width="9.5546875" style="184" customWidth="1"/>
    <col min="7" max="7" width="9.5546875" style="181" customWidth="1"/>
    <col min="8" max="9" width="9.5546875" style="105" customWidth="1"/>
    <col min="10" max="10" width="0" style="105" hidden="1" customWidth="1"/>
    <col min="11" max="16384" width="8.88671875" style="105"/>
  </cols>
  <sheetData>
    <row r="1" spans="1:10" ht="18.600000000000001" customHeight="1" thickBot="1" x14ac:dyDescent="0.4">
      <c r="A1" s="301" t="s">
        <v>115</v>
      </c>
      <c r="B1" s="302"/>
      <c r="C1" s="302"/>
      <c r="D1" s="302"/>
      <c r="E1" s="302"/>
      <c r="F1" s="302"/>
      <c r="G1" s="273"/>
      <c r="H1" s="303"/>
      <c r="I1" s="303"/>
    </row>
    <row r="2" spans="1:10" ht="14.4" customHeight="1" thickBot="1" x14ac:dyDescent="0.35">
      <c r="A2" s="202" t="s">
        <v>233</v>
      </c>
      <c r="B2" s="180"/>
      <c r="C2" s="180"/>
      <c r="D2" s="180"/>
      <c r="E2" s="180"/>
      <c r="F2" s="180"/>
    </row>
    <row r="3" spans="1:10" ht="14.4" customHeight="1" thickBot="1" x14ac:dyDescent="0.35">
      <c r="A3" s="202"/>
      <c r="B3" s="180"/>
      <c r="C3" s="260">
        <v>2012</v>
      </c>
      <c r="D3" s="261">
        <v>2013</v>
      </c>
      <c r="E3" s="7"/>
      <c r="F3" s="296">
        <v>2014</v>
      </c>
      <c r="G3" s="297"/>
      <c r="H3" s="297"/>
      <c r="I3" s="298"/>
    </row>
    <row r="4" spans="1:10" ht="14.4" customHeight="1" thickBot="1" x14ac:dyDescent="0.35">
      <c r="A4" s="265" t="s">
        <v>0</v>
      </c>
      <c r="B4" s="266" t="s">
        <v>232</v>
      </c>
      <c r="C4" s="299" t="s">
        <v>59</v>
      </c>
      <c r="D4" s="300"/>
      <c r="E4" s="267"/>
      <c r="F4" s="262" t="s">
        <v>59</v>
      </c>
      <c r="G4" s="263" t="s">
        <v>60</v>
      </c>
      <c r="H4" s="263" t="s">
        <v>54</v>
      </c>
      <c r="I4" s="264" t="s">
        <v>61</v>
      </c>
    </row>
    <row r="5" spans="1:10" ht="14.4" customHeight="1" x14ac:dyDescent="0.3">
      <c r="A5" s="357" t="s">
        <v>442</v>
      </c>
      <c r="B5" s="358" t="s">
        <v>443</v>
      </c>
      <c r="C5" s="359" t="s">
        <v>444</v>
      </c>
      <c r="D5" s="359" t="s">
        <v>444</v>
      </c>
      <c r="E5" s="359"/>
      <c r="F5" s="359" t="s">
        <v>444</v>
      </c>
      <c r="G5" s="359" t="s">
        <v>444</v>
      </c>
      <c r="H5" s="359" t="s">
        <v>444</v>
      </c>
      <c r="I5" s="360" t="s">
        <v>444</v>
      </c>
      <c r="J5" s="361" t="s">
        <v>55</v>
      </c>
    </row>
    <row r="6" spans="1:10" ht="14.4" customHeight="1" x14ac:dyDescent="0.3">
      <c r="A6" s="357" t="s">
        <v>442</v>
      </c>
      <c r="B6" s="358" t="s">
        <v>243</v>
      </c>
      <c r="C6" s="359">
        <v>33.417119999999997</v>
      </c>
      <c r="D6" s="359">
        <v>18.052849999999999</v>
      </c>
      <c r="E6" s="359"/>
      <c r="F6" s="359">
        <v>8.8171600000000012</v>
      </c>
      <c r="G6" s="359">
        <v>16.654322611570834</v>
      </c>
      <c r="H6" s="359">
        <v>-7.8371626115708324</v>
      </c>
      <c r="I6" s="360">
        <v>0.52942171264739102</v>
      </c>
      <c r="J6" s="361" t="s">
        <v>1</v>
      </c>
    </row>
    <row r="7" spans="1:10" ht="14.4" customHeight="1" x14ac:dyDescent="0.3">
      <c r="A7" s="357" t="s">
        <v>442</v>
      </c>
      <c r="B7" s="358" t="s">
        <v>244</v>
      </c>
      <c r="C7" s="359" t="s">
        <v>444</v>
      </c>
      <c r="D7" s="359">
        <v>7.2099999999999997E-2</v>
      </c>
      <c r="E7" s="359"/>
      <c r="F7" s="359">
        <v>0</v>
      </c>
      <c r="G7" s="359">
        <v>3.0406926896250002E-2</v>
      </c>
      <c r="H7" s="359">
        <v>-3.0406926896250002E-2</v>
      </c>
      <c r="I7" s="360">
        <v>0</v>
      </c>
      <c r="J7" s="361" t="s">
        <v>1</v>
      </c>
    </row>
    <row r="8" spans="1:10" ht="14.4" customHeight="1" x14ac:dyDescent="0.3">
      <c r="A8" s="357" t="s">
        <v>442</v>
      </c>
      <c r="B8" s="358" t="s">
        <v>245</v>
      </c>
      <c r="C8" s="359" t="s">
        <v>444</v>
      </c>
      <c r="D8" s="359">
        <v>0.39415</v>
      </c>
      <c r="E8" s="359"/>
      <c r="F8" s="359">
        <v>0</v>
      </c>
      <c r="G8" s="359">
        <v>0.16448981252791667</v>
      </c>
      <c r="H8" s="359">
        <v>-0.16448981252791667</v>
      </c>
      <c r="I8" s="360">
        <v>0</v>
      </c>
      <c r="J8" s="361" t="s">
        <v>1</v>
      </c>
    </row>
    <row r="9" spans="1:10" ht="14.4" customHeight="1" x14ac:dyDescent="0.3">
      <c r="A9" s="357" t="s">
        <v>442</v>
      </c>
      <c r="B9" s="358" t="s">
        <v>246</v>
      </c>
      <c r="C9" s="359">
        <v>0</v>
      </c>
      <c r="D9" s="359">
        <v>0.43802000000000002</v>
      </c>
      <c r="E9" s="359"/>
      <c r="F9" s="359">
        <v>0</v>
      </c>
      <c r="G9" s="359">
        <v>0.17460958899166668</v>
      </c>
      <c r="H9" s="359">
        <v>-0.17460958899166668</v>
      </c>
      <c r="I9" s="360">
        <v>0</v>
      </c>
      <c r="J9" s="361" t="s">
        <v>1</v>
      </c>
    </row>
    <row r="10" spans="1:10" ht="14.4" customHeight="1" x14ac:dyDescent="0.3">
      <c r="A10" s="357" t="s">
        <v>442</v>
      </c>
      <c r="B10" s="358" t="s">
        <v>445</v>
      </c>
      <c r="C10" s="359">
        <v>33.417119999999997</v>
      </c>
      <c r="D10" s="359">
        <v>18.95712</v>
      </c>
      <c r="E10" s="359"/>
      <c r="F10" s="359">
        <v>8.8171600000000012</v>
      </c>
      <c r="G10" s="359">
        <v>17.023828939986672</v>
      </c>
      <c r="H10" s="359">
        <v>-8.2066689399866704</v>
      </c>
      <c r="I10" s="360">
        <v>0.51793048620746451</v>
      </c>
      <c r="J10" s="361" t="s">
        <v>446</v>
      </c>
    </row>
    <row r="12" spans="1:10" ht="14.4" customHeight="1" x14ac:dyDescent="0.3">
      <c r="A12" s="357" t="s">
        <v>442</v>
      </c>
      <c r="B12" s="358" t="s">
        <v>443</v>
      </c>
      <c r="C12" s="359" t="s">
        <v>444</v>
      </c>
      <c r="D12" s="359" t="s">
        <v>444</v>
      </c>
      <c r="E12" s="359"/>
      <c r="F12" s="359" t="s">
        <v>444</v>
      </c>
      <c r="G12" s="359" t="s">
        <v>444</v>
      </c>
      <c r="H12" s="359" t="s">
        <v>444</v>
      </c>
      <c r="I12" s="360" t="s">
        <v>444</v>
      </c>
      <c r="J12" s="361" t="s">
        <v>55</v>
      </c>
    </row>
    <row r="13" spans="1:10" ht="14.4" customHeight="1" x14ac:dyDescent="0.3">
      <c r="A13" s="357" t="s">
        <v>447</v>
      </c>
      <c r="B13" s="358" t="s">
        <v>448</v>
      </c>
      <c r="C13" s="359" t="s">
        <v>444</v>
      </c>
      <c r="D13" s="359" t="s">
        <v>444</v>
      </c>
      <c r="E13" s="359"/>
      <c r="F13" s="359" t="s">
        <v>444</v>
      </c>
      <c r="G13" s="359" t="s">
        <v>444</v>
      </c>
      <c r="H13" s="359" t="s">
        <v>444</v>
      </c>
      <c r="I13" s="360" t="s">
        <v>444</v>
      </c>
      <c r="J13" s="361" t="s">
        <v>0</v>
      </c>
    </row>
    <row r="14" spans="1:10" ht="14.4" customHeight="1" x14ac:dyDescent="0.3">
      <c r="A14" s="357" t="s">
        <v>447</v>
      </c>
      <c r="B14" s="358" t="s">
        <v>243</v>
      </c>
      <c r="C14" s="359">
        <v>33.417119999999997</v>
      </c>
      <c r="D14" s="359">
        <v>18.052849999999999</v>
      </c>
      <c r="E14" s="359"/>
      <c r="F14" s="359">
        <v>8.8171600000000012</v>
      </c>
      <c r="G14" s="359">
        <v>16.654322611570834</v>
      </c>
      <c r="H14" s="359">
        <v>-7.8371626115708324</v>
      </c>
      <c r="I14" s="360">
        <v>0.52942171264739102</v>
      </c>
      <c r="J14" s="361" t="s">
        <v>1</v>
      </c>
    </row>
    <row r="15" spans="1:10" ht="14.4" customHeight="1" x14ac:dyDescent="0.3">
      <c r="A15" s="357" t="s">
        <v>447</v>
      </c>
      <c r="B15" s="358" t="s">
        <v>244</v>
      </c>
      <c r="C15" s="359" t="s">
        <v>444</v>
      </c>
      <c r="D15" s="359">
        <v>7.2099999999999997E-2</v>
      </c>
      <c r="E15" s="359"/>
      <c r="F15" s="359">
        <v>0</v>
      </c>
      <c r="G15" s="359">
        <v>3.0406926896250002E-2</v>
      </c>
      <c r="H15" s="359">
        <v>-3.0406926896250002E-2</v>
      </c>
      <c r="I15" s="360">
        <v>0</v>
      </c>
      <c r="J15" s="361" t="s">
        <v>1</v>
      </c>
    </row>
    <row r="16" spans="1:10" ht="14.4" customHeight="1" x14ac:dyDescent="0.3">
      <c r="A16" s="357" t="s">
        <v>447</v>
      </c>
      <c r="B16" s="358" t="s">
        <v>245</v>
      </c>
      <c r="C16" s="359" t="s">
        <v>444</v>
      </c>
      <c r="D16" s="359">
        <v>0.39415</v>
      </c>
      <c r="E16" s="359"/>
      <c r="F16" s="359">
        <v>0</v>
      </c>
      <c r="G16" s="359">
        <v>0.16448981252791667</v>
      </c>
      <c r="H16" s="359">
        <v>-0.16448981252791667</v>
      </c>
      <c r="I16" s="360">
        <v>0</v>
      </c>
      <c r="J16" s="361" t="s">
        <v>1</v>
      </c>
    </row>
    <row r="17" spans="1:10" ht="14.4" customHeight="1" x14ac:dyDescent="0.3">
      <c r="A17" s="357" t="s">
        <v>447</v>
      </c>
      <c r="B17" s="358" t="s">
        <v>246</v>
      </c>
      <c r="C17" s="359">
        <v>0</v>
      </c>
      <c r="D17" s="359">
        <v>0.43802000000000002</v>
      </c>
      <c r="E17" s="359"/>
      <c r="F17" s="359">
        <v>0</v>
      </c>
      <c r="G17" s="359">
        <v>0.17460958899166668</v>
      </c>
      <c r="H17" s="359">
        <v>-0.17460958899166668</v>
      </c>
      <c r="I17" s="360">
        <v>0</v>
      </c>
      <c r="J17" s="361" t="s">
        <v>1</v>
      </c>
    </row>
    <row r="18" spans="1:10" ht="14.4" customHeight="1" x14ac:dyDescent="0.3">
      <c r="A18" s="357" t="s">
        <v>447</v>
      </c>
      <c r="B18" s="358" t="s">
        <v>449</v>
      </c>
      <c r="C18" s="359">
        <v>33.417119999999997</v>
      </c>
      <c r="D18" s="359">
        <v>18.95712</v>
      </c>
      <c r="E18" s="359"/>
      <c r="F18" s="359">
        <v>8.8171600000000012</v>
      </c>
      <c r="G18" s="359">
        <v>17.023828939986672</v>
      </c>
      <c r="H18" s="359">
        <v>-8.2066689399866704</v>
      </c>
      <c r="I18" s="360">
        <v>0.51793048620746451</v>
      </c>
      <c r="J18" s="361" t="s">
        <v>450</v>
      </c>
    </row>
    <row r="19" spans="1:10" ht="14.4" customHeight="1" x14ac:dyDescent="0.3">
      <c r="A19" s="357" t="s">
        <v>444</v>
      </c>
      <c r="B19" s="358" t="s">
        <v>444</v>
      </c>
      <c r="C19" s="359" t="s">
        <v>444</v>
      </c>
      <c r="D19" s="359" t="s">
        <v>444</v>
      </c>
      <c r="E19" s="359"/>
      <c r="F19" s="359" t="s">
        <v>444</v>
      </c>
      <c r="G19" s="359" t="s">
        <v>444</v>
      </c>
      <c r="H19" s="359" t="s">
        <v>444</v>
      </c>
      <c r="I19" s="360" t="s">
        <v>444</v>
      </c>
      <c r="J19" s="361" t="s">
        <v>451</v>
      </c>
    </row>
    <row r="20" spans="1:10" ht="14.4" customHeight="1" x14ac:dyDescent="0.3">
      <c r="A20" s="357" t="s">
        <v>442</v>
      </c>
      <c r="B20" s="358" t="s">
        <v>445</v>
      </c>
      <c r="C20" s="359">
        <v>33.417119999999997</v>
      </c>
      <c r="D20" s="359">
        <v>18.95712</v>
      </c>
      <c r="E20" s="359"/>
      <c r="F20" s="359">
        <v>8.8171600000000012</v>
      </c>
      <c r="G20" s="359">
        <v>17.023828939986672</v>
      </c>
      <c r="H20" s="359">
        <v>-8.2066689399866704</v>
      </c>
      <c r="I20" s="360">
        <v>0.51793048620746451</v>
      </c>
      <c r="J20" s="361" t="s">
        <v>446</v>
      </c>
    </row>
  </sheetData>
  <mergeCells count="3">
    <mergeCell ref="F3:I3"/>
    <mergeCell ref="C4:D4"/>
    <mergeCell ref="A1:I1"/>
  </mergeCells>
  <conditionalFormatting sqref="F11 F21:F65537">
    <cfRule type="cellIs" dxfId="34" priority="18" stopIfTrue="1" operator="greaterThan">
      <formula>1</formula>
    </cfRule>
  </conditionalFormatting>
  <conditionalFormatting sqref="H5:H10">
    <cfRule type="expression" dxfId="33" priority="14">
      <formula>$H5&gt;0</formula>
    </cfRule>
  </conditionalFormatting>
  <conditionalFormatting sqref="I5:I10">
    <cfRule type="expression" dxfId="32" priority="15">
      <formula>$I5&gt;1</formula>
    </cfRule>
  </conditionalFormatting>
  <conditionalFormatting sqref="B5:B10">
    <cfRule type="expression" dxfId="31" priority="11">
      <formula>OR($J5="NS",$J5="SumaNS",$J5="Účet")</formula>
    </cfRule>
  </conditionalFormatting>
  <conditionalFormatting sqref="B5:D10 F5:I10">
    <cfRule type="expression" dxfId="30" priority="17">
      <formula>AND($J5&lt;&gt;"",$J5&lt;&gt;"mezeraKL")</formula>
    </cfRule>
  </conditionalFormatting>
  <conditionalFormatting sqref="B5:D10 F5:I10">
    <cfRule type="expression" dxfId="29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28" priority="13">
      <formula>OR($J5="SumaNS",$J5="NS")</formula>
    </cfRule>
  </conditionalFormatting>
  <conditionalFormatting sqref="A5:A10">
    <cfRule type="expression" dxfId="27" priority="9">
      <formula>AND($J5&lt;&gt;"mezeraKL",$J5&lt;&gt;"")</formula>
    </cfRule>
  </conditionalFormatting>
  <conditionalFormatting sqref="A5:A10">
    <cfRule type="expression" dxfId="26" priority="10">
      <formula>AND($J5&lt;&gt;"",$J5&lt;&gt;"mezeraKL")</formula>
    </cfRule>
  </conditionalFormatting>
  <conditionalFormatting sqref="H12:H20">
    <cfRule type="expression" dxfId="25" priority="5">
      <formula>$H12&gt;0</formula>
    </cfRule>
  </conditionalFormatting>
  <conditionalFormatting sqref="A12:A20">
    <cfRule type="expression" dxfId="24" priority="2">
      <formula>AND($J12&lt;&gt;"mezeraKL",$J12&lt;&gt;"")</formula>
    </cfRule>
  </conditionalFormatting>
  <conditionalFormatting sqref="I12:I20">
    <cfRule type="expression" dxfId="23" priority="6">
      <formula>$I12&gt;1</formula>
    </cfRule>
  </conditionalFormatting>
  <conditionalFormatting sqref="B12:B20">
    <cfRule type="expression" dxfId="22" priority="1">
      <formula>OR($J12="NS",$J12="SumaNS",$J12="Účet")</formula>
    </cfRule>
  </conditionalFormatting>
  <conditionalFormatting sqref="A12:D20 F12:I20">
    <cfRule type="expression" dxfId="21" priority="8">
      <formula>AND($J12&lt;&gt;"",$J12&lt;&gt;"mezeraKL")</formula>
    </cfRule>
  </conditionalFormatting>
  <conditionalFormatting sqref="B12:D20 F12:I20">
    <cfRule type="expression" dxfId="20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0 F12:I20">
    <cfRule type="expression" dxfId="19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2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05" hidden="1" customWidth="1" outlineLevel="1"/>
    <col min="2" max="2" width="28.33203125" style="105" hidden="1" customWidth="1" outlineLevel="1"/>
    <col min="3" max="3" width="5.33203125" style="183" bestFit="1" customWidth="1" collapsed="1"/>
    <col min="4" max="4" width="18.77734375" style="187" customWidth="1"/>
    <col min="5" max="5" width="9" style="183" bestFit="1" customWidth="1"/>
    <col min="6" max="6" width="18.77734375" style="187" customWidth="1"/>
    <col min="7" max="7" width="5" style="183" customWidth="1"/>
    <col min="8" max="8" width="12.44140625" style="183" hidden="1" customWidth="1" outlineLevel="1"/>
    <col min="9" max="9" width="8.5546875" style="183" hidden="1" customWidth="1" outlineLevel="1"/>
    <col min="10" max="10" width="25.77734375" style="183" customWidth="1" collapsed="1"/>
    <col min="11" max="11" width="8.77734375" style="183" customWidth="1"/>
    <col min="12" max="13" width="7.77734375" style="181" customWidth="1"/>
    <col min="14" max="14" width="11.109375" style="181" customWidth="1"/>
    <col min="15" max="16384" width="8.88671875" style="105"/>
  </cols>
  <sheetData>
    <row r="1" spans="1:14" ht="18.600000000000001" customHeight="1" thickBot="1" x14ac:dyDescent="0.4">
      <c r="A1" s="308" t="s">
        <v>133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</row>
    <row r="2" spans="1:14" ht="14.4" customHeight="1" thickBot="1" x14ac:dyDescent="0.35">
      <c r="A2" s="202" t="s">
        <v>233</v>
      </c>
      <c r="B2" s="57"/>
      <c r="C2" s="185"/>
      <c r="D2" s="185"/>
      <c r="E2" s="185"/>
      <c r="F2" s="185"/>
      <c r="G2" s="185"/>
      <c r="H2" s="185"/>
      <c r="I2" s="185"/>
      <c r="J2" s="185"/>
      <c r="K2" s="185"/>
      <c r="L2" s="186"/>
      <c r="M2" s="186"/>
      <c r="N2" s="186"/>
    </row>
    <row r="3" spans="1:14" ht="14.4" customHeight="1" thickBot="1" x14ac:dyDescent="0.35">
      <c r="A3" s="57"/>
      <c r="B3" s="57"/>
      <c r="C3" s="304"/>
      <c r="D3" s="305"/>
      <c r="E3" s="305"/>
      <c r="F3" s="305"/>
      <c r="G3" s="305"/>
      <c r="H3" s="305"/>
      <c r="I3" s="305"/>
      <c r="J3" s="306" t="s">
        <v>113</v>
      </c>
      <c r="K3" s="307"/>
      <c r="L3" s="74">
        <f>IF(M3&lt;&gt;0,N3/M3,0)</f>
        <v>120.73329152097993</v>
      </c>
      <c r="M3" s="74">
        <f>SUBTOTAL(9,M5:M1048576)</f>
        <v>73.03</v>
      </c>
      <c r="N3" s="75">
        <f>SUBTOTAL(9,N5:N1048576)</f>
        <v>8817.1522797771649</v>
      </c>
    </row>
    <row r="4" spans="1:14" s="182" customFormat="1" ht="14.4" customHeight="1" thickBot="1" x14ac:dyDescent="0.35">
      <c r="A4" s="362" t="s">
        <v>4</v>
      </c>
      <c r="B4" s="363" t="s">
        <v>5</v>
      </c>
      <c r="C4" s="363" t="s">
        <v>0</v>
      </c>
      <c r="D4" s="363" t="s">
        <v>6</v>
      </c>
      <c r="E4" s="363" t="s">
        <v>7</v>
      </c>
      <c r="F4" s="363" t="s">
        <v>1</v>
      </c>
      <c r="G4" s="363" t="s">
        <v>8</v>
      </c>
      <c r="H4" s="363" t="s">
        <v>9</v>
      </c>
      <c r="I4" s="363" t="s">
        <v>10</v>
      </c>
      <c r="J4" s="364" t="s">
        <v>11</v>
      </c>
      <c r="K4" s="364" t="s">
        <v>12</v>
      </c>
      <c r="L4" s="365" t="s">
        <v>119</v>
      </c>
      <c r="M4" s="365" t="s">
        <v>13</v>
      </c>
      <c r="N4" s="366" t="s">
        <v>127</v>
      </c>
    </row>
    <row r="5" spans="1:14" ht="14.4" customHeight="1" x14ac:dyDescent="0.3">
      <c r="A5" s="367" t="s">
        <v>442</v>
      </c>
      <c r="B5" s="368" t="s">
        <v>443</v>
      </c>
      <c r="C5" s="369" t="s">
        <v>447</v>
      </c>
      <c r="D5" s="370" t="s">
        <v>480</v>
      </c>
      <c r="E5" s="369" t="s">
        <v>452</v>
      </c>
      <c r="F5" s="370" t="s">
        <v>481</v>
      </c>
      <c r="G5" s="369" t="s">
        <v>453</v>
      </c>
      <c r="H5" s="369" t="s">
        <v>454</v>
      </c>
      <c r="I5" s="369" t="s">
        <v>455</v>
      </c>
      <c r="J5" s="369" t="s">
        <v>456</v>
      </c>
      <c r="K5" s="369" t="s">
        <v>457</v>
      </c>
      <c r="L5" s="371">
        <v>141.51170878253498</v>
      </c>
      <c r="M5" s="371">
        <v>4</v>
      </c>
      <c r="N5" s="372">
        <v>566.04683513013993</v>
      </c>
    </row>
    <row r="6" spans="1:14" ht="14.4" customHeight="1" x14ac:dyDescent="0.3">
      <c r="A6" s="373" t="s">
        <v>442</v>
      </c>
      <c r="B6" s="374" t="s">
        <v>443</v>
      </c>
      <c r="C6" s="375" t="s">
        <v>447</v>
      </c>
      <c r="D6" s="376" t="s">
        <v>480</v>
      </c>
      <c r="E6" s="375" t="s">
        <v>452</v>
      </c>
      <c r="F6" s="376" t="s">
        <v>481</v>
      </c>
      <c r="G6" s="375" t="s">
        <v>453</v>
      </c>
      <c r="H6" s="375" t="s">
        <v>458</v>
      </c>
      <c r="I6" s="375" t="s">
        <v>459</v>
      </c>
      <c r="J6" s="375" t="s">
        <v>460</v>
      </c>
      <c r="K6" s="375" t="s">
        <v>461</v>
      </c>
      <c r="L6" s="377">
        <v>47.36</v>
      </c>
      <c r="M6" s="377">
        <v>1</v>
      </c>
      <c r="N6" s="378">
        <v>47.36</v>
      </c>
    </row>
    <row r="7" spans="1:14" ht="14.4" customHeight="1" x14ac:dyDescent="0.3">
      <c r="A7" s="373" t="s">
        <v>442</v>
      </c>
      <c r="B7" s="374" t="s">
        <v>443</v>
      </c>
      <c r="C7" s="375" t="s">
        <v>447</v>
      </c>
      <c r="D7" s="376" t="s">
        <v>480</v>
      </c>
      <c r="E7" s="375" t="s">
        <v>452</v>
      </c>
      <c r="F7" s="376" t="s">
        <v>481</v>
      </c>
      <c r="G7" s="375" t="s">
        <v>453</v>
      </c>
      <c r="H7" s="375" t="s">
        <v>462</v>
      </c>
      <c r="I7" s="375" t="s">
        <v>156</v>
      </c>
      <c r="J7" s="375" t="s">
        <v>463</v>
      </c>
      <c r="K7" s="375"/>
      <c r="L7" s="377">
        <v>414.33534289455645</v>
      </c>
      <c r="M7" s="377">
        <v>10</v>
      </c>
      <c r="N7" s="378">
        <v>4143.3534289455647</v>
      </c>
    </row>
    <row r="8" spans="1:14" ht="14.4" customHeight="1" x14ac:dyDescent="0.3">
      <c r="A8" s="373" t="s">
        <v>442</v>
      </c>
      <c r="B8" s="374" t="s">
        <v>443</v>
      </c>
      <c r="C8" s="375" t="s">
        <v>447</v>
      </c>
      <c r="D8" s="376" t="s">
        <v>480</v>
      </c>
      <c r="E8" s="375" t="s">
        <v>452</v>
      </c>
      <c r="F8" s="376" t="s">
        <v>481</v>
      </c>
      <c r="G8" s="375" t="s">
        <v>453</v>
      </c>
      <c r="H8" s="375" t="s">
        <v>464</v>
      </c>
      <c r="I8" s="375" t="s">
        <v>156</v>
      </c>
      <c r="J8" s="375" t="s">
        <v>465</v>
      </c>
      <c r="K8" s="375" t="s">
        <v>466</v>
      </c>
      <c r="L8" s="377">
        <v>8.7999999999999972</v>
      </c>
      <c r="M8" s="377">
        <v>50</v>
      </c>
      <c r="N8" s="378">
        <v>439.99999999999989</v>
      </c>
    </row>
    <row r="9" spans="1:14" ht="14.4" customHeight="1" x14ac:dyDescent="0.3">
      <c r="A9" s="373" t="s">
        <v>442</v>
      </c>
      <c r="B9" s="374" t="s">
        <v>443</v>
      </c>
      <c r="C9" s="375" t="s">
        <v>447</v>
      </c>
      <c r="D9" s="376" t="s">
        <v>480</v>
      </c>
      <c r="E9" s="375" t="s">
        <v>452</v>
      </c>
      <c r="F9" s="376" t="s">
        <v>481</v>
      </c>
      <c r="G9" s="375" t="s">
        <v>453</v>
      </c>
      <c r="H9" s="375" t="s">
        <v>467</v>
      </c>
      <c r="I9" s="375" t="s">
        <v>468</v>
      </c>
      <c r="J9" s="375" t="s">
        <v>469</v>
      </c>
      <c r="K9" s="375" t="s">
        <v>470</v>
      </c>
      <c r="L9" s="377">
        <v>56336.89</v>
      </c>
      <c r="M9" s="377">
        <v>0.03</v>
      </c>
      <c r="N9" s="378">
        <v>1690.1066999999998</v>
      </c>
    </row>
    <row r="10" spans="1:14" ht="14.4" customHeight="1" x14ac:dyDescent="0.3">
      <c r="A10" s="373" t="s">
        <v>442</v>
      </c>
      <c r="B10" s="374" t="s">
        <v>443</v>
      </c>
      <c r="C10" s="375" t="s">
        <v>447</v>
      </c>
      <c r="D10" s="376" t="s">
        <v>480</v>
      </c>
      <c r="E10" s="375" t="s">
        <v>452</v>
      </c>
      <c r="F10" s="376" t="s">
        <v>481</v>
      </c>
      <c r="G10" s="375" t="s">
        <v>453</v>
      </c>
      <c r="H10" s="375" t="s">
        <v>471</v>
      </c>
      <c r="I10" s="375" t="s">
        <v>156</v>
      </c>
      <c r="J10" s="375" t="s">
        <v>472</v>
      </c>
      <c r="K10" s="375" t="s">
        <v>473</v>
      </c>
      <c r="L10" s="377">
        <v>85.873632568194211</v>
      </c>
      <c r="M10" s="377">
        <v>2</v>
      </c>
      <c r="N10" s="378">
        <v>171.74726513638842</v>
      </c>
    </row>
    <row r="11" spans="1:14" ht="14.4" customHeight="1" x14ac:dyDescent="0.3">
      <c r="A11" s="373" t="s">
        <v>442</v>
      </c>
      <c r="B11" s="374" t="s">
        <v>443</v>
      </c>
      <c r="C11" s="375" t="s">
        <v>447</v>
      </c>
      <c r="D11" s="376" t="s">
        <v>480</v>
      </c>
      <c r="E11" s="375" t="s">
        <v>452</v>
      </c>
      <c r="F11" s="376" t="s">
        <v>481</v>
      </c>
      <c r="G11" s="375" t="s">
        <v>453</v>
      </c>
      <c r="H11" s="375" t="s">
        <v>474</v>
      </c>
      <c r="I11" s="375" t="s">
        <v>156</v>
      </c>
      <c r="J11" s="375" t="s">
        <v>475</v>
      </c>
      <c r="K11" s="375" t="s">
        <v>476</v>
      </c>
      <c r="L11" s="377">
        <v>344.85</v>
      </c>
      <c r="M11" s="377">
        <v>5</v>
      </c>
      <c r="N11" s="378">
        <v>1724.25</v>
      </c>
    </row>
    <row r="12" spans="1:14" ht="14.4" customHeight="1" thickBot="1" x14ac:dyDescent="0.35">
      <c r="A12" s="379" t="s">
        <v>442</v>
      </c>
      <c r="B12" s="380" t="s">
        <v>443</v>
      </c>
      <c r="C12" s="381" t="s">
        <v>447</v>
      </c>
      <c r="D12" s="382" t="s">
        <v>480</v>
      </c>
      <c r="E12" s="381" t="s">
        <v>452</v>
      </c>
      <c r="F12" s="382" t="s">
        <v>481</v>
      </c>
      <c r="G12" s="381" t="s">
        <v>453</v>
      </c>
      <c r="H12" s="381" t="s">
        <v>477</v>
      </c>
      <c r="I12" s="381" t="s">
        <v>156</v>
      </c>
      <c r="J12" s="381" t="s">
        <v>478</v>
      </c>
      <c r="K12" s="381" t="s">
        <v>479</v>
      </c>
      <c r="L12" s="383">
        <v>34.288050565072652</v>
      </c>
      <c r="M12" s="383">
        <v>1</v>
      </c>
      <c r="N12" s="384">
        <v>34.288050565072652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82" customWidth="1"/>
    <col min="2" max="2" width="61.109375" style="182" customWidth="1"/>
    <col min="3" max="3" width="9.5546875" style="105" customWidth="1"/>
    <col min="4" max="4" width="9.5546875" style="183" customWidth="1"/>
    <col min="5" max="5" width="2.21875" style="183" customWidth="1"/>
    <col min="6" max="6" width="9.5546875" style="184" customWidth="1"/>
    <col min="7" max="7" width="9.5546875" style="181" customWidth="1"/>
    <col min="8" max="9" width="9.5546875" style="105" customWidth="1"/>
    <col min="10" max="10" width="0" style="105" hidden="1" customWidth="1"/>
    <col min="11" max="16384" width="8.88671875" style="105"/>
  </cols>
  <sheetData>
    <row r="1" spans="1:10" ht="18.600000000000001" customHeight="1" thickBot="1" x14ac:dyDescent="0.4">
      <c r="A1" s="301" t="s">
        <v>116</v>
      </c>
      <c r="B1" s="302"/>
      <c r="C1" s="302"/>
      <c r="D1" s="302"/>
      <c r="E1" s="302"/>
      <c r="F1" s="302"/>
      <c r="G1" s="273"/>
      <c r="H1" s="303"/>
      <c r="I1" s="303"/>
    </row>
    <row r="2" spans="1:10" ht="14.4" customHeight="1" thickBot="1" x14ac:dyDescent="0.35">
      <c r="A2" s="202" t="s">
        <v>233</v>
      </c>
      <c r="B2" s="180"/>
      <c r="C2" s="180"/>
      <c r="D2" s="180"/>
      <c r="E2" s="180"/>
      <c r="F2" s="180"/>
    </row>
    <row r="3" spans="1:10" ht="14.4" customHeight="1" thickBot="1" x14ac:dyDescent="0.35">
      <c r="A3" s="202"/>
      <c r="B3" s="180"/>
      <c r="C3" s="260">
        <v>2012</v>
      </c>
      <c r="D3" s="261">
        <v>2013</v>
      </c>
      <c r="E3" s="7"/>
      <c r="F3" s="296">
        <v>2014</v>
      </c>
      <c r="G3" s="297"/>
      <c r="H3" s="297"/>
      <c r="I3" s="298"/>
    </row>
    <row r="4" spans="1:10" ht="14.4" customHeight="1" thickBot="1" x14ac:dyDescent="0.35">
      <c r="A4" s="265" t="s">
        <v>0</v>
      </c>
      <c r="B4" s="266" t="s">
        <v>232</v>
      </c>
      <c r="C4" s="299" t="s">
        <v>59</v>
      </c>
      <c r="D4" s="300"/>
      <c r="E4" s="267"/>
      <c r="F4" s="262" t="s">
        <v>59</v>
      </c>
      <c r="G4" s="263" t="s">
        <v>60</v>
      </c>
      <c r="H4" s="263" t="s">
        <v>54</v>
      </c>
      <c r="I4" s="264" t="s">
        <v>61</v>
      </c>
    </row>
    <row r="5" spans="1:10" ht="14.4" customHeight="1" x14ac:dyDescent="0.3">
      <c r="A5" s="357" t="s">
        <v>442</v>
      </c>
      <c r="B5" s="358" t="s">
        <v>443</v>
      </c>
      <c r="C5" s="359" t="s">
        <v>444</v>
      </c>
      <c r="D5" s="359" t="s">
        <v>444</v>
      </c>
      <c r="E5" s="359"/>
      <c r="F5" s="359" t="s">
        <v>444</v>
      </c>
      <c r="G5" s="359" t="s">
        <v>444</v>
      </c>
      <c r="H5" s="359" t="s">
        <v>444</v>
      </c>
      <c r="I5" s="360" t="s">
        <v>444</v>
      </c>
      <c r="J5" s="361" t="s">
        <v>55</v>
      </c>
    </row>
    <row r="6" spans="1:10" ht="14.4" customHeight="1" x14ac:dyDescent="0.3">
      <c r="A6" s="357" t="s">
        <v>442</v>
      </c>
      <c r="B6" s="358" t="s">
        <v>248</v>
      </c>
      <c r="C6" s="359">
        <v>237.87291999999999</v>
      </c>
      <c r="D6" s="359">
        <v>392.70429000000001</v>
      </c>
      <c r="E6" s="359"/>
      <c r="F6" s="359">
        <v>320.87612999999999</v>
      </c>
      <c r="G6" s="359">
        <v>402.40647795665916</v>
      </c>
      <c r="H6" s="359">
        <v>-81.53034795665917</v>
      </c>
      <c r="I6" s="360">
        <v>0.79739305298797813</v>
      </c>
      <c r="J6" s="361" t="s">
        <v>1</v>
      </c>
    </row>
    <row r="7" spans="1:10" ht="14.4" customHeight="1" x14ac:dyDescent="0.3">
      <c r="A7" s="357" t="s">
        <v>442</v>
      </c>
      <c r="B7" s="358" t="s">
        <v>249</v>
      </c>
      <c r="C7" s="359">
        <v>10.440020000000001</v>
      </c>
      <c r="D7" s="359">
        <v>7.9360300000000006</v>
      </c>
      <c r="E7" s="359"/>
      <c r="F7" s="359">
        <v>11.41924</v>
      </c>
      <c r="G7" s="359">
        <v>13.750869250555418</v>
      </c>
      <c r="H7" s="359">
        <v>-2.3316292505554177</v>
      </c>
      <c r="I7" s="360">
        <v>0.83043768302420307</v>
      </c>
      <c r="J7" s="361" t="s">
        <v>1</v>
      </c>
    </row>
    <row r="8" spans="1:10" ht="14.4" customHeight="1" x14ac:dyDescent="0.3">
      <c r="A8" s="357" t="s">
        <v>442</v>
      </c>
      <c r="B8" s="358" t="s">
        <v>250</v>
      </c>
      <c r="C8" s="359">
        <v>9.9154100000000014</v>
      </c>
      <c r="D8" s="359">
        <v>12.795070000000001</v>
      </c>
      <c r="E8" s="359"/>
      <c r="F8" s="359">
        <v>12.675240000000001</v>
      </c>
      <c r="G8" s="359">
        <v>13.366464773282916</v>
      </c>
      <c r="H8" s="359">
        <v>-0.69122477328291509</v>
      </c>
      <c r="I8" s="360">
        <v>0.94828664235403926</v>
      </c>
      <c r="J8" s="361" t="s">
        <v>1</v>
      </c>
    </row>
    <row r="9" spans="1:10" ht="14.4" customHeight="1" x14ac:dyDescent="0.3">
      <c r="A9" s="357" t="s">
        <v>442</v>
      </c>
      <c r="B9" s="358" t="s">
        <v>251</v>
      </c>
      <c r="C9" s="359">
        <v>54.774210000000004</v>
      </c>
      <c r="D9" s="359">
        <v>39.149649999998999</v>
      </c>
      <c r="E9" s="359"/>
      <c r="F9" s="359">
        <v>64.607519999999994</v>
      </c>
      <c r="G9" s="359">
        <v>49.086477095692501</v>
      </c>
      <c r="H9" s="359">
        <v>15.521042904307492</v>
      </c>
      <c r="I9" s="360">
        <v>1.3161979392827421</v>
      </c>
      <c r="J9" s="361" t="s">
        <v>1</v>
      </c>
    </row>
    <row r="10" spans="1:10" ht="14.4" customHeight="1" x14ac:dyDescent="0.3">
      <c r="A10" s="357" t="s">
        <v>442</v>
      </c>
      <c r="B10" s="358" t="s">
        <v>252</v>
      </c>
      <c r="C10" s="359">
        <v>0.03</v>
      </c>
      <c r="D10" s="359">
        <v>0</v>
      </c>
      <c r="E10" s="359"/>
      <c r="F10" s="359">
        <v>0.41299999999999998</v>
      </c>
      <c r="G10" s="359">
        <v>2.5645394134583333E-2</v>
      </c>
      <c r="H10" s="359">
        <v>0.38735460586541665</v>
      </c>
      <c r="I10" s="360">
        <v>16.104256297744364</v>
      </c>
      <c r="J10" s="361" t="s">
        <v>1</v>
      </c>
    </row>
    <row r="11" spans="1:10" ht="14.4" customHeight="1" x14ac:dyDescent="0.3">
      <c r="A11" s="357" t="s">
        <v>442</v>
      </c>
      <c r="B11" s="358" t="s">
        <v>253</v>
      </c>
      <c r="C11" s="359">
        <v>11.221</v>
      </c>
      <c r="D11" s="359">
        <v>16.910499999999001</v>
      </c>
      <c r="E11" s="359"/>
      <c r="F11" s="359">
        <v>14.682300000000001</v>
      </c>
      <c r="G11" s="359">
        <v>17.3910264916925</v>
      </c>
      <c r="H11" s="359">
        <v>-2.7087264916924987</v>
      </c>
      <c r="I11" s="360">
        <v>0.84424573828425675</v>
      </c>
      <c r="J11" s="361" t="s">
        <v>1</v>
      </c>
    </row>
    <row r="12" spans="1:10" ht="14.4" customHeight="1" x14ac:dyDescent="0.3">
      <c r="A12" s="357" t="s">
        <v>442</v>
      </c>
      <c r="B12" s="358" t="s">
        <v>445</v>
      </c>
      <c r="C12" s="359">
        <v>324.25355999999994</v>
      </c>
      <c r="D12" s="359">
        <v>469.49553999999802</v>
      </c>
      <c r="E12" s="359"/>
      <c r="F12" s="359">
        <v>424.67343</v>
      </c>
      <c r="G12" s="359">
        <v>496.02696096201709</v>
      </c>
      <c r="H12" s="359">
        <v>-71.353530962017089</v>
      </c>
      <c r="I12" s="360">
        <v>0.85614989390167251</v>
      </c>
      <c r="J12" s="361" t="s">
        <v>446</v>
      </c>
    </row>
    <row r="14" spans="1:10" ht="14.4" customHeight="1" x14ac:dyDescent="0.3">
      <c r="A14" s="357" t="s">
        <v>442</v>
      </c>
      <c r="B14" s="358" t="s">
        <v>443</v>
      </c>
      <c r="C14" s="359" t="s">
        <v>444</v>
      </c>
      <c r="D14" s="359" t="s">
        <v>444</v>
      </c>
      <c r="E14" s="359"/>
      <c r="F14" s="359" t="s">
        <v>444</v>
      </c>
      <c r="G14" s="359" t="s">
        <v>444</v>
      </c>
      <c r="H14" s="359" t="s">
        <v>444</v>
      </c>
      <c r="I14" s="360" t="s">
        <v>444</v>
      </c>
      <c r="J14" s="361" t="s">
        <v>55</v>
      </c>
    </row>
    <row r="15" spans="1:10" ht="14.4" customHeight="1" x14ac:dyDescent="0.3">
      <c r="A15" s="357" t="s">
        <v>447</v>
      </c>
      <c r="B15" s="358" t="s">
        <v>448</v>
      </c>
      <c r="C15" s="359" t="s">
        <v>444</v>
      </c>
      <c r="D15" s="359" t="s">
        <v>444</v>
      </c>
      <c r="E15" s="359"/>
      <c r="F15" s="359" t="s">
        <v>444</v>
      </c>
      <c r="G15" s="359" t="s">
        <v>444</v>
      </c>
      <c r="H15" s="359" t="s">
        <v>444</v>
      </c>
      <c r="I15" s="360" t="s">
        <v>444</v>
      </c>
      <c r="J15" s="361" t="s">
        <v>0</v>
      </c>
    </row>
    <row r="16" spans="1:10" ht="14.4" customHeight="1" x14ac:dyDescent="0.3">
      <c r="A16" s="357" t="s">
        <v>447</v>
      </c>
      <c r="B16" s="358" t="s">
        <v>248</v>
      </c>
      <c r="C16" s="359">
        <v>237.87291999999999</v>
      </c>
      <c r="D16" s="359">
        <v>392.70429000000001</v>
      </c>
      <c r="E16" s="359"/>
      <c r="F16" s="359">
        <v>320.87612999999999</v>
      </c>
      <c r="G16" s="359">
        <v>402.40647795665916</v>
      </c>
      <c r="H16" s="359">
        <v>-81.53034795665917</v>
      </c>
      <c r="I16" s="360">
        <v>0.79739305298797813</v>
      </c>
      <c r="J16" s="361" t="s">
        <v>1</v>
      </c>
    </row>
    <row r="17" spans="1:10" ht="14.4" customHeight="1" x14ac:dyDescent="0.3">
      <c r="A17" s="357" t="s">
        <v>447</v>
      </c>
      <c r="B17" s="358" t="s">
        <v>249</v>
      </c>
      <c r="C17" s="359">
        <v>10.440020000000001</v>
      </c>
      <c r="D17" s="359">
        <v>7.9360300000000006</v>
      </c>
      <c r="E17" s="359"/>
      <c r="F17" s="359">
        <v>11.41924</v>
      </c>
      <c r="G17" s="359">
        <v>13.750869250555418</v>
      </c>
      <c r="H17" s="359">
        <v>-2.3316292505554177</v>
      </c>
      <c r="I17" s="360">
        <v>0.83043768302420307</v>
      </c>
      <c r="J17" s="361" t="s">
        <v>1</v>
      </c>
    </row>
    <row r="18" spans="1:10" ht="14.4" customHeight="1" x14ac:dyDescent="0.3">
      <c r="A18" s="357" t="s">
        <v>447</v>
      </c>
      <c r="B18" s="358" t="s">
        <v>250</v>
      </c>
      <c r="C18" s="359">
        <v>9.9154100000000014</v>
      </c>
      <c r="D18" s="359">
        <v>12.795070000000001</v>
      </c>
      <c r="E18" s="359"/>
      <c r="F18" s="359">
        <v>12.675240000000001</v>
      </c>
      <c r="G18" s="359">
        <v>13.366464773282916</v>
      </c>
      <c r="H18" s="359">
        <v>-0.69122477328291509</v>
      </c>
      <c r="I18" s="360">
        <v>0.94828664235403926</v>
      </c>
      <c r="J18" s="361" t="s">
        <v>1</v>
      </c>
    </row>
    <row r="19" spans="1:10" ht="14.4" customHeight="1" x14ac:dyDescent="0.3">
      <c r="A19" s="357" t="s">
        <v>447</v>
      </c>
      <c r="B19" s="358" t="s">
        <v>251</v>
      </c>
      <c r="C19" s="359">
        <v>54.774210000000004</v>
      </c>
      <c r="D19" s="359">
        <v>39.149649999998999</v>
      </c>
      <c r="E19" s="359"/>
      <c r="F19" s="359">
        <v>64.607519999999994</v>
      </c>
      <c r="G19" s="359">
        <v>49.086477095692501</v>
      </c>
      <c r="H19" s="359">
        <v>15.521042904307492</v>
      </c>
      <c r="I19" s="360">
        <v>1.3161979392827421</v>
      </c>
      <c r="J19" s="361" t="s">
        <v>1</v>
      </c>
    </row>
    <row r="20" spans="1:10" ht="14.4" customHeight="1" x14ac:dyDescent="0.3">
      <c r="A20" s="357" t="s">
        <v>447</v>
      </c>
      <c r="B20" s="358" t="s">
        <v>252</v>
      </c>
      <c r="C20" s="359">
        <v>0.03</v>
      </c>
      <c r="D20" s="359">
        <v>0</v>
      </c>
      <c r="E20" s="359"/>
      <c r="F20" s="359">
        <v>0.41299999999999998</v>
      </c>
      <c r="G20" s="359">
        <v>2.5645394134583333E-2</v>
      </c>
      <c r="H20" s="359">
        <v>0.38735460586541665</v>
      </c>
      <c r="I20" s="360">
        <v>16.104256297744364</v>
      </c>
      <c r="J20" s="361" t="s">
        <v>1</v>
      </c>
    </row>
    <row r="21" spans="1:10" ht="14.4" customHeight="1" x14ac:dyDescent="0.3">
      <c r="A21" s="357" t="s">
        <v>447</v>
      </c>
      <c r="B21" s="358" t="s">
        <v>253</v>
      </c>
      <c r="C21" s="359">
        <v>11.221</v>
      </c>
      <c r="D21" s="359">
        <v>16.910499999999001</v>
      </c>
      <c r="E21" s="359"/>
      <c r="F21" s="359">
        <v>14.682300000000001</v>
      </c>
      <c r="G21" s="359">
        <v>17.3910264916925</v>
      </c>
      <c r="H21" s="359">
        <v>-2.7087264916924987</v>
      </c>
      <c r="I21" s="360">
        <v>0.84424573828425675</v>
      </c>
      <c r="J21" s="361" t="s">
        <v>1</v>
      </c>
    </row>
    <row r="22" spans="1:10" ht="14.4" customHeight="1" x14ac:dyDescent="0.3">
      <c r="A22" s="357" t="s">
        <v>447</v>
      </c>
      <c r="B22" s="358" t="s">
        <v>449</v>
      </c>
      <c r="C22" s="359">
        <v>324.25355999999994</v>
      </c>
      <c r="D22" s="359">
        <v>469.49553999999802</v>
      </c>
      <c r="E22" s="359"/>
      <c r="F22" s="359">
        <v>424.67343</v>
      </c>
      <c r="G22" s="359">
        <v>496.02696096201709</v>
      </c>
      <c r="H22" s="359">
        <v>-71.353530962017089</v>
      </c>
      <c r="I22" s="360">
        <v>0.85614989390167251</v>
      </c>
      <c r="J22" s="361" t="s">
        <v>450</v>
      </c>
    </row>
    <row r="23" spans="1:10" ht="14.4" customHeight="1" x14ac:dyDescent="0.3">
      <c r="A23" s="357" t="s">
        <v>444</v>
      </c>
      <c r="B23" s="358" t="s">
        <v>444</v>
      </c>
      <c r="C23" s="359" t="s">
        <v>444</v>
      </c>
      <c r="D23" s="359" t="s">
        <v>444</v>
      </c>
      <c r="E23" s="359"/>
      <c r="F23" s="359" t="s">
        <v>444</v>
      </c>
      <c r="G23" s="359" t="s">
        <v>444</v>
      </c>
      <c r="H23" s="359" t="s">
        <v>444</v>
      </c>
      <c r="I23" s="360" t="s">
        <v>444</v>
      </c>
      <c r="J23" s="361" t="s">
        <v>451</v>
      </c>
    </row>
    <row r="24" spans="1:10" ht="14.4" customHeight="1" x14ac:dyDescent="0.3">
      <c r="A24" s="357" t="s">
        <v>442</v>
      </c>
      <c r="B24" s="358" t="s">
        <v>445</v>
      </c>
      <c r="C24" s="359">
        <v>324.25355999999994</v>
      </c>
      <c r="D24" s="359">
        <v>469.49553999999802</v>
      </c>
      <c r="E24" s="359"/>
      <c r="F24" s="359">
        <v>424.67343</v>
      </c>
      <c r="G24" s="359">
        <v>496.02696096201709</v>
      </c>
      <c r="H24" s="359">
        <v>-71.353530962017089</v>
      </c>
      <c r="I24" s="360">
        <v>0.85614989390167251</v>
      </c>
      <c r="J24" s="361" t="s">
        <v>446</v>
      </c>
    </row>
  </sheetData>
  <mergeCells count="3">
    <mergeCell ref="A1:I1"/>
    <mergeCell ref="F3:I3"/>
    <mergeCell ref="C4:D4"/>
  </mergeCells>
  <conditionalFormatting sqref="F13 F25:F65537">
    <cfRule type="cellIs" dxfId="18" priority="18" stopIfTrue="1" operator="greaterThan">
      <formula>1</formula>
    </cfRule>
  </conditionalFormatting>
  <conditionalFormatting sqref="H5:H12">
    <cfRule type="expression" dxfId="17" priority="14">
      <formula>$H5&gt;0</formula>
    </cfRule>
  </conditionalFormatting>
  <conditionalFormatting sqref="I5:I12">
    <cfRule type="expression" dxfId="16" priority="15">
      <formula>$I5&gt;1</formula>
    </cfRule>
  </conditionalFormatting>
  <conditionalFormatting sqref="B5:B12">
    <cfRule type="expression" dxfId="15" priority="11">
      <formula>OR($J5="NS",$J5="SumaNS",$J5="Účet")</formula>
    </cfRule>
  </conditionalFormatting>
  <conditionalFormatting sqref="F5:I12 B5:D12">
    <cfRule type="expression" dxfId="14" priority="17">
      <formula>AND($J5&lt;&gt;"",$J5&lt;&gt;"mezeraKL")</formula>
    </cfRule>
  </conditionalFormatting>
  <conditionalFormatting sqref="B5:D12 F5:I12">
    <cfRule type="expression" dxfId="13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2" priority="13">
      <formula>OR($J5="SumaNS",$J5="NS")</formula>
    </cfRule>
  </conditionalFormatting>
  <conditionalFormatting sqref="A5:A12">
    <cfRule type="expression" dxfId="11" priority="9">
      <formula>AND($J5&lt;&gt;"mezeraKL",$J5&lt;&gt;"")</formula>
    </cfRule>
  </conditionalFormatting>
  <conditionalFormatting sqref="A5:A12">
    <cfRule type="expression" dxfId="10" priority="10">
      <formula>AND($J5&lt;&gt;"",$J5&lt;&gt;"mezeraKL")</formula>
    </cfRule>
  </conditionalFormatting>
  <conditionalFormatting sqref="H14:H24">
    <cfRule type="expression" dxfId="9" priority="5">
      <formula>$H14&gt;0</formula>
    </cfRule>
  </conditionalFormatting>
  <conditionalFormatting sqref="A14:A24">
    <cfRule type="expression" dxfId="8" priority="2">
      <formula>AND($J14&lt;&gt;"mezeraKL",$J14&lt;&gt;"")</formula>
    </cfRule>
  </conditionalFormatting>
  <conditionalFormatting sqref="I14:I24">
    <cfRule type="expression" dxfId="7" priority="6">
      <formula>$I14&gt;1</formula>
    </cfRule>
  </conditionalFormatting>
  <conditionalFormatting sqref="B14:B24">
    <cfRule type="expression" dxfId="6" priority="1">
      <formula>OR($J14="NS",$J14="SumaNS",$J14="Účet")</formula>
    </cfRule>
  </conditionalFormatting>
  <conditionalFormatting sqref="A14:D24 F14:I24">
    <cfRule type="expression" dxfId="5" priority="8">
      <formula>AND($J14&lt;&gt;"",$J14&lt;&gt;"mezeraKL")</formula>
    </cfRule>
  </conditionalFormatting>
  <conditionalFormatting sqref="B14:D24 F14:I24">
    <cfRule type="expression" dxfId="4" priority="3">
      <formula>OR($J14="KL",$J14="SumaKL")</formula>
    </cfRule>
    <cfRule type="expression" priority="7" stopIfTrue="1">
      <formula>OR($J14="mezeraNS",$J14="mezeraKL")</formula>
    </cfRule>
  </conditionalFormatting>
  <conditionalFormatting sqref="B14:D24 F14:I24">
    <cfRule type="expression" dxfId="3" priority="4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16</vt:i4>
      </vt:variant>
      <vt:variant>
        <vt:lpstr>Pojmenované oblasti</vt:lpstr>
      </vt:variant>
      <vt:variant>
        <vt:i4>1</vt:i4>
      </vt:variant>
    </vt:vector>
  </HeadingPairs>
  <TitlesOfParts>
    <vt:vector size="1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Materiál Žádanky</vt:lpstr>
      <vt:lpstr>MŽ Detail</vt:lpstr>
      <vt:lpstr>Osobní náklady</vt:lpstr>
      <vt:lpstr>ON Data</vt:lpstr>
      <vt:lpstr>ZV Vykáz.-A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2014-04-11T12:47:33Z</cp:lastPrinted>
  <dcterms:created xsi:type="dcterms:W3CDTF">2013-04-17T20:15:29Z</dcterms:created>
  <dcterms:modified xsi:type="dcterms:W3CDTF">2014-06-18T07:48:15Z</dcterms:modified>
</cp:coreProperties>
</file>