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Statim" sheetId="427" r:id="rId8"/>
    <sheet name="Materiál Žádanky" sheetId="420" r:id="rId9"/>
    <sheet name="MŽ Detail" sheetId="403" r:id="rId10"/>
    <sheet name="Osobní náklady" sheetId="419" r:id="rId11"/>
    <sheet name="ON Data" sheetId="418" state="hidden" r:id="rId12"/>
    <sheet name="ZV Vykáz.-A" sheetId="344" r:id="rId13"/>
    <sheet name="ZV Vykáz.-A Lékaři" sheetId="429" r:id="rId14"/>
    <sheet name="ZV Vykáz.-A Detail" sheetId="345" r:id="rId15"/>
    <sheet name="ZV Vykáz.-H" sheetId="410" r:id="rId16"/>
    <sheet name="ZV Vykáz.-H Detail" sheetId="377" r:id="rId17"/>
  </sheets>
  <definedNames>
    <definedName name="_xlnm._FilterDatabase" localSheetId="5" hidden="1">HV!$A$5:$A$5</definedName>
    <definedName name="_xlnm._FilterDatabase" localSheetId="6" hidden="1">'Léky Žádanky'!$A$4:$I$4</definedName>
    <definedName name="_xlnm._FilterDatabase" localSheetId="7" hidden="1">'LŽ Statim'!$A$5:$I$5</definedName>
    <definedName name="_xlnm._FilterDatabase" localSheetId="4" hidden="1">'Man Tab'!$A$5:$A$31</definedName>
    <definedName name="_xlnm._FilterDatabase" localSheetId="8" hidden="1">'Materiál Žádanky'!$A$4:$I$4</definedName>
    <definedName name="_xlnm._FilterDatabase" localSheetId="9" hidden="1">'MŽ Detail'!$A$4:$K$4</definedName>
    <definedName name="_xlnm._FilterDatabase" localSheetId="14" hidden="1">'ZV Vykáz.-A Detail'!$A$5:$P$5</definedName>
    <definedName name="_xlnm._FilterDatabase" localSheetId="13" hidden="1">'ZV Vykáz.-A Lékaři'!$A$4:$A$5</definedName>
    <definedName name="_xlnm._FilterDatabase" localSheetId="16" hidden="1">'ZV Vykáz.-H Detail'!$A$5:$Q$5</definedName>
    <definedName name="doměsíce">'HI Graf'!$C$11</definedName>
  </definedNames>
  <calcPr calcId="152511"/>
</workbook>
</file>

<file path=xl/calcChain.xml><?xml version="1.0" encoding="utf-8"?>
<calcChain xmlns="http://schemas.openxmlformats.org/spreadsheetml/2006/main">
  <c r="AH21" i="419" l="1"/>
  <c r="AG21" i="419"/>
  <c r="AF21" i="419"/>
  <c r="AE21" i="419"/>
  <c r="AD21" i="419"/>
  <c r="AC21" i="419"/>
  <c r="AB21" i="419"/>
  <c r="AA21" i="419"/>
  <c r="Z21" i="419"/>
  <c r="Y21" i="419"/>
  <c r="X21" i="419"/>
  <c r="W21" i="419"/>
  <c r="V21" i="419"/>
  <c r="U21" i="419"/>
  <c r="T21" i="419"/>
  <c r="S21" i="419"/>
  <c r="R21" i="419"/>
  <c r="Q21" i="419"/>
  <c r="P21" i="419"/>
  <c r="O21" i="419"/>
  <c r="N21" i="419"/>
  <c r="M21" i="419"/>
  <c r="L21" i="419"/>
  <c r="K21" i="419"/>
  <c r="J21" i="419"/>
  <c r="I21" i="419"/>
  <c r="H21" i="419"/>
  <c r="G21" i="419"/>
  <c r="F21" i="419"/>
  <c r="E21" i="419"/>
  <c r="D21" i="419"/>
  <c r="C21" i="419"/>
  <c r="B21" i="419"/>
  <c r="C22" i="419" l="1"/>
  <c r="E22" i="419"/>
  <c r="H22" i="419"/>
  <c r="L22" i="419"/>
  <c r="P22" i="419"/>
  <c r="T22" i="419"/>
  <c r="X22" i="419"/>
  <c r="AB22" i="419"/>
  <c r="AF22" i="419"/>
  <c r="B22" i="419"/>
  <c r="I22" i="419"/>
  <c r="M22" i="419"/>
  <c r="Q22" i="419"/>
  <c r="U22" i="419"/>
  <c r="Y22" i="419"/>
  <c r="AC22" i="419"/>
  <c r="F22" i="419"/>
  <c r="J22" i="419"/>
  <c r="N22" i="419"/>
  <c r="R22" i="419"/>
  <c r="V22" i="419"/>
  <c r="Z22" i="419"/>
  <c r="AD22" i="419"/>
  <c r="AG22" i="419"/>
  <c r="D22" i="419"/>
  <c r="G22" i="419"/>
  <c r="K22" i="419"/>
  <c r="O22" i="419"/>
  <c r="S22" i="419"/>
  <c r="W22" i="419"/>
  <c r="AA22" i="419"/>
  <c r="AE22" i="419"/>
  <c r="AH22" i="419"/>
  <c r="A19" i="383"/>
  <c r="G3" i="429"/>
  <c r="F3" i="429"/>
  <c r="E3" i="429"/>
  <c r="D3" i="429"/>
  <c r="C3" i="429"/>
  <c r="B3" i="429"/>
  <c r="A8" i="414" l="1"/>
  <c r="A12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8" i="414" s="1"/>
  <c r="E8" i="414" s="1"/>
  <c r="H3" i="427"/>
  <c r="I3" i="427"/>
  <c r="F3" i="427"/>
  <c r="AG26" i="419" l="1"/>
  <c r="AG25" i="419"/>
  <c r="C11" i="340" l="1"/>
  <c r="A13" i="383" l="1"/>
  <c r="A11" i="383"/>
  <c r="AH20" i="419" l="1"/>
  <c r="AH23" i="419" s="1"/>
  <c r="AG20" i="419"/>
  <c r="AG23" i="419" s="1"/>
  <c r="AF20" i="419"/>
  <c r="AF23" i="419" s="1"/>
  <c r="AE20" i="419"/>
  <c r="AE23" i="419" s="1"/>
  <c r="AD20" i="419"/>
  <c r="AD23" i="419" s="1"/>
  <c r="AC20" i="419"/>
  <c r="AC23" i="419" s="1"/>
  <c r="AB20" i="419"/>
  <c r="AB23" i="419" s="1"/>
  <c r="AA20" i="419"/>
  <c r="AA23" i="419" s="1"/>
  <c r="Z20" i="419"/>
  <c r="Z23" i="419" s="1"/>
  <c r="Y20" i="419"/>
  <c r="Y23" i="419" s="1"/>
  <c r="X20" i="419"/>
  <c r="X23" i="419" s="1"/>
  <c r="W20" i="419"/>
  <c r="W23" i="419" s="1"/>
  <c r="V20" i="419"/>
  <c r="V23" i="419" s="1"/>
  <c r="U20" i="419"/>
  <c r="U23" i="419" s="1"/>
  <c r="T20" i="419"/>
  <c r="T23" i="419" s="1"/>
  <c r="S20" i="419"/>
  <c r="S23" i="419" s="1"/>
  <c r="R20" i="419"/>
  <c r="R23" i="419" s="1"/>
  <c r="Q20" i="419"/>
  <c r="Q23" i="419" s="1"/>
  <c r="P20" i="419"/>
  <c r="P23" i="419" s="1"/>
  <c r="O20" i="419"/>
  <c r="O23" i="419" s="1"/>
  <c r="N20" i="419"/>
  <c r="N23" i="419" s="1"/>
  <c r="M20" i="419"/>
  <c r="M23" i="419" s="1"/>
  <c r="L20" i="419"/>
  <c r="L23" i="419" s="1"/>
  <c r="K20" i="419"/>
  <c r="K23" i="419" s="1"/>
  <c r="J20" i="419"/>
  <c r="J23" i="419" s="1"/>
  <c r="I20" i="419"/>
  <c r="I23" i="419" s="1"/>
  <c r="H20" i="419"/>
  <c r="H23" i="419" s="1"/>
  <c r="G20" i="419"/>
  <c r="G23" i="419" s="1"/>
  <c r="F20" i="419"/>
  <c r="F23" i="419" s="1"/>
  <c r="E20" i="419"/>
  <c r="E23" i="419" s="1"/>
  <c r="D20" i="419"/>
  <c r="D23" i="419" s="1"/>
  <c r="AH19" i="419"/>
  <c r="AG19" i="419"/>
  <c r="AF19" i="419"/>
  <c r="AE19" i="419"/>
  <c r="AD19" i="419"/>
  <c r="AC19" i="419"/>
  <c r="AB19" i="419"/>
  <c r="AA19" i="419"/>
  <c r="Z19" i="419"/>
  <c r="Y19" i="419"/>
  <c r="X19" i="419"/>
  <c r="W19" i="419"/>
  <c r="V19" i="419"/>
  <c r="U19" i="419"/>
  <c r="T19" i="419"/>
  <c r="S19" i="419"/>
  <c r="R19" i="419"/>
  <c r="Q19" i="419"/>
  <c r="P19" i="419"/>
  <c r="O19" i="419"/>
  <c r="N19" i="419"/>
  <c r="M19" i="419"/>
  <c r="L19" i="419"/>
  <c r="K19" i="419"/>
  <c r="J19" i="419"/>
  <c r="I19" i="419"/>
  <c r="H19" i="419"/>
  <c r="G19" i="419"/>
  <c r="F19" i="419"/>
  <c r="E19" i="419"/>
  <c r="D19" i="419"/>
  <c r="AH17" i="419"/>
  <c r="AG17" i="419"/>
  <c r="AF17" i="419"/>
  <c r="AE17" i="419"/>
  <c r="AD17" i="419"/>
  <c r="AC17" i="419"/>
  <c r="AB17" i="419"/>
  <c r="AA17" i="419"/>
  <c r="Z17" i="419"/>
  <c r="Y17" i="419"/>
  <c r="X17" i="419"/>
  <c r="W17" i="419"/>
  <c r="V17" i="419"/>
  <c r="U17" i="419"/>
  <c r="T17" i="419"/>
  <c r="S17" i="419"/>
  <c r="R17" i="419"/>
  <c r="Q17" i="419"/>
  <c r="P17" i="419"/>
  <c r="O17" i="419"/>
  <c r="N17" i="419"/>
  <c r="M17" i="419"/>
  <c r="L17" i="419"/>
  <c r="K17" i="419"/>
  <c r="J17" i="419"/>
  <c r="I17" i="419"/>
  <c r="H17" i="419"/>
  <c r="G17" i="419"/>
  <c r="F17" i="419"/>
  <c r="E17" i="419"/>
  <c r="D17" i="419"/>
  <c r="AH16" i="419"/>
  <c r="AG16" i="419"/>
  <c r="AF16" i="419"/>
  <c r="AE16" i="419"/>
  <c r="AD16" i="419"/>
  <c r="AC16" i="419"/>
  <c r="AB16" i="419"/>
  <c r="AA16" i="419"/>
  <c r="AA18" i="419" s="1"/>
  <c r="Z16" i="419"/>
  <c r="Y16" i="419"/>
  <c r="X16" i="419"/>
  <c r="W16" i="419"/>
  <c r="W18" i="419" s="1"/>
  <c r="V16" i="419"/>
  <c r="U16" i="419"/>
  <c r="T16" i="419"/>
  <c r="S16" i="419"/>
  <c r="S18" i="419" s="1"/>
  <c r="R16" i="419"/>
  <c r="Q16" i="419"/>
  <c r="P16" i="419"/>
  <c r="O16" i="419"/>
  <c r="N16" i="419"/>
  <c r="M16" i="419"/>
  <c r="L16" i="419"/>
  <c r="K16" i="419"/>
  <c r="J16" i="419"/>
  <c r="I16" i="419"/>
  <c r="H16" i="419"/>
  <c r="G16" i="419"/>
  <c r="G18" i="419" s="1"/>
  <c r="F16" i="419"/>
  <c r="E16" i="419"/>
  <c r="D16" i="419"/>
  <c r="D18" i="419" s="1"/>
  <c r="AH14" i="419"/>
  <c r="AG14" i="419"/>
  <c r="AF14" i="419"/>
  <c r="AE14" i="419"/>
  <c r="AD14" i="419"/>
  <c r="AC14" i="419"/>
  <c r="AB14" i="419"/>
  <c r="AA14" i="419"/>
  <c r="Z14" i="419"/>
  <c r="Y14" i="419"/>
  <c r="X14" i="419"/>
  <c r="W14" i="419"/>
  <c r="V14" i="419"/>
  <c r="U14" i="419"/>
  <c r="T14" i="419"/>
  <c r="S14" i="419"/>
  <c r="R14" i="419"/>
  <c r="Q14" i="419"/>
  <c r="P14" i="419"/>
  <c r="O14" i="419"/>
  <c r="N14" i="419"/>
  <c r="M14" i="419"/>
  <c r="L14" i="419"/>
  <c r="K14" i="419"/>
  <c r="J14" i="419"/>
  <c r="I14" i="419"/>
  <c r="H14" i="419"/>
  <c r="G14" i="419"/>
  <c r="F14" i="419"/>
  <c r="E14" i="419"/>
  <c r="D14" i="419"/>
  <c r="AH13" i="419"/>
  <c r="AG13" i="419"/>
  <c r="AF13" i="419"/>
  <c r="AE13" i="419"/>
  <c r="AD13" i="419"/>
  <c r="AC13" i="419"/>
  <c r="AB13" i="419"/>
  <c r="AA13" i="419"/>
  <c r="Z13" i="419"/>
  <c r="Y13" i="419"/>
  <c r="X13" i="419"/>
  <c r="W13" i="419"/>
  <c r="V13" i="419"/>
  <c r="U13" i="419"/>
  <c r="T13" i="419"/>
  <c r="S13" i="419"/>
  <c r="R13" i="419"/>
  <c r="Q13" i="419"/>
  <c r="P13" i="419"/>
  <c r="O13" i="419"/>
  <c r="N13" i="419"/>
  <c r="M13" i="419"/>
  <c r="L13" i="419"/>
  <c r="K13" i="419"/>
  <c r="J13" i="419"/>
  <c r="I13" i="419"/>
  <c r="H13" i="419"/>
  <c r="G13" i="419"/>
  <c r="F13" i="419"/>
  <c r="E13" i="419"/>
  <c r="D13" i="419"/>
  <c r="AH12" i="419"/>
  <c r="AG12" i="419"/>
  <c r="AF12" i="419"/>
  <c r="AE12" i="419"/>
  <c r="AD12" i="419"/>
  <c r="AC12" i="419"/>
  <c r="AB12" i="419"/>
  <c r="AA12" i="419"/>
  <c r="Z12" i="419"/>
  <c r="Y12" i="419"/>
  <c r="X12" i="419"/>
  <c r="W12" i="419"/>
  <c r="V12" i="419"/>
  <c r="U12" i="419"/>
  <c r="T12" i="419"/>
  <c r="S12" i="419"/>
  <c r="R12" i="419"/>
  <c r="Q12" i="419"/>
  <c r="P12" i="419"/>
  <c r="O12" i="419"/>
  <c r="N12" i="419"/>
  <c r="M12" i="419"/>
  <c r="L12" i="419"/>
  <c r="K12" i="419"/>
  <c r="J12" i="419"/>
  <c r="I12" i="419"/>
  <c r="H12" i="419"/>
  <c r="G12" i="419"/>
  <c r="F12" i="419"/>
  <c r="E12" i="419"/>
  <c r="D12" i="419"/>
  <c r="AH11" i="419"/>
  <c r="AG11" i="419"/>
  <c r="AF11" i="419"/>
  <c r="AE11" i="419"/>
  <c r="AD11" i="419"/>
  <c r="AC11" i="419"/>
  <c r="AB11" i="419"/>
  <c r="AA11" i="419"/>
  <c r="Z11" i="419"/>
  <c r="Y11" i="419"/>
  <c r="X11" i="419"/>
  <c r="W11" i="419"/>
  <c r="V11" i="419"/>
  <c r="U11" i="419"/>
  <c r="T11" i="419"/>
  <c r="S11" i="419"/>
  <c r="R11" i="419"/>
  <c r="Q11" i="419"/>
  <c r="P11" i="419"/>
  <c r="O11" i="419"/>
  <c r="N11" i="419"/>
  <c r="M11" i="419"/>
  <c r="L11" i="419"/>
  <c r="K11" i="419"/>
  <c r="J11" i="419"/>
  <c r="I11" i="419"/>
  <c r="H11" i="419"/>
  <c r="G11" i="419"/>
  <c r="F11" i="419"/>
  <c r="E11" i="419"/>
  <c r="D11" i="419"/>
  <c r="AN3" i="418"/>
  <c r="AM3" i="418"/>
  <c r="AL3" i="418"/>
  <c r="AK3" i="418"/>
  <c r="AJ3" i="418"/>
  <c r="AI3" i="418"/>
  <c r="AH3" i="418"/>
  <c r="AG3" i="418"/>
  <c r="AF3" i="418"/>
  <c r="AE3" i="418"/>
  <c r="AD3" i="418"/>
  <c r="AC3" i="418"/>
  <c r="AB3" i="418"/>
  <c r="AA3" i="418"/>
  <c r="Z3" i="418"/>
  <c r="Y3" i="418"/>
  <c r="X3" i="418"/>
  <c r="W3" i="418"/>
  <c r="V3" i="418"/>
  <c r="U3" i="418"/>
  <c r="T3" i="418"/>
  <c r="S3" i="418"/>
  <c r="R3" i="418"/>
  <c r="AH18" i="419" l="1"/>
  <c r="I18" i="419"/>
  <c r="M18" i="419"/>
  <c r="Q18" i="419"/>
  <c r="U18" i="419"/>
  <c r="Y18" i="419"/>
  <c r="AC18" i="419"/>
  <c r="E18" i="419"/>
  <c r="H18" i="419"/>
  <c r="L18" i="419"/>
  <c r="P18" i="419"/>
  <c r="T18" i="419"/>
  <c r="X18" i="419"/>
  <c r="AB18" i="419"/>
  <c r="AF18" i="419"/>
  <c r="K18" i="419"/>
  <c r="O18" i="419"/>
  <c r="AE18" i="419"/>
  <c r="F18" i="419"/>
  <c r="J18" i="419"/>
  <c r="N18" i="419"/>
  <c r="R18" i="419"/>
  <c r="V18" i="419"/>
  <c r="Z18" i="419"/>
  <c r="AD18" i="419"/>
  <c r="AG18" i="419"/>
  <c r="C25" i="419"/>
  <c r="AG27" i="419" l="1"/>
  <c r="F26" i="419"/>
  <c r="C26" i="419"/>
  <c r="B26" i="419" l="1"/>
  <c r="C28" i="419"/>
  <c r="C27" i="419"/>
  <c r="Q3" i="418"/>
  <c r="P3" i="418"/>
  <c r="O3" i="418"/>
  <c r="N3" i="418"/>
  <c r="M3" i="418"/>
  <c r="L3" i="418"/>
  <c r="K3" i="418"/>
  <c r="J3" i="418"/>
  <c r="I3" i="418"/>
  <c r="H3" i="418"/>
  <c r="G3" i="418"/>
  <c r="F3" i="418"/>
  <c r="AG28" i="419" l="1"/>
  <c r="F25" i="419"/>
  <c r="F27" i="419" s="1"/>
  <c r="B25" i="419" l="1"/>
  <c r="B27" i="419" s="1"/>
  <c r="F28" i="419"/>
  <c r="B28" i="419" s="1"/>
  <c r="A7" i="339"/>
  <c r="D3" i="418" l="1"/>
  <c r="AF6" i="419" l="1"/>
  <c r="AB6" i="419"/>
  <c r="X6" i="419"/>
  <c r="T6" i="419"/>
  <c r="P6" i="419"/>
  <c r="L6" i="419"/>
  <c r="H6" i="419"/>
  <c r="E6" i="419"/>
  <c r="AH6" i="419"/>
  <c r="AE6" i="419"/>
  <c r="AA6" i="419"/>
  <c r="W6" i="419"/>
  <c r="S6" i="419"/>
  <c r="O6" i="419"/>
  <c r="K6" i="419"/>
  <c r="G6" i="419"/>
  <c r="D6" i="419"/>
  <c r="AG6" i="419"/>
  <c r="AD6" i="419"/>
  <c r="Z6" i="419"/>
  <c r="V6" i="419"/>
  <c r="R6" i="419"/>
  <c r="N6" i="419"/>
  <c r="J6" i="419"/>
  <c r="F6" i="419"/>
  <c r="AC6" i="419"/>
  <c r="Y6" i="419"/>
  <c r="U6" i="419"/>
  <c r="Q6" i="419"/>
  <c r="M6" i="419"/>
  <c r="I6" i="419"/>
  <c r="C6" i="419"/>
  <c r="B6" i="419"/>
  <c r="C20" i="419"/>
  <c r="C23" i="419" s="1"/>
  <c r="B20" i="419"/>
  <c r="B23" i="419" s="1"/>
  <c r="C19" i="419"/>
  <c r="B19" i="419"/>
  <c r="C17" i="419"/>
  <c r="B17" i="419"/>
  <c r="C16" i="419"/>
  <c r="B16" i="419"/>
  <c r="C14" i="419"/>
  <c r="B14" i="419"/>
  <c r="C13" i="419"/>
  <c r="B13" i="419"/>
  <c r="C12" i="419"/>
  <c r="B12" i="419"/>
  <c r="C11" i="419"/>
  <c r="B11" i="419"/>
  <c r="C18" i="419" l="1"/>
  <c r="B18" i="41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2" i="414" l="1"/>
  <c r="D7" i="414"/>
  <c r="A15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19" i="414" l="1"/>
  <c r="A16" i="414"/>
  <c r="R3" i="410" l="1"/>
  <c r="Q3" i="410"/>
  <c r="P3" i="410"/>
  <c r="O3" i="410"/>
  <c r="N3" i="410"/>
  <c r="S3" i="410" s="1"/>
  <c r="L3" i="410"/>
  <c r="K3" i="410"/>
  <c r="J3" i="410"/>
  <c r="I3" i="410"/>
  <c r="H3" i="410"/>
  <c r="M3" i="410" s="1"/>
  <c r="F3" i="410"/>
  <c r="E3" i="410"/>
  <c r="D3" i="410"/>
  <c r="C3" i="410"/>
  <c r="B3" i="410"/>
  <c r="G3" i="410" s="1"/>
  <c r="D18" i="414" s="1"/>
  <c r="R3" i="344" l="1"/>
  <c r="Q3" i="344"/>
  <c r="P3" i="344"/>
  <c r="O3" i="344"/>
  <c r="N3" i="344"/>
  <c r="S3" i="344" s="1"/>
  <c r="L3" i="344"/>
  <c r="K3" i="344"/>
  <c r="J3" i="344"/>
  <c r="I3" i="344"/>
  <c r="H3" i="344"/>
  <c r="M3" i="344" s="1"/>
  <c r="F3" i="344"/>
  <c r="E11" i="339" s="1"/>
  <c r="E3" i="344"/>
  <c r="D3" i="344"/>
  <c r="C3" i="344"/>
  <c r="B3" i="344"/>
  <c r="B11" i="339" s="1"/>
  <c r="F11" i="339" l="1"/>
  <c r="G3" i="344"/>
  <c r="D17" i="414" s="1"/>
  <c r="C11" i="339"/>
  <c r="H11" i="339" l="1"/>
  <c r="G11" i="339"/>
  <c r="A18" i="414"/>
  <c r="A17" i="414"/>
  <c r="A12" i="414"/>
  <c r="A7" i="414"/>
  <c r="A13" i="414"/>
  <c r="A4" i="414"/>
  <c r="A6" i="339" l="1"/>
  <c r="A5" i="339"/>
  <c r="D4" i="414"/>
  <c r="D16" i="414"/>
  <c r="D13" i="414"/>
  <c r="C16" i="414"/>
  <c r="C13" i="414"/>
  <c r="C12" i="414" l="1"/>
  <c r="C7" i="414"/>
  <c r="E18" i="414" l="1"/>
  <c r="E17" i="414"/>
  <c r="E12" i="414"/>
  <c r="E7" i="414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E12" i="339" l="1"/>
  <c r="C12" i="339"/>
  <c r="B12" i="339"/>
  <c r="F12" i="339" s="1"/>
  <c r="O3" i="377"/>
  <c r="N3" i="377"/>
  <c r="Q3" i="377" s="1"/>
  <c r="K3" i="377"/>
  <c r="J3" i="377"/>
  <c r="G3" i="377"/>
  <c r="P3" i="377" s="1"/>
  <c r="F3" i="377"/>
  <c r="N3" i="345"/>
  <c r="M3" i="345"/>
  <c r="P3" i="345" s="1"/>
  <c r="J3" i="345"/>
  <c r="I3" i="345"/>
  <c r="F3" i="345"/>
  <c r="O3" i="345" s="1"/>
  <c r="E3" i="345"/>
  <c r="D19" i="414"/>
  <c r="C19" i="414"/>
  <c r="F13" i="339" l="1"/>
  <c r="E13" i="339"/>
  <c r="E15" i="339" s="1"/>
  <c r="H12" i="339"/>
  <c r="G12" i="339"/>
  <c r="A4" i="383"/>
  <c r="A22" i="383"/>
  <c r="A21" i="383"/>
  <c r="A20" i="383"/>
  <c r="A18" i="383"/>
  <c r="A15" i="383"/>
  <c r="A14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B15" i="339" s="1"/>
  <c r="D15" i="414"/>
  <c r="C4" i="414"/>
  <c r="H13" i="339" l="1"/>
  <c r="F15" i="339"/>
  <c r="E13" i="414"/>
  <c r="E4" i="414"/>
  <c r="C6" i="340"/>
  <c r="D6" i="340" s="1"/>
  <c r="B4" i="340"/>
  <c r="G13" i="339"/>
  <c r="B13" i="340" l="1"/>
  <c r="B12" i="340"/>
  <c r="G15" i="339"/>
  <c r="H15" i="339"/>
  <c r="C4" i="340"/>
  <c r="E16" i="414"/>
  <c r="E19" i="414"/>
  <c r="D4" i="340"/>
  <c r="E6" i="340"/>
  <c r="C15" i="414"/>
  <c r="E15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<sst xmlns="http://schemas.openxmlformats.org/spreadsheetml/2006/main" count="2228" uniqueCount="630">
  <si>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</si>
  <si>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</si>
  <si>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</si>
  <si>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</si>
  <si>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</si>
  <si>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</si>
  <si>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</si>
  <si>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</si>
  <si>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Název</t>
  </si>
  <si>
    <t>Mn.</t>
  </si>
  <si>
    <t>Kč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</si>
  <si>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</si>
  <si>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</si>
  <si>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</si>
  <si>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</si>
  <si>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</si>
  <si>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</si>
  <si>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</si>
  <si>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</si>
  <si>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</si>
  <si>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</si>
  <si>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</si>
  <si>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</si>
  <si>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</si>
  <si>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</si>
  <si>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</si>
  <si>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</si>
  <si>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</si>
  <si>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</si>
  <si>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</si>
  <si>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</si>
  <si>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</si>
  <si>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</si>
  <si>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</si>
  <si>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</si>
  <si>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</si>
  <si>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</si>
  <si>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</si>
  <si>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</si>
  <si>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</si>
  <si>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</si>
  <si>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</si>
  <si>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</si>
  <si>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</si>
  <si>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</si>
  <si>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</si>
  <si>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</si>
  <si>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</si>
  <si>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</si>
  <si>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</si>
  <si>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</si>
  <si>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</si>
  <si>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</si>
  <si>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</si>
  <si>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</si>
  <si>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</si>
  <si>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</si>
  <si>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</si>
  <si>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</si>
  <si>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</si>
  <si>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</si>
  <si>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</si>
  <si>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</si>
  <si>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</si>
  <si>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</si>
  <si>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</si>
  <si>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</si>
  <si>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</si>
  <si>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</si>
  <si>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</si>
  <si>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</si>
  <si>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</si>
  <si>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</si>
  <si>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</si>
  <si>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</si>
  <si>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</si>
  <si>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</si>
  <si>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</si>
  <si>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</si>
  <si>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</si>
  <si>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</si>
  <si>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Sml.odb.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</si>
  <si>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</si>
  <si>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</si>
  <si>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</si>
  <si>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</si>
  <si>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</si>
  <si>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</si>
  <si>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</si>
  <si>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</si>
  <si>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</si>
  <si>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</si>
  <si>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</si>
  <si>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</si>
  <si>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</si>
  <si>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</si>
  <si>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</si>
  <si>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</si>
  <si>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</si>
  <si>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</si>
  <si>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</si>
  <si>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</si>
  <si>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</si>
  <si>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</si>
  <si>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</si>
  <si>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</si>
  <si>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</si>
  <si>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</si>
  <si>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</si>
  <si>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Lékař</t>
  </si>
  <si>
    <t>Hospodaření zdravotnického pracoviště (v tisících)</t>
  </si>
  <si>
    <t>Spotřeba léčivých přípravků</t>
  </si>
  <si>
    <t>Spotřeba zdravotnického materiálu</t>
  </si>
  <si>
    <t>Přehledové sestavy</t>
  </si>
  <si>
    <t>Akt. měsíc</t>
  </si>
  <si>
    <t>Kč/ks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</si>
  <si>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</si>
  <si>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</si>
  <si>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</si>
  <si>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</si>
  <si>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</si>
  <si>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</si>
  <si>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</si>
  <si>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</si>
  <si>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</si>
  <si>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</si>
  <si>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Rozpočet výnosů pro rok 2014 je stanoven jako 100% skutečnosti referenčního období (2012)</t>
  </si>
  <si>
    <t>Hospodářský index (Výnosy / Náklady) se hodnotí pouze v případě dodržení rozpočtu nákladů</t>
  </si>
  <si>
    <t>Pol</t>
  </si>
  <si>
    <t>0</t>
  </si>
  <si>
    <t>101</t>
  </si>
  <si>
    <t>102</t>
  </si>
  <si>
    <t>203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</si>
  <si>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</si>
  <si>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</si>
  <si>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</si>
  <si>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</si>
  <si>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</si>
  <si>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</si>
  <si>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</si>
  <si>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</si>
  <si>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</si>
  <si>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</si>
  <si>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</si>
  <si>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</si>
  <si>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</si>
  <si>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</si>
  <si>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dohody</t>
  </si>
  <si>
    <t>lékaři</t>
  </si>
  <si>
    <t>zubní lékaři</t>
  </si>
  <si>
    <t>dělníci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</si>
  <si>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</si>
  <si>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</si>
  <si>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</si>
  <si>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</si>
  <si>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</si>
  <si>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</si>
  <si>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</si>
  <si>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</si>
  <si>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</si>
  <si>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</si>
  <si>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</si>
  <si>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</si>
  <si>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</si>
  <si>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</si>
  <si>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</si>
  <si>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</si>
  <si>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</si>
  <si>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</si>
  <si>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</si>
  <si>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</si>
  <si>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lékaři, VŠ NLZP *</t>
  </si>
  <si>
    <t>NLZP *</t>
  </si>
  <si>
    <t>THP *</t>
  </si>
  <si>
    <t>Lékaři, VŠ NLZP = kategorie 101-203, 522-523, 525-529, 743-747</t>
  </si>
  <si>
    <t>NLZP = kategorie 305-520, 524, 530-642, 748-749</t>
  </si>
  <si>
    <t>THP = kategorie 930-940</t>
  </si>
  <si>
    <t>Rozpočet na vzdělávání je plánován na rok, měsíční plány jsou v tabulce dvanáctinou ročního rozpočtu</t>
  </si>
  <si>
    <t>všeobecné sestry</t>
  </si>
  <si>
    <t>porodní asistenti</t>
  </si>
  <si>
    <t>radiologičtí asistenti</t>
  </si>
  <si>
    <t>zdravotní laboranti</t>
  </si>
  <si>
    <t>zdravotně - sociální pracovníci</t>
  </si>
  <si>
    <t>nutriční terapeuti</t>
  </si>
  <si>
    <t>zubní technici</t>
  </si>
  <si>
    <t>zdravotničtí záchranáři</t>
  </si>
  <si>
    <t>farmaceutičtí asistenti</t>
  </si>
  <si>
    <t>biomedicínští technici</t>
  </si>
  <si>
    <t>radiologičtí technici</t>
  </si>
  <si>
    <t>psychologové a kliničtí psychologové</t>
  </si>
  <si>
    <t>kliničtí logopedové</t>
  </si>
  <si>
    <t>fyzioterapeuti</t>
  </si>
  <si>
    <t>radiologičtí fyzici</t>
  </si>
  <si>
    <t>odborní pracovníci v lab. metodách</t>
  </si>
  <si>
    <t>biomedicínští inženýři</t>
  </si>
  <si>
    <t>zdravotničtí asistenti</t>
  </si>
  <si>
    <t>ošetřovatelé</t>
  </si>
  <si>
    <t>maséři</t>
  </si>
  <si>
    <t>řidiči dopravy nemocných a raněných</t>
  </si>
  <si>
    <t>sanitáři</t>
  </si>
  <si>
    <t>psychologové</t>
  </si>
  <si>
    <t>abs. stud. oboru mat.-fyz. zaměření</t>
  </si>
  <si>
    <t>abs. stud. oboru přirodověd. zaměření</t>
  </si>
  <si>
    <t>odb. pracovníci v ochraně veřejného zdraví</t>
  </si>
  <si>
    <t>laboratorní asistenti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</si>
  <si>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</si>
  <si>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</si>
  <si>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</si>
  <si>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</si>
  <si>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</si>
  <si>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</si>
  <si>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</si>
  <si>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</si>
  <si>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</si>
  <si>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</si>
  <si>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</si>
  <si>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</si>
  <si>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</si>
  <si>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</si>
  <si>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</si>
  <si>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01/2015</t>
  </si>
  <si>
    <t>02/2015</t>
  </si>
  <si>
    <t>03/2015</t>
  </si>
  <si>
    <t>04/2015</t>
  </si>
  <si>
    <t>05/2015</t>
  </si>
  <si>
    <t>06/2015</t>
  </si>
  <si>
    <t>07/2015</t>
  </si>
  <si>
    <t>08/2015</t>
  </si>
  <si>
    <t>09/2015</t>
  </si>
  <si>
    <t>10/2015</t>
  </si>
  <si>
    <t>11/2015</t>
  </si>
  <si>
    <t>12/2015</t>
  </si>
  <si>
    <t>Rozp. 2014            CELKEM</t>
  </si>
  <si>
    <t>Skut. 2014 CELKEM</t>
  </si>
  <si>
    <t>ROZDÍL  Skut. - Rozp. 2014</t>
  </si>
  <si>
    <t>% plnění rozp.2014</t>
  </si>
  <si>
    <t>Rozp.rok 2015</t>
  </si>
  <si>
    <t>Sk.v tis 2015</t>
  </si>
  <si>
    <t>ROZDÍL (Sk.do data - Rozp.do data 2015)</t>
  </si>
  <si>
    <t>% plnění (Skut.do data/Rozp.rok 2015)</t>
  </si>
  <si>
    <t>POMĚROVÉ  PLNĚNÍ = Rozpočet na rok 2015 celkem a 1/12  ročního rozpočtu, skutečnost daných měsíců a % plnění načítané skutečnosti do data k poměrné části rozpočtu do data.</t>
  </si>
  <si>
    <r>
      <t>Zpět na Obsah</t>
    </r>
    <r>
      <rPr>
        <sz val="9"/>
        <rFont val="Calibri"/>
        <family val="2"/>
        <charset val="238"/>
        <scheme val="minor"/>
      </rPr>
      <t xml:space="preserve"> | 1.-2.měsíc | Ústav soudního lékařství a medicínského práva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</si>
  <si>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</si>
  <si>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</si>
  <si>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</si>
  <si>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</si>
  <si>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</si>
  <si>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</si>
  <si>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</si>
  <si>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</si>
  <si>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paušál+TISS (LEK)</t>
  </si>
  <si>
    <t>50115     Zdravotnické prostředky</t>
  </si>
  <si>
    <t>50115020     diagnostika laboratorní-LEK (sk.Z_501)</t>
  </si>
  <si>
    <t>50115040     laboratorní materiál (sk.Z_505)</t>
  </si>
  <si>
    <t>50115050     obvazový materiál (sk.Z_502)</t>
  </si>
  <si>
    <t>50115060     ostatní ZPr - mimo níže uvedené (sk.Z_503)</t>
  </si>
  <si>
    <t>50115065     ostatní ZPr - vpichovací materiál (sk.Z_530)</t>
  </si>
  <si>
    <t>50115067     ostatní ZPr - rukavice (sk.Z_532)</t>
  </si>
  <si>
    <t>50116     Potraviny</t>
  </si>
  <si>
    <t>50116099     nápoje - horké dny (daň.neúčinné)</t>
  </si>
  <si>
    <t>50117     Všeobecný materiál</t>
  </si>
  <si>
    <t>50117001     nákup zdravotnické techniky (Z 524, Z 510)</t>
  </si>
  <si>
    <t>50117002     prací a čistící prostř.,drog.zboží (sk.V41)</t>
  </si>
  <si>
    <t>50117003     desinf. prostř. LEK</t>
  </si>
  <si>
    <t>50117004     tiskopisy a kanc.potřeby (sk.V42, 43)</t>
  </si>
  <si>
    <t>50117007     údržbový materiál ostatní - sklady (sk.T17)</t>
  </si>
  <si>
    <t>50117009     spotřební materiál k ZPr. (sk.V21)</t>
  </si>
  <si>
    <t>--</t>
  </si>
  <si>
    <t>50117015     IT - spotřební materiál (sk. P37, 48)</t>
  </si>
  <si>
    <t>50117024     všeob.mat. - ostatní-vyjímky (V44) od 0,01 do 999,99</t>
  </si>
  <si>
    <t>50117190     technické plyny</t>
  </si>
  <si>
    <t>50118     Náhradní díly</t>
  </si>
  <si>
    <t>50118001     ND - ostatní (všeob.sklad) (sk.V38)</t>
  </si>
  <si>
    <t>50118004     ND - zdravot.techn.(dispečink)</t>
  </si>
  <si>
    <t>50118005     ND - výpoč. techn.(sklad) (sk.P47)</t>
  </si>
  <si>
    <t>50119     DDHM a textil</t>
  </si>
  <si>
    <t>50119077     OOPP a prádlo pro zaměstnance (sk.T14)</t>
  </si>
  <si>
    <t>50119092     pokojový textil (sk. T15)</t>
  </si>
  <si>
    <t>50119100     jednorázové ochranné pomůcky (sk.T18A)</t>
  </si>
  <si>
    <t>50119102     jednorázové hygienické potřeby (sk.T18C)</t>
  </si>
  <si>
    <t>50180     Materiál z darů, FKSP</t>
  </si>
  <si>
    <t>50180000     spotř.nák.- z fin. darů</t>
  </si>
  <si>
    <t>51     Služby</t>
  </si>
  <si>
    <t>51102     Technika a stavby</t>
  </si>
  <si>
    <t>51102021     opravy zdravotnické techniky</t>
  </si>
  <si>
    <t>51102023     opravy ostatní techniky</t>
  </si>
  <si>
    <t>51102025     opravy - hl.energetik</t>
  </si>
  <si>
    <t>51201     Cestovné zaměstnanců-tuzemské</t>
  </si>
  <si>
    <t>51201000     cestovné z mezd</t>
  </si>
  <si>
    <t>51203     Cestovné zaměstnanců-zahraniční</t>
  </si>
  <si>
    <t>51203000     cestovné zahraniční - mzdy</t>
  </si>
  <si>
    <t>51801     Přepravné</t>
  </si>
  <si>
    <t>51801000     přepravné-lab. vzorky,...</t>
  </si>
  <si>
    <t>51802     Spoje</t>
  </si>
  <si>
    <t>51802001     poštovné</t>
  </si>
  <si>
    <t>51802002     spotřeba cenin (známky, kolky)</t>
  </si>
  <si>
    <t>51802003     spoje - telekom.styk</t>
  </si>
  <si>
    <t>51804     Nájemné</t>
  </si>
  <si>
    <t>51804004     popl. za R a TV, veř. produkce</t>
  </si>
  <si>
    <t>51804005     náj. plynových lahví</t>
  </si>
  <si>
    <t>51806     Úklid, odpad, desinf., deratizace</t>
  </si>
  <si>
    <t>51806005     odpad (spalovna)</t>
  </si>
  <si>
    <t>51806006     odpad (ostatní)</t>
  </si>
  <si>
    <t>51808     Revize a smluvní servisy majetku</t>
  </si>
  <si>
    <t>51808008     revize, tech.kontroly, prev.prohl.- OHM</t>
  </si>
  <si>
    <t>51808013     revize - kalibrace - metrolog</t>
  </si>
  <si>
    <t>51874     Ostatní služby</t>
  </si>
  <si>
    <t>51874003     znalecké posudky, odměny z klinických hodnocení</t>
  </si>
  <si>
    <t>51874011     zkoušky kvality</t>
  </si>
  <si>
    <t>51874015     organ.rozvoj (certif., akred.)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</si>
  <si>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</si>
  <si>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</si>
  <si>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</si>
  <si>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</si>
  <si>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</si>
  <si>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52125     Odstupné</t>
  </si>
  <si>
    <t>52125000     odstupné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</si>
  <si>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</si>
  <si>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</si>
  <si>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</si>
  <si>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</si>
  <si>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</si>
  <si>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</si>
  <si>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</si>
  <si>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</si>
  <si>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</si>
  <si>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</si>
  <si>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</si>
  <si>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</si>
  <si>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</si>
  <si>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54910005     refundace věcných nákladů</t>
  </si>
  <si>
    <t>54910008     školení, kongresové poplatky tuzemské - lékaři</t>
  </si>
  <si>
    <t>54910009     školení, kongresové poplatky tuzemské - ost.zdrav.pracov.</t>
  </si>
  <si>
    <t>54910010     školení - nezdrav.pracov.</t>
  </si>
  <si>
    <t>54920     Náklady účtované od UP</t>
  </si>
  <si>
    <t>54920000     náklady účtované od UP</t>
  </si>
  <si>
    <t>54924     Ostatní výplaty fyzickým osobám</t>
  </si>
  <si>
    <t>54924001     odškod.zaměst. - prac.úraz,...</t>
  </si>
  <si>
    <t>54925     Ostatní výplaty fyzickým osobám(OPMČ)</t>
  </si>
  <si>
    <t>54925000     odškodn.-náhr.mzdy zam.(OPMČ)</t>
  </si>
  <si>
    <t>54970     Předpis - KDF za služby</t>
  </si>
  <si>
    <t>54970000     předpis KDF - služby</t>
  </si>
  <si>
    <t>54972     Školení, kongres.popl.tuzemské - lékaři (pouze OPMČ)</t>
  </si>
  <si>
    <t>54972000     školení, kongres.popl.tuzemské - lékaři (pouze OPMČ)</t>
  </si>
  <si>
    <t>54973     Školení, kongres.popl.tuzemské - ostatní zdrav.prac.(pouze OPMČ)</t>
  </si>
  <si>
    <t>54973000     školení, kongres.popl.tuzemské - ostatní zdrav.prac.(pouze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</si>
  <si>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</si>
  <si>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</si>
  <si>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</si>
  <si>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</si>
  <si>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</si>
  <si>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55110013     odpisy DHM - budovy z dotací</t>
  </si>
  <si>
    <t>558     Náklady z drobného dlouhodobého majetku</t>
  </si>
  <si>
    <t>55806     DDHM ostatní</t>
  </si>
  <si>
    <t>55806081     DDHM ostatní (finanční dary)</t>
  </si>
  <si>
    <t>56     Finanční náklady</t>
  </si>
  <si>
    <t>563     Kurzové ztráty</t>
  </si>
  <si>
    <t>56301     Kurzové ztráty</t>
  </si>
  <si>
    <t>56301000     kurzové ztráty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</si>
  <si>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</si>
  <si>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</si>
  <si>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</si>
  <si>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</si>
  <si>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</si>
  <si>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60210323     zdr.služby - státní orgány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</si>
  <si>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</si>
  <si>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</si>
  <si>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</si>
  <si>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</si>
  <si>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60229     Zdr. výkony - ost. ZP sled.položky  OZPI</t>
  </si>
  <si>
    <t>60229208     výkony + mater. - ZP na výkon</t>
  </si>
  <si>
    <t>60229290     výkony pojištěncům EHS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</si>
  <si>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</si>
  <si>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</si>
  <si>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</si>
  <si>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</si>
  <si>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</si>
  <si>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</si>
  <si>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603     Výnosy z pronájmu</t>
  </si>
  <si>
    <t>60325     Výnosy z pronájmu</t>
  </si>
  <si>
    <t>60325424     nájem DM - použití vybavení FNOL (pitevny)</t>
  </si>
  <si>
    <t>64     Jiné provozní výnosy</t>
  </si>
  <si>
    <t>641     Smluvní pokuty a úroky z prodlení</t>
  </si>
  <si>
    <t>64100     Smluvní pokuty a úroky z prodlení</t>
  </si>
  <si>
    <t>64100052     úrok z prodlení - soudní rozh.</t>
  </si>
  <si>
    <t>648     Čerpání fondů</t>
  </si>
  <si>
    <t>64803     Čerpání RF - čerpání fin. darů</t>
  </si>
  <si>
    <t>64803000     čerpání RF - čerpání finančních darů</t>
  </si>
  <si>
    <t>649     Ostatní výnosy z činnosti</t>
  </si>
  <si>
    <t>64908     Ostatní výnosy z činnosti</t>
  </si>
  <si>
    <t>64908000     rozdíly v zaokrouhlení</t>
  </si>
  <si>
    <t>64908007     ostatní výnosy</t>
  </si>
  <si>
    <t>64908050     náhrady od pojišť. (zaměstn.)</t>
  </si>
  <si>
    <t>64924     Ostatní služby - mimo zdrav.výkony  FAKTURACE</t>
  </si>
  <si>
    <t>64924443     znalecké posudky - Znaleký ústav</t>
  </si>
  <si>
    <t>64924450     poštovné, balné za odeslání</t>
  </si>
  <si>
    <t>64924459     školení, stáže, odb. semináře, konference</t>
  </si>
  <si>
    <t>7     Účtová třída 7 - Vnitropodnikové účetnictví - náklady</t>
  </si>
  <si>
    <t>79     Vnitropodnikové náklady</t>
  </si>
  <si>
    <t>79903     VPN - doprava</t>
  </si>
  <si>
    <t>79903000     výkony dopravy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</si>
  <si>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</si>
  <si>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</si>
  <si>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</si>
  <si>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</si>
  <si>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</si>
  <si>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</si>
  <si>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79920     VPN - mezistřediskové převody</t>
  </si>
  <si>
    <t>79920000     mezistřediskové převody</t>
  </si>
  <si>
    <t>79950     VPN - správní režie</t>
  </si>
  <si>
    <t>79950001     režie HTS</t>
  </si>
  <si>
    <t>38</t>
  </si>
  <si>
    <t>Ústav soudního lékařství a medicínského práva</t>
  </si>
  <si>
    <t/>
  </si>
  <si>
    <t>50113013     léky (paušál) - antibiotika (LEK)</t>
  </si>
  <si>
    <t>50113014     léky (paušál) - antimykotika (LEK)</t>
  </si>
  <si>
    <t>50113190     medicinální plyny</t>
  </si>
  <si>
    <t>Ústav soudního lékařství a medicínského práva Celkem</t>
  </si>
  <si>
    <t>SumaKL</t>
  </si>
  <si>
    <t>3841</t>
  </si>
  <si>
    <t>soudní lékařství - laboratoř</t>
  </si>
  <si>
    <t>soudní lékařství - laboratoř Celkem</t>
  </si>
  <si>
    <t>SumaNS</t>
  </si>
  <si>
    <t>mezeraNS</t>
  </si>
  <si>
    <t>38 - Ústav soudního lékařství a medicínského práva</t>
  </si>
  <si>
    <t>3841 - soudní lékařství - laboratoř</t>
  </si>
  <si>
    <t>ZA090</t>
  </si>
  <si>
    <t>Vata buničitá přířezy 37 x 57 cm 2730152</t>
  </si>
  <si>
    <t>ZA751</t>
  </si>
  <si>
    <t>Papír filtrační archy 50 x 50 cm bal. 12,5 kg 624890805050</t>
  </si>
  <si>
    <t>ZA817</t>
  </si>
  <si>
    <t>Zkumavka PS 10 ml sterilní 400914</t>
  </si>
  <si>
    <t>ZB756</t>
  </si>
  <si>
    <t>Zkumavka 3 ml K3 edta fialová 454086</t>
  </si>
  <si>
    <t>ZH614</t>
  </si>
  <si>
    <t>Zátka butyl šedá 20 mm á 100 ks 635220100290</t>
  </si>
  <si>
    <t>ZH615</t>
  </si>
  <si>
    <t>Uzávěr Al krimplovací 20 mm á 1000 ks 635220010408</t>
  </si>
  <si>
    <t>ZC019</t>
  </si>
  <si>
    <t>Fólie plastická silikag. 20 x 20 cm bal. á 25 ks TLC 1.057350.001</t>
  </si>
  <si>
    <t>ZB973</t>
  </si>
  <si>
    <t>Fólie hliniková 20 x 20 cm bal. á 25 ks HPTLC 1.055480.001</t>
  </si>
  <si>
    <t>ZB426</t>
  </si>
  <si>
    <t>Mikrozkumavka eppendorf 1,5 ml BSA 0220</t>
  </si>
  <si>
    <t>ZC036</t>
  </si>
  <si>
    <t>Baňka erlenmeyera širokohrdlá 250 ml 632417106250</t>
  </si>
  <si>
    <t>ZC080</t>
  </si>
  <si>
    <t>Sklo krycí 24 x 24 mm, á 1000 ks BD2424</t>
  </si>
  <si>
    <t>ZD437</t>
  </si>
  <si>
    <t>Nálevka dělící 250 ml s teflonovým kohoutem 636014920204</t>
  </si>
  <si>
    <t>ZL142</t>
  </si>
  <si>
    <t>Střička s PE lahví šroub.uzáv. a PE tryskou širokohrdlá 250 ml modrá 2105.4101</t>
  </si>
  <si>
    <t>ZM004</t>
  </si>
  <si>
    <t>Baňka odměrná s NZ a skl.dutou zátkou objem 500 ml 636013023408</t>
  </si>
  <si>
    <t>ZM046</t>
  </si>
  <si>
    <t>Baňka odměrná se zábrusem a PE zátkou objem 1000 ml přesnost +/- 0,4 ml 636013020209</t>
  </si>
  <si>
    <t>ZL143</t>
  </si>
  <si>
    <t>Střička s PE lahví šroub.uzáv. a PE tryskou širokohrdlá 250 ml červená 2105.4103</t>
  </si>
  <si>
    <t>ZK476</t>
  </si>
  <si>
    <t>Rukavice operační latexové s pudrem ansell medigrip plus vel. 7,5 303505 (302925)</t>
  </si>
  <si>
    <t>ZK477</t>
  </si>
  <si>
    <t>Rukavice operační latexové s pudrem ansell medigrip plus vel. 8,0 303506(303366)</t>
  </si>
  <si>
    <t>ZM292</t>
  </si>
  <si>
    <t>Rukavice nitril sempercare bez p. M bal. á 200 ks 30803</t>
  </si>
  <si>
    <t>ZM291</t>
  </si>
  <si>
    <t>Rukavice nitril sempercare bez p. S bal. á 200 ks 30802</t>
  </si>
  <si>
    <t>ZM293</t>
  </si>
  <si>
    <t>Rukavice nitril sempercare bez p. L bal. á 200 ks 30804</t>
  </si>
  <si>
    <t>DF571</t>
  </si>
  <si>
    <t>Formaldehyd 36-38% p.a., 5 L</t>
  </si>
  <si>
    <t>DC236</t>
  </si>
  <si>
    <t>DIETHYLETER P.A. NESTAB.</t>
  </si>
  <si>
    <t>DA964</t>
  </si>
  <si>
    <t>Paraffinum solidum pecky</t>
  </si>
  <si>
    <t>DG179</t>
  </si>
  <si>
    <t>SIRAN AMONNY P.A.</t>
  </si>
  <si>
    <t>DB257</t>
  </si>
  <si>
    <t>CHLOROFORM P.A. - stab. methanolem</t>
  </si>
  <si>
    <t>DF908</t>
  </si>
  <si>
    <t>MTD(methadone) test na záchyt drog v moči</t>
  </si>
  <si>
    <t>DG226</t>
  </si>
  <si>
    <t>ETHYLESTER KYS.OCTOVE P.A.</t>
  </si>
  <si>
    <t>DB557</t>
  </si>
  <si>
    <t>STANDARDNI ROZTOK ETHANOLU</t>
  </si>
  <si>
    <t>DF907</t>
  </si>
  <si>
    <t>BUP (buprenorfin)  test na záchyt drog v moči</t>
  </si>
  <si>
    <t>DA368</t>
  </si>
  <si>
    <t>Fencyklidin PCP - rychlý test na záchyt drog</t>
  </si>
  <si>
    <t>DC332</t>
  </si>
  <si>
    <t>JODID DRASELNY P.A.</t>
  </si>
  <si>
    <t>DA886</t>
  </si>
  <si>
    <t>METHANOL LC-MS CHROMASOLV</t>
  </si>
  <si>
    <t>DA885</t>
  </si>
  <si>
    <t>ACETONITRILE LC-MS CHROMASOLV 4x2,5l</t>
  </si>
  <si>
    <t>DG784</t>
  </si>
  <si>
    <t>DRI Primary control Set</t>
  </si>
  <si>
    <t>DG766</t>
  </si>
  <si>
    <t>DRI Cannabinoids</t>
  </si>
  <si>
    <t>DG773</t>
  </si>
  <si>
    <t>DRI Multi-Drug Calibrator 1</t>
  </si>
  <si>
    <t>DG774</t>
  </si>
  <si>
    <t>DRI Multi-Drug Calibrator 2</t>
  </si>
  <si>
    <t>DG776</t>
  </si>
  <si>
    <t>DRI Multi-Drug Calibrator 4</t>
  </si>
  <si>
    <t>DG775</t>
  </si>
  <si>
    <t>DRI Multi-Drug Calibrator 3</t>
  </si>
  <si>
    <t>DG152</t>
  </si>
  <si>
    <t>DITHIONIČITAN SODNY P.A.</t>
  </si>
  <si>
    <t>DG791</t>
  </si>
  <si>
    <t>PAR TDM Level 1</t>
  </si>
  <si>
    <t>DG792</t>
  </si>
  <si>
    <t>PAR TDM Level 2</t>
  </si>
  <si>
    <t>DG793</t>
  </si>
  <si>
    <t>PAR TDM Level 3</t>
  </si>
  <si>
    <t>DD081</t>
  </si>
  <si>
    <t>HEXAN P.A.</t>
  </si>
  <si>
    <t>DH208</t>
  </si>
  <si>
    <t>DIETHYLETER P.A. NESTAB. 5000ml</t>
  </si>
  <si>
    <t>SOUD, soudní lékařství - laboratoř</t>
  </si>
  <si>
    <t>50115050</t>
  </si>
  <si>
    <t>502 SZM obvazový (112 02 040)</t>
  </si>
  <si>
    <t>50115060</t>
  </si>
  <si>
    <t>503 SZM ostatní zdravotnický (112 02 100)</t>
  </si>
  <si>
    <t>50115040</t>
  </si>
  <si>
    <t>505 SZM laboratorní sklo a materiál (112 02 140)</t>
  </si>
  <si>
    <t>50115067</t>
  </si>
  <si>
    <t>532 SZM Rukavice (112 02 108)</t>
  </si>
  <si>
    <t>50115020</t>
  </si>
  <si>
    <t>Diagnostika (112 04 004, 132 01 004)</t>
  </si>
  <si>
    <t>Spotřeba zdravotnického materiálu - orientační přehled</t>
  </si>
  <si>
    <t>ON Data</t>
  </si>
  <si>
    <t>808 - Pracoviště soudního lékařství</t>
  </si>
  <si>
    <t>814 - Laboratoř toxikologická</t>
  </si>
  <si>
    <t xml:space="preserve"> </t>
  </si>
  <si>
    <t>* Legenda</t>
  </si>
  <si>
    <t>Ambulantní péče znamená, že pacient v den poskytnutí zdravotní péče není hospitalizován ve FNOL</t>
  </si>
  <si>
    <t>Zdravotní výkony vykázané na pracovišti v rámci ambulantní péče *</t>
  </si>
  <si>
    <t>beze jména</t>
  </si>
  <si>
    <t>Zdravotní výkony vykázané na pracovišti v rámci ambulantní péče dle lékařů *</t>
  </si>
  <si>
    <t>808</t>
  </si>
  <si>
    <t>V</t>
  </si>
  <si>
    <t>88101</t>
  </si>
  <si>
    <t>PROVEDENÍ PITVY NA SOUDNĚ LÉKAŘSKÉM PRACOVIŠTI ZDR</t>
  </si>
  <si>
    <t>814</t>
  </si>
  <si>
    <t>92111</t>
  </si>
  <si>
    <t>KONZULTACE OŠETŘUJÍCÍHO LÉKAŘE TOXIKOLOGEM</t>
  </si>
  <si>
    <t>92121</t>
  </si>
  <si>
    <t>STANOVENÍ EXTRAKTIVNÍCH LÁTEK PLYNOVOU CHROMATOGRA</t>
  </si>
  <si>
    <t>92127</t>
  </si>
  <si>
    <t>TĚKAVÉ LÁTKY - PRŮKAZ PLYNOVOU CHROMATOGRAFIÍ -  S</t>
  </si>
  <si>
    <t>92131</t>
  </si>
  <si>
    <t>EXTRAKTIVNÍ LÁTKY - CÍLENÝ PRŮKAZ PLYNOVOU CHROMAT</t>
  </si>
  <si>
    <t>92137</t>
  </si>
  <si>
    <t>IDENTIFIKACE NEZNÁMÉ LÁTKY POMOCÍ PLYNOVÉ CHROMATO</t>
  </si>
  <si>
    <t>92141</t>
  </si>
  <si>
    <t>ETHANOL - SPECIFICKÉ STANOVENÍ PLYNOVOU CHROMATOGR</t>
  </si>
  <si>
    <t>92147</t>
  </si>
  <si>
    <t>EXTRAKTIVNÍ LÁTKY - CÍLENÝ PRŮKAZ CHROMATOGRAFIÍ N</t>
  </si>
  <si>
    <t>92157</t>
  </si>
  <si>
    <t>EXTRAKTIVNÍ LÁTKY - STANOVENÍ POMOCÍ KAPALINOVÉ CH</t>
  </si>
  <si>
    <t>92177</t>
  </si>
  <si>
    <t>TĚKAVÉ LÁTKY - PRŮKAZ PLYNOVOU CHROMATOGRAFIÍ</t>
  </si>
  <si>
    <t>92181</t>
  </si>
  <si>
    <t>TĚKAVÉ LÁTKY - STANOVENÍ PLYNOVOU CHROMATOGRAFIÍ</t>
  </si>
  <si>
    <t>92187</t>
  </si>
  <si>
    <t>EXTRAKTIVNÍ LÁTKY - CÍLENÝ PRŮKAZ (KVALITATIVNÍ VY</t>
  </si>
  <si>
    <t>92191</t>
  </si>
  <si>
    <t>EXTRAKTIVNÍ LÁTKY - STANOVENÍ (KVANTITATIVNÍ VYŠET</t>
  </si>
  <si>
    <t>97111</t>
  </si>
  <si>
    <t>SEPARACE SÉRA NEBO PLAZMY</t>
  </si>
  <si>
    <t>92129</t>
  </si>
  <si>
    <t>92123</t>
  </si>
  <si>
    <t>92125</t>
  </si>
  <si>
    <t>EXTRAKTIVNÍ LÁTKY - PRŮKAZ CHROMATOGRAFIÍ NA TENKÉ</t>
  </si>
  <si>
    <t>92183</t>
  </si>
  <si>
    <t>STANOVENÍ TĚKAVÝCH REDUKUJÍCÍCH LÁTEK</t>
  </si>
  <si>
    <t>92185</t>
  </si>
  <si>
    <t>IZOLACE LÁTKY PRO CÍLENÝ PRŮKAZ PLYNOVOU CHROMATOG</t>
  </si>
  <si>
    <t>92153</t>
  </si>
  <si>
    <t>EXTRAKTIVNÍ LÁTKY - PRŮKAZ V TĚLNÍCH TEKUTINÁCH CH</t>
  </si>
  <si>
    <t>92133</t>
  </si>
  <si>
    <t>DROGY A LÉČIVA - CÍLENÝ IMUNOCHEMICKÝ ZÁCHYT - STA</t>
  </si>
  <si>
    <t>92189</t>
  </si>
  <si>
    <t>IZOLACE LÁTKY A PŘÍPRAVA KALIBRÁTORŮ PRO STANOVENÍ</t>
  </si>
  <si>
    <t>09123</t>
  </si>
  <si>
    <t>ANALÝZA MOČI CHEMICKY</t>
  </si>
  <si>
    <t>92173</t>
  </si>
  <si>
    <t xml:space="preserve">STANOVENÍ LÁTEK SPEKTROFOTOMETRICKY PO JEDNODUCHÉ </t>
  </si>
  <si>
    <t>92135</t>
  </si>
  <si>
    <t>DROGY A LÉČIVA - CÍLENÝ IMUNOCHEMICKÝ ZÁCHYT</t>
  </si>
  <si>
    <t>92155</t>
  </si>
  <si>
    <t>EXTRAKTIVNÍ LÁTKY - STANOVENÍ PLYNOVOU CHROMATOGRA</t>
  </si>
  <si>
    <t>92145</t>
  </si>
  <si>
    <t>92143</t>
  </si>
  <si>
    <t>EXTRAKTIVNÍ LÁTKY - CÍLENÝ PRŮKAZ KAPALINOVOU CHRO</t>
  </si>
  <si>
    <t>92119</t>
  </si>
  <si>
    <t>Zdravotní výkony + ZUM + ZULP vykázané na pracovišti v rámci ambulantní péče - orientační přehled</t>
  </si>
  <si>
    <t>01 - I. interní klinika - kardiologická</t>
  </si>
  <si>
    <t>02 - II. interní klinika - gastro-enterologická a hepatologická</t>
  </si>
  <si>
    <t>03 - III. interní klinika - nefrologická, revmatologická a endokrinologická</t>
  </si>
  <si>
    <t>06 - Neurochirurgická klinika</t>
  </si>
  <si>
    <t>07 - Klinika anesteziologie, resuscitace a intenzivní medicíny</t>
  </si>
  <si>
    <t>08 - Porodnicko-gynekologická klinika</t>
  </si>
  <si>
    <t>09 - Novorozenecké oddělení</t>
  </si>
  <si>
    <t>10 - Dětská klinika</t>
  </si>
  <si>
    <t>16 - Klinika plicních nemocí a tuberkulózy</t>
  </si>
  <si>
    <t>17 - Neurologická klinika</t>
  </si>
  <si>
    <t>18 - Klinika psychiatrie</t>
  </si>
  <si>
    <t>25 - Klinika ústní,čelistní a obličejové chirurgie</t>
  </si>
  <si>
    <t>31 - Traumatologické oddělení</t>
  </si>
  <si>
    <t>32 - Hemato-onkologická klinika</t>
  </si>
  <si>
    <t>50 - Kardiochirurgická klinika</t>
  </si>
  <si>
    <t>59 - Oddělení intenzivní péče chirurgických oborů</t>
  </si>
  <si>
    <t>01</t>
  </si>
  <si>
    <t>02</t>
  </si>
  <si>
    <t>03</t>
  </si>
  <si>
    <t>06</t>
  </si>
  <si>
    <t>07</t>
  </si>
  <si>
    <t>08</t>
  </si>
  <si>
    <t>09</t>
  </si>
  <si>
    <t>10</t>
  </si>
  <si>
    <t>16</t>
  </si>
  <si>
    <t>17</t>
  </si>
  <si>
    <t>18</t>
  </si>
  <si>
    <t>25</t>
  </si>
  <si>
    <t>31</t>
  </si>
  <si>
    <t>32</t>
  </si>
  <si>
    <t>50</t>
  </si>
  <si>
    <t>59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</si>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</sst>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0%;\-0%;"/>
    <numFmt numFmtId="176" formatCode="#,##0%"/>
  </numFmts>
  <fonts count="60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2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98">
    <xf numFmtId="0" fontId="0" fillId="0" borderId="0"/>
    <xf numFmtId="0" fontId="25" fillId="0" borderId="0" applyNumberForma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496">
    <xf numFmtId="0" fontId="0" fillId="0" borderId="0" xfId="0"/>
    <xf numFmtId="0" fontId="27" fillId="2" borderId="17" xfId="81" applyFont="1" applyFill="1" applyBorder="1"/>
    <xf numFmtId="0" fontId="28" fillId="2" borderId="18" xfId="81" applyFont="1" applyFill="1" applyBorder="1"/>
    <xf numFmtId="3" fontId="28" fillId="2" borderId="19" xfId="81" applyNumberFormat="1" applyFont="1" applyFill="1" applyBorder="1"/>
    <xf numFmtId="0" fontId="28" fillId="4" borderId="18" xfId="81" applyFont="1" applyFill="1" applyBorder="1"/>
    <xf numFmtId="3" fontId="28" fillId="4" borderId="19" xfId="81" applyNumberFormat="1" applyFont="1" applyFill="1" applyBorder="1"/>
    <xf numFmtId="171" fontId="28" fillId="3" borderId="19" xfId="81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4" xfId="81" applyNumberFormat="1" applyFont="1" applyFill="1" applyBorder="1"/>
    <xf numFmtId="3" fontId="27" fillId="5" borderId="8" xfId="81" applyNumberFormat="1" applyFont="1" applyFill="1" applyBorder="1"/>
    <xf numFmtId="3" fontId="27" fillId="5" borderId="12" xfId="81" applyNumberFormat="1" applyFont="1" applyFill="1" applyBorder="1"/>
    <xf numFmtId="0" fontId="27" fillId="5" borderId="0" xfId="81" applyFont="1" applyFill="1"/>
    <xf numFmtId="10" fontId="27" fillId="5" borderId="0" xfId="81" applyNumberFormat="1" applyFont="1" applyFill="1"/>
    <xf numFmtId="0" fontId="37" fillId="2" borderId="33" xfId="0" applyFont="1" applyFill="1" applyBorder="1" applyAlignment="1">
      <alignment vertical="top"/>
    </xf>
    <xf numFmtId="0" fontId="37" fillId="2" borderId="34" xfId="0" applyFont="1" applyFill="1" applyBorder="1" applyAlignment="1">
      <alignment vertical="top"/>
    </xf>
    <xf numFmtId="0" fontId="34" fillId="2" borderId="34" xfId="0" applyFont="1" applyFill="1" applyBorder="1" applyAlignment="1">
      <alignment vertical="top"/>
    </xf>
    <xf numFmtId="0" fontId="38" fillId="2" borderId="34" xfId="0" applyFont="1" applyFill="1" applyBorder="1" applyAlignment="1">
      <alignment vertical="top"/>
    </xf>
    <xf numFmtId="0" fontId="36" fillId="2" borderId="34" xfId="0" applyFont="1" applyFill="1" applyBorder="1" applyAlignment="1">
      <alignment vertical="top"/>
    </xf>
    <xf numFmtId="0" fontId="34" fillId="2" borderId="35" xfId="0" applyFont="1" applyFill="1" applyBorder="1" applyAlignment="1">
      <alignment vertical="top"/>
    </xf>
    <xf numFmtId="0" fontId="37" fillId="2" borderId="8" xfId="0" applyFont="1" applyFill="1" applyBorder="1" applyAlignment="1">
      <alignment horizontal="center" vertical="center"/>
    </xf>
    <xf numFmtId="0" fontId="37" fillId="2" borderId="21" xfId="0" applyFont="1" applyFill="1" applyBorder="1" applyAlignment="1">
      <alignment horizontal="center" vertical="center"/>
    </xf>
    <xf numFmtId="0" fontId="37" fillId="2" borderId="23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8" fillId="2" borderId="21" xfId="0" applyFont="1" applyFill="1" applyBorder="1" applyAlignment="1">
      <alignment horizontal="center" vertical="center" wrapText="1"/>
    </xf>
    <xf numFmtId="0" fontId="38" fillId="2" borderId="23" xfId="0" applyFont="1" applyFill="1" applyBorder="1" applyAlignment="1">
      <alignment horizontal="center" vertical="center" wrapText="1"/>
    </xf>
    <xf numFmtId="0" fontId="36" fillId="2" borderId="23" xfId="0" applyFont="1" applyFill="1" applyBorder="1" applyAlignment="1">
      <alignment horizontal="center" vertical="center" wrapText="1"/>
    </xf>
    <xf numFmtId="3" fontId="27" fillId="5" borderId="4" xfId="81" applyNumberFormat="1" applyFont="1" applyFill="1" applyBorder="1"/>
    <xf numFmtId="3" fontId="27" fillId="5" borderId="29" xfId="81" applyNumberFormat="1" applyFont="1" applyFill="1" applyBorder="1"/>
    <xf numFmtId="3" fontId="27" fillId="5" borderId="25" xfId="81" applyNumberFormat="1" applyFont="1" applyFill="1" applyBorder="1"/>
    <xf numFmtId="3" fontId="27" fillId="5" borderId="9" xfId="81" applyNumberFormat="1" applyFont="1" applyFill="1" applyBorder="1"/>
    <xf numFmtId="3" fontId="27" fillId="5" borderId="10" xfId="81" applyNumberFormat="1" applyFont="1" applyFill="1" applyBorder="1"/>
    <xf numFmtId="3" fontId="27" fillId="5" borderId="13" xfId="81" applyNumberFormat="1" applyFont="1" applyFill="1" applyBorder="1"/>
    <xf numFmtId="3" fontId="27" fillId="5" borderId="14" xfId="81" applyNumberFormat="1" applyFont="1" applyFill="1" applyBorder="1"/>
    <xf numFmtId="3" fontId="28" fillId="2" borderId="27" xfId="81" applyNumberFormat="1" applyFont="1" applyFill="1" applyBorder="1"/>
    <xf numFmtId="3" fontId="28" fillId="2" borderId="20" xfId="81" applyNumberFormat="1" applyFont="1" applyFill="1" applyBorder="1"/>
    <xf numFmtId="3" fontId="28" fillId="4" borderId="27" xfId="81" applyNumberFormat="1" applyFont="1" applyFill="1" applyBorder="1"/>
    <xf numFmtId="3" fontId="28" fillId="4" borderId="20" xfId="81" applyNumberFormat="1" applyFont="1" applyFill="1" applyBorder="1"/>
    <xf numFmtId="171" fontId="28" fillId="3" borderId="27" xfId="81" applyNumberFormat="1" applyFont="1" applyFill="1" applyBorder="1"/>
    <xf numFmtId="171" fontId="28" fillId="3" borderId="20" xfId="81" applyNumberFormat="1" applyFont="1" applyFill="1" applyBorder="1"/>
    <xf numFmtId="0" fontId="31" fillId="2" borderId="25" xfId="81" applyFont="1" applyFill="1" applyBorder="1" applyAlignment="1">
      <alignment horizontal="center"/>
    </xf>
    <xf numFmtId="0" fontId="32" fillId="0" borderId="36" xfId="0" applyFont="1" applyFill="1" applyBorder="1" applyAlignment="1"/>
    <xf numFmtId="0" fontId="40" fillId="0" borderId="0" xfId="0" applyFont="1" applyFill="1" applyBorder="1" applyAlignment="1"/>
    <xf numFmtId="3" fontId="33" fillId="0" borderId="7" xfId="0" applyNumberFormat="1" applyFont="1" applyFill="1" applyBorder="1" applyAlignment="1">
      <alignment horizontal="right" vertical="top"/>
    </xf>
    <xf numFmtId="3" fontId="33" fillId="0" borderId="5" xfId="0" applyNumberFormat="1" applyFont="1" applyFill="1" applyBorder="1" applyAlignment="1">
      <alignment horizontal="right" vertical="top"/>
    </xf>
    <xf numFmtId="3" fontId="34" fillId="0" borderId="5" xfId="0" applyNumberFormat="1" applyFont="1" applyFill="1" applyBorder="1" applyAlignment="1">
      <alignment horizontal="right" vertical="top"/>
    </xf>
    <xf numFmtId="3" fontId="33" fillId="0" borderId="11" xfId="0" applyNumberFormat="1" applyFont="1" applyFill="1" applyBorder="1" applyAlignment="1">
      <alignment horizontal="right" vertical="top"/>
    </xf>
    <xf numFmtId="3" fontId="33" fillId="0" borderId="9" xfId="0" applyNumberFormat="1" applyFont="1" applyFill="1" applyBorder="1" applyAlignment="1">
      <alignment horizontal="right" vertical="top"/>
    </xf>
    <xf numFmtId="3" fontId="34" fillId="0" borderId="9" xfId="0" applyNumberFormat="1" applyFont="1" applyFill="1" applyBorder="1" applyAlignment="1">
      <alignment horizontal="right" vertical="top"/>
    </xf>
    <xf numFmtId="3" fontId="35" fillId="0" borderId="11" xfId="0" applyNumberFormat="1" applyFont="1" applyFill="1" applyBorder="1" applyAlignment="1">
      <alignment horizontal="right" vertical="top"/>
    </xf>
    <xf numFmtId="3" fontId="35" fillId="0" borderId="9" xfId="0" applyNumberFormat="1" applyFont="1" applyFill="1" applyBorder="1" applyAlignment="1">
      <alignment horizontal="right" vertical="top"/>
    </xf>
    <xf numFmtId="3" fontId="36" fillId="0" borderId="9" xfId="0" applyNumberFormat="1" applyFont="1" applyFill="1" applyBorder="1" applyAlignment="1">
      <alignment horizontal="right" vertical="top"/>
    </xf>
    <xf numFmtId="3" fontId="33" fillId="0" borderId="32" xfId="0" applyNumberFormat="1" applyFont="1" applyFill="1" applyBorder="1" applyAlignment="1">
      <alignment horizontal="right" vertical="top"/>
    </xf>
    <xf numFmtId="3" fontId="33" fillId="0" borderId="23" xfId="0" applyNumberFormat="1" applyFont="1" applyFill="1" applyBorder="1" applyAlignment="1">
      <alignment horizontal="right" vertical="top"/>
    </xf>
    <xf numFmtId="3" fontId="34" fillId="0" borderId="23" xfId="0" applyNumberFormat="1" applyFont="1" applyFill="1" applyBorder="1" applyAlignment="1">
      <alignment horizontal="right" vertical="top"/>
    </xf>
    <xf numFmtId="0" fontId="6" fillId="0" borderId="0" xfId="82" applyFont="1" applyFill="1"/>
    <xf numFmtId="0" fontId="8" fillId="0" borderId="36" xfId="82" applyFont="1" applyFill="1" applyBorder="1" applyAlignment="1"/>
    <xf numFmtId="0" fontId="29" fillId="0" borderId="0" xfId="49" applyFont="1" applyFill="1"/>
    <xf numFmtId="164" fontId="3" fillId="0" borderId="56" xfId="53" applyNumberFormat="1" applyFont="1" applyFill="1" applyBorder="1"/>
    <xf numFmtId="9" fontId="3" fillId="0" borderId="56" xfId="53" applyNumberFormat="1" applyFont="1" applyFill="1" applyBorder="1"/>
    <xf numFmtId="0" fontId="32" fillId="0" borderId="30" xfId="0" applyFont="1" applyFill="1" applyBorder="1" applyAlignment="1"/>
    <xf numFmtId="0" fontId="32" fillId="0" borderId="31" xfId="0" applyFont="1" applyFill="1" applyBorder="1" applyAlignment="1"/>
    <xf numFmtId="0" fontId="32" fillId="0" borderId="51" xfId="0" applyFont="1" applyFill="1" applyBorder="1" applyAlignment="1"/>
    <xf numFmtId="0" fontId="3" fillId="2" borderId="54" xfId="53" applyFont="1" applyFill="1" applyBorder="1" applyAlignment="1">
      <alignment horizontal="right"/>
    </xf>
    <xf numFmtId="0" fontId="32" fillId="0" borderId="25" xfId="0" applyFont="1" applyBorder="1" applyAlignment="1"/>
    <xf numFmtId="0" fontId="32" fillId="5" borderId="6" xfId="0" applyFont="1" applyFill="1" applyBorder="1"/>
    <xf numFmtId="0" fontId="32" fillId="5" borderId="10" xfId="0" applyFont="1" applyFill="1" applyBorder="1"/>
    <xf numFmtId="0" fontId="32" fillId="5" borderId="22" xfId="0" applyFont="1" applyFill="1" applyBorder="1"/>
    <xf numFmtId="0" fontId="32" fillId="5" borderId="36" xfId="0" applyFont="1" applyFill="1" applyBorder="1"/>
    <xf numFmtId="0" fontId="32" fillId="5" borderId="42" xfId="0" applyFont="1" applyFill="1" applyBorder="1"/>
    <xf numFmtId="9" fontId="34" fillId="0" borderId="6" xfId="0" applyNumberFormat="1" applyFont="1" applyFill="1" applyBorder="1" applyAlignment="1">
      <alignment horizontal="right" vertical="top"/>
    </xf>
    <xf numFmtId="9" fontId="34" fillId="0" borderId="10" xfId="0" applyNumberFormat="1" applyFont="1" applyFill="1" applyBorder="1" applyAlignment="1">
      <alignment horizontal="right" vertical="top"/>
    </xf>
    <xf numFmtId="9" fontId="36" fillId="0" borderId="10" xfId="0" applyNumberFormat="1" applyFont="1" applyFill="1" applyBorder="1" applyAlignment="1">
      <alignment horizontal="right" vertical="top"/>
    </xf>
    <xf numFmtId="9" fontId="34" fillId="0" borderId="22" xfId="0" applyNumberFormat="1" applyFont="1" applyFill="1" applyBorder="1" applyAlignment="1">
      <alignment horizontal="right" vertical="top"/>
    </xf>
    <xf numFmtId="3" fontId="31" fillId="0" borderId="29" xfId="53" applyNumberFormat="1" applyFont="1" applyFill="1" applyBorder="1"/>
    <xf numFmtId="3" fontId="31" fillId="0" borderId="25" xfId="53" applyNumberFormat="1" applyFont="1" applyFill="1" applyBorder="1"/>
    <xf numFmtId="0" fontId="31" fillId="2" borderId="42" xfId="0" applyFont="1" applyFill="1" applyBorder="1" applyAlignment="1">
      <alignment horizontal="center"/>
    </xf>
    <xf numFmtId="3" fontId="3" fillId="0" borderId="55" xfId="53" applyNumberFormat="1" applyFont="1" applyFill="1" applyBorder="1"/>
    <xf numFmtId="3" fontId="3" fillId="0" borderId="56" xfId="53" applyNumberFormat="1" applyFont="1" applyFill="1" applyBorder="1"/>
    <xf numFmtId="3" fontId="3" fillId="0" borderId="57" xfId="53" applyNumberFormat="1" applyFont="1" applyFill="1" applyBorder="1"/>
    <xf numFmtId="0" fontId="31" fillId="2" borderId="42" xfId="0" applyNumberFormat="1" applyFont="1" applyFill="1" applyBorder="1" applyAlignment="1">
      <alignment horizontal="center"/>
    </xf>
    <xf numFmtId="169" fontId="32" fillId="0" borderId="0" xfId="0" applyNumberFormat="1" applyFont="1" applyFill="1"/>
    <xf numFmtId="0" fontId="31" fillId="2" borderId="38" xfId="74" applyFont="1" applyFill="1" applyBorder="1" applyAlignment="1">
      <alignment horizontal="center"/>
    </xf>
    <xf numFmtId="0" fontId="27" fillId="5" borderId="36" xfId="81" applyFont="1" applyFill="1" applyBorder="1"/>
    <xf numFmtId="0" fontId="31" fillId="2" borderId="23" xfId="81" applyFont="1" applyFill="1" applyBorder="1" applyAlignment="1">
      <alignment horizontal="center"/>
    </xf>
    <xf numFmtId="0" fontId="31" fillId="2" borderId="22" xfId="81" applyFont="1" applyFill="1" applyBorder="1" applyAlignment="1">
      <alignment horizontal="center"/>
    </xf>
    <xf numFmtId="0" fontId="32" fillId="0" borderId="0" xfId="0" applyFont="1" applyFill="1" applyBorder="1" applyAlignment="1"/>
    <xf numFmtId="0" fontId="45" fillId="2" borderId="17" xfId="1" applyFont="1" applyFill="1" applyBorder="1"/>
    <xf numFmtId="0" fontId="46" fillId="0" borderId="0" xfId="0" applyFont="1" applyFill="1"/>
    <xf numFmtId="0" fontId="47" fillId="0" borderId="0" xfId="0" applyFont="1" applyFill="1"/>
    <xf numFmtId="0" fontId="47" fillId="0" borderId="0" xfId="0" applyFont="1" applyFill="1" applyBorder="1"/>
    <xf numFmtId="3" fontId="32" fillId="0" borderId="29" xfId="0" applyNumberFormat="1" applyFont="1" applyFill="1" applyBorder="1"/>
    <xf numFmtId="3" fontId="32" fillId="0" borderId="24" xfId="0" applyNumberFormat="1" applyFont="1" applyFill="1" applyBorder="1"/>
    <xf numFmtId="3" fontId="32" fillId="0" borderId="8" xfId="0" applyNumberFormat="1" applyFont="1" applyFill="1" applyBorder="1"/>
    <xf numFmtId="3" fontId="32" fillId="0" borderId="9" xfId="0" applyNumberFormat="1" applyFont="1" applyFill="1" applyBorder="1"/>
    <xf numFmtId="3" fontId="32" fillId="0" borderId="12" xfId="0" applyNumberFormat="1" applyFont="1" applyFill="1" applyBorder="1"/>
    <xf numFmtId="3" fontId="32" fillId="0" borderId="13" xfId="0" applyNumberFormat="1" applyFont="1" applyFill="1" applyBorder="1"/>
    <xf numFmtId="9" fontId="32" fillId="0" borderId="25" xfId="0" applyNumberFormat="1" applyFont="1" applyFill="1" applyBorder="1"/>
    <xf numFmtId="9" fontId="32" fillId="0" borderId="10" xfId="0" applyNumberFormat="1" applyFont="1" applyFill="1" applyBorder="1"/>
    <xf numFmtId="9" fontId="32" fillId="0" borderId="14" xfId="0" applyNumberFormat="1" applyFont="1" applyFill="1" applyBorder="1"/>
    <xf numFmtId="9" fontId="28" fillId="2" borderId="20" xfId="81" applyNumberFormat="1" applyFont="1" applyFill="1" applyBorder="1"/>
    <xf numFmtId="9" fontId="28" fillId="4" borderId="20" xfId="81" applyNumberFormat="1" applyFont="1" applyFill="1" applyBorder="1"/>
    <xf numFmtId="9" fontId="28" fillId="3" borderId="20" xfId="81" applyNumberFormat="1" applyFont="1" applyFill="1" applyBorder="1"/>
    <xf numFmtId="0" fontId="31" fillId="2" borderId="21" xfId="81" applyFont="1" applyFill="1" applyBorder="1" applyAlignment="1">
      <alignment horizontal="center"/>
    </xf>
    <xf numFmtId="49" fontId="37" fillId="2" borderId="9" xfId="0" applyNumberFormat="1" applyFont="1" applyFill="1" applyBorder="1" applyAlignment="1">
      <alignment horizontal="center" vertical="center"/>
    </xf>
    <xf numFmtId="0" fontId="32" fillId="0" borderId="0" xfId="0" applyFont="1" applyFill="1"/>
    <xf numFmtId="0" fontId="32" fillId="0" borderId="42" xfId="0" applyFont="1" applyFill="1" applyBorder="1" applyAlignment="1"/>
    <xf numFmtId="0" fontId="32" fillId="0" borderId="0" xfId="0" applyFont="1" applyFill="1" applyAlignment="1"/>
    <xf numFmtId="0" fontId="45" fillId="4" borderId="33" xfId="1" applyFont="1" applyFill="1" applyBorder="1"/>
    <xf numFmtId="0" fontId="45" fillId="4" borderId="17" xfId="1" applyFont="1" applyFill="1" applyBorder="1"/>
    <xf numFmtId="0" fontId="45" fillId="3" borderId="18" xfId="1" applyFont="1" applyFill="1" applyBorder="1"/>
    <xf numFmtId="0" fontId="48" fillId="0" borderId="0" xfId="0" applyFont="1" applyFill="1" applyBorder="1" applyAlignment="1">
      <alignment vertical="center"/>
    </xf>
    <xf numFmtId="0" fontId="48" fillId="0" borderId="0" xfId="0" applyFont="1" applyFill="1" applyAlignment="1">
      <alignment vertical="center"/>
    </xf>
    <xf numFmtId="0" fontId="32" fillId="2" borderId="2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164" fontId="31" fillId="2" borderId="24" xfId="53" applyNumberFormat="1" applyFont="1" applyFill="1" applyBorder="1" applyAlignment="1">
      <alignment horizontal="right"/>
    </xf>
    <xf numFmtId="0" fontId="45" fillId="3" borderId="8" xfId="1" applyFont="1" applyFill="1" applyBorder="1"/>
    <xf numFmtId="0" fontId="45" fillId="3" borderId="4" xfId="1" applyFont="1" applyFill="1" applyBorder="1"/>
    <xf numFmtId="0" fontId="45" fillId="6" borderId="4" xfId="1" applyFont="1" applyFill="1" applyBorder="1"/>
    <xf numFmtId="0" fontId="45" fillId="6" borderId="49" xfId="1" applyFont="1" applyFill="1" applyBorder="1"/>
    <xf numFmtId="0" fontId="45" fillId="2" borderId="4" xfId="1" applyFont="1" applyFill="1" applyBorder="1"/>
    <xf numFmtId="0" fontId="45" fillId="4" borderId="4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5" xfId="0" applyNumberFormat="1" applyFont="1" applyFill="1" applyBorder="1"/>
    <xf numFmtId="3" fontId="39" fillId="2" borderId="46" xfId="0" applyNumberFormat="1" applyFont="1" applyFill="1" applyBorder="1"/>
    <xf numFmtId="9" fontId="39" fillId="2" borderId="50" xfId="0" applyNumberFormat="1" applyFont="1" applyFill="1" applyBorder="1"/>
    <xf numFmtId="0" fontId="49" fillId="2" borderId="18" xfId="1" applyFont="1" applyFill="1" applyBorder="1" applyAlignment="1"/>
    <xf numFmtId="0" fontId="32" fillId="2" borderId="28" xfId="0" applyFont="1" applyFill="1" applyBorder="1" applyAlignment="1"/>
    <xf numFmtId="3" fontId="32" fillId="2" borderId="27" xfId="0" applyNumberFormat="1" applyFont="1" applyFill="1" applyBorder="1" applyAlignment="1"/>
    <xf numFmtId="9" fontId="32" fillId="2" borderId="20" xfId="0" applyNumberFormat="1" applyFont="1" applyFill="1" applyBorder="1" applyAlignment="1"/>
    <xf numFmtId="0" fontId="39" fillId="2" borderId="47" xfId="0" applyFont="1" applyFill="1" applyBorder="1" applyAlignment="1"/>
    <xf numFmtId="0" fontId="32" fillId="0" borderId="7" xfId="0" applyFont="1" applyBorder="1" applyAlignment="1"/>
    <xf numFmtId="3" fontId="32" fillId="0" borderId="5" xfId="0" applyNumberFormat="1" applyFont="1" applyBorder="1" applyAlignment="1"/>
    <xf numFmtId="9" fontId="32" fillId="0" borderId="10" xfId="0" applyNumberFormat="1" applyFont="1" applyBorder="1" applyAlignment="1"/>
    <xf numFmtId="0" fontId="29" fillId="2" borderId="34" xfId="1" applyFont="1" applyFill="1" applyBorder="1" applyAlignment="1">
      <alignment horizontal="left" indent="2"/>
    </xf>
    <xf numFmtId="0" fontId="32" fillId="0" borderId="11" xfId="0" applyFont="1" applyBorder="1" applyAlignment="1"/>
    <xf numFmtId="3" fontId="32" fillId="0" borderId="9" xfId="0" applyNumberFormat="1" applyFont="1" applyBorder="1" applyAlignment="1"/>
    <xf numFmtId="0" fontId="45" fillId="2" borderId="34" xfId="1" applyFont="1" applyFill="1" applyBorder="1" applyAlignment="1">
      <alignment horizontal="left" indent="4"/>
    </xf>
    <xf numFmtId="9" fontId="32" fillId="0" borderId="9" xfId="0" applyNumberFormat="1" applyFont="1" applyBorder="1" applyAlignment="1"/>
    <xf numFmtId="0" fontId="32" fillId="2" borderId="34" xfId="0" applyFont="1" applyFill="1" applyBorder="1" applyAlignment="1">
      <alignment horizontal="left" indent="2"/>
    </xf>
    <xf numFmtId="0" fontId="31" fillId="2" borderId="34" xfId="1" applyFont="1" applyFill="1" applyBorder="1" applyAlignment="1"/>
    <xf numFmtId="0" fontId="45" fillId="2" borderId="34" xfId="1" applyFont="1" applyFill="1" applyBorder="1" applyAlignment="1">
      <alignment horizontal="left" indent="2"/>
    </xf>
    <xf numFmtId="0" fontId="49" fillId="2" borderId="34" xfId="1" applyFont="1" applyFill="1" applyBorder="1" applyAlignment="1"/>
    <xf numFmtId="0" fontId="32" fillId="0" borderId="32" xfId="0" applyFont="1" applyBorder="1" applyAlignment="1"/>
    <xf numFmtId="3" fontId="32" fillId="0" borderId="23" xfId="0" applyNumberFormat="1" applyFont="1" applyBorder="1" applyAlignment="1"/>
    <xf numFmtId="9" fontId="32" fillId="0" borderId="22" xfId="0" applyNumberFormat="1" applyFont="1" applyBorder="1" applyAlignment="1"/>
    <xf numFmtId="0" fontId="39" fillId="0" borderId="36" xfId="0" applyFont="1" applyFill="1" applyBorder="1" applyAlignment="1">
      <alignment horizontal="left" indent="2"/>
    </xf>
    <xf numFmtId="0" fontId="32" fillId="0" borderId="36" xfId="0" applyFont="1" applyBorder="1" applyAlignment="1"/>
    <xf numFmtId="3" fontId="32" fillId="0" borderId="36" xfId="0" applyNumberFormat="1" applyFont="1" applyBorder="1" applyAlignment="1"/>
    <xf numFmtId="9" fontId="32" fillId="0" borderId="36" xfId="0" applyNumberFormat="1" applyFont="1" applyBorder="1" applyAlignment="1"/>
    <xf numFmtId="0" fontId="49" fillId="4" borderId="18" xfId="1" applyFont="1" applyFill="1" applyBorder="1" applyAlignment="1">
      <alignment horizontal="left"/>
    </xf>
    <xf numFmtId="0" fontId="32" fillId="4" borderId="28" xfId="0" applyFont="1" applyFill="1" applyBorder="1" applyAlignment="1"/>
    <xf numFmtId="3" fontId="32" fillId="4" borderId="27" xfId="0" applyNumberFormat="1" applyFont="1" applyFill="1" applyBorder="1" applyAlignment="1"/>
    <xf numFmtId="9" fontId="32" fillId="4" borderId="20" xfId="0" applyNumberFormat="1" applyFont="1" applyFill="1" applyBorder="1" applyAlignment="1"/>
    <xf numFmtId="0" fontId="49" fillId="4" borderId="47" xfId="1" applyFont="1" applyFill="1" applyBorder="1" applyAlignment="1">
      <alignment horizontal="left"/>
    </xf>
    <xf numFmtId="0" fontId="45" fillId="4" borderId="34" xfId="1" applyFont="1" applyFill="1" applyBorder="1" applyAlignment="1">
      <alignment horizontal="left" indent="2"/>
    </xf>
    <xf numFmtId="0" fontId="49" fillId="4" borderId="34" xfId="1" applyFont="1" applyFill="1" applyBorder="1" applyAlignment="1">
      <alignment horizontal="left"/>
    </xf>
    <xf numFmtId="0" fontId="32" fillId="4" borderId="35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2" xfId="0" applyNumberFormat="1" applyFont="1" applyBorder="1" applyAlignment="1"/>
    <xf numFmtId="0" fontId="39" fillId="3" borderId="18" xfId="0" applyFont="1" applyFill="1" applyBorder="1" applyAlignment="1"/>
    <xf numFmtId="0" fontId="32" fillId="3" borderId="28" xfId="0" applyFont="1" applyFill="1" applyBorder="1" applyAlignment="1"/>
    <xf numFmtId="3" fontId="32" fillId="3" borderId="27" xfId="0" applyNumberFormat="1" applyFont="1" applyFill="1" applyBorder="1" applyAlignment="1"/>
    <xf numFmtId="9" fontId="32" fillId="3" borderId="20" xfId="0" applyNumberFormat="1" applyFont="1" applyFill="1" applyBorder="1" applyAlignment="1"/>
    <xf numFmtId="0" fontId="40" fillId="0" borderId="0" xfId="0" applyFont="1" applyFill="1"/>
    <xf numFmtId="16" fontId="40" fillId="0" borderId="0" xfId="0" quotePrefix="1" applyNumberFormat="1" applyFont="1" applyFill="1"/>
    <xf numFmtId="0" fontId="40" fillId="0" borderId="0" xfId="0" quotePrefix="1" applyFont="1" applyFill="1"/>
    <xf numFmtId="171" fontId="40" fillId="0" borderId="0" xfId="0" applyNumberFormat="1" applyFont="1" applyFill="1"/>
    <xf numFmtId="172" fontId="40" fillId="0" borderId="0" xfId="0" applyNumberFormat="1" applyFont="1" applyFill="1"/>
    <xf numFmtId="3" fontId="40" fillId="0" borderId="0" xfId="0" applyNumberFormat="1" applyFont="1" applyFill="1"/>
    <xf numFmtId="0" fontId="7" fillId="0" borderId="0" xfId="81" applyFont="1" applyFill="1"/>
    <xf numFmtId="0" fontId="50" fillId="0" borderId="36" xfId="81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4" fontId="32" fillId="0" borderId="0" xfId="0" applyNumberFormat="1" applyFont="1" applyFill="1"/>
    <xf numFmtId="9" fontId="32" fillId="0" borderId="0" xfId="0" applyNumberFormat="1" applyFont="1" applyFill="1"/>
    <xf numFmtId="164" fontId="27" fillId="0" borderId="0" xfId="78" applyNumberFormat="1" applyFont="1" applyFill="1" applyBorder="1" applyAlignment="1"/>
    <xf numFmtId="3" fontId="27" fillId="0" borderId="0" xfId="78" applyNumberFormat="1" applyFont="1" applyFill="1" applyBorder="1" applyAlignment="1"/>
    <xf numFmtId="164" fontId="32" fillId="0" borderId="0" xfId="0" applyNumberFormat="1" applyFont="1" applyFill="1" applyAlignment="1">
      <alignment horizontal="right"/>
    </xf>
    <xf numFmtId="3" fontId="6" fillId="0" borderId="0" xfId="78" applyNumberFormat="1" applyFont="1" applyFill="1" applyBorder="1" applyAlignment="1"/>
    <xf numFmtId="0" fontId="39" fillId="2" borderId="26" xfId="0" applyFont="1" applyFill="1" applyBorder="1" applyAlignment="1">
      <alignment horizontal="right"/>
    </xf>
    <xf numFmtId="169" fontId="39" fillId="0" borderId="19" xfId="0" applyNumberFormat="1" applyFont="1" applyFill="1" applyBorder="1" applyAlignment="1"/>
    <xf numFmtId="169" fontId="39" fillId="0" borderId="27" xfId="0" applyNumberFormat="1" applyFont="1" applyFill="1" applyBorder="1" applyAlignment="1"/>
    <xf numFmtId="9" fontId="39" fillId="0" borderId="20" xfId="0" applyNumberFormat="1" applyFont="1" applyFill="1" applyBorder="1" applyAlignment="1"/>
    <xf numFmtId="169" fontId="39" fillId="0" borderId="28" xfId="0" applyNumberFormat="1" applyFont="1" applyFill="1" applyBorder="1" applyAlignment="1"/>
    <xf numFmtId="9" fontId="39" fillId="0" borderId="44" xfId="0" applyNumberFormat="1" applyFont="1" applyFill="1" applyBorder="1" applyAlignment="1"/>
    <xf numFmtId="169" fontId="32" fillId="0" borderId="0" xfId="0" applyNumberFormat="1" applyFont="1" applyFill="1" applyBorder="1" applyAlignment="1"/>
    <xf numFmtId="9" fontId="32" fillId="0" borderId="0" xfId="0" applyNumberFormat="1" applyFont="1" applyFill="1" applyBorder="1" applyAlignment="1"/>
    <xf numFmtId="3" fontId="32" fillId="0" borderId="42" xfId="0" applyNumberFormat="1" applyFont="1" applyFill="1" applyBorder="1" applyAlignment="1"/>
    <xf numFmtId="9" fontId="32" fillId="0" borderId="42" xfId="0" applyNumberFormat="1" applyFont="1" applyFill="1" applyBorder="1" applyAlignment="1"/>
    <xf numFmtId="3" fontId="0" fillId="0" borderId="0" xfId="0" applyNumberFormat="1"/>
    <xf numFmtId="3" fontId="0" fillId="7" borderId="59" xfId="0" applyNumberFormat="1" applyFont="1" applyFill="1" applyBorder="1"/>
    <xf numFmtId="3" fontId="52" fillId="8" borderId="60" xfId="0" applyNumberFormat="1" applyFont="1" applyFill="1" applyBorder="1"/>
    <xf numFmtId="3" fontId="52" fillId="8" borderId="59" xfId="0" applyNumberFormat="1" applyFont="1" applyFill="1" applyBorder="1"/>
    <xf numFmtId="0" fontId="53" fillId="0" borderId="0" xfId="1" applyFont="1" applyFill="1"/>
    <xf numFmtId="3" fontId="51" fillId="0" borderId="0" xfId="26" applyNumberFormat="1" applyFont="1" applyFill="1" applyBorder="1" applyAlignment="1"/>
    <xf numFmtId="3" fontId="39" fillId="2" borderId="63" xfId="0" applyNumberFormat="1" applyFont="1" applyFill="1" applyBorder="1" applyAlignment="1">
      <alignment horizontal="center" vertical="center"/>
    </xf>
    <xf numFmtId="0" fontId="39" fillId="2" borderId="64" xfId="0" applyFont="1" applyFill="1" applyBorder="1" applyAlignment="1">
      <alignment horizontal="center" vertical="center"/>
    </xf>
    <xf numFmtId="3" fontId="54" fillId="2" borderId="66" xfId="0" applyNumberFormat="1" applyFont="1" applyFill="1" applyBorder="1" applyAlignment="1">
      <alignment horizontal="center" vertical="center" wrapText="1"/>
    </xf>
    <xf numFmtId="0" fontId="54" fillId="2" borderId="67" xfId="0" applyFont="1" applyFill="1" applyBorder="1" applyAlignment="1">
      <alignment horizontal="center" vertical="center" wrapText="1"/>
    </xf>
    <xf numFmtId="0" fontId="39" fillId="2" borderId="69" xfId="0" applyFont="1" applyFill="1" applyBorder="1" applyAlignment="1"/>
    <xf numFmtId="0" fontId="39" fillId="2" borderId="71" xfId="0" applyFont="1" applyFill="1" applyBorder="1" applyAlignment="1">
      <alignment horizontal="left" indent="1"/>
    </xf>
    <xf numFmtId="0" fontId="39" fillId="2" borderId="77" xfId="0" applyFont="1" applyFill="1" applyBorder="1" applyAlignment="1">
      <alignment horizontal="left" indent="1"/>
    </xf>
    <xf numFmtId="0" fontId="39" fillId="4" borderId="69" xfId="0" applyFont="1" applyFill="1" applyBorder="1" applyAlignment="1"/>
    <xf numFmtId="0" fontId="39" fillId="4" borderId="71" xfId="0" applyFont="1" applyFill="1" applyBorder="1" applyAlignment="1">
      <alignment horizontal="left" indent="1"/>
    </xf>
    <xf numFmtId="0" fontId="39" fillId="4" borderId="82" xfId="0" applyFont="1" applyFill="1" applyBorder="1" applyAlignment="1">
      <alignment horizontal="left" indent="1"/>
    </xf>
    <xf numFmtId="0" fontId="32" fillId="2" borderId="71" xfId="0" quotePrefix="1" applyFont="1" applyFill="1" applyBorder="1" applyAlignment="1">
      <alignment horizontal="left" indent="2"/>
    </xf>
    <xf numFmtId="0" fontId="32" fillId="2" borderId="77" xfId="0" quotePrefix="1" applyFont="1" applyFill="1" applyBorder="1" applyAlignment="1">
      <alignment horizontal="left" indent="2"/>
    </xf>
    <xf numFmtId="0" fontId="39" fillId="2" borderId="69" xfId="0" applyFont="1" applyFill="1" applyBorder="1" applyAlignment="1">
      <alignment horizontal="left" indent="1"/>
    </xf>
    <xf numFmtId="0" fontId="39" fillId="2" borderId="82" xfId="0" applyFont="1" applyFill="1" applyBorder="1" applyAlignment="1">
      <alignment horizontal="left" indent="1"/>
    </xf>
    <xf numFmtId="0" fontId="39" fillId="4" borderId="77" xfId="0" applyFont="1" applyFill="1" applyBorder="1" applyAlignment="1">
      <alignment horizontal="left" indent="1"/>
    </xf>
    <xf numFmtId="0" fontId="32" fillId="0" borderId="87" xfId="0" applyFont="1" applyBorder="1"/>
    <xf numFmtId="3" fontId="32" fillId="0" borderId="87" xfId="0" applyNumberFormat="1" applyFont="1" applyBorder="1"/>
    <xf numFmtId="0" fontId="39" fillId="4" borderId="61" xfId="0" applyFont="1" applyFill="1" applyBorder="1" applyAlignment="1">
      <alignment horizontal="center" vertical="center"/>
    </xf>
    <xf numFmtId="0" fontId="39" fillId="4" borderId="51" xfId="0" applyFont="1" applyFill="1" applyBorder="1" applyAlignment="1">
      <alignment horizontal="center" vertical="center"/>
    </xf>
    <xf numFmtId="0" fontId="0" fillId="0" borderId="0" xfId="0" applyNumberFormat="1"/>
    <xf numFmtId="3" fontId="39" fillId="2" borderId="86" xfId="0" applyNumberFormat="1" applyFont="1" applyFill="1" applyBorder="1" applyAlignment="1">
      <alignment horizontal="center" vertical="center"/>
    </xf>
    <xf numFmtId="3" fontId="54" fillId="2" borderId="84" xfId="0" applyNumberFormat="1" applyFont="1" applyFill="1" applyBorder="1" applyAlignment="1">
      <alignment horizontal="center" vertical="center" wrapText="1"/>
    </xf>
    <xf numFmtId="173" fontId="39" fillId="4" borderId="70" xfId="0" applyNumberFormat="1" applyFont="1" applyFill="1" applyBorder="1" applyAlignment="1"/>
    <xf numFmtId="173" fontId="39" fillId="4" borderId="63" xfId="0" applyNumberFormat="1" applyFont="1" applyFill="1" applyBorder="1" applyAlignment="1"/>
    <xf numFmtId="173" fontId="39" fillId="4" borderId="64" xfId="0" applyNumberFormat="1" applyFont="1" applyFill="1" applyBorder="1" applyAlignment="1"/>
    <xf numFmtId="173" fontId="39" fillId="0" borderId="72" xfId="0" applyNumberFormat="1" applyFont="1" applyBorder="1"/>
    <xf numFmtId="173" fontId="32" fillId="0" borderId="76" xfId="0" applyNumberFormat="1" applyFont="1" applyBorder="1"/>
    <xf numFmtId="173" fontId="32" fillId="0" borderId="74" xfId="0" applyNumberFormat="1" applyFont="1" applyBorder="1"/>
    <xf numFmtId="173" fontId="39" fillId="0" borderId="83" xfId="0" applyNumberFormat="1" applyFont="1" applyBorder="1"/>
    <xf numFmtId="173" fontId="32" fillId="0" borderId="84" xfId="0" applyNumberFormat="1" applyFont="1" applyBorder="1"/>
    <xf numFmtId="173" fontId="32" fillId="0" borderId="67" xfId="0" applyNumberFormat="1" applyFont="1" applyBorder="1"/>
    <xf numFmtId="173" fontId="39" fillId="2" borderId="85" xfId="0" applyNumberFormat="1" applyFont="1" applyFill="1" applyBorder="1" applyAlignment="1"/>
    <xf numFmtId="173" fontId="39" fillId="2" borderId="63" xfId="0" applyNumberFormat="1" applyFont="1" applyFill="1" applyBorder="1" applyAlignment="1"/>
    <xf numFmtId="173" fontId="39" fillId="2" borderId="64" xfId="0" applyNumberFormat="1" applyFont="1" applyFill="1" applyBorder="1" applyAlignment="1"/>
    <xf numFmtId="173" fontId="39" fillId="0" borderId="78" xfId="0" applyNumberFormat="1" applyFont="1" applyBorder="1"/>
    <xf numFmtId="173" fontId="32" fillId="0" borderId="79" xfId="0" applyNumberFormat="1" applyFont="1" applyBorder="1"/>
    <xf numFmtId="173" fontId="32" fillId="0" borderId="80" xfId="0" applyNumberFormat="1" applyFont="1" applyBorder="1"/>
    <xf numFmtId="173" fontId="39" fillId="0" borderId="70" xfId="0" applyNumberFormat="1" applyFont="1" applyBorder="1"/>
    <xf numFmtId="173" fontId="32" fillId="0" borderId="86" xfId="0" applyNumberFormat="1" applyFont="1" applyBorder="1"/>
    <xf numFmtId="173" fontId="32" fillId="0" borderId="64" xfId="0" applyNumberFormat="1" applyFont="1" applyBorder="1"/>
    <xf numFmtId="174" fontId="39" fillId="2" borderId="70" xfId="0" applyNumberFormat="1" applyFont="1" applyFill="1" applyBorder="1" applyAlignment="1"/>
    <xf numFmtId="174" fontId="32" fillId="2" borderId="63" xfId="0" applyNumberFormat="1" applyFont="1" applyFill="1" applyBorder="1" applyAlignment="1"/>
    <xf numFmtId="174" fontId="32" fillId="2" borderId="64" xfId="0" applyNumberFormat="1" applyFont="1" applyFill="1" applyBorder="1" applyAlignment="1"/>
    <xf numFmtId="174" fontId="39" fillId="0" borderId="72" xfId="0" applyNumberFormat="1" applyFont="1" applyBorder="1"/>
    <xf numFmtId="174" fontId="32" fillId="0" borderId="73" xfId="0" applyNumberFormat="1" applyFont="1" applyBorder="1"/>
    <xf numFmtId="174" fontId="32" fillId="0" borderId="74" xfId="0" applyNumberFormat="1" applyFont="1" applyBorder="1"/>
    <xf numFmtId="174" fontId="32" fillId="0" borderId="76" xfId="0" applyNumberFormat="1" applyFont="1" applyBorder="1"/>
    <xf numFmtId="174" fontId="39" fillId="0" borderId="78" xfId="0" applyNumberFormat="1" applyFont="1" applyBorder="1"/>
    <xf numFmtId="174" fontId="32" fillId="0" borderId="79" xfId="0" applyNumberFormat="1" applyFont="1" applyBorder="1"/>
    <xf numFmtId="174" fontId="32" fillId="0" borderId="80" xfId="0" applyNumberFormat="1" applyFont="1" applyBorder="1"/>
    <xf numFmtId="0" fontId="56" fillId="0" borderId="0" xfId="0" applyFont="1" applyAlignment="1">
      <alignment horizontal="left" vertical="center" indent="1"/>
    </xf>
    <xf numFmtId="0" fontId="56" fillId="0" borderId="0" xfId="0" applyFont="1" applyAlignment="1">
      <alignment vertical="center"/>
    </xf>
    <xf numFmtId="0" fontId="0" fillId="0" borderId="0" xfId="0" applyAlignment="1"/>
    <xf numFmtId="0" fontId="57" fillId="0" borderId="0" xfId="0" applyFont="1"/>
    <xf numFmtId="173" fontId="39" fillId="4" borderId="70" xfId="0" applyNumberFormat="1" applyFont="1" applyFill="1" applyBorder="1" applyAlignment="1">
      <alignment horizontal="center"/>
    </xf>
    <xf numFmtId="175" fontId="39" fillId="0" borderId="78" xfId="0" applyNumberFormat="1" applyFont="1" applyBorder="1"/>
    <xf numFmtId="0" fontId="31" fillId="2" borderId="93" xfId="74" applyFont="1" applyFill="1" applyBorder="1" applyAlignment="1">
      <alignment horizontal="center"/>
    </xf>
    <xf numFmtId="0" fontId="31" fillId="2" borderId="65" xfId="81" applyFont="1" applyFill="1" applyBorder="1" applyAlignment="1">
      <alignment horizontal="center"/>
    </xf>
    <xf numFmtId="0" fontId="31" fillId="2" borderId="66" xfId="81" applyFont="1" applyFill="1" applyBorder="1" applyAlignment="1">
      <alignment horizontal="center"/>
    </xf>
    <xf numFmtId="0" fontId="31" fillId="2" borderId="67" xfId="81" applyFont="1" applyFill="1" applyBorder="1" applyAlignment="1">
      <alignment horizontal="center"/>
    </xf>
    <xf numFmtId="0" fontId="31" fillId="2" borderId="68" xfId="81" applyFont="1" applyFill="1" applyBorder="1" applyAlignment="1">
      <alignment horizontal="center"/>
    </xf>
    <xf numFmtId="0" fontId="3" fillId="2" borderId="19" xfId="79" applyFont="1" applyFill="1" applyBorder="1" applyAlignment="1"/>
    <xf numFmtId="0" fontId="3" fillId="2" borderId="27" xfId="79" applyFont="1" applyFill="1" applyBorder="1" applyAlignment="1"/>
    <xf numFmtId="0" fontId="29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6" xfId="79" applyFont="1" applyFill="1" applyBorder="1" applyAlignment="1">
      <alignment horizontal="right"/>
    </xf>
    <xf numFmtId="9" fontId="32" fillId="0" borderId="27" xfId="0" applyNumberFormat="1" applyFont="1" applyFill="1" applyBorder="1"/>
    <xf numFmtId="9" fontId="32" fillId="0" borderId="20" xfId="0" applyNumberFormat="1" applyFont="1" applyFill="1" applyBorder="1"/>
    <xf numFmtId="9" fontId="32" fillId="0" borderId="28" xfId="0" applyNumberFormat="1" applyFont="1" applyFill="1" applyBorder="1"/>
    <xf numFmtId="3" fontId="6" fillId="0" borderId="19" xfId="78" applyNumberFormat="1" applyFont="1" applyFill="1" applyBorder="1" applyAlignment="1"/>
    <xf numFmtId="3" fontId="6" fillId="0" borderId="27" xfId="78" applyNumberFormat="1" applyFont="1" applyFill="1" applyBorder="1" applyAlignment="1"/>
    <xf numFmtId="3" fontId="6" fillId="0" borderId="20" xfId="78" applyNumberFormat="1" applyFont="1" applyFill="1" applyBorder="1" applyAlignment="1"/>
    <xf numFmtId="0" fontId="32" fillId="5" borderId="75" xfId="0" applyFont="1" applyFill="1" applyBorder="1"/>
    <xf numFmtId="0" fontId="32" fillId="0" borderId="76" xfId="0" applyFont="1" applyBorder="1" applyAlignment="1"/>
    <xf numFmtId="9" fontId="32" fillId="0" borderId="74" xfId="0" applyNumberFormat="1" applyFont="1" applyBorder="1" applyAlignment="1"/>
    <xf numFmtId="0" fontId="25" fillId="2" borderId="34" xfId="1" applyFill="1" applyBorder="1" applyAlignment="1">
      <alignment horizontal="left" indent="4"/>
    </xf>
    <xf numFmtId="0" fontId="39" fillId="0" borderId="0" xfId="0" applyFont="1" applyFill="1" applyAlignment="1">
      <alignment horizontal="left" indent="1"/>
    </xf>
    <xf numFmtId="0" fontId="32" fillId="0" borderId="87" xfId="0" applyFont="1" applyFill="1" applyBorder="1" applyAlignment="1"/>
    <xf numFmtId="3" fontId="39" fillId="0" borderId="19" xfId="0" applyNumberFormat="1" applyFont="1" applyFill="1" applyBorder="1" applyAlignment="1"/>
    <xf numFmtId="3" fontId="39" fillId="0" borderId="27" xfId="0" applyNumberFormat="1" applyFont="1" applyFill="1" applyBorder="1" applyAlignment="1"/>
    <xf numFmtId="169" fontId="39" fillId="0" borderId="20" xfId="0" applyNumberFormat="1" applyFont="1" applyFill="1" applyBorder="1" applyAlignment="1"/>
    <xf numFmtId="9" fontId="39" fillId="0" borderId="72" xfId="0" applyNumberFormat="1" applyFont="1" applyBorder="1"/>
    <xf numFmtId="9" fontId="32" fillId="0" borderId="76" xfId="0" applyNumberFormat="1" applyFont="1" applyBorder="1"/>
    <xf numFmtId="9" fontId="32" fillId="0" borderId="74" xfId="0" applyNumberFormat="1" applyFont="1" applyBorder="1"/>
    <xf numFmtId="0" fontId="39" fillId="3" borderId="26" xfId="0" applyFont="1" applyFill="1" applyBorder="1" applyAlignment="1"/>
    <xf numFmtId="0" fontId="32" fillId="0" borderId="37" xfId="0" applyFont="1" applyBorder="1" applyAlignment="1"/>
    <xf numFmtId="0" fontId="39" fillId="2" borderId="26" xfId="0" applyFont="1" applyFill="1" applyBorder="1" applyAlignment="1"/>
    <xf numFmtId="0" fontId="39" fillId="4" borderId="26" xfId="0" applyFont="1" applyFill="1" applyBorder="1" applyAlignment="1"/>
    <xf numFmtId="0" fontId="41" fillId="0" borderId="1" xfId="0" applyFont="1" applyFill="1" applyBorder="1" applyAlignment="1"/>
    <xf numFmtId="0" fontId="41" fillId="0" borderId="1" xfId="0" applyFont="1" applyBorder="1" applyAlignment="1"/>
    <xf numFmtId="0" fontId="30" fillId="5" borderId="16" xfId="81" applyFont="1" applyFill="1" applyBorder="1" applyAlignment="1">
      <alignment horizontal="center" vertical="center"/>
    </xf>
    <xf numFmtId="0" fontId="40" fillId="0" borderId="2" xfId="0" applyFont="1" applyBorder="1" applyAlignment="1">
      <alignment horizontal="center" vertical="center"/>
    </xf>
    <xf numFmtId="0" fontId="31" fillId="2" borderId="40" xfId="81" applyFont="1" applyFill="1" applyBorder="1" applyAlignment="1">
      <alignment horizontal="center"/>
    </xf>
    <xf numFmtId="0" fontId="31" fillId="2" borderId="41" xfId="81" applyFont="1" applyFill="1" applyBorder="1" applyAlignment="1">
      <alignment horizontal="center"/>
    </xf>
    <xf numFmtId="0" fontId="31" fillId="2" borderId="38" xfId="81" applyFont="1" applyFill="1" applyBorder="1" applyAlignment="1">
      <alignment horizontal="center"/>
    </xf>
    <xf numFmtId="0" fontId="31" fillId="2" borderId="58" xfId="81" applyFont="1" applyFill="1" applyBorder="1" applyAlignment="1">
      <alignment horizontal="center"/>
    </xf>
    <xf numFmtId="0" fontId="31" fillId="2" borderId="39" xfId="81" applyFont="1" applyFill="1" applyBorder="1" applyAlignment="1">
      <alignment horizontal="center"/>
    </xf>
    <xf numFmtId="0" fontId="2" fillId="0" borderId="1" xfId="0" applyFont="1" applyFill="1" applyBorder="1" applyAlignment="1"/>
    <xf numFmtId="0" fontId="38" fillId="2" borderId="24" xfId="0" applyFont="1" applyFill="1" applyBorder="1" applyAlignment="1">
      <alignment horizontal="center" vertical="center"/>
    </xf>
    <xf numFmtId="0" fontId="32" fillId="2" borderId="2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10" xfId="0" applyFont="1" applyFill="1" applyBorder="1" applyAlignment="1">
      <alignment horizontal="center" vertical="center"/>
    </xf>
    <xf numFmtId="0" fontId="5" fillId="0" borderId="1" xfId="0" applyFont="1" applyFill="1" applyBorder="1" applyAlignment="1"/>
    <xf numFmtId="0" fontId="32" fillId="2" borderId="8" xfId="0" applyFont="1" applyFill="1" applyBorder="1" applyAlignment="1">
      <alignment horizontal="center" vertical="center"/>
    </xf>
    <xf numFmtId="0" fontId="32" fillId="2" borderId="9" xfId="0" applyFont="1" applyFill="1" applyBorder="1" applyAlignment="1">
      <alignment horizontal="center" vertical="center"/>
    </xf>
    <xf numFmtId="0" fontId="38" fillId="2" borderId="29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0" fontId="32" fillId="2" borderId="23" xfId="0" applyFont="1" applyFill="1" applyBorder="1" applyAlignment="1">
      <alignment horizontal="center" vertical="center" wrapText="1"/>
    </xf>
    <xf numFmtId="0" fontId="36" fillId="2" borderId="9" xfId="0" applyFont="1" applyFill="1" applyBorder="1" applyAlignment="1">
      <alignment horizontal="center" vertical="center" wrapText="1"/>
    </xf>
    <xf numFmtId="0" fontId="36" fillId="2" borderId="10" xfId="0" applyFont="1" applyFill="1" applyBorder="1" applyAlignment="1">
      <alignment horizontal="center" vertical="center" wrapText="1"/>
    </xf>
    <xf numFmtId="0" fontId="32" fillId="2" borderId="22" xfId="0" applyFont="1" applyFill="1" applyBorder="1" applyAlignment="1">
      <alignment horizontal="center" vertical="center" wrapText="1"/>
    </xf>
    <xf numFmtId="0" fontId="31" fillId="2" borderId="93" xfId="81" applyFont="1" applyFill="1" applyBorder="1" applyAlignment="1">
      <alignment horizontal="center"/>
    </xf>
    <xf numFmtId="0" fontId="31" fillId="2" borderId="91" xfId="81" applyFont="1" applyFill="1" applyBorder="1" applyAlignment="1">
      <alignment horizontal="center"/>
    </xf>
    <xf numFmtId="0" fontId="31" fillId="2" borderId="70" xfId="81" applyFont="1" applyFill="1" applyBorder="1" applyAlignment="1">
      <alignment horizontal="center"/>
    </xf>
    <xf numFmtId="0" fontId="31" fillId="2" borderId="92" xfId="81" applyFont="1" applyFill="1" applyBorder="1" applyAlignment="1">
      <alignment horizontal="center"/>
    </xf>
    <xf numFmtId="0" fontId="31" fillId="2" borderId="83" xfId="81" applyFont="1" applyFill="1" applyBorder="1" applyAlignment="1">
      <alignment horizontal="center"/>
    </xf>
    <xf numFmtId="0" fontId="2" fillId="0" borderId="1" xfId="14" applyFont="1" applyFill="1" applyBorder="1" applyAlignment="1"/>
    <xf numFmtId="0" fontId="41" fillId="0" borderId="1" xfId="14" applyFont="1" applyFill="1" applyBorder="1" applyAlignment="1"/>
    <xf numFmtId="0" fontId="0" fillId="0" borderId="1" xfId="0" applyBorder="1" applyAlignment="1"/>
    <xf numFmtId="164" fontId="31" fillId="0" borderId="0" xfId="53" applyNumberFormat="1" applyFont="1" applyFill="1" applyBorder="1" applyAlignment="1">
      <alignment horizontal="center"/>
    </xf>
    <xf numFmtId="164" fontId="29" fillId="0" borderId="0" xfId="79" applyNumberFormat="1" applyFont="1" applyFill="1" applyBorder="1" applyAlignment="1">
      <alignment horizontal="center"/>
    </xf>
    <xf numFmtId="164" fontId="42" fillId="0" borderId="1" xfId="14" applyNumberFormat="1" applyFont="1" applyFill="1" applyBorder="1" applyAlignment="1"/>
    <xf numFmtId="0" fontId="5" fillId="0" borderId="1" xfId="14" applyFont="1" applyFill="1" applyBorder="1" applyAlignment="1"/>
    <xf numFmtId="9" fontId="3" fillId="2" borderId="96" xfId="80" applyNumberFormat="1" applyFont="1" applyFill="1" applyBorder="1" applyAlignment="1">
      <alignment horizontal="left"/>
    </xf>
    <xf numFmtId="9" fontId="3" fillId="2" borderId="5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3" fontId="3" fillId="2" borderId="3" xfId="80" applyNumberFormat="1" applyFont="1" applyFill="1" applyBorder="1" applyAlignment="1">
      <alignment horizontal="left"/>
    </xf>
    <xf numFmtId="3" fontId="3" fillId="2" borderId="95" xfId="80" applyNumberFormat="1" applyFont="1" applyFill="1" applyBorder="1" applyAlignment="1">
      <alignment horizontal="left"/>
    </xf>
    <xf numFmtId="3" fontId="3" fillId="2" borderId="85" xfId="80" applyNumberFormat="1" applyFont="1" applyFill="1" applyBorder="1" applyAlignment="1">
      <alignment horizontal="left"/>
    </xf>
    <xf numFmtId="0" fontId="2" fillId="0" borderId="1" xfId="26" applyFont="1" applyFill="1" applyBorder="1" applyAlignment="1"/>
    <xf numFmtId="166" fontId="39" fillId="2" borderId="62" xfId="0" applyNumberFormat="1" applyFont="1" applyFill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0" fontId="2" fillId="0" borderId="1" xfId="0" applyFont="1" applyFill="1" applyBorder="1" applyAlignment="1">
      <alignment wrapText="1"/>
    </xf>
    <xf numFmtId="0" fontId="39" fillId="2" borderId="50" xfId="0" applyFont="1" applyFill="1" applyBorder="1" applyAlignment="1">
      <alignment vertical="center"/>
    </xf>
    <xf numFmtId="3" fontId="31" fillId="2" borderId="52" xfId="26" applyNumberFormat="1" applyFont="1" applyFill="1" applyBorder="1" applyAlignment="1">
      <alignment horizontal="center"/>
    </xf>
    <xf numFmtId="3" fontId="31" fillId="2" borderId="42" xfId="26" applyNumberFormat="1" applyFont="1" applyFill="1" applyBorder="1" applyAlignment="1">
      <alignment horizontal="center"/>
    </xf>
    <xf numFmtId="3" fontId="31" fillId="2" borderId="43" xfId="26" applyNumberFormat="1" applyFont="1" applyFill="1" applyBorder="1" applyAlignment="1">
      <alignment horizontal="center"/>
    </xf>
    <xf numFmtId="3" fontId="31" fillId="2" borderId="94" xfId="26" applyNumberFormat="1" applyFont="1" applyFill="1" applyBorder="1" applyAlignment="1">
      <alignment horizontal="center"/>
    </xf>
    <xf numFmtId="3" fontId="31" fillId="2" borderId="87" xfId="26" applyNumberFormat="1" applyFont="1" applyFill="1" applyBorder="1" applyAlignment="1">
      <alignment horizontal="center"/>
    </xf>
    <xf numFmtId="3" fontId="31" fillId="2" borderId="62" xfId="26" applyNumberFormat="1" applyFont="1" applyFill="1" applyBorder="1" applyAlignment="1">
      <alignment horizontal="center"/>
    </xf>
    <xf numFmtId="3" fontId="31" fillId="2" borderId="43" xfId="0" applyNumberFormat="1" applyFont="1" applyFill="1" applyBorder="1" applyAlignment="1">
      <alignment horizontal="center" vertical="top"/>
    </xf>
    <xf numFmtId="0" fontId="31" fillId="2" borderId="30" xfId="0" applyFont="1" applyFill="1" applyBorder="1" applyAlignment="1">
      <alignment horizontal="center" vertical="top" wrapText="1"/>
    </xf>
    <xf numFmtId="0" fontId="31" fillId="2" borderId="30" xfId="0" applyFont="1" applyFill="1" applyBorder="1" applyAlignment="1">
      <alignment horizontal="center" vertical="top"/>
    </xf>
    <xf numFmtId="0" fontId="31" fillId="2" borderId="30" xfId="0" applyFont="1" applyFill="1" applyBorder="1" applyAlignment="1">
      <alignment horizontal="center" vertical="center"/>
    </xf>
    <xf numFmtId="0" fontId="31" fillId="2" borderId="52" xfId="0" quotePrefix="1" applyFont="1" applyFill="1" applyBorder="1" applyAlignment="1">
      <alignment horizontal="center"/>
    </xf>
    <xf numFmtId="0" fontId="31" fillId="2" borderId="43" xfId="0" applyFont="1" applyFill="1" applyBorder="1" applyAlignment="1">
      <alignment horizontal="center"/>
    </xf>
    <xf numFmtId="9" fontId="43" fillId="2" borderId="43" xfId="0" applyNumberFormat="1" applyFont="1" applyFill="1" applyBorder="1" applyAlignment="1">
      <alignment horizontal="center" vertical="top"/>
    </xf>
    <xf numFmtId="0" fontId="31" fillId="2" borderId="61" xfId="0" applyNumberFormat="1" applyFont="1" applyFill="1" applyBorder="1" applyAlignment="1">
      <alignment horizontal="center" vertical="top"/>
    </xf>
    <xf numFmtId="0" fontId="31" fillId="2" borderId="52" xfId="0" quotePrefix="1" applyNumberFormat="1" applyFont="1" applyFill="1" applyBorder="1" applyAlignment="1">
      <alignment horizontal="center"/>
    </xf>
    <xf numFmtId="0" fontId="31" fillId="2" borderId="43" xfId="0" applyNumberFormat="1" applyFont="1" applyFill="1" applyBorder="1" applyAlignment="1">
      <alignment horizontal="center"/>
    </xf>
    <xf numFmtId="49" fontId="31" fillId="2" borderId="30" xfId="0" applyNumberFormat="1" applyFont="1" applyFill="1" applyBorder="1" applyAlignment="1">
      <alignment horizontal="center" vertical="top"/>
    </xf>
    <xf numFmtId="0" fontId="43" fillId="2" borderId="43" xfId="0" applyNumberFormat="1" applyFont="1" applyFill="1" applyBorder="1" applyAlignment="1">
      <alignment horizontal="center" vertical="top"/>
    </xf>
    <xf numFmtId="3" fontId="33" fillId="9" borderId="98" xfId="0" applyNumberFormat="1" applyFont="1" applyFill="1" applyBorder="1" applyAlignment="1">
      <alignment horizontal="right" vertical="top"/>
    </xf>
    <xf numFmtId="3" fontId="33" fillId="9" borderId="99" xfId="0" applyNumberFormat="1" applyFont="1" applyFill="1" applyBorder="1" applyAlignment="1">
      <alignment horizontal="right" vertical="top"/>
    </xf>
    <xf numFmtId="176" fontId="33" fillId="9" borderId="100" xfId="0" applyNumberFormat="1" applyFont="1" applyFill="1" applyBorder="1" applyAlignment="1">
      <alignment horizontal="right" vertical="top"/>
    </xf>
    <xf numFmtId="3" fontId="33" fillId="0" borderId="98" xfId="0" applyNumberFormat="1" applyFont="1" applyBorder="1" applyAlignment="1">
      <alignment horizontal="right" vertical="top"/>
    </xf>
    <xf numFmtId="176" fontId="33" fillId="9" borderId="101" xfId="0" applyNumberFormat="1" applyFont="1" applyFill="1" applyBorder="1" applyAlignment="1">
      <alignment horizontal="right" vertical="top"/>
    </xf>
    <xf numFmtId="3" fontId="35" fillId="9" borderId="103" xfId="0" applyNumberFormat="1" applyFont="1" applyFill="1" applyBorder="1" applyAlignment="1">
      <alignment horizontal="right" vertical="top"/>
    </xf>
    <xf numFmtId="3" fontId="35" fillId="9" borderId="104" xfId="0" applyNumberFormat="1" applyFont="1" applyFill="1" applyBorder="1" applyAlignment="1">
      <alignment horizontal="right" vertical="top"/>
    </xf>
    <xf numFmtId="0" fontId="35" fillId="9" borderId="105" xfId="0" applyFont="1" applyFill="1" applyBorder="1" applyAlignment="1">
      <alignment horizontal="right" vertical="top"/>
    </xf>
    <xf numFmtId="3" fontId="35" fillId="0" borderId="103" xfId="0" applyNumberFormat="1" applyFont="1" applyBorder="1" applyAlignment="1">
      <alignment horizontal="right" vertical="top"/>
    </xf>
    <xf numFmtId="0" fontId="35" fillId="9" borderId="106" xfId="0" applyFont="1" applyFill="1" applyBorder="1" applyAlignment="1">
      <alignment horizontal="right" vertical="top"/>
    </xf>
    <xf numFmtId="0" fontId="33" fillId="9" borderId="100" xfId="0" applyFont="1" applyFill="1" applyBorder="1" applyAlignment="1">
      <alignment horizontal="right" vertical="top"/>
    </xf>
    <xf numFmtId="0" fontId="33" fillId="9" borderId="101" xfId="0" applyFont="1" applyFill="1" applyBorder="1" applyAlignment="1">
      <alignment horizontal="right" vertical="top"/>
    </xf>
    <xf numFmtId="176" fontId="35" fillId="9" borderId="105" xfId="0" applyNumberFormat="1" applyFont="1" applyFill="1" applyBorder="1" applyAlignment="1">
      <alignment horizontal="right" vertical="top"/>
    </xf>
    <xf numFmtId="176" fontId="35" fillId="9" borderId="106" xfId="0" applyNumberFormat="1" applyFont="1" applyFill="1" applyBorder="1" applyAlignment="1">
      <alignment horizontal="right" vertical="top"/>
    </xf>
    <xf numFmtId="3" fontId="35" fillId="0" borderId="107" xfId="0" applyNumberFormat="1" applyFont="1" applyBorder="1" applyAlignment="1">
      <alignment horizontal="right" vertical="top"/>
    </xf>
    <xf numFmtId="3" fontId="35" fillId="0" borderId="108" xfId="0" applyNumberFormat="1" applyFont="1" applyBorder="1" applyAlignment="1">
      <alignment horizontal="right" vertical="top"/>
    </xf>
    <xf numFmtId="3" fontId="35" fillId="0" borderId="109" xfId="0" applyNumberFormat="1" applyFont="1" applyBorder="1" applyAlignment="1">
      <alignment horizontal="right" vertical="top"/>
    </xf>
    <xf numFmtId="176" fontId="35" fillId="9" borderId="110" xfId="0" applyNumberFormat="1" applyFont="1" applyFill="1" applyBorder="1" applyAlignment="1">
      <alignment horizontal="right" vertical="top"/>
    </xf>
    <xf numFmtId="0" fontId="37" fillId="10" borderId="97" xfId="0" applyFont="1" applyFill="1" applyBorder="1" applyAlignment="1">
      <alignment vertical="top"/>
    </xf>
    <xf numFmtId="0" fontId="37" fillId="10" borderId="97" xfId="0" applyFont="1" applyFill="1" applyBorder="1" applyAlignment="1">
      <alignment vertical="top" indent="2"/>
    </xf>
    <xf numFmtId="0" fontId="37" fillId="10" borderId="97" xfId="0" applyFont="1" applyFill="1" applyBorder="1" applyAlignment="1">
      <alignment vertical="top" indent="4"/>
    </xf>
    <xf numFmtId="0" fontId="38" fillId="10" borderId="102" xfId="0" applyFont="1" applyFill="1" applyBorder="1" applyAlignment="1">
      <alignment vertical="top" indent="6"/>
    </xf>
    <xf numFmtId="0" fontId="37" fillId="10" borderId="97" xfId="0" applyFont="1" applyFill="1" applyBorder="1" applyAlignment="1">
      <alignment vertical="top" indent="8"/>
    </xf>
    <xf numFmtId="0" fontId="38" fillId="10" borderId="102" xfId="0" applyFont="1" applyFill="1" applyBorder="1" applyAlignment="1">
      <alignment vertical="top" indent="2"/>
    </xf>
    <xf numFmtId="0" fontId="37" fillId="10" borderId="97" xfId="0" applyFont="1" applyFill="1" applyBorder="1" applyAlignment="1">
      <alignment vertical="top" indent="6"/>
    </xf>
    <xf numFmtId="0" fontId="38" fillId="10" borderId="102" xfId="0" applyFont="1" applyFill="1" applyBorder="1" applyAlignment="1">
      <alignment vertical="top" indent="4"/>
    </xf>
    <xf numFmtId="0" fontId="32" fillId="10" borderId="97" xfId="0" applyFont="1" applyFill="1" applyBorder="1"/>
    <xf numFmtId="0" fontId="38" fillId="10" borderId="18" xfId="0" applyFont="1" applyFill="1" applyBorder="1" applyAlignment="1">
      <alignment vertical="top"/>
    </xf>
    <xf numFmtId="0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right"/>
    </xf>
    <xf numFmtId="9" fontId="29" fillId="0" borderId="0" xfId="0" applyNumberFormat="1" applyFont="1" applyFill="1" applyBorder="1" applyAlignment="1">
      <alignment horizontal="right"/>
    </xf>
    <xf numFmtId="3" fontId="29" fillId="0" borderId="0" xfId="0" applyNumberFormat="1" applyFont="1" applyFill="1" applyBorder="1"/>
    <xf numFmtId="0" fontId="3" fillId="2" borderId="111" xfId="79" applyFont="1" applyFill="1" applyBorder="1" applyAlignment="1">
      <alignment horizontal="left"/>
    </xf>
    <xf numFmtId="3" fontId="3" fillId="2" borderId="80" xfId="80" applyNumberFormat="1" applyFont="1" applyFill="1" applyBorder="1"/>
    <xf numFmtId="3" fontId="3" fillId="2" borderId="81" xfId="80" applyNumberFormat="1" applyFont="1" applyFill="1" applyBorder="1"/>
    <xf numFmtId="9" fontId="3" fillId="2" borderId="79" xfId="80" applyNumberFormat="1" applyFont="1" applyFill="1" applyBorder="1"/>
    <xf numFmtId="9" fontId="3" fillId="2" borderId="80" xfId="80" applyNumberFormat="1" applyFont="1" applyFill="1" applyBorder="1"/>
    <xf numFmtId="9" fontId="3" fillId="2" borderId="81" xfId="80" applyNumberFormat="1" applyFont="1" applyFill="1" applyBorder="1"/>
    <xf numFmtId="0" fontId="39" fillId="0" borderId="63" xfId="0" applyFont="1" applyFill="1" applyBorder="1"/>
    <xf numFmtId="3" fontId="32" fillId="0" borderId="64" xfId="0" applyNumberFormat="1" applyFont="1" applyFill="1" applyBorder="1"/>
    <xf numFmtId="9" fontId="32" fillId="0" borderId="64" xfId="0" applyNumberFormat="1" applyFont="1" applyFill="1" applyBorder="1"/>
    <xf numFmtId="9" fontId="32" fillId="0" borderId="65" xfId="0" applyNumberFormat="1" applyFont="1" applyFill="1" applyBorder="1"/>
    <xf numFmtId="3" fontId="32" fillId="0" borderId="67" xfId="0" applyNumberFormat="1" applyFont="1" applyFill="1" applyBorder="1"/>
    <xf numFmtId="9" fontId="32" fillId="0" borderId="67" xfId="0" applyNumberFormat="1" applyFont="1" applyFill="1" applyBorder="1"/>
    <xf numFmtId="9" fontId="32" fillId="0" borderId="68" xfId="0" applyNumberFormat="1" applyFont="1" applyFill="1" applyBorder="1"/>
    <xf numFmtId="0" fontId="39" fillId="0" borderId="93" xfId="0" applyFont="1" applyFill="1" applyBorder="1"/>
    <xf numFmtId="0" fontId="39" fillId="0" borderId="92" xfId="0" applyFont="1" applyFill="1" applyBorder="1" applyAlignment="1">
      <alignment horizontal="left" indent="1"/>
    </xf>
    <xf numFmtId="9" fontId="32" fillId="0" borderId="86" xfId="0" applyNumberFormat="1" applyFont="1" applyFill="1" applyBorder="1"/>
    <xf numFmtId="9" fontId="32" fillId="0" borderId="84" xfId="0" applyNumberFormat="1" applyFont="1" applyFill="1" applyBorder="1"/>
    <xf numFmtId="3" fontId="32" fillId="0" borderId="63" xfId="0" applyNumberFormat="1" applyFont="1" applyFill="1" applyBorder="1"/>
    <xf numFmtId="3" fontId="32" fillId="0" borderId="66" xfId="0" applyNumberFormat="1" applyFont="1" applyFill="1" applyBorder="1"/>
    <xf numFmtId="3" fontId="32" fillId="0" borderId="65" xfId="0" applyNumberFormat="1" applyFont="1" applyFill="1" applyBorder="1"/>
    <xf numFmtId="3" fontId="32" fillId="0" borderId="68" xfId="0" applyNumberFormat="1" applyFont="1" applyFill="1" applyBorder="1"/>
    <xf numFmtId="9" fontId="32" fillId="0" borderId="90" xfId="0" applyNumberFormat="1" applyFont="1" applyFill="1" applyBorder="1"/>
    <xf numFmtId="9" fontId="32" fillId="0" borderId="89" xfId="0" applyNumberFormat="1" applyFont="1" applyFill="1" applyBorder="1"/>
    <xf numFmtId="164" fontId="31" fillId="2" borderId="111" xfId="53" applyNumberFormat="1" applyFont="1" applyFill="1" applyBorder="1" applyAlignment="1">
      <alignment horizontal="left"/>
    </xf>
    <xf numFmtId="164" fontId="31" fillId="2" borderId="112" xfId="53" applyNumberFormat="1" applyFont="1" applyFill="1" applyBorder="1" applyAlignment="1">
      <alignment horizontal="left"/>
    </xf>
    <xf numFmtId="164" fontId="31" fillId="2" borderId="48" xfId="53" applyNumberFormat="1" applyFont="1" applyFill="1" applyBorder="1" applyAlignment="1">
      <alignment horizontal="left"/>
    </xf>
    <xf numFmtId="3" fontId="31" fillId="2" borderId="48" xfId="53" applyNumberFormat="1" applyFont="1" applyFill="1" applyBorder="1" applyAlignment="1">
      <alignment horizontal="left"/>
    </xf>
    <xf numFmtId="3" fontId="31" fillId="2" borderId="53" xfId="53" applyNumberFormat="1" applyFont="1" applyFill="1" applyBorder="1" applyAlignment="1">
      <alignment horizontal="left"/>
    </xf>
    <xf numFmtId="0" fontId="32" fillId="0" borderId="63" xfId="0" applyFont="1" applyFill="1" applyBorder="1"/>
    <xf numFmtId="0" fontId="32" fillId="0" borderId="64" xfId="0" applyFont="1" applyFill="1" applyBorder="1"/>
    <xf numFmtId="164" fontId="32" fillId="0" borderId="64" xfId="0" applyNumberFormat="1" applyFont="1" applyFill="1" applyBorder="1"/>
    <xf numFmtId="164" fontId="32" fillId="0" borderId="64" xfId="0" applyNumberFormat="1" applyFont="1" applyFill="1" applyBorder="1" applyAlignment="1">
      <alignment horizontal="right"/>
    </xf>
    <xf numFmtId="0" fontId="32" fillId="0" borderId="73" xfId="0" applyFont="1" applyFill="1" applyBorder="1"/>
    <xf numFmtId="0" fontId="32" fillId="0" borderId="74" xfId="0" applyFont="1" applyFill="1" applyBorder="1"/>
    <xf numFmtId="164" fontId="32" fillId="0" borderId="74" xfId="0" applyNumberFormat="1" applyFont="1" applyFill="1" applyBorder="1"/>
    <xf numFmtId="164" fontId="32" fillId="0" borderId="74" xfId="0" applyNumberFormat="1" applyFont="1" applyFill="1" applyBorder="1" applyAlignment="1">
      <alignment horizontal="right"/>
    </xf>
    <xf numFmtId="3" fontId="32" fillId="0" borderId="74" xfId="0" applyNumberFormat="1" applyFont="1" applyFill="1" applyBorder="1"/>
    <xf numFmtId="3" fontId="32" fillId="0" borderId="75" xfId="0" applyNumberFormat="1" applyFont="1" applyFill="1" applyBorder="1"/>
    <xf numFmtId="0" fontId="32" fillId="0" borderId="66" xfId="0" applyFont="1" applyFill="1" applyBorder="1"/>
    <xf numFmtId="0" fontId="32" fillId="0" borderId="67" xfId="0" applyFont="1" applyFill="1" applyBorder="1"/>
    <xf numFmtId="164" fontId="32" fillId="0" borderId="67" xfId="0" applyNumberFormat="1" applyFont="1" applyFill="1" applyBorder="1"/>
    <xf numFmtId="164" fontId="32" fillId="0" borderId="67" xfId="0" applyNumberFormat="1" applyFont="1" applyFill="1" applyBorder="1" applyAlignment="1">
      <alignment horizontal="right"/>
    </xf>
    <xf numFmtId="173" fontId="39" fillId="4" borderId="113" xfId="0" applyNumberFormat="1" applyFont="1" applyFill="1" applyBorder="1" applyAlignment="1">
      <alignment horizontal="center"/>
    </xf>
    <xf numFmtId="173" fontId="39" fillId="4" borderId="114" xfId="0" applyNumberFormat="1" applyFont="1" applyFill="1" applyBorder="1" applyAlignment="1">
      <alignment horizontal="center"/>
    </xf>
    <xf numFmtId="173" fontId="32" fillId="0" borderId="115" xfId="0" applyNumberFormat="1" applyFont="1" applyBorder="1" applyAlignment="1">
      <alignment horizontal="right"/>
    </xf>
    <xf numFmtId="173" fontId="32" fillId="0" borderId="116" xfId="0" applyNumberFormat="1" applyFont="1" applyBorder="1" applyAlignment="1">
      <alignment horizontal="right"/>
    </xf>
    <xf numFmtId="173" fontId="32" fillId="0" borderId="116" xfId="0" applyNumberFormat="1" applyFont="1" applyBorder="1" applyAlignment="1">
      <alignment horizontal="right" wrapText="1"/>
    </xf>
    <xf numFmtId="175" fontId="32" fillId="0" borderId="115" xfId="0" applyNumberFormat="1" applyFont="1" applyBorder="1" applyAlignment="1">
      <alignment horizontal="right"/>
    </xf>
    <xf numFmtId="175" fontId="32" fillId="0" borderId="116" xfId="0" applyNumberFormat="1" applyFont="1" applyBorder="1" applyAlignment="1">
      <alignment horizontal="right"/>
    </xf>
    <xf numFmtId="173" fontId="32" fillId="0" borderId="117" xfId="0" applyNumberFormat="1" applyFont="1" applyBorder="1" applyAlignment="1">
      <alignment horizontal="right"/>
    </xf>
    <xf numFmtId="173" fontId="32" fillId="0" borderId="118" xfId="0" applyNumberFormat="1" applyFont="1" applyBorder="1" applyAlignment="1">
      <alignment horizontal="right"/>
    </xf>
    <xf numFmtId="0" fontId="39" fillId="2" borderId="90" xfId="0" applyFont="1" applyFill="1" applyBorder="1" applyAlignment="1">
      <alignment horizontal="center" vertical="center"/>
    </xf>
    <xf numFmtId="0" fontId="54" fillId="2" borderId="89" xfId="0" applyFont="1" applyFill="1" applyBorder="1" applyAlignment="1">
      <alignment horizontal="center" vertical="center" wrapText="1"/>
    </xf>
    <xf numFmtId="174" fontId="32" fillId="2" borderId="90" xfId="0" applyNumberFormat="1" applyFont="1" applyFill="1" applyBorder="1" applyAlignment="1"/>
    <xf numFmtId="174" fontId="32" fillId="0" borderId="88" xfId="0" applyNumberFormat="1" applyFont="1" applyBorder="1"/>
    <xf numFmtId="174" fontId="32" fillId="0" borderId="120" xfId="0" applyNumberFormat="1" applyFont="1" applyBorder="1"/>
    <xf numFmtId="173" fontId="39" fillId="4" borderId="90" xfId="0" applyNumberFormat="1" applyFont="1" applyFill="1" applyBorder="1" applyAlignment="1"/>
    <xf numFmtId="173" fontId="32" fillId="0" borderId="88" xfId="0" applyNumberFormat="1" applyFont="1" applyBorder="1"/>
    <xf numFmtId="173" fontId="32" fillId="0" borderId="89" xfId="0" applyNumberFormat="1" applyFont="1" applyBorder="1"/>
    <xf numFmtId="173" fontId="39" fillId="2" borderId="90" xfId="0" applyNumberFormat="1" applyFont="1" applyFill="1" applyBorder="1" applyAlignment="1"/>
    <xf numFmtId="173" fontId="32" fillId="0" borderId="120" xfId="0" applyNumberFormat="1" applyFont="1" applyBorder="1"/>
    <xf numFmtId="173" fontId="32" fillId="0" borderId="90" xfId="0" applyNumberFormat="1" applyFont="1" applyBorder="1"/>
    <xf numFmtId="9" fontId="32" fillId="0" borderId="88" xfId="0" applyNumberFormat="1" applyFont="1" applyBorder="1"/>
    <xf numFmtId="173" fontId="39" fillId="4" borderId="121" xfId="0" applyNumberFormat="1" applyFont="1" applyFill="1" applyBorder="1" applyAlignment="1">
      <alignment horizontal="center"/>
    </xf>
    <xf numFmtId="0" fontId="0" fillId="0" borderId="122" xfId="0" applyBorder="1" applyAlignment="1">
      <alignment horizontal="right"/>
    </xf>
    <xf numFmtId="173" fontId="32" fillId="0" borderId="122" xfId="0" applyNumberFormat="1" applyFont="1" applyBorder="1" applyAlignment="1">
      <alignment horizontal="right"/>
    </xf>
    <xf numFmtId="175" fontId="32" fillId="0" borderId="122" xfId="0" applyNumberFormat="1" applyFont="1" applyBorder="1" applyAlignment="1">
      <alignment horizontal="right"/>
    </xf>
    <xf numFmtId="173" fontId="32" fillId="0" borderId="123" xfId="0" applyNumberFormat="1" applyFont="1" applyBorder="1" applyAlignment="1">
      <alignment horizontal="right"/>
    </xf>
    <xf numFmtId="0" fontId="0" fillId="0" borderId="119" xfId="0" applyBorder="1"/>
    <xf numFmtId="173" fontId="39" fillId="4" borderId="69" xfId="0" applyNumberFormat="1" applyFont="1" applyFill="1" applyBorder="1" applyAlignment="1">
      <alignment horizontal="center"/>
    </xf>
    <xf numFmtId="173" fontId="32" fillId="0" borderId="71" xfId="0" applyNumberFormat="1" applyFont="1" applyBorder="1" applyAlignment="1">
      <alignment horizontal="right"/>
    </xf>
    <xf numFmtId="175" fontId="32" fillId="0" borderId="71" xfId="0" applyNumberFormat="1" applyFont="1" applyBorder="1" applyAlignment="1">
      <alignment horizontal="right"/>
    </xf>
    <xf numFmtId="173" fontId="32" fillId="0" borderId="82" xfId="0" applyNumberFormat="1" applyFont="1" applyBorder="1" applyAlignment="1">
      <alignment horizontal="right"/>
    </xf>
    <xf numFmtId="0" fontId="32" fillId="2" borderId="53" xfId="0" applyFont="1" applyFill="1" applyBorder="1" applyAlignment="1">
      <alignment vertical="center"/>
    </xf>
    <xf numFmtId="0" fontId="31" fillId="2" borderId="15" xfId="26" applyNumberFormat="1" applyFont="1" applyFill="1" applyBorder="1"/>
    <xf numFmtId="0" fontId="31" fillId="2" borderId="0" xfId="26" applyNumberFormat="1" applyFont="1" applyFill="1" applyBorder="1"/>
    <xf numFmtId="0" fontId="31" fillId="2" borderId="16" xfId="26" applyNumberFormat="1" applyFont="1" applyFill="1" applyBorder="1" applyAlignment="1">
      <alignment horizontal="right"/>
    </xf>
    <xf numFmtId="169" fontId="32" fillId="0" borderId="64" xfId="0" applyNumberFormat="1" applyFont="1" applyFill="1" applyBorder="1"/>
    <xf numFmtId="169" fontId="32" fillId="0" borderId="67" xfId="0" applyNumberFormat="1" applyFont="1" applyFill="1" applyBorder="1"/>
    <xf numFmtId="0" fontId="39" fillId="0" borderId="66" xfId="0" applyFont="1" applyFill="1" applyBorder="1"/>
    <xf numFmtId="0" fontId="58" fillId="0" borderId="0" xfId="0" applyFont="1" applyFill="1"/>
    <xf numFmtId="0" fontId="59" fillId="0" borderId="0" xfId="0" applyFont="1" applyFill="1"/>
    <xf numFmtId="0" fontId="31" fillId="2" borderId="16" xfId="26" applyNumberFormat="1" applyFont="1" applyFill="1" applyBorder="1"/>
    <xf numFmtId="3" fontId="32" fillId="0" borderId="27" xfId="0" applyNumberFormat="1" applyFont="1" applyFill="1" applyBorder="1"/>
    <xf numFmtId="169" fontId="32" fillId="0" borderId="27" xfId="0" applyNumberFormat="1" applyFont="1" applyFill="1" applyBorder="1"/>
    <xf numFmtId="169" fontId="32" fillId="0" borderId="20" xfId="0" applyNumberFormat="1" applyFont="1" applyFill="1" applyBorder="1"/>
    <xf numFmtId="0" fontId="39" fillId="0" borderId="19" xfId="0" applyFont="1" applyFill="1" applyBorder="1"/>
    <xf numFmtId="0" fontId="32" fillId="2" borderId="31" xfId="0" applyFont="1" applyFill="1" applyBorder="1" applyAlignment="1">
      <alignment horizontal="center" vertical="top" wrapText="1"/>
    </xf>
    <xf numFmtId="0" fontId="31" fillId="2" borderId="31" xfId="0" applyFont="1" applyFill="1" applyBorder="1" applyAlignment="1">
      <alignment horizontal="center" vertical="top"/>
    </xf>
    <xf numFmtId="0" fontId="0" fillId="0" borderId="31" xfId="0" applyNumberFormat="1" applyBorder="1" applyAlignment="1">
      <alignment horizontal="center" vertical="top"/>
    </xf>
    <xf numFmtId="0" fontId="31" fillId="2" borderId="31" xfId="0" applyFont="1" applyFill="1" applyBorder="1" applyAlignment="1">
      <alignment horizontal="center" vertical="center"/>
    </xf>
    <xf numFmtId="3" fontId="31" fillId="2" borderId="15" xfId="0" applyNumberFormat="1" applyFont="1" applyFill="1" applyBorder="1" applyAlignment="1">
      <alignment horizontal="left"/>
    </xf>
    <xf numFmtId="3" fontId="31" fillId="2" borderId="16" xfId="0" applyNumberFormat="1" applyFont="1" applyFill="1" applyBorder="1" applyAlignment="1">
      <alignment horizontal="center"/>
    </xf>
    <xf numFmtId="3" fontId="31" fillId="2" borderId="0" xfId="0" applyNumberFormat="1" applyFont="1" applyFill="1" applyBorder="1" applyAlignment="1">
      <alignment horizontal="center"/>
    </xf>
    <xf numFmtId="9" fontId="43" fillId="2" borderId="16" xfId="0" applyNumberFormat="1" applyFont="1" applyFill="1" applyBorder="1" applyAlignment="1">
      <alignment horizontal="center" vertical="top"/>
    </xf>
    <xf numFmtId="3" fontId="31" fillId="2" borderId="16" xfId="0" applyNumberFormat="1" applyFont="1" applyFill="1" applyBorder="1" applyAlignment="1">
      <alignment horizontal="center" vertical="top"/>
    </xf>
    <xf numFmtId="9" fontId="32" fillId="0" borderId="74" xfId="0" applyNumberFormat="1" applyFont="1" applyFill="1" applyBorder="1"/>
    <xf numFmtId="169" fontId="32" fillId="0" borderId="74" xfId="0" applyNumberFormat="1" applyFont="1" applyFill="1" applyBorder="1"/>
    <xf numFmtId="9" fontId="32" fillId="0" borderId="75" xfId="0" applyNumberFormat="1" applyFont="1" applyFill="1" applyBorder="1"/>
    <xf numFmtId="0" fontId="39" fillId="0" borderId="73" xfId="0" applyFont="1" applyFill="1" applyBorder="1"/>
    <xf numFmtId="49" fontId="31" fillId="2" borderId="31" xfId="0" applyNumberFormat="1" applyFont="1" applyFill="1" applyBorder="1" applyAlignment="1">
      <alignment horizontal="center" vertical="top"/>
    </xf>
    <xf numFmtId="0" fontId="31" fillId="2" borderId="15" xfId="0" applyNumberFormat="1" applyFont="1" applyFill="1" applyBorder="1" applyAlignment="1">
      <alignment horizontal="left"/>
    </xf>
    <xf numFmtId="0" fontId="31" fillId="2" borderId="16" xfId="0" applyNumberFormat="1" applyFont="1" applyFill="1" applyBorder="1" applyAlignment="1">
      <alignment horizontal="left"/>
    </xf>
    <xf numFmtId="0" fontId="31" fillId="2" borderId="0" xfId="0" applyNumberFormat="1" applyFont="1" applyFill="1" applyBorder="1" applyAlignment="1">
      <alignment horizontal="left"/>
    </xf>
    <xf numFmtId="0" fontId="43" fillId="2" borderId="16" xfId="0" applyNumberFormat="1" applyFont="1" applyFill="1" applyBorder="1" applyAlignment="1">
      <alignment horizontal="center" vertical="top"/>
    </xf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51"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Graf'!$B$4:$C$4</c:f>
              <c:numCache>
                <c:formatCode>General</c:formatCode>
                <c:ptCount val="2"/>
                <c:pt idx="0">
                  <c:v>1.0548521223889162</c:v>
                </c:pt>
                <c:pt idx="1">
                  <c:v>1.0104675246745392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943528"/>
        <c:axId val="1200946664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0.79515139946979796</c:v>
                </c:pt>
                <c:pt idx="1">
                  <c:v>0.79515139946979796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00946272"/>
        <c:axId val="1200945096"/>
      </c:scatterChart>
      <c:catAx>
        <c:axId val="12009435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2009466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0094666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200943528"/>
        <c:crosses val="autoZero"/>
        <c:crossBetween val="between"/>
      </c:valAx>
      <c:valAx>
        <c:axId val="1200946272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1200945096"/>
        <c:crosses val="max"/>
        <c:crossBetween val="midCat"/>
      </c:valAx>
      <c:valAx>
        <c:axId val="1200945096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200946272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22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05" bestFit="1" customWidth="1"/>
    <col min="2" max="2" width="102.21875" style="105" bestFit="1" customWidth="1"/>
    <col min="3" max="3" width="16.109375" style="42" hidden="1" customWidth="1"/>
    <col min="4" max="16384" width="8.88671875" style="105"/>
  </cols>
  <sheetData>
    <row r="1" spans="1:3" ht="18.600000000000001" customHeight="1" thickBot="1" x14ac:dyDescent="0.4">
      <c r="A1" s="293" t="s">
        <v>91</v>
      </c>
      <c r="B1" s="293"/>
    </row>
    <row r="2" spans="1:3" ht="14.4" customHeight="1" thickBot="1" x14ac:dyDescent="0.35">
      <c r="A2" s="203" t="s">
        <v>241</v>
      </c>
      <c r="B2" s="41"/>
    </row>
    <row r="3" spans="1:3" ht="14.4" customHeight="1" thickBot="1" x14ac:dyDescent="0.35">
      <c r="A3" s="289" t="s">
        <v>113</v>
      </c>
      <c r="B3" s="290"/>
    </row>
    <row r="4" spans="1:3" ht="14.4" customHeight="1" x14ac:dyDescent="0.3">
      <c r="A4" s="118" t="str">
        <f t="shared" ref="A4:A8" si="0">HYPERLINK("#'"&amp;C4&amp;"'!A1",C4)</f>
        <v>Motivace</v>
      </c>
      <c r="B4" s="64" t="s">
        <v>101</v>
      </c>
      <c r="C4" s="42" t="s">
        <v>102</v>
      </c>
    </row>
    <row r="5" spans="1:3" ht="14.4" customHeight="1" x14ac:dyDescent="0.3">
      <c r="A5" s="119" t="str">
        <f t="shared" si="0"/>
        <v>HI</v>
      </c>
      <c r="B5" s="65" t="s">
        <v>110</v>
      </c>
      <c r="C5" s="42" t="s">
        <v>94</v>
      </c>
    </row>
    <row r="6" spans="1:3" ht="14.4" customHeight="1" x14ac:dyDescent="0.3">
      <c r="A6" s="120" t="str">
        <f t="shared" si="0"/>
        <v>HI Graf</v>
      </c>
      <c r="B6" s="66" t="s">
        <v>87</v>
      </c>
      <c r="C6" s="42" t="s">
        <v>95</v>
      </c>
    </row>
    <row r="7" spans="1:3" ht="14.4" customHeight="1" x14ac:dyDescent="0.3">
      <c r="A7" s="120" t="str">
        <f t="shared" si="0"/>
        <v>Man Tab</v>
      </c>
      <c r="B7" s="66" t="s">
        <v>243</v>
      </c>
      <c r="C7" s="42" t="s">
        <v>96</v>
      </c>
    </row>
    <row r="8" spans="1:3" ht="14.4" customHeight="1" thickBot="1" x14ac:dyDescent="0.35">
      <c r="A8" s="121" t="str">
        <f t="shared" si="0"/>
        <v>HV</v>
      </c>
      <c r="B8" s="67" t="s">
        <v>43</v>
      </c>
      <c r="C8" s="42" t="s">
        <v>48</v>
      </c>
    </row>
    <row r="9" spans="1:3" ht="14.4" customHeight="1" thickBot="1" x14ac:dyDescent="0.35">
      <c r="A9" s="68"/>
      <c r="B9" s="68"/>
    </row>
    <row r="10" spans="1:3" ht="14.4" customHeight="1" thickBot="1" x14ac:dyDescent="0.35">
      <c r="A10" s="291" t="s">
        <v>92</v>
      </c>
      <c r="B10" s="290"/>
    </row>
    <row r="11" spans="1:3" ht="14.4" customHeight="1" x14ac:dyDescent="0.3">
      <c r="A11" s="122" t="str">
        <f t="shared" ref="A11" si="1">HYPERLINK("#'"&amp;C11&amp;"'!A1",C11)</f>
        <v>Léky Žádanky</v>
      </c>
      <c r="B11" s="65" t="s">
        <v>111</v>
      </c>
      <c r="C11" s="42" t="s">
        <v>97</v>
      </c>
    </row>
    <row r="12" spans="1:3" ht="14.4" customHeight="1" x14ac:dyDescent="0.3">
      <c r="A12" s="120" t="str">
        <f t="shared" ref="A12:A15" si="2">HYPERLINK("#'"&amp;C12&amp;"'!A1",C12)</f>
        <v>LŽ Statim</v>
      </c>
      <c r="B12" s="277" t="s">
        <v>206</v>
      </c>
      <c r="C12" s="42" t="s">
        <v>216</v>
      </c>
    </row>
    <row r="13" spans="1:3" ht="14.4" customHeight="1" x14ac:dyDescent="0.3">
      <c r="A13" s="122" t="str">
        <f t="shared" ref="A13" si="3">HYPERLINK("#'"&amp;C13&amp;"'!A1",C13)</f>
        <v>Materiál Žádanky</v>
      </c>
      <c r="B13" s="66" t="s">
        <v>112</v>
      </c>
      <c r="C13" s="42" t="s">
        <v>98</v>
      </c>
    </row>
    <row r="14" spans="1:3" ht="14.4" customHeight="1" x14ac:dyDescent="0.3">
      <c r="A14" s="120" t="str">
        <f t="shared" si="2"/>
        <v>MŽ Detail</v>
      </c>
      <c r="B14" s="66" t="s">
        <v>529</v>
      </c>
      <c r="C14" s="42" t="s">
        <v>99</v>
      </c>
    </row>
    <row r="15" spans="1:3" ht="14.4" customHeight="1" thickBot="1" x14ac:dyDescent="0.35">
      <c r="A15" s="122" t="str">
        <f t="shared" si="2"/>
        <v>Osobní náklady</v>
      </c>
      <c r="B15" s="66" t="s">
        <v>89</v>
      </c>
      <c r="C15" s="42" t="s">
        <v>100</v>
      </c>
    </row>
    <row r="16" spans="1:3" ht="14.4" customHeight="1" thickBot="1" x14ac:dyDescent="0.35">
      <c r="A16" s="69"/>
      <c r="B16" s="69"/>
    </row>
    <row r="17" spans="1:3" ht="14.4" customHeight="1" thickBot="1" x14ac:dyDescent="0.35">
      <c r="A17" s="292" t="s">
        <v>93</v>
      </c>
      <c r="B17" s="290"/>
    </row>
    <row r="18" spans="1:3" ht="14.4" customHeight="1" x14ac:dyDescent="0.3">
      <c r="A18" s="123" t="str">
        <f t="shared" ref="A18:A22" si="4">HYPERLINK("#'"&amp;C18&amp;"'!A1",C18)</f>
        <v>ZV Vykáz.-A</v>
      </c>
      <c r="B18" s="65" t="s">
        <v>536</v>
      </c>
      <c r="C18" s="42" t="s">
        <v>103</v>
      </c>
    </row>
    <row r="19" spans="1:3" ht="14.4" customHeight="1" x14ac:dyDescent="0.3">
      <c r="A19" s="120" t="str">
        <f t="shared" ref="A19" si="5">HYPERLINK("#'"&amp;C19&amp;"'!A1",C19)</f>
        <v>ZV Vykáz.-A Lékaři</v>
      </c>
      <c r="B19" s="66" t="s">
        <v>538</v>
      </c>
      <c r="C19" s="42" t="s">
        <v>219</v>
      </c>
    </row>
    <row r="20" spans="1:3" ht="14.4" customHeight="1" x14ac:dyDescent="0.3">
      <c r="A20" s="120" t="str">
        <f t="shared" si="4"/>
        <v>ZV Vykáz.-A Detail</v>
      </c>
      <c r="B20" s="66" t="s">
        <v>596</v>
      </c>
      <c r="C20" s="42" t="s">
        <v>104</v>
      </c>
    </row>
    <row r="21" spans="1:3" ht="14.4" customHeight="1" x14ac:dyDescent="0.3">
      <c r="A21" s="120" t="str">
        <f t="shared" si="4"/>
        <v>ZV Vykáz.-H</v>
      </c>
      <c r="B21" s="66" t="s">
        <v>107</v>
      </c>
      <c r="C21" s="42" t="s">
        <v>105</v>
      </c>
    </row>
    <row r="22" spans="1:3" ht="14.4" customHeight="1" x14ac:dyDescent="0.3">
      <c r="A22" s="120" t="str">
        <f t="shared" si="4"/>
        <v>ZV Vykáz.-H Detail</v>
      </c>
      <c r="B22" s="66" t="s">
        <v>629</v>
      </c>
      <c r="C22" s="42" t="s">
        <v>106</v>
      </c>
    </row>
  </sheetData>
  <mergeCells count="4">
    <mergeCell ref="A3:B3"/>
    <mergeCell ref="A10:B10"/>
    <mergeCell ref="A17:B17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50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105" hidden="1" customWidth="1" outlineLevel="1"/>
    <col min="2" max="2" width="28.33203125" style="105" hidden="1" customWidth="1" outlineLevel="1"/>
    <col min="3" max="3" width="5.33203125" style="183" bestFit="1" customWidth="1" collapsed="1"/>
    <col min="4" max="4" width="18.77734375" style="187" customWidth="1"/>
    <col min="5" max="5" width="9" style="183" bestFit="1" customWidth="1"/>
    <col min="6" max="6" width="18.77734375" style="187" customWidth="1"/>
    <col min="7" max="7" width="12.44140625" style="183" hidden="1" customWidth="1" outlineLevel="1"/>
    <col min="8" max="8" width="25.77734375" style="183" customWidth="1" collapsed="1"/>
    <col min="9" max="9" width="7.77734375" style="181" customWidth="1"/>
    <col min="10" max="10" width="10" style="181" customWidth="1"/>
    <col min="11" max="11" width="11.109375" style="181" customWidth="1"/>
    <col min="12" max="16384" width="8.88671875" style="105"/>
  </cols>
  <sheetData>
    <row r="1" spans="1:11" ht="18.600000000000001" customHeight="1" thickBot="1" x14ac:dyDescent="0.4">
      <c r="A1" s="327" t="s">
        <v>529</v>
      </c>
      <c r="B1" s="294"/>
      <c r="C1" s="294"/>
      <c r="D1" s="294"/>
      <c r="E1" s="294"/>
      <c r="F1" s="294"/>
      <c r="G1" s="294"/>
      <c r="H1" s="294"/>
      <c r="I1" s="294"/>
      <c r="J1" s="294"/>
      <c r="K1" s="294"/>
    </row>
    <row r="2" spans="1:11" ht="14.4" customHeight="1" thickBot="1" x14ac:dyDescent="0.35">
      <c r="A2" s="203" t="s">
        <v>241</v>
      </c>
      <c r="B2" s="57"/>
      <c r="C2" s="185"/>
      <c r="D2" s="185"/>
      <c r="E2" s="185"/>
      <c r="F2" s="185"/>
      <c r="G2" s="185"/>
      <c r="H2" s="185"/>
      <c r="I2" s="186"/>
      <c r="J2" s="186"/>
      <c r="K2" s="186"/>
    </row>
    <row r="3" spans="1:11" ht="14.4" customHeight="1" thickBot="1" x14ac:dyDescent="0.35">
      <c r="A3" s="57"/>
      <c r="B3" s="57"/>
      <c r="C3" s="325"/>
      <c r="D3" s="326"/>
      <c r="E3" s="326"/>
      <c r="F3" s="326"/>
      <c r="G3" s="326"/>
      <c r="H3" s="117" t="s">
        <v>108</v>
      </c>
      <c r="I3" s="74">
        <f>IF(J3&lt;&gt;0,K3/J3,0)</f>
        <v>5.7601087504310238</v>
      </c>
      <c r="J3" s="74">
        <f>SUBTOTAL(9,J5:J1048576)</f>
        <v>18850.5</v>
      </c>
      <c r="K3" s="75">
        <f>SUBTOTAL(9,K5:K1048576)</f>
        <v>108580.93000000001</v>
      </c>
    </row>
    <row r="4" spans="1:11" s="182" customFormat="1" ht="14.4" customHeight="1" thickBot="1" x14ac:dyDescent="0.35">
      <c r="A4" s="414" t="s">
        <v>4</v>
      </c>
      <c r="B4" s="415" t="s">
        <v>5</v>
      </c>
      <c r="C4" s="415" t="s">
        <v>0</v>
      </c>
      <c r="D4" s="415" t="s">
        <v>6</v>
      </c>
      <c r="E4" s="415" t="s">
        <v>7</v>
      </c>
      <c r="F4" s="415" t="s">
        <v>1</v>
      </c>
      <c r="G4" s="415" t="s">
        <v>53</v>
      </c>
      <c r="H4" s="416" t="s">
        <v>8</v>
      </c>
      <c r="I4" s="417" t="s">
        <v>115</v>
      </c>
      <c r="J4" s="417" t="s">
        <v>9</v>
      </c>
      <c r="K4" s="418" t="s">
        <v>123</v>
      </c>
    </row>
    <row r="5" spans="1:11" ht="14.4" customHeight="1" x14ac:dyDescent="0.3">
      <c r="A5" s="419" t="s">
        <v>411</v>
      </c>
      <c r="B5" s="420" t="s">
        <v>412</v>
      </c>
      <c r="C5" s="421" t="s">
        <v>419</v>
      </c>
      <c r="D5" s="422" t="s">
        <v>518</v>
      </c>
      <c r="E5" s="421" t="s">
        <v>519</v>
      </c>
      <c r="F5" s="422" t="s">
        <v>520</v>
      </c>
      <c r="G5" s="421" t="s">
        <v>426</v>
      </c>
      <c r="H5" s="421" t="s">
        <v>427</v>
      </c>
      <c r="I5" s="398">
        <v>260.3</v>
      </c>
      <c r="J5" s="398">
        <v>15</v>
      </c>
      <c r="K5" s="410">
        <v>3904.5</v>
      </c>
    </row>
    <row r="6" spans="1:11" ht="14.4" customHeight="1" x14ac:dyDescent="0.3">
      <c r="A6" s="423" t="s">
        <v>411</v>
      </c>
      <c r="B6" s="424" t="s">
        <v>412</v>
      </c>
      <c r="C6" s="425" t="s">
        <v>419</v>
      </c>
      <c r="D6" s="426" t="s">
        <v>518</v>
      </c>
      <c r="E6" s="425" t="s">
        <v>521</v>
      </c>
      <c r="F6" s="426" t="s">
        <v>522</v>
      </c>
      <c r="G6" s="425" t="s">
        <v>428</v>
      </c>
      <c r="H6" s="425" t="s">
        <v>429</v>
      </c>
      <c r="I6" s="427">
        <v>108.41</v>
      </c>
      <c r="J6" s="427">
        <v>12.5</v>
      </c>
      <c r="K6" s="428">
        <v>1355.15</v>
      </c>
    </row>
    <row r="7" spans="1:11" ht="14.4" customHeight="1" x14ac:dyDescent="0.3">
      <c r="A7" s="423" t="s">
        <v>411</v>
      </c>
      <c r="B7" s="424" t="s">
        <v>412</v>
      </c>
      <c r="C7" s="425" t="s">
        <v>419</v>
      </c>
      <c r="D7" s="426" t="s">
        <v>518</v>
      </c>
      <c r="E7" s="425" t="s">
        <v>521</v>
      </c>
      <c r="F7" s="426" t="s">
        <v>522</v>
      </c>
      <c r="G7" s="425" t="s">
        <v>430</v>
      </c>
      <c r="H7" s="425" t="s">
        <v>431</v>
      </c>
      <c r="I7" s="427">
        <v>1.84</v>
      </c>
      <c r="J7" s="427">
        <v>400</v>
      </c>
      <c r="K7" s="428">
        <v>736</v>
      </c>
    </row>
    <row r="8" spans="1:11" ht="14.4" customHeight="1" x14ac:dyDescent="0.3">
      <c r="A8" s="423" t="s">
        <v>411</v>
      </c>
      <c r="B8" s="424" t="s">
        <v>412</v>
      </c>
      <c r="C8" s="425" t="s">
        <v>419</v>
      </c>
      <c r="D8" s="426" t="s">
        <v>518</v>
      </c>
      <c r="E8" s="425" t="s">
        <v>521</v>
      </c>
      <c r="F8" s="426" t="s">
        <v>522</v>
      </c>
      <c r="G8" s="425" t="s">
        <v>432</v>
      </c>
      <c r="H8" s="425" t="s">
        <v>433</v>
      </c>
      <c r="I8" s="427">
        <v>1.98</v>
      </c>
      <c r="J8" s="427">
        <v>50</v>
      </c>
      <c r="K8" s="428">
        <v>99</v>
      </c>
    </row>
    <row r="9" spans="1:11" ht="14.4" customHeight="1" x14ac:dyDescent="0.3">
      <c r="A9" s="423" t="s">
        <v>411</v>
      </c>
      <c r="B9" s="424" t="s">
        <v>412</v>
      </c>
      <c r="C9" s="425" t="s">
        <v>419</v>
      </c>
      <c r="D9" s="426" t="s">
        <v>518</v>
      </c>
      <c r="E9" s="425" t="s">
        <v>521</v>
      </c>
      <c r="F9" s="426" t="s">
        <v>522</v>
      </c>
      <c r="G9" s="425" t="s">
        <v>434</v>
      </c>
      <c r="H9" s="425" t="s">
        <v>435</v>
      </c>
      <c r="I9" s="427">
        <v>1.89</v>
      </c>
      <c r="J9" s="427">
        <v>2000</v>
      </c>
      <c r="K9" s="428">
        <v>3770.36</v>
      </c>
    </row>
    <row r="10" spans="1:11" ht="14.4" customHeight="1" x14ac:dyDescent="0.3">
      <c r="A10" s="423" t="s">
        <v>411</v>
      </c>
      <c r="B10" s="424" t="s">
        <v>412</v>
      </c>
      <c r="C10" s="425" t="s">
        <v>419</v>
      </c>
      <c r="D10" s="426" t="s">
        <v>518</v>
      </c>
      <c r="E10" s="425" t="s">
        <v>521</v>
      </c>
      <c r="F10" s="426" t="s">
        <v>522</v>
      </c>
      <c r="G10" s="425" t="s">
        <v>436</v>
      </c>
      <c r="H10" s="425" t="s">
        <v>437</v>
      </c>
      <c r="I10" s="427">
        <v>1.85</v>
      </c>
      <c r="J10" s="427">
        <v>2000</v>
      </c>
      <c r="K10" s="428">
        <v>3702.6000000000004</v>
      </c>
    </row>
    <row r="11" spans="1:11" ht="14.4" customHeight="1" x14ac:dyDescent="0.3">
      <c r="A11" s="423" t="s">
        <v>411</v>
      </c>
      <c r="B11" s="424" t="s">
        <v>412</v>
      </c>
      <c r="C11" s="425" t="s">
        <v>419</v>
      </c>
      <c r="D11" s="426" t="s">
        <v>518</v>
      </c>
      <c r="E11" s="425" t="s">
        <v>521</v>
      </c>
      <c r="F11" s="426" t="s">
        <v>522</v>
      </c>
      <c r="G11" s="425" t="s">
        <v>438</v>
      </c>
      <c r="H11" s="425" t="s">
        <v>439</v>
      </c>
      <c r="I11" s="427">
        <v>158.51</v>
      </c>
      <c r="J11" s="427">
        <v>25</v>
      </c>
      <c r="K11" s="428">
        <v>3962.75</v>
      </c>
    </row>
    <row r="12" spans="1:11" ht="14.4" customHeight="1" x14ac:dyDescent="0.3">
      <c r="A12" s="423" t="s">
        <v>411</v>
      </c>
      <c r="B12" s="424" t="s">
        <v>412</v>
      </c>
      <c r="C12" s="425" t="s">
        <v>419</v>
      </c>
      <c r="D12" s="426" t="s">
        <v>518</v>
      </c>
      <c r="E12" s="425" t="s">
        <v>521</v>
      </c>
      <c r="F12" s="426" t="s">
        <v>522</v>
      </c>
      <c r="G12" s="425" t="s">
        <v>440</v>
      </c>
      <c r="H12" s="425" t="s">
        <v>441</v>
      </c>
      <c r="I12" s="427">
        <v>228.64</v>
      </c>
      <c r="J12" s="427">
        <v>25</v>
      </c>
      <c r="K12" s="428">
        <v>5716.04</v>
      </c>
    </row>
    <row r="13" spans="1:11" ht="14.4" customHeight="1" x14ac:dyDescent="0.3">
      <c r="A13" s="423" t="s">
        <v>411</v>
      </c>
      <c r="B13" s="424" t="s">
        <v>412</v>
      </c>
      <c r="C13" s="425" t="s">
        <v>419</v>
      </c>
      <c r="D13" s="426" t="s">
        <v>518</v>
      </c>
      <c r="E13" s="425" t="s">
        <v>523</v>
      </c>
      <c r="F13" s="426" t="s">
        <v>524</v>
      </c>
      <c r="G13" s="425" t="s">
        <v>442</v>
      </c>
      <c r="H13" s="425" t="s">
        <v>443</v>
      </c>
      <c r="I13" s="427">
        <v>0.25</v>
      </c>
      <c r="J13" s="427">
        <v>3000</v>
      </c>
      <c r="K13" s="428">
        <v>762.3</v>
      </c>
    </row>
    <row r="14" spans="1:11" ht="14.4" customHeight="1" x14ac:dyDescent="0.3">
      <c r="A14" s="423" t="s">
        <v>411</v>
      </c>
      <c r="B14" s="424" t="s">
        <v>412</v>
      </c>
      <c r="C14" s="425" t="s">
        <v>419</v>
      </c>
      <c r="D14" s="426" t="s">
        <v>518</v>
      </c>
      <c r="E14" s="425" t="s">
        <v>523</v>
      </c>
      <c r="F14" s="426" t="s">
        <v>524</v>
      </c>
      <c r="G14" s="425" t="s">
        <v>444</v>
      </c>
      <c r="H14" s="425" t="s">
        <v>445</v>
      </c>
      <c r="I14" s="427">
        <v>50.82</v>
      </c>
      <c r="J14" s="427">
        <v>10</v>
      </c>
      <c r="K14" s="428">
        <v>508.2</v>
      </c>
    </row>
    <row r="15" spans="1:11" ht="14.4" customHeight="1" x14ac:dyDescent="0.3">
      <c r="A15" s="423" t="s">
        <v>411</v>
      </c>
      <c r="B15" s="424" t="s">
        <v>412</v>
      </c>
      <c r="C15" s="425" t="s">
        <v>419</v>
      </c>
      <c r="D15" s="426" t="s">
        <v>518</v>
      </c>
      <c r="E15" s="425" t="s">
        <v>523</v>
      </c>
      <c r="F15" s="426" t="s">
        <v>524</v>
      </c>
      <c r="G15" s="425" t="s">
        <v>446</v>
      </c>
      <c r="H15" s="425" t="s">
        <v>447</v>
      </c>
      <c r="I15" s="427">
        <v>0.17</v>
      </c>
      <c r="J15" s="427">
        <v>4000</v>
      </c>
      <c r="K15" s="428">
        <v>665.28</v>
      </c>
    </row>
    <row r="16" spans="1:11" ht="14.4" customHeight="1" x14ac:dyDescent="0.3">
      <c r="A16" s="423" t="s">
        <v>411</v>
      </c>
      <c r="B16" s="424" t="s">
        <v>412</v>
      </c>
      <c r="C16" s="425" t="s">
        <v>419</v>
      </c>
      <c r="D16" s="426" t="s">
        <v>518</v>
      </c>
      <c r="E16" s="425" t="s">
        <v>523</v>
      </c>
      <c r="F16" s="426" t="s">
        <v>524</v>
      </c>
      <c r="G16" s="425" t="s">
        <v>448</v>
      </c>
      <c r="H16" s="425" t="s">
        <v>449</v>
      </c>
      <c r="I16" s="427">
        <v>735.68</v>
      </c>
      <c r="J16" s="427">
        <v>1</v>
      </c>
      <c r="K16" s="428">
        <v>735.68</v>
      </c>
    </row>
    <row r="17" spans="1:11" ht="14.4" customHeight="1" x14ac:dyDescent="0.3">
      <c r="A17" s="423" t="s">
        <v>411</v>
      </c>
      <c r="B17" s="424" t="s">
        <v>412</v>
      </c>
      <c r="C17" s="425" t="s">
        <v>419</v>
      </c>
      <c r="D17" s="426" t="s">
        <v>518</v>
      </c>
      <c r="E17" s="425" t="s">
        <v>523</v>
      </c>
      <c r="F17" s="426" t="s">
        <v>524</v>
      </c>
      <c r="G17" s="425" t="s">
        <v>450</v>
      </c>
      <c r="H17" s="425" t="s">
        <v>451</v>
      </c>
      <c r="I17" s="427">
        <v>68.569999999999993</v>
      </c>
      <c r="J17" s="427">
        <v>2</v>
      </c>
      <c r="K17" s="428">
        <v>137.13999999999999</v>
      </c>
    </row>
    <row r="18" spans="1:11" ht="14.4" customHeight="1" x14ac:dyDescent="0.3">
      <c r="A18" s="423" t="s">
        <v>411</v>
      </c>
      <c r="B18" s="424" t="s">
        <v>412</v>
      </c>
      <c r="C18" s="425" t="s">
        <v>419</v>
      </c>
      <c r="D18" s="426" t="s">
        <v>518</v>
      </c>
      <c r="E18" s="425" t="s">
        <v>523</v>
      </c>
      <c r="F18" s="426" t="s">
        <v>524</v>
      </c>
      <c r="G18" s="425" t="s">
        <v>452</v>
      </c>
      <c r="H18" s="425" t="s">
        <v>453</v>
      </c>
      <c r="I18" s="427">
        <v>402.93</v>
      </c>
      <c r="J18" s="427">
        <v>4</v>
      </c>
      <c r="K18" s="428">
        <v>1611.72</v>
      </c>
    </row>
    <row r="19" spans="1:11" ht="14.4" customHeight="1" x14ac:dyDescent="0.3">
      <c r="A19" s="423" t="s">
        <v>411</v>
      </c>
      <c r="B19" s="424" t="s">
        <v>412</v>
      </c>
      <c r="C19" s="425" t="s">
        <v>419</v>
      </c>
      <c r="D19" s="426" t="s">
        <v>518</v>
      </c>
      <c r="E19" s="425" t="s">
        <v>523</v>
      </c>
      <c r="F19" s="426" t="s">
        <v>524</v>
      </c>
      <c r="G19" s="425" t="s">
        <v>454</v>
      </c>
      <c r="H19" s="425" t="s">
        <v>455</v>
      </c>
      <c r="I19" s="427">
        <v>448.91</v>
      </c>
      <c r="J19" s="427">
        <v>2</v>
      </c>
      <c r="K19" s="428">
        <v>897.82</v>
      </c>
    </row>
    <row r="20" spans="1:11" ht="14.4" customHeight="1" x14ac:dyDescent="0.3">
      <c r="A20" s="423" t="s">
        <v>411</v>
      </c>
      <c r="B20" s="424" t="s">
        <v>412</v>
      </c>
      <c r="C20" s="425" t="s">
        <v>419</v>
      </c>
      <c r="D20" s="426" t="s">
        <v>518</v>
      </c>
      <c r="E20" s="425" t="s">
        <v>523</v>
      </c>
      <c r="F20" s="426" t="s">
        <v>524</v>
      </c>
      <c r="G20" s="425" t="s">
        <v>456</v>
      </c>
      <c r="H20" s="425" t="s">
        <v>457</v>
      </c>
      <c r="I20" s="427">
        <v>68.569999999999993</v>
      </c>
      <c r="J20" s="427">
        <v>2</v>
      </c>
      <c r="K20" s="428">
        <v>137.13999999999999</v>
      </c>
    </row>
    <row r="21" spans="1:11" ht="14.4" customHeight="1" x14ac:dyDescent="0.3">
      <c r="A21" s="423" t="s">
        <v>411</v>
      </c>
      <c r="B21" s="424" t="s">
        <v>412</v>
      </c>
      <c r="C21" s="425" t="s">
        <v>419</v>
      </c>
      <c r="D21" s="426" t="s">
        <v>518</v>
      </c>
      <c r="E21" s="425" t="s">
        <v>525</v>
      </c>
      <c r="F21" s="426" t="s">
        <v>526</v>
      </c>
      <c r="G21" s="425" t="s">
        <v>458</v>
      </c>
      <c r="H21" s="425" t="s">
        <v>459</v>
      </c>
      <c r="I21" s="427">
        <v>7.5</v>
      </c>
      <c r="J21" s="427">
        <v>50</v>
      </c>
      <c r="K21" s="428">
        <v>375</v>
      </c>
    </row>
    <row r="22" spans="1:11" ht="14.4" customHeight="1" x14ac:dyDescent="0.3">
      <c r="A22" s="423" t="s">
        <v>411</v>
      </c>
      <c r="B22" s="424" t="s">
        <v>412</v>
      </c>
      <c r="C22" s="425" t="s">
        <v>419</v>
      </c>
      <c r="D22" s="426" t="s">
        <v>518</v>
      </c>
      <c r="E22" s="425" t="s">
        <v>525</v>
      </c>
      <c r="F22" s="426" t="s">
        <v>526</v>
      </c>
      <c r="G22" s="425" t="s">
        <v>460</v>
      </c>
      <c r="H22" s="425" t="s">
        <v>461</v>
      </c>
      <c r="I22" s="427">
        <v>7.5</v>
      </c>
      <c r="J22" s="427">
        <v>250</v>
      </c>
      <c r="K22" s="428">
        <v>1875</v>
      </c>
    </row>
    <row r="23" spans="1:11" ht="14.4" customHeight="1" x14ac:dyDescent="0.3">
      <c r="A23" s="423" t="s">
        <v>411</v>
      </c>
      <c r="B23" s="424" t="s">
        <v>412</v>
      </c>
      <c r="C23" s="425" t="s">
        <v>419</v>
      </c>
      <c r="D23" s="426" t="s">
        <v>518</v>
      </c>
      <c r="E23" s="425" t="s">
        <v>525</v>
      </c>
      <c r="F23" s="426" t="s">
        <v>526</v>
      </c>
      <c r="G23" s="425" t="s">
        <v>462</v>
      </c>
      <c r="H23" s="425" t="s">
        <v>463</v>
      </c>
      <c r="I23" s="427">
        <v>0.71</v>
      </c>
      <c r="J23" s="427">
        <v>1000</v>
      </c>
      <c r="K23" s="428">
        <v>710</v>
      </c>
    </row>
    <row r="24" spans="1:11" ht="14.4" customHeight="1" x14ac:dyDescent="0.3">
      <c r="A24" s="423" t="s">
        <v>411</v>
      </c>
      <c r="B24" s="424" t="s">
        <v>412</v>
      </c>
      <c r="C24" s="425" t="s">
        <v>419</v>
      </c>
      <c r="D24" s="426" t="s">
        <v>518</v>
      </c>
      <c r="E24" s="425" t="s">
        <v>525</v>
      </c>
      <c r="F24" s="426" t="s">
        <v>526</v>
      </c>
      <c r="G24" s="425" t="s">
        <v>464</v>
      </c>
      <c r="H24" s="425" t="s">
        <v>465</v>
      </c>
      <c r="I24" s="427">
        <v>0.71</v>
      </c>
      <c r="J24" s="427">
        <v>1400</v>
      </c>
      <c r="K24" s="428">
        <v>994</v>
      </c>
    </row>
    <row r="25" spans="1:11" ht="14.4" customHeight="1" x14ac:dyDescent="0.3">
      <c r="A25" s="423" t="s">
        <v>411</v>
      </c>
      <c r="B25" s="424" t="s">
        <v>412</v>
      </c>
      <c r="C25" s="425" t="s">
        <v>419</v>
      </c>
      <c r="D25" s="426" t="s">
        <v>518</v>
      </c>
      <c r="E25" s="425" t="s">
        <v>525</v>
      </c>
      <c r="F25" s="426" t="s">
        <v>526</v>
      </c>
      <c r="G25" s="425" t="s">
        <v>466</v>
      </c>
      <c r="H25" s="425" t="s">
        <v>467</v>
      </c>
      <c r="I25" s="427">
        <v>0.71</v>
      </c>
      <c r="J25" s="427">
        <v>3000</v>
      </c>
      <c r="K25" s="428">
        <v>2130</v>
      </c>
    </row>
    <row r="26" spans="1:11" ht="14.4" customHeight="1" x14ac:dyDescent="0.3">
      <c r="A26" s="423" t="s">
        <v>411</v>
      </c>
      <c r="B26" s="424" t="s">
        <v>412</v>
      </c>
      <c r="C26" s="425" t="s">
        <v>419</v>
      </c>
      <c r="D26" s="426" t="s">
        <v>518</v>
      </c>
      <c r="E26" s="425" t="s">
        <v>527</v>
      </c>
      <c r="F26" s="426" t="s">
        <v>528</v>
      </c>
      <c r="G26" s="425" t="s">
        <v>468</v>
      </c>
      <c r="H26" s="425" t="s">
        <v>469</v>
      </c>
      <c r="I26" s="427">
        <v>461</v>
      </c>
      <c r="J26" s="427">
        <v>1</v>
      </c>
      <c r="K26" s="428">
        <v>461</v>
      </c>
    </row>
    <row r="27" spans="1:11" ht="14.4" customHeight="1" x14ac:dyDescent="0.3">
      <c r="A27" s="423" t="s">
        <v>411</v>
      </c>
      <c r="B27" s="424" t="s">
        <v>412</v>
      </c>
      <c r="C27" s="425" t="s">
        <v>419</v>
      </c>
      <c r="D27" s="426" t="s">
        <v>518</v>
      </c>
      <c r="E27" s="425" t="s">
        <v>527</v>
      </c>
      <c r="F27" s="426" t="s">
        <v>528</v>
      </c>
      <c r="G27" s="425" t="s">
        <v>470</v>
      </c>
      <c r="H27" s="425" t="s">
        <v>471</v>
      </c>
      <c r="I27" s="427">
        <v>217.8</v>
      </c>
      <c r="J27" s="427">
        <v>28</v>
      </c>
      <c r="K27" s="428">
        <v>6098.4</v>
      </c>
    </row>
    <row r="28" spans="1:11" ht="14.4" customHeight="1" x14ac:dyDescent="0.3">
      <c r="A28" s="423" t="s">
        <v>411</v>
      </c>
      <c r="B28" s="424" t="s">
        <v>412</v>
      </c>
      <c r="C28" s="425" t="s">
        <v>419</v>
      </c>
      <c r="D28" s="426" t="s">
        <v>518</v>
      </c>
      <c r="E28" s="425" t="s">
        <v>527</v>
      </c>
      <c r="F28" s="426" t="s">
        <v>528</v>
      </c>
      <c r="G28" s="425" t="s">
        <v>472</v>
      </c>
      <c r="H28" s="425" t="s">
        <v>473</v>
      </c>
      <c r="I28" s="427">
        <v>617</v>
      </c>
      <c r="J28" s="427">
        <v>2</v>
      </c>
      <c r="K28" s="428">
        <v>1234</v>
      </c>
    </row>
    <row r="29" spans="1:11" ht="14.4" customHeight="1" x14ac:dyDescent="0.3">
      <c r="A29" s="423" t="s">
        <v>411</v>
      </c>
      <c r="B29" s="424" t="s">
        <v>412</v>
      </c>
      <c r="C29" s="425" t="s">
        <v>419</v>
      </c>
      <c r="D29" s="426" t="s">
        <v>518</v>
      </c>
      <c r="E29" s="425" t="s">
        <v>527</v>
      </c>
      <c r="F29" s="426" t="s">
        <v>528</v>
      </c>
      <c r="G29" s="425" t="s">
        <v>474</v>
      </c>
      <c r="H29" s="425" t="s">
        <v>475</v>
      </c>
      <c r="I29" s="427">
        <v>0.15</v>
      </c>
      <c r="J29" s="427">
        <v>1000</v>
      </c>
      <c r="K29" s="428">
        <v>153.69999999999999</v>
      </c>
    </row>
    <row r="30" spans="1:11" ht="14.4" customHeight="1" x14ac:dyDescent="0.3">
      <c r="A30" s="423" t="s">
        <v>411</v>
      </c>
      <c r="B30" s="424" t="s">
        <v>412</v>
      </c>
      <c r="C30" s="425" t="s">
        <v>419</v>
      </c>
      <c r="D30" s="426" t="s">
        <v>518</v>
      </c>
      <c r="E30" s="425" t="s">
        <v>527</v>
      </c>
      <c r="F30" s="426" t="s">
        <v>528</v>
      </c>
      <c r="G30" s="425" t="s">
        <v>476</v>
      </c>
      <c r="H30" s="425" t="s">
        <v>477</v>
      </c>
      <c r="I30" s="427">
        <v>206</v>
      </c>
      <c r="J30" s="427">
        <v>3</v>
      </c>
      <c r="K30" s="428">
        <v>618</v>
      </c>
    </row>
    <row r="31" spans="1:11" ht="14.4" customHeight="1" x14ac:dyDescent="0.3">
      <c r="A31" s="423" t="s">
        <v>411</v>
      </c>
      <c r="B31" s="424" t="s">
        <v>412</v>
      </c>
      <c r="C31" s="425" t="s">
        <v>419</v>
      </c>
      <c r="D31" s="426" t="s">
        <v>518</v>
      </c>
      <c r="E31" s="425" t="s">
        <v>527</v>
      </c>
      <c r="F31" s="426" t="s">
        <v>528</v>
      </c>
      <c r="G31" s="425" t="s">
        <v>478</v>
      </c>
      <c r="H31" s="425" t="s">
        <v>479</v>
      </c>
      <c r="I31" s="427">
        <v>30.25</v>
      </c>
      <c r="J31" s="427">
        <v>10</v>
      </c>
      <c r="K31" s="428">
        <v>302.5</v>
      </c>
    </row>
    <row r="32" spans="1:11" ht="14.4" customHeight="1" x14ac:dyDescent="0.3">
      <c r="A32" s="423" t="s">
        <v>411</v>
      </c>
      <c r="B32" s="424" t="s">
        <v>412</v>
      </c>
      <c r="C32" s="425" t="s">
        <v>419</v>
      </c>
      <c r="D32" s="426" t="s">
        <v>518</v>
      </c>
      <c r="E32" s="425" t="s">
        <v>527</v>
      </c>
      <c r="F32" s="426" t="s">
        <v>528</v>
      </c>
      <c r="G32" s="425" t="s">
        <v>480</v>
      </c>
      <c r="H32" s="425" t="s">
        <v>481</v>
      </c>
      <c r="I32" s="427">
        <v>111.32</v>
      </c>
      <c r="J32" s="427">
        <v>3</v>
      </c>
      <c r="K32" s="428">
        <v>333.96</v>
      </c>
    </row>
    <row r="33" spans="1:11" ht="14.4" customHeight="1" x14ac:dyDescent="0.3">
      <c r="A33" s="423" t="s">
        <v>411</v>
      </c>
      <c r="B33" s="424" t="s">
        <v>412</v>
      </c>
      <c r="C33" s="425" t="s">
        <v>419</v>
      </c>
      <c r="D33" s="426" t="s">
        <v>518</v>
      </c>
      <c r="E33" s="425" t="s">
        <v>527</v>
      </c>
      <c r="F33" s="426" t="s">
        <v>528</v>
      </c>
      <c r="G33" s="425" t="s">
        <v>482</v>
      </c>
      <c r="H33" s="425" t="s">
        <v>483</v>
      </c>
      <c r="I33" s="427">
        <v>780.45</v>
      </c>
      <c r="J33" s="427">
        <v>20</v>
      </c>
      <c r="K33" s="428">
        <v>15609</v>
      </c>
    </row>
    <row r="34" spans="1:11" ht="14.4" customHeight="1" x14ac:dyDescent="0.3">
      <c r="A34" s="423" t="s">
        <v>411</v>
      </c>
      <c r="B34" s="424" t="s">
        <v>412</v>
      </c>
      <c r="C34" s="425" t="s">
        <v>419</v>
      </c>
      <c r="D34" s="426" t="s">
        <v>518</v>
      </c>
      <c r="E34" s="425" t="s">
        <v>527</v>
      </c>
      <c r="F34" s="426" t="s">
        <v>528</v>
      </c>
      <c r="G34" s="425" t="s">
        <v>484</v>
      </c>
      <c r="H34" s="425" t="s">
        <v>485</v>
      </c>
      <c r="I34" s="427">
        <v>30.25</v>
      </c>
      <c r="J34" s="427">
        <v>10</v>
      </c>
      <c r="K34" s="428">
        <v>302.5</v>
      </c>
    </row>
    <row r="35" spans="1:11" ht="14.4" customHeight="1" x14ac:dyDescent="0.3">
      <c r="A35" s="423" t="s">
        <v>411</v>
      </c>
      <c r="B35" s="424" t="s">
        <v>412</v>
      </c>
      <c r="C35" s="425" t="s">
        <v>419</v>
      </c>
      <c r="D35" s="426" t="s">
        <v>518</v>
      </c>
      <c r="E35" s="425" t="s">
        <v>527</v>
      </c>
      <c r="F35" s="426" t="s">
        <v>528</v>
      </c>
      <c r="G35" s="425" t="s">
        <v>486</v>
      </c>
      <c r="H35" s="425" t="s">
        <v>487</v>
      </c>
      <c r="I35" s="427">
        <v>30.25</v>
      </c>
      <c r="J35" s="427">
        <v>10</v>
      </c>
      <c r="K35" s="428">
        <v>302.5</v>
      </c>
    </row>
    <row r="36" spans="1:11" ht="14.4" customHeight="1" x14ac:dyDescent="0.3">
      <c r="A36" s="423" t="s">
        <v>411</v>
      </c>
      <c r="B36" s="424" t="s">
        <v>412</v>
      </c>
      <c r="C36" s="425" t="s">
        <v>419</v>
      </c>
      <c r="D36" s="426" t="s">
        <v>518</v>
      </c>
      <c r="E36" s="425" t="s">
        <v>527</v>
      </c>
      <c r="F36" s="426" t="s">
        <v>528</v>
      </c>
      <c r="G36" s="425" t="s">
        <v>488</v>
      </c>
      <c r="H36" s="425" t="s">
        <v>489</v>
      </c>
      <c r="I36" s="427">
        <v>2.57</v>
      </c>
      <c r="J36" s="427">
        <v>500</v>
      </c>
      <c r="K36" s="428">
        <v>1286.25</v>
      </c>
    </row>
    <row r="37" spans="1:11" ht="14.4" customHeight="1" x14ac:dyDescent="0.3">
      <c r="A37" s="423" t="s">
        <v>411</v>
      </c>
      <c r="B37" s="424" t="s">
        <v>412</v>
      </c>
      <c r="C37" s="425" t="s">
        <v>419</v>
      </c>
      <c r="D37" s="426" t="s">
        <v>518</v>
      </c>
      <c r="E37" s="425" t="s">
        <v>527</v>
      </c>
      <c r="F37" s="426" t="s">
        <v>528</v>
      </c>
      <c r="G37" s="425" t="s">
        <v>490</v>
      </c>
      <c r="H37" s="425" t="s">
        <v>491</v>
      </c>
      <c r="I37" s="427">
        <v>2722.52</v>
      </c>
      <c r="J37" s="427">
        <v>1</v>
      </c>
      <c r="K37" s="428">
        <v>2722.52</v>
      </c>
    </row>
    <row r="38" spans="1:11" ht="14.4" customHeight="1" x14ac:dyDescent="0.3">
      <c r="A38" s="423" t="s">
        <v>411</v>
      </c>
      <c r="B38" s="424" t="s">
        <v>412</v>
      </c>
      <c r="C38" s="425" t="s">
        <v>419</v>
      </c>
      <c r="D38" s="426" t="s">
        <v>518</v>
      </c>
      <c r="E38" s="425" t="s">
        <v>527</v>
      </c>
      <c r="F38" s="426" t="s">
        <v>528</v>
      </c>
      <c r="G38" s="425" t="s">
        <v>492</v>
      </c>
      <c r="H38" s="425" t="s">
        <v>493</v>
      </c>
      <c r="I38" s="427">
        <v>3260.98</v>
      </c>
      <c r="J38" s="427">
        <v>1</v>
      </c>
      <c r="K38" s="428">
        <v>3260.98</v>
      </c>
    </row>
    <row r="39" spans="1:11" ht="14.4" customHeight="1" x14ac:dyDescent="0.3">
      <c r="A39" s="423" t="s">
        <v>411</v>
      </c>
      <c r="B39" s="424" t="s">
        <v>412</v>
      </c>
      <c r="C39" s="425" t="s">
        <v>419</v>
      </c>
      <c r="D39" s="426" t="s">
        <v>518</v>
      </c>
      <c r="E39" s="425" t="s">
        <v>527</v>
      </c>
      <c r="F39" s="426" t="s">
        <v>528</v>
      </c>
      <c r="G39" s="425" t="s">
        <v>494</v>
      </c>
      <c r="H39" s="425" t="s">
        <v>495</v>
      </c>
      <c r="I39" s="427">
        <v>1930.55</v>
      </c>
      <c r="J39" s="427">
        <v>1</v>
      </c>
      <c r="K39" s="428">
        <v>1930.55</v>
      </c>
    </row>
    <row r="40" spans="1:11" ht="14.4" customHeight="1" x14ac:dyDescent="0.3">
      <c r="A40" s="423" t="s">
        <v>411</v>
      </c>
      <c r="B40" s="424" t="s">
        <v>412</v>
      </c>
      <c r="C40" s="425" t="s">
        <v>419</v>
      </c>
      <c r="D40" s="426" t="s">
        <v>518</v>
      </c>
      <c r="E40" s="425" t="s">
        <v>527</v>
      </c>
      <c r="F40" s="426" t="s">
        <v>528</v>
      </c>
      <c r="G40" s="425" t="s">
        <v>496</v>
      </c>
      <c r="H40" s="425" t="s">
        <v>497</v>
      </c>
      <c r="I40" s="427">
        <v>15530.35</v>
      </c>
      <c r="J40" s="427">
        <v>1</v>
      </c>
      <c r="K40" s="428">
        <v>15530.35</v>
      </c>
    </row>
    <row r="41" spans="1:11" ht="14.4" customHeight="1" x14ac:dyDescent="0.3">
      <c r="A41" s="423" t="s">
        <v>411</v>
      </c>
      <c r="B41" s="424" t="s">
        <v>412</v>
      </c>
      <c r="C41" s="425" t="s">
        <v>419</v>
      </c>
      <c r="D41" s="426" t="s">
        <v>518</v>
      </c>
      <c r="E41" s="425" t="s">
        <v>527</v>
      </c>
      <c r="F41" s="426" t="s">
        <v>528</v>
      </c>
      <c r="G41" s="425" t="s">
        <v>498</v>
      </c>
      <c r="H41" s="425" t="s">
        <v>499</v>
      </c>
      <c r="I41" s="427">
        <v>2662</v>
      </c>
      <c r="J41" s="427">
        <v>1</v>
      </c>
      <c r="K41" s="428">
        <v>2662</v>
      </c>
    </row>
    <row r="42" spans="1:11" ht="14.4" customHeight="1" x14ac:dyDescent="0.3">
      <c r="A42" s="423" t="s">
        <v>411</v>
      </c>
      <c r="B42" s="424" t="s">
        <v>412</v>
      </c>
      <c r="C42" s="425" t="s">
        <v>419</v>
      </c>
      <c r="D42" s="426" t="s">
        <v>518</v>
      </c>
      <c r="E42" s="425" t="s">
        <v>527</v>
      </c>
      <c r="F42" s="426" t="s">
        <v>528</v>
      </c>
      <c r="G42" s="425" t="s">
        <v>500</v>
      </c>
      <c r="H42" s="425" t="s">
        <v>501</v>
      </c>
      <c r="I42" s="427">
        <v>2662</v>
      </c>
      <c r="J42" s="427">
        <v>1</v>
      </c>
      <c r="K42" s="428">
        <v>2662</v>
      </c>
    </row>
    <row r="43" spans="1:11" ht="14.4" customHeight="1" x14ac:dyDescent="0.3">
      <c r="A43" s="423" t="s">
        <v>411</v>
      </c>
      <c r="B43" s="424" t="s">
        <v>412</v>
      </c>
      <c r="C43" s="425" t="s">
        <v>419</v>
      </c>
      <c r="D43" s="426" t="s">
        <v>518</v>
      </c>
      <c r="E43" s="425" t="s">
        <v>527</v>
      </c>
      <c r="F43" s="426" t="s">
        <v>528</v>
      </c>
      <c r="G43" s="425" t="s">
        <v>502</v>
      </c>
      <c r="H43" s="425" t="s">
        <v>503</v>
      </c>
      <c r="I43" s="427">
        <v>2662</v>
      </c>
      <c r="J43" s="427">
        <v>1</v>
      </c>
      <c r="K43" s="428">
        <v>2662</v>
      </c>
    </row>
    <row r="44" spans="1:11" ht="14.4" customHeight="1" x14ac:dyDescent="0.3">
      <c r="A44" s="423" t="s">
        <v>411</v>
      </c>
      <c r="B44" s="424" t="s">
        <v>412</v>
      </c>
      <c r="C44" s="425" t="s">
        <v>419</v>
      </c>
      <c r="D44" s="426" t="s">
        <v>518</v>
      </c>
      <c r="E44" s="425" t="s">
        <v>527</v>
      </c>
      <c r="F44" s="426" t="s">
        <v>528</v>
      </c>
      <c r="G44" s="425" t="s">
        <v>504</v>
      </c>
      <c r="H44" s="425" t="s">
        <v>505</v>
      </c>
      <c r="I44" s="427">
        <v>2662</v>
      </c>
      <c r="J44" s="427">
        <v>1</v>
      </c>
      <c r="K44" s="428">
        <v>2662</v>
      </c>
    </row>
    <row r="45" spans="1:11" ht="14.4" customHeight="1" x14ac:dyDescent="0.3">
      <c r="A45" s="423" t="s">
        <v>411</v>
      </c>
      <c r="B45" s="424" t="s">
        <v>412</v>
      </c>
      <c r="C45" s="425" t="s">
        <v>419</v>
      </c>
      <c r="D45" s="426" t="s">
        <v>518</v>
      </c>
      <c r="E45" s="425" t="s">
        <v>527</v>
      </c>
      <c r="F45" s="426" t="s">
        <v>528</v>
      </c>
      <c r="G45" s="425" t="s">
        <v>506</v>
      </c>
      <c r="H45" s="425" t="s">
        <v>507</v>
      </c>
      <c r="I45" s="427">
        <v>119.74</v>
      </c>
      <c r="J45" s="427">
        <v>1</v>
      </c>
      <c r="K45" s="428">
        <v>119.74</v>
      </c>
    </row>
    <row r="46" spans="1:11" ht="14.4" customHeight="1" x14ac:dyDescent="0.3">
      <c r="A46" s="423" t="s">
        <v>411</v>
      </c>
      <c r="B46" s="424" t="s">
        <v>412</v>
      </c>
      <c r="C46" s="425" t="s">
        <v>419</v>
      </c>
      <c r="D46" s="426" t="s">
        <v>518</v>
      </c>
      <c r="E46" s="425" t="s">
        <v>527</v>
      </c>
      <c r="F46" s="426" t="s">
        <v>528</v>
      </c>
      <c r="G46" s="425" t="s">
        <v>508</v>
      </c>
      <c r="H46" s="425" t="s">
        <v>509</v>
      </c>
      <c r="I46" s="427">
        <v>3388</v>
      </c>
      <c r="J46" s="427">
        <v>1</v>
      </c>
      <c r="K46" s="428">
        <v>3388</v>
      </c>
    </row>
    <row r="47" spans="1:11" ht="14.4" customHeight="1" x14ac:dyDescent="0.3">
      <c r="A47" s="423" t="s">
        <v>411</v>
      </c>
      <c r="B47" s="424" t="s">
        <v>412</v>
      </c>
      <c r="C47" s="425" t="s">
        <v>419</v>
      </c>
      <c r="D47" s="426" t="s">
        <v>518</v>
      </c>
      <c r="E47" s="425" t="s">
        <v>527</v>
      </c>
      <c r="F47" s="426" t="s">
        <v>528</v>
      </c>
      <c r="G47" s="425" t="s">
        <v>510</v>
      </c>
      <c r="H47" s="425" t="s">
        <v>511</v>
      </c>
      <c r="I47" s="427">
        <v>3775.2</v>
      </c>
      <c r="J47" s="427">
        <v>1</v>
      </c>
      <c r="K47" s="428">
        <v>3775.2</v>
      </c>
    </row>
    <row r="48" spans="1:11" ht="14.4" customHeight="1" x14ac:dyDescent="0.3">
      <c r="A48" s="423" t="s">
        <v>411</v>
      </c>
      <c r="B48" s="424" t="s">
        <v>412</v>
      </c>
      <c r="C48" s="425" t="s">
        <v>419</v>
      </c>
      <c r="D48" s="426" t="s">
        <v>518</v>
      </c>
      <c r="E48" s="425" t="s">
        <v>527</v>
      </c>
      <c r="F48" s="426" t="s">
        <v>528</v>
      </c>
      <c r="G48" s="425" t="s">
        <v>512</v>
      </c>
      <c r="H48" s="425" t="s">
        <v>513</v>
      </c>
      <c r="I48" s="427">
        <v>3388</v>
      </c>
      <c r="J48" s="427">
        <v>1</v>
      </c>
      <c r="K48" s="428">
        <v>3388</v>
      </c>
    </row>
    <row r="49" spans="1:11" ht="14.4" customHeight="1" x14ac:dyDescent="0.3">
      <c r="A49" s="423" t="s">
        <v>411</v>
      </c>
      <c r="B49" s="424" t="s">
        <v>412</v>
      </c>
      <c r="C49" s="425" t="s">
        <v>419</v>
      </c>
      <c r="D49" s="426" t="s">
        <v>518</v>
      </c>
      <c r="E49" s="425" t="s">
        <v>527</v>
      </c>
      <c r="F49" s="426" t="s">
        <v>528</v>
      </c>
      <c r="G49" s="425" t="s">
        <v>514</v>
      </c>
      <c r="H49" s="425" t="s">
        <v>515</v>
      </c>
      <c r="I49" s="427">
        <v>614.5</v>
      </c>
      <c r="J49" s="427">
        <v>2</v>
      </c>
      <c r="K49" s="428">
        <v>1229</v>
      </c>
    </row>
    <row r="50" spans="1:11" ht="14.4" customHeight="1" thickBot="1" x14ac:dyDescent="0.35">
      <c r="A50" s="429" t="s">
        <v>411</v>
      </c>
      <c r="B50" s="430" t="s">
        <v>412</v>
      </c>
      <c r="C50" s="431" t="s">
        <v>419</v>
      </c>
      <c r="D50" s="432" t="s">
        <v>518</v>
      </c>
      <c r="E50" s="431" t="s">
        <v>527</v>
      </c>
      <c r="F50" s="432" t="s">
        <v>528</v>
      </c>
      <c r="G50" s="431" t="s">
        <v>516</v>
      </c>
      <c r="H50" s="431" t="s">
        <v>517</v>
      </c>
      <c r="I50" s="401">
        <v>1101.0999999999999</v>
      </c>
      <c r="J50" s="401">
        <v>1</v>
      </c>
      <c r="K50" s="411">
        <v>1101.0999999999999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AI36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AH1"/>
    </sheetView>
  </sheetViews>
  <sheetFormatPr defaultRowHeight="14.4" outlineLevelRow="1" x14ac:dyDescent="0.3"/>
  <cols>
    <col min="1" max="1" width="37.21875" customWidth="1"/>
    <col min="2" max="4" width="13.109375" customWidth="1"/>
    <col min="5" max="8" width="13.109375" hidden="1" customWidth="1"/>
    <col min="9" max="9" width="13.109375" customWidth="1"/>
    <col min="10" max="20" width="13.109375" hidden="1" customWidth="1"/>
    <col min="21" max="21" width="13.109375" customWidth="1"/>
    <col min="22" max="27" width="13.109375" hidden="1" customWidth="1"/>
    <col min="28" max="29" width="13.109375" customWidth="1"/>
    <col min="30" max="32" width="13.109375" hidden="1" customWidth="1"/>
    <col min="33" max="34" width="13.109375" customWidth="1"/>
  </cols>
  <sheetData>
    <row r="1" spans="1:35" ht="18.600000000000001" thickBot="1" x14ac:dyDescent="0.4">
      <c r="A1" s="335" t="s">
        <v>89</v>
      </c>
      <c r="B1" s="324"/>
      <c r="C1" s="324"/>
      <c r="D1" s="324"/>
      <c r="E1" s="324"/>
      <c r="F1" s="324"/>
      <c r="G1" s="324"/>
      <c r="H1" s="324"/>
      <c r="I1" s="324"/>
      <c r="J1" s="324"/>
      <c r="K1" s="324"/>
      <c r="L1" s="324"/>
      <c r="M1" s="324"/>
      <c r="N1" s="324"/>
      <c r="O1" s="324"/>
      <c r="P1" s="324"/>
      <c r="Q1" s="324"/>
      <c r="R1" s="324"/>
      <c r="S1" s="324"/>
      <c r="T1" s="324"/>
      <c r="U1" s="324"/>
      <c r="V1" s="324"/>
      <c r="W1" s="324"/>
      <c r="X1" s="324"/>
      <c r="Y1" s="324"/>
      <c r="Z1" s="324"/>
      <c r="AA1" s="324"/>
      <c r="AB1" s="324"/>
      <c r="AC1" s="324"/>
      <c r="AD1" s="324"/>
      <c r="AE1" s="324"/>
      <c r="AF1" s="324"/>
      <c r="AG1" s="324"/>
      <c r="AH1" s="324"/>
    </row>
    <row r="2" spans="1:35" ht="15" thickBot="1" x14ac:dyDescent="0.35">
      <c r="A2" s="203" t="s">
        <v>241</v>
      </c>
      <c r="B2" s="204"/>
      <c r="C2" s="204"/>
      <c r="D2" s="204"/>
      <c r="E2" s="204"/>
      <c r="F2" s="204"/>
      <c r="G2" s="204"/>
      <c r="H2" s="204"/>
      <c r="I2" s="204"/>
      <c r="J2" s="204"/>
      <c r="K2" s="204"/>
      <c r="L2" s="204"/>
      <c r="M2" s="204"/>
      <c r="N2" s="204"/>
      <c r="O2" s="204"/>
      <c r="P2" s="204"/>
      <c r="Q2" s="204"/>
      <c r="R2" s="204"/>
      <c r="S2" s="204"/>
      <c r="T2" s="204"/>
      <c r="U2" s="204"/>
      <c r="V2" s="204"/>
      <c r="W2" s="204"/>
      <c r="X2" s="204"/>
      <c r="Y2" s="204"/>
      <c r="Z2" s="204"/>
      <c r="AA2" s="204"/>
      <c r="AB2" s="204"/>
      <c r="AC2" s="204"/>
      <c r="AD2" s="204"/>
      <c r="AE2" s="204"/>
      <c r="AF2" s="204"/>
      <c r="AG2" s="204"/>
      <c r="AH2" s="204"/>
    </row>
    <row r="3" spans="1:35" x14ac:dyDescent="0.3">
      <c r="A3" s="222" t="s">
        <v>166</v>
      </c>
      <c r="B3" s="336" t="s">
        <v>146</v>
      </c>
      <c r="C3" s="205">
        <v>0</v>
      </c>
      <c r="D3" s="206">
        <v>101</v>
      </c>
      <c r="E3" s="206">
        <v>102</v>
      </c>
      <c r="F3" s="225">
        <v>305</v>
      </c>
      <c r="G3" s="225">
        <v>306</v>
      </c>
      <c r="H3" s="225">
        <v>408</v>
      </c>
      <c r="I3" s="225">
        <v>409</v>
      </c>
      <c r="J3" s="225">
        <v>410</v>
      </c>
      <c r="K3" s="225">
        <v>415</v>
      </c>
      <c r="L3" s="225">
        <v>416</v>
      </c>
      <c r="M3" s="225">
        <v>418</v>
      </c>
      <c r="N3" s="225">
        <v>419</v>
      </c>
      <c r="O3" s="225">
        <v>420</v>
      </c>
      <c r="P3" s="225">
        <v>421</v>
      </c>
      <c r="Q3" s="225">
        <v>522</v>
      </c>
      <c r="R3" s="225">
        <v>523</v>
      </c>
      <c r="S3" s="225">
        <v>524</v>
      </c>
      <c r="T3" s="225">
        <v>525</v>
      </c>
      <c r="U3" s="225">
        <v>526</v>
      </c>
      <c r="V3" s="225">
        <v>527</v>
      </c>
      <c r="W3" s="225">
        <v>528</v>
      </c>
      <c r="X3" s="225">
        <v>629</v>
      </c>
      <c r="Y3" s="225">
        <v>630</v>
      </c>
      <c r="Z3" s="225">
        <v>636</v>
      </c>
      <c r="AA3" s="225">
        <v>637</v>
      </c>
      <c r="AB3" s="225">
        <v>640</v>
      </c>
      <c r="AC3" s="225">
        <v>642</v>
      </c>
      <c r="AD3" s="225">
        <v>743</v>
      </c>
      <c r="AE3" s="206">
        <v>745</v>
      </c>
      <c r="AF3" s="206">
        <v>746</v>
      </c>
      <c r="AG3" s="206">
        <v>930</v>
      </c>
      <c r="AH3" s="442">
        <v>940</v>
      </c>
      <c r="AI3" s="459"/>
    </row>
    <row r="4" spans="1:35" ht="36.6" outlineLevel="1" thickBot="1" x14ac:dyDescent="0.35">
      <c r="A4" s="223">
        <v>2015</v>
      </c>
      <c r="B4" s="337"/>
      <c r="C4" s="207" t="s">
        <v>147</v>
      </c>
      <c r="D4" s="208" t="s">
        <v>148</v>
      </c>
      <c r="E4" s="208" t="s">
        <v>149</v>
      </c>
      <c r="F4" s="226" t="s">
        <v>178</v>
      </c>
      <c r="G4" s="226" t="s">
        <v>179</v>
      </c>
      <c r="H4" s="226" t="s">
        <v>180</v>
      </c>
      <c r="I4" s="226" t="s">
        <v>181</v>
      </c>
      <c r="J4" s="226" t="s">
        <v>182</v>
      </c>
      <c r="K4" s="226" t="s">
        <v>183</v>
      </c>
      <c r="L4" s="226" t="s">
        <v>184</v>
      </c>
      <c r="M4" s="226" t="s">
        <v>185</v>
      </c>
      <c r="N4" s="226" t="s">
        <v>186</v>
      </c>
      <c r="O4" s="226" t="s">
        <v>187</v>
      </c>
      <c r="P4" s="226" t="s">
        <v>188</v>
      </c>
      <c r="Q4" s="226" t="s">
        <v>189</v>
      </c>
      <c r="R4" s="226" t="s">
        <v>190</v>
      </c>
      <c r="S4" s="226" t="s">
        <v>191</v>
      </c>
      <c r="T4" s="226" t="s">
        <v>192</v>
      </c>
      <c r="U4" s="226" t="s">
        <v>193</v>
      </c>
      <c r="V4" s="226" t="s">
        <v>194</v>
      </c>
      <c r="W4" s="226" t="s">
        <v>203</v>
      </c>
      <c r="X4" s="226" t="s">
        <v>195</v>
      </c>
      <c r="Y4" s="226" t="s">
        <v>204</v>
      </c>
      <c r="Z4" s="226" t="s">
        <v>196</v>
      </c>
      <c r="AA4" s="226" t="s">
        <v>197</v>
      </c>
      <c r="AB4" s="226" t="s">
        <v>198</v>
      </c>
      <c r="AC4" s="226" t="s">
        <v>199</v>
      </c>
      <c r="AD4" s="226" t="s">
        <v>200</v>
      </c>
      <c r="AE4" s="208" t="s">
        <v>201</v>
      </c>
      <c r="AF4" s="208" t="s">
        <v>202</v>
      </c>
      <c r="AG4" s="208" t="s">
        <v>168</v>
      </c>
      <c r="AH4" s="443" t="s">
        <v>150</v>
      </c>
      <c r="AI4" s="459"/>
    </row>
    <row r="5" spans="1:35" x14ac:dyDescent="0.3">
      <c r="A5" s="209" t="s">
        <v>151</v>
      </c>
      <c r="B5" s="245"/>
      <c r="C5" s="246"/>
      <c r="D5" s="247"/>
      <c r="E5" s="247"/>
      <c r="F5" s="247"/>
      <c r="G5" s="247"/>
      <c r="H5" s="247"/>
      <c r="I5" s="247"/>
      <c r="J5" s="247"/>
      <c r="K5" s="247"/>
      <c r="L5" s="247"/>
      <c r="M5" s="247"/>
      <c r="N5" s="247"/>
      <c r="O5" s="247"/>
      <c r="P5" s="247"/>
      <c r="Q5" s="247"/>
      <c r="R5" s="247"/>
      <c r="S5" s="247"/>
      <c r="T5" s="247"/>
      <c r="U5" s="247"/>
      <c r="V5" s="247"/>
      <c r="W5" s="247"/>
      <c r="X5" s="247"/>
      <c r="Y5" s="247"/>
      <c r="Z5" s="247"/>
      <c r="AA5" s="247"/>
      <c r="AB5" s="247"/>
      <c r="AC5" s="247"/>
      <c r="AD5" s="247"/>
      <c r="AE5" s="247"/>
      <c r="AF5" s="247"/>
      <c r="AG5" s="247"/>
      <c r="AH5" s="444"/>
      <c r="AI5" s="459"/>
    </row>
    <row r="6" spans="1:35" ht="15" collapsed="1" thickBot="1" x14ac:dyDescent="0.35">
      <c r="A6" s="210" t="s">
        <v>55</v>
      </c>
      <c r="B6" s="248">
        <f xml:space="preserve">
TRUNC(IF($A$4&lt;=12,SUMIFS('ON Data'!F:F,'ON Data'!$D:$D,$A$4,'ON Data'!$E:$E,1),SUMIFS('ON Data'!F:F,'ON Data'!$E:$E,1)/'ON Data'!$D$3),1)</f>
        <v>26.8</v>
      </c>
      <c r="C6" s="249">
        <f xml:space="preserve">
TRUNC(IF($A$4&lt;=12,SUMIFS('ON Data'!G:G,'ON Data'!$D:$D,$A$4,'ON Data'!$E:$E,1),SUMIFS('ON Data'!G:G,'ON Data'!$E:$E,1)/'ON Data'!$D$3),1)</f>
        <v>0</v>
      </c>
      <c r="D6" s="250">
        <f xml:space="preserve">
TRUNC(IF($A$4&lt;=12,SUMIFS('ON Data'!H:H,'ON Data'!$D:$D,$A$4,'ON Data'!$E:$E,1),SUMIFS('ON Data'!H:H,'ON Data'!$E:$E,1)/'ON Data'!$D$3),1)</f>
        <v>5.8</v>
      </c>
      <c r="E6" s="250">
        <f xml:space="preserve">
TRUNC(IF($A$4&lt;=12,SUMIFS('ON Data'!I:I,'ON Data'!$D:$D,$A$4,'ON Data'!$E:$E,1),SUMIFS('ON Data'!I:I,'ON Data'!$E:$E,1)/'ON Data'!$D$3),1)</f>
        <v>0</v>
      </c>
      <c r="F6" s="250">
        <f xml:space="preserve">
TRUNC(IF($A$4&lt;=12,SUMIFS('ON Data'!K:K,'ON Data'!$D:$D,$A$4,'ON Data'!$E:$E,1),SUMIFS('ON Data'!K:K,'ON Data'!$E:$E,1)/'ON Data'!$D$3),1)</f>
        <v>0</v>
      </c>
      <c r="G6" s="250">
        <f xml:space="preserve">
TRUNC(IF($A$4&lt;=12,SUMIFS('ON Data'!L:L,'ON Data'!$D:$D,$A$4,'ON Data'!$E:$E,1),SUMIFS('ON Data'!L:L,'ON Data'!$E:$E,1)/'ON Data'!$D$3),1)</f>
        <v>0</v>
      </c>
      <c r="H6" s="250">
        <f xml:space="preserve">
TRUNC(IF($A$4&lt;=12,SUMIFS('ON Data'!M:M,'ON Data'!$D:$D,$A$4,'ON Data'!$E:$E,1),SUMIFS('ON Data'!M:M,'ON Data'!$E:$E,1)/'ON Data'!$D$3),1)</f>
        <v>0</v>
      </c>
      <c r="I6" s="250">
        <f xml:space="preserve">
TRUNC(IF($A$4&lt;=12,SUMIFS('ON Data'!N:N,'ON Data'!$D:$D,$A$4,'ON Data'!$E:$E,1),SUMIFS('ON Data'!N:N,'ON Data'!$E:$E,1)/'ON Data'!$D$3),1)</f>
        <v>9</v>
      </c>
      <c r="J6" s="250">
        <f xml:space="preserve">
TRUNC(IF($A$4&lt;=12,SUMIFS('ON Data'!O:O,'ON Data'!$D:$D,$A$4,'ON Data'!$E:$E,1),SUMIFS('ON Data'!O:O,'ON Data'!$E:$E,1)/'ON Data'!$D$3),1)</f>
        <v>0</v>
      </c>
      <c r="K6" s="250">
        <f xml:space="preserve">
TRUNC(IF($A$4&lt;=12,SUMIFS('ON Data'!P:P,'ON Data'!$D:$D,$A$4,'ON Data'!$E:$E,1),SUMIFS('ON Data'!P:P,'ON Data'!$E:$E,1)/'ON Data'!$D$3),1)</f>
        <v>0</v>
      </c>
      <c r="L6" s="250">
        <f xml:space="preserve">
TRUNC(IF($A$4&lt;=12,SUMIFS('ON Data'!Q:Q,'ON Data'!$D:$D,$A$4,'ON Data'!$E:$E,1),SUMIFS('ON Data'!Q:Q,'ON Data'!$E:$E,1)/'ON Data'!$D$3),1)</f>
        <v>0</v>
      </c>
      <c r="M6" s="250">
        <f xml:space="preserve">
TRUNC(IF($A$4&lt;=12,SUMIFS('ON Data'!R:R,'ON Data'!$D:$D,$A$4,'ON Data'!$E:$E,1),SUMIFS('ON Data'!R:R,'ON Data'!$E:$E,1)/'ON Data'!$D$3),1)</f>
        <v>0</v>
      </c>
      <c r="N6" s="250">
        <f xml:space="preserve">
TRUNC(IF($A$4&lt;=12,SUMIFS('ON Data'!S:S,'ON Data'!$D:$D,$A$4,'ON Data'!$E:$E,1),SUMIFS('ON Data'!S:S,'ON Data'!$E:$E,1)/'ON Data'!$D$3),1)</f>
        <v>0</v>
      </c>
      <c r="O6" s="250">
        <f xml:space="preserve">
TRUNC(IF($A$4&lt;=12,SUMIFS('ON Data'!T:T,'ON Data'!$D:$D,$A$4,'ON Data'!$E:$E,1),SUMIFS('ON Data'!T:T,'ON Data'!$E:$E,1)/'ON Data'!$D$3),1)</f>
        <v>0</v>
      </c>
      <c r="P6" s="250">
        <f xml:space="preserve">
TRUNC(IF($A$4&lt;=12,SUMIFS('ON Data'!U:U,'ON Data'!$D:$D,$A$4,'ON Data'!$E:$E,1),SUMIFS('ON Data'!U:U,'ON Data'!$E:$E,1)/'ON Data'!$D$3),1)</f>
        <v>0</v>
      </c>
      <c r="Q6" s="250">
        <f xml:space="preserve">
TRUNC(IF($A$4&lt;=12,SUMIFS('ON Data'!V:V,'ON Data'!$D:$D,$A$4,'ON Data'!$E:$E,1),SUMIFS('ON Data'!V:V,'ON Data'!$E:$E,1)/'ON Data'!$D$3),1)</f>
        <v>0</v>
      </c>
      <c r="R6" s="250">
        <f xml:space="preserve">
TRUNC(IF($A$4&lt;=12,SUMIFS('ON Data'!W:W,'ON Data'!$D:$D,$A$4,'ON Data'!$E:$E,1),SUMIFS('ON Data'!W:W,'ON Data'!$E:$E,1)/'ON Data'!$D$3),1)</f>
        <v>0</v>
      </c>
      <c r="S6" s="250">
        <f xml:space="preserve">
TRUNC(IF($A$4&lt;=12,SUMIFS('ON Data'!X:X,'ON Data'!$D:$D,$A$4,'ON Data'!$E:$E,1),SUMIFS('ON Data'!X:X,'ON Data'!$E:$E,1)/'ON Data'!$D$3),1)</f>
        <v>0</v>
      </c>
      <c r="T6" s="250">
        <f xml:space="preserve">
TRUNC(IF($A$4&lt;=12,SUMIFS('ON Data'!Y:Y,'ON Data'!$D:$D,$A$4,'ON Data'!$E:$E,1),SUMIFS('ON Data'!Y:Y,'ON Data'!$E:$E,1)/'ON Data'!$D$3),1)</f>
        <v>0</v>
      </c>
      <c r="U6" s="250">
        <f xml:space="preserve">
TRUNC(IF($A$4&lt;=12,SUMIFS('ON Data'!Z:Z,'ON Data'!$D:$D,$A$4,'ON Data'!$E:$E,1),SUMIFS('ON Data'!Z:Z,'ON Data'!$E:$E,1)/'ON Data'!$D$3),1)</f>
        <v>4</v>
      </c>
      <c r="V6" s="250">
        <f xml:space="preserve">
TRUNC(IF($A$4&lt;=12,SUMIFS('ON Data'!AA:AA,'ON Data'!$D:$D,$A$4,'ON Data'!$E:$E,1),SUMIFS('ON Data'!AA:AA,'ON Data'!$E:$E,1)/'ON Data'!$D$3),1)</f>
        <v>0</v>
      </c>
      <c r="W6" s="250">
        <f xml:space="preserve">
TRUNC(IF($A$4&lt;=12,SUMIFS('ON Data'!AB:AB,'ON Data'!$D:$D,$A$4,'ON Data'!$E:$E,1),SUMIFS('ON Data'!AB:AB,'ON Data'!$E:$E,1)/'ON Data'!$D$3),1)</f>
        <v>0</v>
      </c>
      <c r="X6" s="250">
        <f xml:space="preserve">
TRUNC(IF($A$4&lt;=12,SUMIFS('ON Data'!AC:AC,'ON Data'!$D:$D,$A$4,'ON Data'!$E:$E,1),SUMIFS('ON Data'!AC:AC,'ON Data'!$E:$E,1)/'ON Data'!$D$3),1)</f>
        <v>0</v>
      </c>
      <c r="Y6" s="250">
        <f xml:space="preserve">
TRUNC(IF($A$4&lt;=12,SUMIFS('ON Data'!AD:AD,'ON Data'!$D:$D,$A$4,'ON Data'!$E:$E,1),SUMIFS('ON Data'!AD:AD,'ON Data'!$E:$E,1)/'ON Data'!$D$3),1)</f>
        <v>0</v>
      </c>
      <c r="Z6" s="250">
        <f xml:space="preserve">
TRUNC(IF($A$4&lt;=12,SUMIFS('ON Data'!AE:AE,'ON Data'!$D:$D,$A$4,'ON Data'!$E:$E,1),SUMIFS('ON Data'!AE:AE,'ON Data'!$E:$E,1)/'ON Data'!$D$3),1)</f>
        <v>0</v>
      </c>
      <c r="AA6" s="250">
        <f xml:space="preserve">
TRUNC(IF($A$4&lt;=12,SUMIFS('ON Data'!AF:AF,'ON Data'!$D:$D,$A$4,'ON Data'!$E:$E,1),SUMIFS('ON Data'!AF:AF,'ON Data'!$E:$E,1)/'ON Data'!$D$3),1)</f>
        <v>0</v>
      </c>
      <c r="AB6" s="250">
        <f xml:space="preserve">
TRUNC(IF($A$4&lt;=12,SUMIFS('ON Data'!AG:AG,'ON Data'!$D:$D,$A$4,'ON Data'!$E:$E,1),SUMIFS('ON Data'!AG:AG,'ON Data'!$E:$E,1)/'ON Data'!$D$3),1)</f>
        <v>0</v>
      </c>
      <c r="AC6" s="250">
        <f xml:space="preserve">
TRUNC(IF($A$4&lt;=12,SUMIFS('ON Data'!AH:AH,'ON Data'!$D:$D,$A$4,'ON Data'!$E:$E,1),SUMIFS('ON Data'!AH:AH,'ON Data'!$E:$E,1)/'ON Data'!$D$3),1)</f>
        <v>5</v>
      </c>
      <c r="AD6" s="250">
        <f xml:space="preserve">
TRUNC(IF($A$4&lt;=12,SUMIFS('ON Data'!AI:AI,'ON Data'!$D:$D,$A$4,'ON Data'!$E:$E,1),SUMIFS('ON Data'!AI:AI,'ON Data'!$E:$E,1)/'ON Data'!$D$3),1)</f>
        <v>0</v>
      </c>
      <c r="AE6" s="250">
        <f xml:space="preserve">
TRUNC(IF($A$4&lt;=12,SUMIFS('ON Data'!AJ:AJ,'ON Data'!$D:$D,$A$4,'ON Data'!$E:$E,1),SUMIFS('ON Data'!AJ:AJ,'ON Data'!$E:$E,1)/'ON Data'!$D$3),1)</f>
        <v>0</v>
      </c>
      <c r="AF6" s="250">
        <f xml:space="preserve">
TRUNC(IF($A$4&lt;=12,SUMIFS('ON Data'!AK:AK,'ON Data'!$D:$D,$A$4,'ON Data'!$E:$E,1),SUMIFS('ON Data'!AK:AK,'ON Data'!$E:$E,1)/'ON Data'!$D$3),1)</f>
        <v>0</v>
      </c>
      <c r="AG6" s="250">
        <f xml:space="preserve">
TRUNC(IF($A$4&lt;=12,SUMIFS('ON Data'!AM:AM,'ON Data'!$D:$D,$A$4,'ON Data'!$E:$E,1),SUMIFS('ON Data'!AM:AM,'ON Data'!$E:$E,1)/'ON Data'!$D$3),1)</f>
        <v>2.5</v>
      </c>
      <c r="AH6" s="445">
        <f xml:space="preserve">
TRUNC(IF($A$4&lt;=12,SUMIFS('ON Data'!AN:AN,'ON Data'!$D:$D,$A$4,'ON Data'!$E:$E,1),SUMIFS('ON Data'!AN:AN,'ON Data'!$E:$E,1)/'ON Data'!$D$3),1)</f>
        <v>0.5</v>
      </c>
      <c r="AI6" s="459"/>
    </row>
    <row r="7" spans="1:35" ht="15" hidden="1" outlineLevel="1" thickBot="1" x14ac:dyDescent="0.35">
      <c r="A7" s="210" t="s">
        <v>90</v>
      </c>
      <c r="B7" s="248"/>
      <c r="C7" s="251"/>
      <c r="D7" s="250"/>
      <c r="E7" s="250"/>
      <c r="F7" s="250"/>
      <c r="G7" s="250"/>
      <c r="H7" s="250"/>
      <c r="I7" s="250"/>
      <c r="J7" s="250"/>
      <c r="K7" s="250"/>
      <c r="L7" s="250"/>
      <c r="M7" s="250"/>
      <c r="N7" s="250"/>
      <c r="O7" s="250"/>
      <c r="P7" s="250"/>
      <c r="Q7" s="250"/>
      <c r="R7" s="250"/>
      <c r="S7" s="250"/>
      <c r="T7" s="250"/>
      <c r="U7" s="250"/>
      <c r="V7" s="250"/>
      <c r="W7" s="250"/>
      <c r="X7" s="250"/>
      <c r="Y7" s="250"/>
      <c r="Z7" s="250"/>
      <c r="AA7" s="250"/>
      <c r="AB7" s="250"/>
      <c r="AC7" s="250"/>
      <c r="AD7" s="250"/>
      <c r="AE7" s="250"/>
      <c r="AF7" s="250"/>
      <c r="AG7" s="250"/>
      <c r="AH7" s="445"/>
      <c r="AI7" s="459"/>
    </row>
    <row r="8" spans="1:35" ht="15" hidden="1" outlineLevel="1" thickBot="1" x14ac:dyDescent="0.35">
      <c r="A8" s="210" t="s">
        <v>57</v>
      </c>
      <c r="B8" s="248"/>
      <c r="C8" s="251"/>
      <c r="D8" s="250"/>
      <c r="E8" s="250"/>
      <c r="F8" s="250"/>
      <c r="G8" s="250"/>
      <c r="H8" s="250"/>
      <c r="I8" s="250"/>
      <c r="J8" s="250"/>
      <c r="K8" s="250"/>
      <c r="L8" s="250"/>
      <c r="M8" s="250"/>
      <c r="N8" s="250"/>
      <c r="O8" s="250"/>
      <c r="P8" s="250"/>
      <c r="Q8" s="250"/>
      <c r="R8" s="250"/>
      <c r="S8" s="250"/>
      <c r="T8" s="250"/>
      <c r="U8" s="250"/>
      <c r="V8" s="250"/>
      <c r="W8" s="250"/>
      <c r="X8" s="250"/>
      <c r="Y8" s="250"/>
      <c r="Z8" s="250"/>
      <c r="AA8" s="250"/>
      <c r="AB8" s="250"/>
      <c r="AC8" s="250"/>
      <c r="AD8" s="250"/>
      <c r="AE8" s="250"/>
      <c r="AF8" s="250"/>
      <c r="AG8" s="250"/>
      <c r="AH8" s="445"/>
      <c r="AI8" s="459"/>
    </row>
    <row r="9" spans="1:35" ht="15" hidden="1" outlineLevel="1" thickBot="1" x14ac:dyDescent="0.35">
      <c r="A9" s="211" t="s">
        <v>50</v>
      </c>
      <c r="B9" s="252"/>
      <c r="C9" s="253"/>
      <c r="D9" s="254"/>
      <c r="E9" s="254"/>
      <c r="F9" s="254"/>
      <c r="G9" s="254"/>
      <c r="H9" s="254"/>
      <c r="I9" s="254"/>
      <c r="J9" s="254"/>
      <c r="K9" s="254"/>
      <c r="L9" s="254"/>
      <c r="M9" s="254"/>
      <c r="N9" s="254"/>
      <c r="O9" s="254"/>
      <c r="P9" s="254"/>
      <c r="Q9" s="254"/>
      <c r="R9" s="254"/>
      <c r="S9" s="254"/>
      <c r="T9" s="254"/>
      <c r="U9" s="254"/>
      <c r="V9" s="254"/>
      <c r="W9" s="254"/>
      <c r="X9" s="254"/>
      <c r="Y9" s="254"/>
      <c r="Z9" s="254"/>
      <c r="AA9" s="254"/>
      <c r="AB9" s="254"/>
      <c r="AC9" s="254"/>
      <c r="AD9" s="254"/>
      <c r="AE9" s="254"/>
      <c r="AF9" s="254"/>
      <c r="AG9" s="254"/>
      <c r="AH9" s="446"/>
      <c r="AI9" s="459"/>
    </row>
    <row r="10" spans="1:35" x14ac:dyDescent="0.3">
      <c r="A10" s="212" t="s">
        <v>152</v>
      </c>
      <c r="B10" s="227"/>
      <c r="C10" s="228"/>
      <c r="D10" s="229"/>
      <c r="E10" s="229"/>
      <c r="F10" s="229"/>
      <c r="G10" s="229"/>
      <c r="H10" s="229"/>
      <c r="I10" s="229"/>
      <c r="J10" s="229"/>
      <c r="K10" s="229"/>
      <c r="L10" s="229"/>
      <c r="M10" s="229"/>
      <c r="N10" s="229"/>
      <c r="O10" s="229"/>
      <c r="P10" s="229"/>
      <c r="Q10" s="229"/>
      <c r="R10" s="229"/>
      <c r="S10" s="229"/>
      <c r="T10" s="229"/>
      <c r="U10" s="229"/>
      <c r="V10" s="229"/>
      <c r="W10" s="229"/>
      <c r="X10" s="229"/>
      <c r="Y10" s="229"/>
      <c r="Z10" s="229"/>
      <c r="AA10" s="229"/>
      <c r="AB10" s="229"/>
      <c r="AC10" s="229"/>
      <c r="AD10" s="229"/>
      <c r="AE10" s="229"/>
      <c r="AF10" s="229"/>
      <c r="AG10" s="229"/>
      <c r="AH10" s="447"/>
      <c r="AI10" s="459"/>
    </row>
    <row r="11" spans="1:35" x14ac:dyDescent="0.3">
      <c r="A11" s="213" t="s">
        <v>153</v>
      </c>
      <c r="B11" s="230">
        <f xml:space="preserve">
IF($A$4&lt;=12,SUMIFS('ON Data'!F:F,'ON Data'!$D:$D,$A$4,'ON Data'!$E:$E,2),SUMIFS('ON Data'!F:F,'ON Data'!$E:$E,2))</f>
        <v>8158.4</v>
      </c>
      <c r="C11" s="231">
        <f xml:space="preserve">
IF($A$4&lt;=12,SUMIFS('ON Data'!G:G,'ON Data'!$D:$D,$A$4,'ON Data'!$E:$E,2),SUMIFS('ON Data'!G:G,'ON Data'!$E:$E,2))</f>
        <v>0</v>
      </c>
      <c r="D11" s="232">
        <f xml:space="preserve">
IF($A$4&lt;=12,SUMIFS('ON Data'!H:H,'ON Data'!$D:$D,$A$4,'ON Data'!$E:$E,2),SUMIFS('ON Data'!H:H,'ON Data'!$E:$E,2))</f>
        <v>1912</v>
      </c>
      <c r="E11" s="232">
        <f xml:space="preserve">
IF($A$4&lt;=12,SUMIFS('ON Data'!I:I,'ON Data'!$D:$D,$A$4,'ON Data'!$E:$E,2),SUMIFS('ON Data'!I:I,'ON Data'!$E:$E,2))</f>
        <v>0</v>
      </c>
      <c r="F11" s="232">
        <f xml:space="preserve">
IF($A$4&lt;=12,SUMIFS('ON Data'!K:K,'ON Data'!$D:$D,$A$4,'ON Data'!$E:$E,2),SUMIFS('ON Data'!K:K,'ON Data'!$E:$E,2))</f>
        <v>0</v>
      </c>
      <c r="G11" s="232">
        <f xml:space="preserve">
IF($A$4&lt;=12,SUMIFS('ON Data'!L:L,'ON Data'!$D:$D,$A$4,'ON Data'!$E:$E,2),SUMIFS('ON Data'!L:L,'ON Data'!$E:$E,2))</f>
        <v>0</v>
      </c>
      <c r="H11" s="232">
        <f xml:space="preserve">
IF($A$4&lt;=12,SUMIFS('ON Data'!M:M,'ON Data'!$D:$D,$A$4,'ON Data'!$E:$E,2),SUMIFS('ON Data'!M:M,'ON Data'!$E:$E,2))</f>
        <v>0</v>
      </c>
      <c r="I11" s="232">
        <f xml:space="preserve">
IF($A$4&lt;=12,SUMIFS('ON Data'!N:N,'ON Data'!$D:$D,$A$4,'ON Data'!$E:$E,2),SUMIFS('ON Data'!N:N,'ON Data'!$E:$E,2))</f>
        <v>2592</v>
      </c>
      <c r="J11" s="232">
        <f xml:space="preserve">
IF($A$4&lt;=12,SUMIFS('ON Data'!O:O,'ON Data'!$D:$D,$A$4,'ON Data'!$E:$E,2),SUMIFS('ON Data'!O:O,'ON Data'!$E:$E,2))</f>
        <v>0</v>
      </c>
      <c r="K11" s="232">
        <f xml:space="preserve">
IF($A$4&lt;=12,SUMIFS('ON Data'!P:P,'ON Data'!$D:$D,$A$4,'ON Data'!$E:$E,2),SUMIFS('ON Data'!P:P,'ON Data'!$E:$E,2))</f>
        <v>0</v>
      </c>
      <c r="L11" s="232">
        <f xml:space="preserve">
IF($A$4&lt;=12,SUMIFS('ON Data'!Q:Q,'ON Data'!$D:$D,$A$4,'ON Data'!$E:$E,2),SUMIFS('ON Data'!Q:Q,'ON Data'!$E:$E,2))</f>
        <v>0</v>
      </c>
      <c r="M11" s="232">
        <f xml:space="preserve">
IF($A$4&lt;=12,SUMIFS('ON Data'!R:R,'ON Data'!$D:$D,$A$4,'ON Data'!$E:$E,2),SUMIFS('ON Data'!R:R,'ON Data'!$E:$E,2))</f>
        <v>0</v>
      </c>
      <c r="N11" s="232">
        <f xml:space="preserve">
IF($A$4&lt;=12,SUMIFS('ON Data'!S:S,'ON Data'!$D:$D,$A$4,'ON Data'!$E:$E,2),SUMIFS('ON Data'!S:S,'ON Data'!$E:$E,2))</f>
        <v>0</v>
      </c>
      <c r="O11" s="232">
        <f xml:space="preserve">
IF($A$4&lt;=12,SUMIFS('ON Data'!T:T,'ON Data'!$D:$D,$A$4,'ON Data'!$E:$E,2),SUMIFS('ON Data'!T:T,'ON Data'!$E:$E,2))</f>
        <v>0</v>
      </c>
      <c r="P11" s="232">
        <f xml:space="preserve">
IF($A$4&lt;=12,SUMIFS('ON Data'!U:U,'ON Data'!$D:$D,$A$4,'ON Data'!$E:$E,2),SUMIFS('ON Data'!U:U,'ON Data'!$E:$E,2))</f>
        <v>0</v>
      </c>
      <c r="Q11" s="232">
        <f xml:space="preserve">
IF($A$4&lt;=12,SUMIFS('ON Data'!V:V,'ON Data'!$D:$D,$A$4,'ON Data'!$E:$E,2),SUMIFS('ON Data'!V:V,'ON Data'!$E:$E,2))</f>
        <v>0</v>
      </c>
      <c r="R11" s="232">
        <f xml:space="preserve">
IF($A$4&lt;=12,SUMIFS('ON Data'!W:W,'ON Data'!$D:$D,$A$4,'ON Data'!$E:$E,2),SUMIFS('ON Data'!W:W,'ON Data'!$E:$E,2))</f>
        <v>0</v>
      </c>
      <c r="S11" s="232">
        <f xml:space="preserve">
IF($A$4&lt;=12,SUMIFS('ON Data'!X:X,'ON Data'!$D:$D,$A$4,'ON Data'!$E:$E,2),SUMIFS('ON Data'!X:X,'ON Data'!$E:$E,2))</f>
        <v>0</v>
      </c>
      <c r="T11" s="232">
        <f xml:space="preserve">
IF($A$4&lt;=12,SUMIFS('ON Data'!Y:Y,'ON Data'!$D:$D,$A$4,'ON Data'!$E:$E,2),SUMIFS('ON Data'!Y:Y,'ON Data'!$E:$E,2))</f>
        <v>0</v>
      </c>
      <c r="U11" s="232">
        <f xml:space="preserve">
IF($A$4&lt;=12,SUMIFS('ON Data'!Z:Z,'ON Data'!$D:$D,$A$4,'ON Data'!$E:$E,2),SUMIFS('ON Data'!Z:Z,'ON Data'!$E:$E,2))</f>
        <v>1118.4000000000001</v>
      </c>
      <c r="V11" s="232">
        <f xml:space="preserve">
IF($A$4&lt;=12,SUMIFS('ON Data'!AA:AA,'ON Data'!$D:$D,$A$4,'ON Data'!$E:$E,2),SUMIFS('ON Data'!AA:AA,'ON Data'!$E:$E,2))</f>
        <v>0</v>
      </c>
      <c r="W11" s="232">
        <f xml:space="preserve">
IF($A$4&lt;=12,SUMIFS('ON Data'!AB:AB,'ON Data'!$D:$D,$A$4,'ON Data'!$E:$E,2),SUMIFS('ON Data'!AB:AB,'ON Data'!$E:$E,2))</f>
        <v>0</v>
      </c>
      <c r="X11" s="232">
        <f xml:space="preserve">
IF($A$4&lt;=12,SUMIFS('ON Data'!AC:AC,'ON Data'!$D:$D,$A$4,'ON Data'!$E:$E,2),SUMIFS('ON Data'!AC:AC,'ON Data'!$E:$E,2))</f>
        <v>0</v>
      </c>
      <c r="Y11" s="232">
        <f xml:space="preserve">
IF($A$4&lt;=12,SUMIFS('ON Data'!AD:AD,'ON Data'!$D:$D,$A$4,'ON Data'!$E:$E,2),SUMIFS('ON Data'!AD:AD,'ON Data'!$E:$E,2))</f>
        <v>0</v>
      </c>
      <c r="Z11" s="232">
        <f xml:space="preserve">
IF($A$4&lt;=12,SUMIFS('ON Data'!AE:AE,'ON Data'!$D:$D,$A$4,'ON Data'!$E:$E,2),SUMIFS('ON Data'!AE:AE,'ON Data'!$E:$E,2))</f>
        <v>0</v>
      </c>
      <c r="AA11" s="232">
        <f xml:space="preserve">
IF($A$4&lt;=12,SUMIFS('ON Data'!AF:AF,'ON Data'!$D:$D,$A$4,'ON Data'!$E:$E,2),SUMIFS('ON Data'!AF:AF,'ON Data'!$E:$E,2))</f>
        <v>0</v>
      </c>
      <c r="AB11" s="232">
        <f xml:space="preserve">
IF($A$4&lt;=12,SUMIFS('ON Data'!AG:AG,'ON Data'!$D:$D,$A$4,'ON Data'!$E:$E,2),SUMIFS('ON Data'!AG:AG,'ON Data'!$E:$E,2))</f>
        <v>0</v>
      </c>
      <c r="AC11" s="232">
        <f xml:space="preserve">
IF($A$4&lt;=12,SUMIFS('ON Data'!AH:AH,'ON Data'!$D:$D,$A$4,'ON Data'!$E:$E,2),SUMIFS('ON Data'!AH:AH,'ON Data'!$E:$E,2))</f>
        <v>1608</v>
      </c>
      <c r="AD11" s="232">
        <f xml:space="preserve">
IF($A$4&lt;=12,SUMIFS('ON Data'!AI:AI,'ON Data'!$D:$D,$A$4,'ON Data'!$E:$E,2),SUMIFS('ON Data'!AI:AI,'ON Data'!$E:$E,2))</f>
        <v>0</v>
      </c>
      <c r="AE11" s="232">
        <f xml:space="preserve">
IF($A$4&lt;=12,SUMIFS('ON Data'!AJ:AJ,'ON Data'!$D:$D,$A$4,'ON Data'!$E:$E,2),SUMIFS('ON Data'!AJ:AJ,'ON Data'!$E:$E,2))</f>
        <v>0</v>
      </c>
      <c r="AF11" s="232">
        <f xml:space="preserve">
IF($A$4&lt;=12,SUMIFS('ON Data'!AK:AK,'ON Data'!$D:$D,$A$4,'ON Data'!$E:$E,2),SUMIFS('ON Data'!AK:AK,'ON Data'!$E:$E,2))</f>
        <v>0</v>
      </c>
      <c r="AG11" s="232">
        <f xml:space="preserve">
IF($A$4&lt;=12,SUMIFS('ON Data'!AM:AM,'ON Data'!$D:$D,$A$4,'ON Data'!$E:$E,2),SUMIFS('ON Data'!AM:AM,'ON Data'!$E:$E,2))</f>
        <v>760</v>
      </c>
      <c r="AH11" s="448">
        <f xml:space="preserve">
IF($A$4&lt;=12,SUMIFS('ON Data'!AN:AN,'ON Data'!$D:$D,$A$4,'ON Data'!$E:$E,2),SUMIFS('ON Data'!AN:AN,'ON Data'!$E:$E,2))</f>
        <v>168</v>
      </c>
      <c r="AI11" s="459"/>
    </row>
    <row r="12" spans="1:35" x14ac:dyDescent="0.3">
      <c r="A12" s="213" t="s">
        <v>154</v>
      </c>
      <c r="B12" s="230">
        <f xml:space="preserve">
IF($A$4&lt;=12,SUMIFS('ON Data'!F:F,'ON Data'!$D:$D,$A$4,'ON Data'!$E:$E,3),SUMIFS('ON Data'!F:F,'ON Data'!$E:$E,3))</f>
        <v>65.599999999999994</v>
      </c>
      <c r="C12" s="231">
        <f xml:space="preserve">
IF($A$4&lt;=12,SUMIFS('ON Data'!G:G,'ON Data'!$D:$D,$A$4,'ON Data'!$E:$E,3),SUMIFS('ON Data'!G:G,'ON Data'!$E:$E,3))</f>
        <v>0</v>
      </c>
      <c r="D12" s="232">
        <f xml:space="preserve">
IF($A$4&lt;=12,SUMIFS('ON Data'!H:H,'ON Data'!$D:$D,$A$4,'ON Data'!$E:$E,3),SUMIFS('ON Data'!H:H,'ON Data'!$E:$E,3))</f>
        <v>0</v>
      </c>
      <c r="E12" s="232">
        <f xml:space="preserve">
IF($A$4&lt;=12,SUMIFS('ON Data'!I:I,'ON Data'!$D:$D,$A$4,'ON Data'!$E:$E,3),SUMIFS('ON Data'!I:I,'ON Data'!$E:$E,3))</f>
        <v>0</v>
      </c>
      <c r="F12" s="232">
        <f xml:space="preserve">
IF($A$4&lt;=12,SUMIFS('ON Data'!K:K,'ON Data'!$D:$D,$A$4,'ON Data'!$E:$E,3),SUMIFS('ON Data'!K:K,'ON Data'!$E:$E,3))</f>
        <v>0</v>
      </c>
      <c r="G12" s="232">
        <f xml:space="preserve">
IF($A$4&lt;=12,SUMIFS('ON Data'!L:L,'ON Data'!$D:$D,$A$4,'ON Data'!$E:$E,3),SUMIFS('ON Data'!L:L,'ON Data'!$E:$E,3))</f>
        <v>0</v>
      </c>
      <c r="H12" s="232">
        <f xml:space="preserve">
IF($A$4&lt;=12,SUMIFS('ON Data'!M:M,'ON Data'!$D:$D,$A$4,'ON Data'!$E:$E,3),SUMIFS('ON Data'!M:M,'ON Data'!$E:$E,3))</f>
        <v>0</v>
      </c>
      <c r="I12" s="232">
        <f xml:space="preserve">
IF($A$4&lt;=12,SUMIFS('ON Data'!N:N,'ON Data'!$D:$D,$A$4,'ON Data'!$E:$E,3),SUMIFS('ON Data'!N:N,'ON Data'!$E:$E,3))</f>
        <v>0</v>
      </c>
      <c r="J12" s="232">
        <f xml:space="preserve">
IF($A$4&lt;=12,SUMIFS('ON Data'!O:O,'ON Data'!$D:$D,$A$4,'ON Data'!$E:$E,3),SUMIFS('ON Data'!O:O,'ON Data'!$E:$E,3))</f>
        <v>0</v>
      </c>
      <c r="K12" s="232">
        <f xml:space="preserve">
IF($A$4&lt;=12,SUMIFS('ON Data'!P:P,'ON Data'!$D:$D,$A$4,'ON Data'!$E:$E,3),SUMIFS('ON Data'!P:P,'ON Data'!$E:$E,3))</f>
        <v>0</v>
      </c>
      <c r="L12" s="232">
        <f xml:space="preserve">
IF($A$4&lt;=12,SUMIFS('ON Data'!Q:Q,'ON Data'!$D:$D,$A$4,'ON Data'!$E:$E,3),SUMIFS('ON Data'!Q:Q,'ON Data'!$E:$E,3))</f>
        <v>0</v>
      </c>
      <c r="M12" s="232">
        <f xml:space="preserve">
IF($A$4&lt;=12,SUMIFS('ON Data'!R:R,'ON Data'!$D:$D,$A$4,'ON Data'!$E:$E,3),SUMIFS('ON Data'!R:R,'ON Data'!$E:$E,3))</f>
        <v>0</v>
      </c>
      <c r="N12" s="232">
        <f xml:space="preserve">
IF($A$4&lt;=12,SUMIFS('ON Data'!S:S,'ON Data'!$D:$D,$A$4,'ON Data'!$E:$E,3),SUMIFS('ON Data'!S:S,'ON Data'!$E:$E,3))</f>
        <v>0</v>
      </c>
      <c r="O12" s="232">
        <f xml:space="preserve">
IF($A$4&lt;=12,SUMIFS('ON Data'!T:T,'ON Data'!$D:$D,$A$4,'ON Data'!$E:$E,3),SUMIFS('ON Data'!T:T,'ON Data'!$E:$E,3))</f>
        <v>0</v>
      </c>
      <c r="P12" s="232">
        <f xml:space="preserve">
IF($A$4&lt;=12,SUMIFS('ON Data'!U:U,'ON Data'!$D:$D,$A$4,'ON Data'!$E:$E,3),SUMIFS('ON Data'!U:U,'ON Data'!$E:$E,3))</f>
        <v>0</v>
      </c>
      <c r="Q12" s="232">
        <f xml:space="preserve">
IF($A$4&lt;=12,SUMIFS('ON Data'!V:V,'ON Data'!$D:$D,$A$4,'ON Data'!$E:$E,3),SUMIFS('ON Data'!V:V,'ON Data'!$E:$E,3))</f>
        <v>0</v>
      </c>
      <c r="R12" s="232">
        <f xml:space="preserve">
IF($A$4&lt;=12,SUMIFS('ON Data'!W:W,'ON Data'!$D:$D,$A$4,'ON Data'!$E:$E,3),SUMIFS('ON Data'!W:W,'ON Data'!$E:$E,3))</f>
        <v>0</v>
      </c>
      <c r="S12" s="232">
        <f xml:space="preserve">
IF($A$4&lt;=12,SUMIFS('ON Data'!X:X,'ON Data'!$D:$D,$A$4,'ON Data'!$E:$E,3),SUMIFS('ON Data'!X:X,'ON Data'!$E:$E,3))</f>
        <v>0</v>
      </c>
      <c r="T12" s="232">
        <f xml:space="preserve">
IF($A$4&lt;=12,SUMIFS('ON Data'!Y:Y,'ON Data'!$D:$D,$A$4,'ON Data'!$E:$E,3),SUMIFS('ON Data'!Y:Y,'ON Data'!$E:$E,3))</f>
        <v>0</v>
      </c>
      <c r="U12" s="232">
        <f xml:space="preserve">
IF($A$4&lt;=12,SUMIFS('ON Data'!Z:Z,'ON Data'!$D:$D,$A$4,'ON Data'!$E:$E,3),SUMIFS('ON Data'!Z:Z,'ON Data'!$E:$E,3))</f>
        <v>65.599999999999994</v>
      </c>
      <c r="V12" s="232">
        <f xml:space="preserve">
IF($A$4&lt;=12,SUMIFS('ON Data'!AA:AA,'ON Data'!$D:$D,$A$4,'ON Data'!$E:$E,3),SUMIFS('ON Data'!AA:AA,'ON Data'!$E:$E,3))</f>
        <v>0</v>
      </c>
      <c r="W12" s="232">
        <f xml:space="preserve">
IF($A$4&lt;=12,SUMIFS('ON Data'!AB:AB,'ON Data'!$D:$D,$A$4,'ON Data'!$E:$E,3),SUMIFS('ON Data'!AB:AB,'ON Data'!$E:$E,3))</f>
        <v>0</v>
      </c>
      <c r="X12" s="232">
        <f xml:space="preserve">
IF($A$4&lt;=12,SUMIFS('ON Data'!AC:AC,'ON Data'!$D:$D,$A$4,'ON Data'!$E:$E,3),SUMIFS('ON Data'!AC:AC,'ON Data'!$E:$E,3))</f>
        <v>0</v>
      </c>
      <c r="Y12" s="232">
        <f xml:space="preserve">
IF($A$4&lt;=12,SUMIFS('ON Data'!AD:AD,'ON Data'!$D:$D,$A$4,'ON Data'!$E:$E,3),SUMIFS('ON Data'!AD:AD,'ON Data'!$E:$E,3))</f>
        <v>0</v>
      </c>
      <c r="Z12" s="232">
        <f xml:space="preserve">
IF($A$4&lt;=12,SUMIFS('ON Data'!AE:AE,'ON Data'!$D:$D,$A$4,'ON Data'!$E:$E,3),SUMIFS('ON Data'!AE:AE,'ON Data'!$E:$E,3))</f>
        <v>0</v>
      </c>
      <c r="AA12" s="232">
        <f xml:space="preserve">
IF($A$4&lt;=12,SUMIFS('ON Data'!AF:AF,'ON Data'!$D:$D,$A$4,'ON Data'!$E:$E,3),SUMIFS('ON Data'!AF:AF,'ON Data'!$E:$E,3))</f>
        <v>0</v>
      </c>
      <c r="AB12" s="232">
        <f xml:space="preserve">
IF($A$4&lt;=12,SUMIFS('ON Data'!AG:AG,'ON Data'!$D:$D,$A$4,'ON Data'!$E:$E,3),SUMIFS('ON Data'!AG:AG,'ON Data'!$E:$E,3))</f>
        <v>0</v>
      </c>
      <c r="AC12" s="232">
        <f xml:space="preserve">
IF($A$4&lt;=12,SUMIFS('ON Data'!AH:AH,'ON Data'!$D:$D,$A$4,'ON Data'!$E:$E,3),SUMIFS('ON Data'!AH:AH,'ON Data'!$E:$E,3))</f>
        <v>0</v>
      </c>
      <c r="AD12" s="232">
        <f xml:space="preserve">
IF($A$4&lt;=12,SUMIFS('ON Data'!AI:AI,'ON Data'!$D:$D,$A$4,'ON Data'!$E:$E,3),SUMIFS('ON Data'!AI:AI,'ON Data'!$E:$E,3))</f>
        <v>0</v>
      </c>
      <c r="AE12" s="232">
        <f xml:space="preserve">
IF($A$4&lt;=12,SUMIFS('ON Data'!AJ:AJ,'ON Data'!$D:$D,$A$4,'ON Data'!$E:$E,3),SUMIFS('ON Data'!AJ:AJ,'ON Data'!$E:$E,3))</f>
        <v>0</v>
      </c>
      <c r="AF12" s="232">
        <f xml:space="preserve">
IF($A$4&lt;=12,SUMIFS('ON Data'!AK:AK,'ON Data'!$D:$D,$A$4,'ON Data'!$E:$E,3),SUMIFS('ON Data'!AK:AK,'ON Data'!$E:$E,3))</f>
        <v>0</v>
      </c>
      <c r="AG12" s="232">
        <f xml:space="preserve">
IF($A$4&lt;=12,SUMIFS('ON Data'!AM:AM,'ON Data'!$D:$D,$A$4,'ON Data'!$E:$E,3),SUMIFS('ON Data'!AM:AM,'ON Data'!$E:$E,3))</f>
        <v>0</v>
      </c>
      <c r="AH12" s="448">
        <f xml:space="preserve">
IF($A$4&lt;=12,SUMIFS('ON Data'!AN:AN,'ON Data'!$D:$D,$A$4,'ON Data'!$E:$E,3),SUMIFS('ON Data'!AN:AN,'ON Data'!$E:$E,3))</f>
        <v>0</v>
      </c>
      <c r="AI12" s="459"/>
    </row>
    <row r="13" spans="1:35" x14ac:dyDescent="0.3">
      <c r="A13" s="213" t="s">
        <v>161</v>
      </c>
      <c r="B13" s="230">
        <f xml:space="preserve">
IF($A$4&lt;=12,SUMIFS('ON Data'!F:F,'ON Data'!$D:$D,$A$4,'ON Data'!$E:$E,4),SUMIFS('ON Data'!F:F,'ON Data'!$E:$E,4))</f>
        <v>211</v>
      </c>
      <c r="C13" s="231">
        <f xml:space="preserve">
IF($A$4&lt;=12,SUMIFS('ON Data'!G:G,'ON Data'!$D:$D,$A$4,'ON Data'!$E:$E,4),SUMIFS('ON Data'!G:G,'ON Data'!$E:$E,4))</f>
        <v>0</v>
      </c>
      <c r="D13" s="232">
        <f xml:space="preserve">
IF($A$4&lt;=12,SUMIFS('ON Data'!H:H,'ON Data'!$D:$D,$A$4,'ON Data'!$E:$E,4),SUMIFS('ON Data'!H:H,'ON Data'!$E:$E,4))</f>
        <v>0</v>
      </c>
      <c r="E13" s="232">
        <f xml:space="preserve">
IF($A$4&lt;=12,SUMIFS('ON Data'!I:I,'ON Data'!$D:$D,$A$4,'ON Data'!$E:$E,4),SUMIFS('ON Data'!I:I,'ON Data'!$E:$E,4))</f>
        <v>0</v>
      </c>
      <c r="F13" s="232">
        <f xml:space="preserve">
IF($A$4&lt;=12,SUMIFS('ON Data'!K:K,'ON Data'!$D:$D,$A$4,'ON Data'!$E:$E,4),SUMIFS('ON Data'!K:K,'ON Data'!$E:$E,4))</f>
        <v>0</v>
      </c>
      <c r="G13" s="232">
        <f xml:space="preserve">
IF($A$4&lt;=12,SUMIFS('ON Data'!L:L,'ON Data'!$D:$D,$A$4,'ON Data'!$E:$E,4),SUMIFS('ON Data'!L:L,'ON Data'!$E:$E,4))</f>
        <v>0</v>
      </c>
      <c r="H13" s="232">
        <f xml:space="preserve">
IF($A$4&lt;=12,SUMIFS('ON Data'!M:M,'ON Data'!$D:$D,$A$4,'ON Data'!$E:$E,4),SUMIFS('ON Data'!M:M,'ON Data'!$E:$E,4))</f>
        <v>0</v>
      </c>
      <c r="I13" s="232">
        <f xml:space="preserve">
IF($A$4&lt;=12,SUMIFS('ON Data'!N:N,'ON Data'!$D:$D,$A$4,'ON Data'!$E:$E,4),SUMIFS('ON Data'!N:N,'ON Data'!$E:$E,4))</f>
        <v>0</v>
      </c>
      <c r="J13" s="232">
        <f xml:space="preserve">
IF($A$4&lt;=12,SUMIFS('ON Data'!O:O,'ON Data'!$D:$D,$A$4,'ON Data'!$E:$E,4),SUMIFS('ON Data'!O:O,'ON Data'!$E:$E,4))</f>
        <v>0</v>
      </c>
      <c r="K13" s="232">
        <f xml:space="preserve">
IF($A$4&lt;=12,SUMIFS('ON Data'!P:P,'ON Data'!$D:$D,$A$4,'ON Data'!$E:$E,4),SUMIFS('ON Data'!P:P,'ON Data'!$E:$E,4))</f>
        <v>0</v>
      </c>
      <c r="L13" s="232">
        <f xml:space="preserve">
IF($A$4&lt;=12,SUMIFS('ON Data'!Q:Q,'ON Data'!$D:$D,$A$4,'ON Data'!$E:$E,4),SUMIFS('ON Data'!Q:Q,'ON Data'!$E:$E,4))</f>
        <v>0</v>
      </c>
      <c r="M13" s="232">
        <f xml:space="preserve">
IF($A$4&lt;=12,SUMIFS('ON Data'!R:R,'ON Data'!$D:$D,$A$4,'ON Data'!$E:$E,4),SUMIFS('ON Data'!R:R,'ON Data'!$E:$E,4))</f>
        <v>0</v>
      </c>
      <c r="N13" s="232">
        <f xml:space="preserve">
IF($A$4&lt;=12,SUMIFS('ON Data'!S:S,'ON Data'!$D:$D,$A$4,'ON Data'!$E:$E,4),SUMIFS('ON Data'!S:S,'ON Data'!$E:$E,4))</f>
        <v>0</v>
      </c>
      <c r="O13" s="232">
        <f xml:space="preserve">
IF($A$4&lt;=12,SUMIFS('ON Data'!T:T,'ON Data'!$D:$D,$A$4,'ON Data'!$E:$E,4),SUMIFS('ON Data'!T:T,'ON Data'!$E:$E,4))</f>
        <v>0</v>
      </c>
      <c r="P13" s="232">
        <f xml:space="preserve">
IF($A$4&lt;=12,SUMIFS('ON Data'!U:U,'ON Data'!$D:$D,$A$4,'ON Data'!$E:$E,4),SUMIFS('ON Data'!U:U,'ON Data'!$E:$E,4))</f>
        <v>0</v>
      </c>
      <c r="Q13" s="232">
        <f xml:space="preserve">
IF($A$4&lt;=12,SUMIFS('ON Data'!V:V,'ON Data'!$D:$D,$A$4,'ON Data'!$E:$E,4),SUMIFS('ON Data'!V:V,'ON Data'!$E:$E,4))</f>
        <v>0</v>
      </c>
      <c r="R13" s="232">
        <f xml:space="preserve">
IF($A$4&lt;=12,SUMIFS('ON Data'!W:W,'ON Data'!$D:$D,$A$4,'ON Data'!$E:$E,4),SUMIFS('ON Data'!W:W,'ON Data'!$E:$E,4))</f>
        <v>0</v>
      </c>
      <c r="S13" s="232">
        <f xml:space="preserve">
IF($A$4&lt;=12,SUMIFS('ON Data'!X:X,'ON Data'!$D:$D,$A$4,'ON Data'!$E:$E,4),SUMIFS('ON Data'!X:X,'ON Data'!$E:$E,4))</f>
        <v>0</v>
      </c>
      <c r="T13" s="232">
        <f xml:space="preserve">
IF($A$4&lt;=12,SUMIFS('ON Data'!Y:Y,'ON Data'!$D:$D,$A$4,'ON Data'!$E:$E,4),SUMIFS('ON Data'!Y:Y,'ON Data'!$E:$E,4))</f>
        <v>0</v>
      </c>
      <c r="U13" s="232">
        <f xml:space="preserve">
IF($A$4&lt;=12,SUMIFS('ON Data'!Z:Z,'ON Data'!$D:$D,$A$4,'ON Data'!$E:$E,4),SUMIFS('ON Data'!Z:Z,'ON Data'!$E:$E,4))</f>
        <v>167</v>
      </c>
      <c r="V13" s="232">
        <f xml:space="preserve">
IF($A$4&lt;=12,SUMIFS('ON Data'!AA:AA,'ON Data'!$D:$D,$A$4,'ON Data'!$E:$E,4),SUMIFS('ON Data'!AA:AA,'ON Data'!$E:$E,4))</f>
        <v>0</v>
      </c>
      <c r="W13" s="232">
        <f xml:space="preserve">
IF($A$4&lt;=12,SUMIFS('ON Data'!AB:AB,'ON Data'!$D:$D,$A$4,'ON Data'!$E:$E,4),SUMIFS('ON Data'!AB:AB,'ON Data'!$E:$E,4))</f>
        <v>0</v>
      </c>
      <c r="X13" s="232">
        <f xml:space="preserve">
IF($A$4&lt;=12,SUMIFS('ON Data'!AC:AC,'ON Data'!$D:$D,$A$4,'ON Data'!$E:$E,4),SUMIFS('ON Data'!AC:AC,'ON Data'!$E:$E,4))</f>
        <v>0</v>
      </c>
      <c r="Y13" s="232">
        <f xml:space="preserve">
IF($A$4&lt;=12,SUMIFS('ON Data'!AD:AD,'ON Data'!$D:$D,$A$4,'ON Data'!$E:$E,4),SUMIFS('ON Data'!AD:AD,'ON Data'!$E:$E,4))</f>
        <v>0</v>
      </c>
      <c r="Z13" s="232">
        <f xml:space="preserve">
IF($A$4&lt;=12,SUMIFS('ON Data'!AE:AE,'ON Data'!$D:$D,$A$4,'ON Data'!$E:$E,4),SUMIFS('ON Data'!AE:AE,'ON Data'!$E:$E,4))</f>
        <v>0</v>
      </c>
      <c r="AA13" s="232">
        <f xml:space="preserve">
IF($A$4&lt;=12,SUMIFS('ON Data'!AF:AF,'ON Data'!$D:$D,$A$4,'ON Data'!$E:$E,4),SUMIFS('ON Data'!AF:AF,'ON Data'!$E:$E,4))</f>
        <v>0</v>
      </c>
      <c r="AB13" s="232">
        <f xml:space="preserve">
IF($A$4&lt;=12,SUMIFS('ON Data'!AG:AG,'ON Data'!$D:$D,$A$4,'ON Data'!$E:$E,4),SUMIFS('ON Data'!AG:AG,'ON Data'!$E:$E,4))</f>
        <v>9</v>
      </c>
      <c r="AC13" s="232">
        <f xml:space="preserve">
IF($A$4&lt;=12,SUMIFS('ON Data'!AH:AH,'ON Data'!$D:$D,$A$4,'ON Data'!$E:$E,4),SUMIFS('ON Data'!AH:AH,'ON Data'!$E:$E,4))</f>
        <v>35</v>
      </c>
      <c r="AD13" s="232">
        <f xml:space="preserve">
IF($A$4&lt;=12,SUMIFS('ON Data'!AI:AI,'ON Data'!$D:$D,$A$4,'ON Data'!$E:$E,4),SUMIFS('ON Data'!AI:AI,'ON Data'!$E:$E,4))</f>
        <v>0</v>
      </c>
      <c r="AE13" s="232">
        <f xml:space="preserve">
IF($A$4&lt;=12,SUMIFS('ON Data'!AJ:AJ,'ON Data'!$D:$D,$A$4,'ON Data'!$E:$E,4),SUMIFS('ON Data'!AJ:AJ,'ON Data'!$E:$E,4))</f>
        <v>0</v>
      </c>
      <c r="AF13" s="232">
        <f xml:space="preserve">
IF($A$4&lt;=12,SUMIFS('ON Data'!AK:AK,'ON Data'!$D:$D,$A$4,'ON Data'!$E:$E,4),SUMIFS('ON Data'!AK:AK,'ON Data'!$E:$E,4))</f>
        <v>0</v>
      </c>
      <c r="AG13" s="232">
        <f xml:space="preserve">
IF($A$4&lt;=12,SUMIFS('ON Data'!AM:AM,'ON Data'!$D:$D,$A$4,'ON Data'!$E:$E,4),SUMIFS('ON Data'!AM:AM,'ON Data'!$E:$E,4))</f>
        <v>0</v>
      </c>
      <c r="AH13" s="448">
        <f xml:space="preserve">
IF($A$4&lt;=12,SUMIFS('ON Data'!AN:AN,'ON Data'!$D:$D,$A$4,'ON Data'!$E:$E,4),SUMIFS('ON Data'!AN:AN,'ON Data'!$E:$E,4))</f>
        <v>0</v>
      </c>
      <c r="AI13" s="459"/>
    </row>
    <row r="14" spans="1:35" ht="15" thickBot="1" x14ac:dyDescent="0.35">
      <c r="A14" s="214" t="s">
        <v>155</v>
      </c>
      <c r="B14" s="233">
        <f xml:space="preserve">
IF($A$4&lt;=12,SUMIFS('ON Data'!F:F,'ON Data'!$D:$D,$A$4,'ON Data'!$E:$E,5),SUMIFS('ON Data'!F:F,'ON Data'!$E:$E,5))</f>
        <v>1666</v>
      </c>
      <c r="C14" s="234">
        <f xml:space="preserve">
IF($A$4&lt;=12,SUMIFS('ON Data'!G:G,'ON Data'!$D:$D,$A$4,'ON Data'!$E:$E,5),SUMIFS('ON Data'!G:G,'ON Data'!$E:$E,5))</f>
        <v>1666</v>
      </c>
      <c r="D14" s="235">
        <f xml:space="preserve">
IF($A$4&lt;=12,SUMIFS('ON Data'!H:H,'ON Data'!$D:$D,$A$4,'ON Data'!$E:$E,5),SUMIFS('ON Data'!H:H,'ON Data'!$E:$E,5))</f>
        <v>0</v>
      </c>
      <c r="E14" s="235">
        <f xml:space="preserve">
IF($A$4&lt;=12,SUMIFS('ON Data'!I:I,'ON Data'!$D:$D,$A$4,'ON Data'!$E:$E,5),SUMIFS('ON Data'!I:I,'ON Data'!$E:$E,5))</f>
        <v>0</v>
      </c>
      <c r="F14" s="235">
        <f xml:space="preserve">
IF($A$4&lt;=12,SUMIFS('ON Data'!K:K,'ON Data'!$D:$D,$A$4,'ON Data'!$E:$E,5),SUMIFS('ON Data'!K:K,'ON Data'!$E:$E,5))</f>
        <v>0</v>
      </c>
      <c r="G14" s="235">
        <f xml:space="preserve">
IF($A$4&lt;=12,SUMIFS('ON Data'!L:L,'ON Data'!$D:$D,$A$4,'ON Data'!$E:$E,5),SUMIFS('ON Data'!L:L,'ON Data'!$E:$E,5))</f>
        <v>0</v>
      </c>
      <c r="H14" s="235">
        <f xml:space="preserve">
IF($A$4&lt;=12,SUMIFS('ON Data'!M:M,'ON Data'!$D:$D,$A$4,'ON Data'!$E:$E,5),SUMIFS('ON Data'!M:M,'ON Data'!$E:$E,5))</f>
        <v>0</v>
      </c>
      <c r="I14" s="235">
        <f xml:space="preserve">
IF($A$4&lt;=12,SUMIFS('ON Data'!N:N,'ON Data'!$D:$D,$A$4,'ON Data'!$E:$E,5),SUMIFS('ON Data'!N:N,'ON Data'!$E:$E,5))</f>
        <v>0</v>
      </c>
      <c r="J14" s="235">
        <f xml:space="preserve">
IF($A$4&lt;=12,SUMIFS('ON Data'!O:O,'ON Data'!$D:$D,$A$4,'ON Data'!$E:$E,5),SUMIFS('ON Data'!O:O,'ON Data'!$E:$E,5))</f>
        <v>0</v>
      </c>
      <c r="K14" s="235">
        <f xml:space="preserve">
IF($A$4&lt;=12,SUMIFS('ON Data'!P:P,'ON Data'!$D:$D,$A$4,'ON Data'!$E:$E,5),SUMIFS('ON Data'!P:P,'ON Data'!$E:$E,5))</f>
        <v>0</v>
      </c>
      <c r="L14" s="235">
        <f xml:space="preserve">
IF($A$4&lt;=12,SUMIFS('ON Data'!Q:Q,'ON Data'!$D:$D,$A$4,'ON Data'!$E:$E,5),SUMIFS('ON Data'!Q:Q,'ON Data'!$E:$E,5))</f>
        <v>0</v>
      </c>
      <c r="M14" s="235">
        <f xml:space="preserve">
IF($A$4&lt;=12,SUMIFS('ON Data'!R:R,'ON Data'!$D:$D,$A$4,'ON Data'!$E:$E,5),SUMIFS('ON Data'!R:R,'ON Data'!$E:$E,5))</f>
        <v>0</v>
      </c>
      <c r="N14" s="235">
        <f xml:space="preserve">
IF($A$4&lt;=12,SUMIFS('ON Data'!S:S,'ON Data'!$D:$D,$A$4,'ON Data'!$E:$E,5),SUMIFS('ON Data'!S:S,'ON Data'!$E:$E,5))</f>
        <v>0</v>
      </c>
      <c r="O14" s="235">
        <f xml:space="preserve">
IF($A$4&lt;=12,SUMIFS('ON Data'!T:T,'ON Data'!$D:$D,$A$4,'ON Data'!$E:$E,5),SUMIFS('ON Data'!T:T,'ON Data'!$E:$E,5))</f>
        <v>0</v>
      </c>
      <c r="P14" s="235">
        <f xml:space="preserve">
IF($A$4&lt;=12,SUMIFS('ON Data'!U:U,'ON Data'!$D:$D,$A$4,'ON Data'!$E:$E,5),SUMIFS('ON Data'!U:U,'ON Data'!$E:$E,5))</f>
        <v>0</v>
      </c>
      <c r="Q14" s="235">
        <f xml:space="preserve">
IF($A$4&lt;=12,SUMIFS('ON Data'!V:V,'ON Data'!$D:$D,$A$4,'ON Data'!$E:$E,5),SUMIFS('ON Data'!V:V,'ON Data'!$E:$E,5))</f>
        <v>0</v>
      </c>
      <c r="R14" s="235">
        <f xml:space="preserve">
IF($A$4&lt;=12,SUMIFS('ON Data'!W:W,'ON Data'!$D:$D,$A$4,'ON Data'!$E:$E,5),SUMIFS('ON Data'!W:W,'ON Data'!$E:$E,5))</f>
        <v>0</v>
      </c>
      <c r="S14" s="235">
        <f xml:space="preserve">
IF($A$4&lt;=12,SUMIFS('ON Data'!X:X,'ON Data'!$D:$D,$A$4,'ON Data'!$E:$E,5),SUMIFS('ON Data'!X:X,'ON Data'!$E:$E,5))</f>
        <v>0</v>
      </c>
      <c r="T14" s="235">
        <f xml:space="preserve">
IF($A$4&lt;=12,SUMIFS('ON Data'!Y:Y,'ON Data'!$D:$D,$A$4,'ON Data'!$E:$E,5),SUMIFS('ON Data'!Y:Y,'ON Data'!$E:$E,5))</f>
        <v>0</v>
      </c>
      <c r="U14" s="235">
        <f xml:space="preserve">
IF($A$4&lt;=12,SUMIFS('ON Data'!Z:Z,'ON Data'!$D:$D,$A$4,'ON Data'!$E:$E,5),SUMIFS('ON Data'!Z:Z,'ON Data'!$E:$E,5))</f>
        <v>0</v>
      </c>
      <c r="V14" s="235">
        <f xml:space="preserve">
IF($A$4&lt;=12,SUMIFS('ON Data'!AA:AA,'ON Data'!$D:$D,$A$4,'ON Data'!$E:$E,5),SUMIFS('ON Data'!AA:AA,'ON Data'!$E:$E,5))</f>
        <v>0</v>
      </c>
      <c r="W14" s="235">
        <f xml:space="preserve">
IF($A$4&lt;=12,SUMIFS('ON Data'!AB:AB,'ON Data'!$D:$D,$A$4,'ON Data'!$E:$E,5),SUMIFS('ON Data'!AB:AB,'ON Data'!$E:$E,5))</f>
        <v>0</v>
      </c>
      <c r="X14" s="235">
        <f xml:space="preserve">
IF($A$4&lt;=12,SUMIFS('ON Data'!AC:AC,'ON Data'!$D:$D,$A$4,'ON Data'!$E:$E,5),SUMIFS('ON Data'!AC:AC,'ON Data'!$E:$E,5))</f>
        <v>0</v>
      </c>
      <c r="Y14" s="235">
        <f xml:space="preserve">
IF($A$4&lt;=12,SUMIFS('ON Data'!AD:AD,'ON Data'!$D:$D,$A$4,'ON Data'!$E:$E,5),SUMIFS('ON Data'!AD:AD,'ON Data'!$E:$E,5))</f>
        <v>0</v>
      </c>
      <c r="Z14" s="235">
        <f xml:space="preserve">
IF($A$4&lt;=12,SUMIFS('ON Data'!AE:AE,'ON Data'!$D:$D,$A$4,'ON Data'!$E:$E,5),SUMIFS('ON Data'!AE:AE,'ON Data'!$E:$E,5))</f>
        <v>0</v>
      </c>
      <c r="AA14" s="235">
        <f xml:space="preserve">
IF($A$4&lt;=12,SUMIFS('ON Data'!AF:AF,'ON Data'!$D:$D,$A$4,'ON Data'!$E:$E,5),SUMIFS('ON Data'!AF:AF,'ON Data'!$E:$E,5))</f>
        <v>0</v>
      </c>
      <c r="AB14" s="235">
        <f xml:space="preserve">
IF($A$4&lt;=12,SUMIFS('ON Data'!AG:AG,'ON Data'!$D:$D,$A$4,'ON Data'!$E:$E,5),SUMIFS('ON Data'!AG:AG,'ON Data'!$E:$E,5))</f>
        <v>0</v>
      </c>
      <c r="AC14" s="235">
        <f xml:space="preserve">
IF($A$4&lt;=12,SUMIFS('ON Data'!AH:AH,'ON Data'!$D:$D,$A$4,'ON Data'!$E:$E,5),SUMIFS('ON Data'!AH:AH,'ON Data'!$E:$E,5))</f>
        <v>0</v>
      </c>
      <c r="AD14" s="235">
        <f xml:space="preserve">
IF($A$4&lt;=12,SUMIFS('ON Data'!AI:AI,'ON Data'!$D:$D,$A$4,'ON Data'!$E:$E,5),SUMIFS('ON Data'!AI:AI,'ON Data'!$E:$E,5))</f>
        <v>0</v>
      </c>
      <c r="AE14" s="235">
        <f xml:space="preserve">
IF($A$4&lt;=12,SUMIFS('ON Data'!AJ:AJ,'ON Data'!$D:$D,$A$4,'ON Data'!$E:$E,5),SUMIFS('ON Data'!AJ:AJ,'ON Data'!$E:$E,5))</f>
        <v>0</v>
      </c>
      <c r="AF14" s="235">
        <f xml:space="preserve">
IF($A$4&lt;=12,SUMIFS('ON Data'!AK:AK,'ON Data'!$D:$D,$A$4,'ON Data'!$E:$E,5),SUMIFS('ON Data'!AK:AK,'ON Data'!$E:$E,5))</f>
        <v>0</v>
      </c>
      <c r="AG14" s="235">
        <f xml:space="preserve">
IF($A$4&lt;=12,SUMIFS('ON Data'!AM:AM,'ON Data'!$D:$D,$A$4,'ON Data'!$E:$E,5),SUMIFS('ON Data'!AM:AM,'ON Data'!$E:$E,5))</f>
        <v>0</v>
      </c>
      <c r="AH14" s="449">
        <f xml:space="preserve">
IF($A$4&lt;=12,SUMIFS('ON Data'!AN:AN,'ON Data'!$D:$D,$A$4,'ON Data'!$E:$E,5),SUMIFS('ON Data'!AN:AN,'ON Data'!$E:$E,5))</f>
        <v>0</v>
      </c>
      <c r="AI14" s="459"/>
    </row>
    <row r="15" spans="1:35" x14ac:dyDescent="0.3">
      <c r="A15" s="136" t="s">
        <v>165</v>
      </c>
      <c r="B15" s="236"/>
      <c r="C15" s="237"/>
      <c r="D15" s="238"/>
      <c r="E15" s="238"/>
      <c r="F15" s="238"/>
      <c r="G15" s="238"/>
      <c r="H15" s="238"/>
      <c r="I15" s="238"/>
      <c r="J15" s="238"/>
      <c r="K15" s="238"/>
      <c r="L15" s="238"/>
      <c r="M15" s="238"/>
      <c r="N15" s="238"/>
      <c r="O15" s="238"/>
      <c r="P15" s="238"/>
      <c r="Q15" s="238"/>
      <c r="R15" s="238"/>
      <c r="S15" s="238"/>
      <c r="T15" s="238"/>
      <c r="U15" s="238"/>
      <c r="V15" s="238"/>
      <c r="W15" s="238"/>
      <c r="X15" s="238"/>
      <c r="Y15" s="238"/>
      <c r="Z15" s="238"/>
      <c r="AA15" s="238"/>
      <c r="AB15" s="238"/>
      <c r="AC15" s="238"/>
      <c r="AD15" s="238"/>
      <c r="AE15" s="238"/>
      <c r="AF15" s="238"/>
      <c r="AG15" s="238"/>
      <c r="AH15" s="450"/>
      <c r="AI15" s="459"/>
    </row>
    <row r="16" spans="1:35" x14ac:dyDescent="0.3">
      <c r="A16" s="215" t="s">
        <v>156</v>
      </c>
      <c r="B16" s="230">
        <f xml:space="preserve">
IF($A$4&lt;=12,SUMIFS('ON Data'!F:F,'ON Data'!$D:$D,$A$4,'ON Data'!$E:$E,7),SUMIFS('ON Data'!F:F,'ON Data'!$E:$E,7))</f>
        <v>0</v>
      </c>
      <c r="C16" s="231">
        <f xml:space="preserve">
IF($A$4&lt;=12,SUMIFS('ON Data'!G:G,'ON Data'!$D:$D,$A$4,'ON Data'!$E:$E,7),SUMIFS('ON Data'!G:G,'ON Data'!$E:$E,7))</f>
        <v>0</v>
      </c>
      <c r="D16" s="232">
        <f xml:space="preserve">
IF($A$4&lt;=12,SUMIFS('ON Data'!H:H,'ON Data'!$D:$D,$A$4,'ON Data'!$E:$E,7),SUMIFS('ON Data'!H:H,'ON Data'!$E:$E,7))</f>
        <v>0</v>
      </c>
      <c r="E16" s="232">
        <f xml:space="preserve">
IF($A$4&lt;=12,SUMIFS('ON Data'!I:I,'ON Data'!$D:$D,$A$4,'ON Data'!$E:$E,7),SUMIFS('ON Data'!I:I,'ON Data'!$E:$E,7))</f>
        <v>0</v>
      </c>
      <c r="F16" s="232">
        <f xml:space="preserve">
IF($A$4&lt;=12,SUMIFS('ON Data'!K:K,'ON Data'!$D:$D,$A$4,'ON Data'!$E:$E,7),SUMIFS('ON Data'!K:K,'ON Data'!$E:$E,7))</f>
        <v>0</v>
      </c>
      <c r="G16" s="232">
        <f xml:space="preserve">
IF($A$4&lt;=12,SUMIFS('ON Data'!L:L,'ON Data'!$D:$D,$A$4,'ON Data'!$E:$E,7),SUMIFS('ON Data'!L:L,'ON Data'!$E:$E,7))</f>
        <v>0</v>
      </c>
      <c r="H16" s="232">
        <f xml:space="preserve">
IF($A$4&lt;=12,SUMIFS('ON Data'!M:M,'ON Data'!$D:$D,$A$4,'ON Data'!$E:$E,7),SUMIFS('ON Data'!M:M,'ON Data'!$E:$E,7))</f>
        <v>0</v>
      </c>
      <c r="I16" s="232">
        <f xml:space="preserve">
IF($A$4&lt;=12,SUMIFS('ON Data'!N:N,'ON Data'!$D:$D,$A$4,'ON Data'!$E:$E,7),SUMIFS('ON Data'!N:N,'ON Data'!$E:$E,7))</f>
        <v>0</v>
      </c>
      <c r="J16" s="232">
        <f xml:space="preserve">
IF($A$4&lt;=12,SUMIFS('ON Data'!O:O,'ON Data'!$D:$D,$A$4,'ON Data'!$E:$E,7),SUMIFS('ON Data'!O:O,'ON Data'!$E:$E,7))</f>
        <v>0</v>
      </c>
      <c r="K16" s="232">
        <f xml:space="preserve">
IF($A$4&lt;=12,SUMIFS('ON Data'!P:P,'ON Data'!$D:$D,$A$4,'ON Data'!$E:$E,7),SUMIFS('ON Data'!P:P,'ON Data'!$E:$E,7))</f>
        <v>0</v>
      </c>
      <c r="L16" s="232">
        <f xml:space="preserve">
IF($A$4&lt;=12,SUMIFS('ON Data'!Q:Q,'ON Data'!$D:$D,$A$4,'ON Data'!$E:$E,7),SUMIFS('ON Data'!Q:Q,'ON Data'!$E:$E,7))</f>
        <v>0</v>
      </c>
      <c r="M16" s="232">
        <f xml:space="preserve">
IF($A$4&lt;=12,SUMIFS('ON Data'!R:R,'ON Data'!$D:$D,$A$4,'ON Data'!$E:$E,7),SUMIFS('ON Data'!R:R,'ON Data'!$E:$E,7))</f>
        <v>0</v>
      </c>
      <c r="N16" s="232">
        <f xml:space="preserve">
IF($A$4&lt;=12,SUMIFS('ON Data'!S:S,'ON Data'!$D:$D,$A$4,'ON Data'!$E:$E,7),SUMIFS('ON Data'!S:S,'ON Data'!$E:$E,7))</f>
        <v>0</v>
      </c>
      <c r="O16" s="232">
        <f xml:space="preserve">
IF($A$4&lt;=12,SUMIFS('ON Data'!T:T,'ON Data'!$D:$D,$A$4,'ON Data'!$E:$E,7),SUMIFS('ON Data'!T:T,'ON Data'!$E:$E,7))</f>
        <v>0</v>
      </c>
      <c r="P16" s="232">
        <f xml:space="preserve">
IF($A$4&lt;=12,SUMIFS('ON Data'!U:U,'ON Data'!$D:$D,$A$4,'ON Data'!$E:$E,7),SUMIFS('ON Data'!U:U,'ON Data'!$E:$E,7))</f>
        <v>0</v>
      </c>
      <c r="Q16" s="232">
        <f xml:space="preserve">
IF($A$4&lt;=12,SUMIFS('ON Data'!V:V,'ON Data'!$D:$D,$A$4,'ON Data'!$E:$E,7),SUMIFS('ON Data'!V:V,'ON Data'!$E:$E,7))</f>
        <v>0</v>
      </c>
      <c r="R16" s="232">
        <f xml:space="preserve">
IF($A$4&lt;=12,SUMIFS('ON Data'!W:W,'ON Data'!$D:$D,$A$4,'ON Data'!$E:$E,7),SUMIFS('ON Data'!W:W,'ON Data'!$E:$E,7))</f>
        <v>0</v>
      </c>
      <c r="S16" s="232">
        <f xml:space="preserve">
IF($A$4&lt;=12,SUMIFS('ON Data'!X:X,'ON Data'!$D:$D,$A$4,'ON Data'!$E:$E,7),SUMIFS('ON Data'!X:X,'ON Data'!$E:$E,7))</f>
        <v>0</v>
      </c>
      <c r="T16" s="232">
        <f xml:space="preserve">
IF($A$4&lt;=12,SUMIFS('ON Data'!Y:Y,'ON Data'!$D:$D,$A$4,'ON Data'!$E:$E,7),SUMIFS('ON Data'!Y:Y,'ON Data'!$E:$E,7))</f>
        <v>0</v>
      </c>
      <c r="U16" s="232">
        <f xml:space="preserve">
IF($A$4&lt;=12,SUMIFS('ON Data'!Z:Z,'ON Data'!$D:$D,$A$4,'ON Data'!$E:$E,7),SUMIFS('ON Data'!Z:Z,'ON Data'!$E:$E,7))</f>
        <v>0</v>
      </c>
      <c r="V16" s="232">
        <f xml:space="preserve">
IF($A$4&lt;=12,SUMIFS('ON Data'!AA:AA,'ON Data'!$D:$D,$A$4,'ON Data'!$E:$E,7),SUMIFS('ON Data'!AA:AA,'ON Data'!$E:$E,7))</f>
        <v>0</v>
      </c>
      <c r="W16" s="232">
        <f xml:space="preserve">
IF($A$4&lt;=12,SUMIFS('ON Data'!AB:AB,'ON Data'!$D:$D,$A$4,'ON Data'!$E:$E,7),SUMIFS('ON Data'!AB:AB,'ON Data'!$E:$E,7))</f>
        <v>0</v>
      </c>
      <c r="X16" s="232">
        <f xml:space="preserve">
IF($A$4&lt;=12,SUMIFS('ON Data'!AC:AC,'ON Data'!$D:$D,$A$4,'ON Data'!$E:$E,7),SUMIFS('ON Data'!AC:AC,'ON Data'!$E:$E,7))</f>
        <v>0</v>
      </c>
      <c r="Y16" s="232">
        <f xml:space="preserve">
IF($A$4&lt;=12,SUMIFS('ON Data'!AD:AD,'ON Data'!$D:$D,$A$4,'ON Data'!$E:$E,7),SUMIFS('ON Data'!AD:AD,'ON Data'!$E:$E,7))</f>
        <v>0</v>
      </c>
      <c r="Z16" s="232">
        <f xml:space="preserve">
IF($A$4&lt;=12,SUMIFS('ON Data'!AE:AE,'ON Data'!$D:$D,$A$4,'ON Data'!$E:$E,7),SUMIFS('ON Data'!AE:AE,'ON Data'!$E:$E,7))</f>
        <v>0</v>
      </c>
      <c r="AA16" s="232">
        <f xml:space="preserve">
IF($A$4&lt;=12,SUMIFS('ON Data'!AF:AF,'ON Data'!$D:$D,$A$4,'ON Data'!$E:$E,7),SUMIFS('ON Data'!AF:AF,'ON Data'!$E:$E,7))</f>
        <v>0</v>
      </c>
      <c r="AB16" s="232">
        <f xml:space="preserve">
IF($A$4&lt;=12,SUMIFS('ON Data'!AG:AG,'ON Data'!$D:$D,$A$4,'ON Data'!$E:$E,7),SUMIFS('ON Data'!AG:AG,'ON Data'!$E:$E,7))</f>
        <v>0</v>
      </c>
      <c r="AC16" s="232">
        <f xml:space="preserve">
IF($A$4&lt;=12,SUMIFS('ON Data'!AH:AH,'ON Data'!$D:$D,$A$4,'ON Data'!$E:$E,7),SUMIFS('ON Data'!AH:AH,'ON Data'!$E:$E,7))</f>
        <v>0</v>
      </c>
      <c r="AD16" s="232">
        <f xml:space="preserve">
IF($A$4&lt;=12,SUMIFS('ON Data'!AI:AI,'ON Data'!$D:$D,$A$4,'ON Data'!$E:$E,7),SUMIFS('ON Data'!AI:AI,'ON Data'!$E:$E,7))</f>
        <v>0</v>
      </c>
      <c r="AE16" s="232">
        <f xml:space="preserve">
IF($A$4&lt;=12,SUMIFS('ON Data'!AJ:AJ,'ON Data'!$D:$D,$A$4,'ON Data'!$E:$E,7),SUMIFS('ON Data'!AJ:AJ,'ON Data'!$E:$E,7))</f>
        <v>0</v>
      </c>
      <c r="AF16" s="232">
        <f xml:space="preserve">
IF($A$4&lt;=12,SUMIFS('ON Data'!AK:AK,'ON Data'!$D:$D,$A$4,'ON Data'!$E:$E,7),SUMIFS('ON Data'!AK:AK,'ON Data'!$E:$E,7))</f>
        <v>0</v>
      </c>
      <c r="AG16" s="232">
        <f xml:space="preserve">
IF($A$4&lt;=12,SUMIFS('ON Data'!AM:AM,'ON Data'!$D:$D,$A$4,'ON Data'!$E:$E,7),SUMIFS('ON Data'!AM:AM,'ON Data'!$E:$E,7))</f>
        <v>0</v>
      </c>
      <c r="AH16" s="448">
        <f xml:space="preserve">
IF($A$4&lt;=12,SUMIFS('ON Data'!AN:AN,'ON Data'!$D:$D,$A$4,'ON Data'!$E:$E,7),SUMIFS('ON Data'!AN:AN,'ON Data'!$E:$E,7))</f>
        <v>0</v>
      </c>
      <c r="AI16" s="459"/>
    </row>
    <row r="17" spans="1:35" x14ac:dyDescent="0.3">
      <c r="A17" s="215" t="s">
        <v>157</v>
      </c>
      <c r="B17" s="230">
        <f xml:space="preserve">
IF($A$4&lt;=12,SUMIFS('ON Data'!F:F,'ON Data'!$D:$D,$A$4,'ON Data'!$E:$E,8),SUMIFS('ON Data'!F:F,'ON Data'!$E:$E,8))</f>
        <v>0</v>
      </c>
      <c r="C17" s="231">
        <f xml:space="preserve">
IF($A$4&lt;=12,SUMIFS('ON Data'!G:G,'ON Data'!$D:$D,$A$4,'ON Data'!$E:$E,8),SUMIFS('ON Data'!G:G,'ON Data'!$E:$E,8))</f>
        <v>0</v>
      </c>
      <c r="D17" s="232">
        <f xml:space="preserve">
IF($A$4&lt;=12,SUMIFS('ON Data'!H:H,'ON Data'!$D:$D,$A$4,'ON Data'!$E:$E,8),SUMIFS('ON Data'!H:H,'ON Data'!$E:$E,8))</f>
        <v>0</v>
      </c>
      <c r="E17" s="232">
        <f xml:space="preserve">
IF($A$4&lt;=12,SUMIFS('ON Data'!I:I,'ON Data'!$D:$D,$A$4,'ON Data'!$E:$E,8),SUMIFS('ON Data'!I:I,'ON Data'!$E:$E,8))</f>
        <v>0</v>
      </c>
      <c r="F17" s="232">
        <f xml:space="preserve">
IF($A$4&lt;=12,SUMIFS('ON Data'!K:K,'ON Data'!$D:$D,$A$4,'ON Data'!$E:$E,8),SUMIFS('ON Data'!K:K,'ON Data'!$E:$E,8))</f>
        <v>0</v>
      </c>
      <c r="G17" s="232">
        <f xml:space="preserve">
IF($A$4&lt;=12,SUMIFS('ON Data'!L:L,'ON Data'!$D:$D,$A$4,'ON Data'!$E:$E,8),SUMIFS('ON Data'!L:L,'ON Data'!$E:$E,8))</f>
        <v>0</v>
      </c>
      <c r="H17" s="232">
        <f xml:space="preserve">
IF($A$4&lt;=12,SUMIFS('ON Data'!M:M,'ON Data'!$D:$D,$A$4,'ON Data'!$E:$E,8),SUMIFS('ON Data'!M:M,'ON Data'!$E:$E,8))</f>
        <v>0</v>
      </c>
      <c r="I17" s="232">
        <f xml:space="preserve">
IF($A$4&lt;=12,SUMIFS('ON Data'!N:N,'ON Data'!$D:$D,$A$4,'ON Data'!$E:$E,8),SUMIFS('ON Data'!N:N,'ON Data'!$E:$E,8))</f>
        <v>0</v>
      </c>
      <c r="J17" s="232">
        <f xml:space="preserve">
IF($A$4&lt;=12,SUMIFS('ON Data'!O:O,'ON Data'!$D:$D,$A$4,'ON Data'!$E:$E,8),SUMIFS('ON Data'!O:O,'ON Data'!$E:$E,8))</f>
        <v>0</v>
      </c>
      <c r="K17" s="232">
        <f xml:space="preserve">
IF($A$4&lt;=12,SUMIFS('ON Data'!P:P,'ON Data'!$D:$D,$A$4,'ON Data'!$E:$E,8),SUMIFS('ON Data'!P:P,'ON Data'!$E:$E,8))</f>
        <v>0</v>
      </c>
      <c r="L17" s="232">
        <f xml:space="preserve">
IF($A$4&lt;=12,SUMIFS('ON Data'!Q:Q,'ON Data'!$D:$D,$A$4,'ON Data'!$E:$E,8),SUMIFS('ON Data'!Q:Q,'ON Data'!$E:$E,8))</f>
        <v>0</v>
      </c>
      <c r="M17" s="232">
        <f xml:space="preserve">
IF($A$4&lt;=12,SUMIFS('ON Data'!R:R,'ON Data'!$D:$D,$A$4,'ON Data'!$E:$E,8),SUMIFS('ON Data'!R:R,'ON Data'!$E:$E,8))</f>
        <v>0</v>
      </c>
      <c r="N17" s="232">
        <f xml:space="preserve">
IF($A$4&lt;=12,SUMIFS('ON Data'!S:S,'ON Data'!$D:$D,$A$4,'ON Data'!$E:$E,8),SUMIFS('ON Data'!S:S,'ON Data'!$E:$E,8))</f>
        <v>0</v>
      </c>
      <c r="O17" s="232">
        <f xml:space="preserve">
IF($A$4&lt;=12,SUMIFS('ON Data'!T:T,'ON Data'!$D:$D,$A$4,'ON Data'!$E:$E,8),SUMIFS('ON Data'!T:T,'ON Data'!$E:$E,8))</f>
        <v>0</v>
      </c>
      <c r="P17" s="232">
        <f xml:space="preserve">
IF($A$4&lt;=12,SUMIFS('ON Data'!U:U,'ON Data'!$D:$D,$A$4,'ON Data'!$E:$E,8),SUMIFS('ON Data'!U:U,'ON Data'!$E:$E,8))</f>
        <v>0</v>
      </c>
      <c r="Q17" s="232">
        <f xml:space="preserve">
IF($A$4&lt;=12,SUMIFS('ON Data'!V:V,'ON Data'!$D:$D,$A$4,'ON Data'!$E:$E,8),SUMIFS('ON Data'!V:V,'ON Data'!$E:$E,8))</f>
        <v>0</v>
      </c>
      <c r="R17" s="232">
        <f xml:space="preserve">
IF($A$4&lt;=12,SUMIFS('ON Data'!W:W,'ON Data'!$D:$D,$A$4,'ON Data'!$E:$E,8),SUMIFS('ON Data'!W:W,'ON Data'!$E:$E,8))</f>
        <v>0</v>
      </c>
      <c r="S17" s="232">
        <f xml:space="preserve">
IF($A$4&lt;=12,SUMIFS('ON Data'!X:X,'ON Data'!$D:$D,$A$4,'ON Data'!$E:$E,8),SUMIFS('ON Data'!X:X,'ON Data'!$E:$E,8))</f>
        <v>0</v>
      </c>
      <c r="T17" s="232">
        <f xml:space="preserve">
IF($A$4&lt;=12,SUMIFS('ON Data'!Y:Y,'ON Data'!$D:$D,$A$4,'ON Data'!$E:$E,8),SUMIFS('ON Data'!Y:Y,'ON Data'!$E:$E,8))</f>
        <v>0</v>
      </c>
      <c r="U17" s="232">
        <f xml:space="preserve">
IF($A$4&lt;=12,SUMIFS('ON Data'!Z:Z,'ON Data'!$D:$D,$A$4,'ON Data'!$E:$E,8),SUMIFS('ON Data'!Z:Z,'ON Data'!$E:$E,8))</f>
        <v>0</v>
      </c>
      <c r="V17" s="232">
        <f xml:space="preserve">
IF($A$4&lt;=12,SUMIFS('ON Data'!AA:AA,'ON Data'!$D:$D,$A$4,'ON Data'!$E:$E,8),SUMIFS('ON Data'!AA:AA,'ON Data'!$E:$E,8))</f>
        <v>0</v>
      </c>
      <c r="W17" s="232">
        <f xml:space="preserve">
IF($A$4&lt;=12,SUMIFS('ON Data'!AB:AB,'ON Data'!$D:$D,$A$4,'ON Data'!$E:$E,8),SUMIFS('ON Data'!AB:AB,'ON Data'!$E:$E,8))</f>
        <v>0</v>
      </c>
      <c r="X17" s="232">
        <f xml:space="preserve">
IF($A$4&lt;=12,SUMIFS('ON Data'!AC:AC,'ON Data'!$D:$D,$A$4,'ON Data'!$E:$E,8),SUMIFS('ON Data'!AC:AC,'ON Data'!$E:$E,8))</f>
        <v>0</v>
      </c>
      <c r="Y17" s="232">
        <f xml:space="preserve">
IF($A$4&lt;=12,SUMIFS('ON Data'!AD:AD,'ON Data'!$D:$D,$A$4,'ON Data'!$E:$E,8),SUMIFS('ON Data'!AD:AD,'ON Data'!$E:$E,8))</f>
        <v>0</v>
      </c>
      <c r="Z17" s="232">
        <f xml:space="preserve">
IF($A$4&lt;=12,SUMIFS('ON Data'!AE:AE,'ON Data'!$D:$D,$A$4,'ON Data'!$E:$E,8),SUMIFS('ON Data'!AE:AE,'ON Data'!$E:$E,8))</f>
        <v>0</v>
      </c>
      <c r="AA17" s="232">
        <f xml:space="preserve">
IF($A$4&lt;=12,SUMIFS('ON Data'!AF:AF,'ON Data'!$D:$D,$A$4,'ON Data'!$E:$E,8),SUMIFS('ON Data'!AF:AF,'ON Data'!$E:$E,8))</f>
        <v>0</v>
      </c>
      <c r="AB17" s="232">
        <f xml:space="preserve">
IF($A$4&lt;=12,SUMIFS('ON Data'!AG:AG,'ON Data'!$D:$D,$A$4,'ON Data'!$E:$E,8),SUMIFS('ON Data'!AG:AG,'ON Data'!$E:$E,8))</f>
        <v>0</v>
      </c>
      <c r="AC17" s="232">
        <f xml:space="preserve">
IF($A$4&lt;=12,SUMIFS('ON Data'!AH:AH,'ON Data'!$D:$D,$A$4,'ON Data'!$E:$E,8),SUMIFS('ON Data'!AH:AH,'ON Data'!$E:$E,8))</f>
        <v>0</v>
      </c>
      <c r="AD17" s="232">
        <f xml:space="preserve">
IF($A$4&lt;=12,SUMIFS('ON Data'!AI:AI,'ON Data'!$D:$D,$A$4,'ON Data'!$E:$E,8),SUMIFS('ON Data'!AI:AI,'ON Data'!$E:$E,8))</f>
        <v>0</v>
      </c>
      <c r="AE17" s="232">
        <f xml:space="preserve">
IF($A$4&lt;=12,SUMIFS('ON Data'!AJ:AJ,'ON Data'!$D:$D,$A$4,'ON Data'!$E:$E,8),SUMIFS('ON Data'!AJ:AJ,'ON Data'!$E:$E,8))</f>
        <v>0</v>
      </c>
      <c r="AF17" s="232">
        <f xml:space="preserve">
IF($A$4&lt;=12,SUMIFS('ON Data'!AK:AK,'ON Data'!$D:$D,$A$4,'ON Data'!$E:$E,8),SUMIFS('ON Data'!AK:AK,'ON Data'!$E:$E,8))</f>
        <v>0</v>
      </c>
      <c r="AG17" s="232">
        <f xml:space="preserve">
IF($A$4&lt;=12,SUMIFS('ON Data'!AM:AM,'ON Data'!$D:$D,$A$4,'ON Data'!$E:$E,8),SUMIFS('ON Data'!AM:AM,'ON Data'!$E:$E,8))</f>
        <v>0</v>
      </c>
      <c r="AH17" s="448">
        <f xml:space="preserve">
IF($A$4&lt;=12,SUMIFS('ON Data'!AN:AN,'ON Data'!$D:$D,$A$4,'ON Data'!$E:$E,8),SUMIFS('ON Data'!AN:AN,'ON Data'!$E:$E,8))</f>
        <v>0</v>
      </c>
      <c r="AI17" s="459"/>
    </row>
    <row r="18" spans="1:35" x14ac:dyDescent="0.3">
      <c r="A18" s="215" t="s">
        <v>158</v>
      </c>
      <c r="B18" s="230">
        <f xml:space="preserve">
B19-B16-B17</f>
        <v>31219</v>
      </c>
      <c r="C18" s="231">
        <f t="shared" ref="C18" si="0" xml:space="preserve">
C19-C16-C17</f>
        <v>0</v>
      </c>
      <c r="D18" s="232">
        <f t="shared" ref="D18:AH18" si="1" xml:space="preserve">
D19-D16-D17</f>
        <v>0</v>
      </c>
      <c r="E18" s="232">
        <f t="shared" si="1"/>
        <v>0</v>
      </c>
      <c r="F18" s="232">
        <f t="shared" si="1"/>
        <v>0</v>
      </c>
      <c r="G18" s="232">
        <f t="shared" si="1"/>
        <v>0</v>
      </c>
      <c r="H18" s="232">
        <f t="shared" si="1"/>
        <v>0</v>
      </c>
      <c r="I18" s="232">
        <f t="shared" si="1"/>
        <v>0</v>
      </c>
      <c r="J18" s="232">
        <f t="shared" si="1"/>
        <v>0</v>
      </c>
      <c r="K18" s="232">
        <f t="shared" si="1"/>
        <v>0</v>
      </c>
      <c r="L18" s="232">
        <f t="shared" si="1"/>
        <v>0</v>
      </c>
      <c r="M18" s="232">
        <f t="shared" si="1"/>
        <v>0</v>
      </c>
      <c r="N18" s="232">
        <f t="shared" si="1"/>
        <v>0</v>
      </c>
      <c r="O18" s="232">
        <f t="shared" si="1"/>
        <v>0</v>
      </c>
      <c r="P18" s="232">
        <f t="shared" si="1"/>
        <v>0</v>
      </c>
      <c r="Q18" s="232">
        <f t="shared" si="1"/>
        <v>0</v>
      </c>
      <c r="R18" s="232">
        <f t="shared" si="1"/>
        <v>0</v>
      </c>
      <c r="S18" s="232">
        <f t="shared" si="1"/>
        <v>0</v>
      </c>
      <c r="T18" s="232">
        <f t="shared" si="1"/>
        <v>0</v>
      </c>
      <c r="U18" s="232">
        <f t="shared" si="1"/>
        <v>13808</v>
      </c>
      <c r="V18" s="232">
        <f t="shared" si="1"/>
        <v>0</v>
      </c>
      <c r="W18" s="232">
        <f t="shared" si="1"/>
        <v>0</v>
      </c>
      <c r="X18" s="232">
        <f t="shared" si="1"/>
        <v>0</v>
      </c>
      <c r="Y18" s="232">
        <f t="shared" si="1"/>
        <v>0</v>
      </c>
      <c r="Z18" s="232">
        <f t="shared" si="1"/>
        <v>0</v>
      </c>
      <c r="AA18" s="232">
        <f t="shared" si="1"/>
        <v>0</v>
      </c>
      <c r="AB18" s="232">
        <f t="shared" si="1"/>
        <v>2583</v>
      </c>
      <c r="AC18" s="232">
        <f t="shared" si="1"/>
        <v>14828</v>
      </c>
      <c r="AD18" s="232">
        <f t="shared" si="1"/>
        <v>0</v>
      </c>
      <c r="AE18" s="232">
        <f t="shared" si="1"/>
        <v>0</v>
      </c>
      <c r="AF18" s="232">
        <f t="shared" si="1"/>
        <v>0</v>
      </c>
      <c r="AG18" s="232">
        <f t="shared" si="1"/>
        <v>0</v>
      </c>
      <c r="AH18" s="448">
        <f t="shared" si="1"/>
        <v>0</v>
      </c>
      <c r="AI18" s="459"/>
    </row>
    <row r="19" spans="1:35" ht="15" thickBot="1" x14ac:dyDescent="0.35">
      <c r="A19" s="216" t="s">
        <v>159</v>
      </c>
      <c r="B19" s="239">
        <f xml:space="preserve">
IF($A$4&lt;=12,SUMIFS('ON Data'!F:F,'ON Data'!$D:$D,$A$4,'ON Data'!$E:$E,9),SUMIFS('ON Data'!F:F,'ON Data'!$E:$E,9))</f>
        <v>31219</v>
      </c>
      <c r="C19" s="240">
        <f xml:space="preserve">
IF($A$4&lt;=12,SUMIFS('ON Data'!G:G,'ON Data'!$D:$D,$A$4,'ON Data'!$E:$E,9),SUMIFS('ON Data'!G:G,'ON Data'!$E:$E,9))</f>
        <v>0</v>
      </c>
      <c r="D19" s="241">
        <f xml:space="preserve">
IF($A$4&lt;=12,SUMIFS('ON Data'!H:H,'ON Data'!$D:$D,$A$4,'ON Data'!$E:$E,9),SUMIFS('ON Data'!H:H,'ON Data'!$E:$E,9))</f>
        <v>0</v>
      </c>
      <c r="E19" s="241">
        <f xml:space="preserve">
IF($A$4&lt;=12,SUMIFS('ON Data'!I:I,'ON Data'!$D:$D,$A$4,'ON Data'!$E:$E,9),SUMIFS('ON Data'!I:I,'ON Data'!$E:$E,9))</f>
        <v>0</v>
      </c>
      <c r="F19" s="241">
        <f xml:space="preserve">
IF($A$4&lt;=12,SUMIFS('ON Data'!K:K,'ON Data'!$D:$D,$A$4,'ON Data'!$E:$E,9),SUMIFS('ON Data'!K:K,'ON Data'!$E:$E,9))</f>
        <v>0</v>
      </c>
      <c r="G19" s="241">
        <f xml:space="preserve">
IF($A$4&lt;=12,SUMIFS('ON Data'!L:L,'ON Data'!$D:$D,$A$4,'ON Data'!$E:$E,9),SUMIFS('ON Data'!L:L,'ON Data'!$E:$E,9))</f>
        <v>0</v>
      </c>
      <c r="H19" s="241">
        <f xml:space="preserve">
IF($A$4&lt;=12,SUMIFS('ON Data'!M:M,'ON Data'!$D:$D,$A$4,'ON Data'!$E:$E,9),SUMIFS('ON Data'!M:M,'ON Data'!$E:$E,9))</f>
        <v>0</v>
      </c>
      <c r="I19" s="241">
        <f xml:space="preserve">
IF($A$4&lt;=12,SUMIFS('ON Data'!N:N,'ON Data'!$D:$D,$A$4,'ON Data'!$E:$E,9),SUMIFS('ON Data'!N:N,'ON Data'!$E:$E,9))</f>
        <v>0</v>
      </c>
      <c r="J19" s="241">
        <f xml:space="preserve">
IF($A$4&lt;=12,SUMIFS('ON Data'!O:O,'ON Data'!$D:$D,$A$4,'ON Data'!$E:$E,9),SUMIFS('ON Data'!O:O,'ON Data'!$E:$E,9))</f>
        <v>0</v>
      </c>
      <c r="K19" s="241">
        <f xml:space="preserve">
IF($A$4&lt;=12,SUMIFS('ON Data'!P:P,'ON Data'!$D:$D,$A$4,'ON Data'!$E:$E,9),SUMIFS('ON Data'!P:P,'ON Data'!$E:$E,9))</f>
        <v>0</v>
      </c>
      <c r="L19" s="241">
        <f xml:space="preserve">
IF($A$4&lt;=12,SUMIFS('ON Data'!Q:Q,'ON Data'!$D:$D,$A$4,'ON Data'!$E:$E,9),SUMIFS('ON Data'!Q:Q,'ON Data'!$E:$E,9))</f>
        <v>0</v>
      </c>
      <c r="M19" s="241">
        <f xml:space="preserve">
IF($A$4&lt;=12,SUMIFS('ON Data'!R:R,'ON Data'!$D:$D,$A$4,'ON Data'!$E:$E,9),SUMIFS('ON Data'!R:R,'ON Data'!$E:$E,9))</f>
        <v>0</v>
      </c>
      <c r="N19" s="241">
        <f xml:space="preserve">
IF($A$4&lt;=12,SUMIFS('ON Data'!S:S,'ON Data'!$D:$D,$A$4,'ON Data'!$E:$E,9),SUMIFS('ON Data'!S:S,'ON Data'!$E:$E,9))</f>
        <v>0</v>
      </c>
      <c r="O19" s="241">
        <f xml:space="preserve">
IF($A$4&lt;=12,SUMIFS('ON Data'!T:T,'ON Data'!$D:$D,$A$4,'ON Data'!$E:$E,9),SUMIFS('ON Data'!T:T,'ON Data'!$E:$E,9))</f>
        <v>0</v>
      </c>
      <c r="P19" s="241">
        <f xml:space="preserve">
IF($A$4&lt;=12,SUMIFS('ON Data'!U:U,'ON Data'!$D:$D,$A$4,'ON Data'!$E:$E,9),SUMIFS('ON Data'!U:U,'ON Data'!$E:$E,9))</f>
        <v>0</v>
      </c>
      <c r="Q19" s="241">
        <f xml:space="preserve">
IF($A$4&lt;=12,SUMIFS('ON Data'!V:V,'ON Data'!$D:$D,$A$4,'ON Data'!$E:$E,9),SUMIFS('ON Data'!V:V,'ON Data'!$E:$E,9))</f>
        <v>0</v>
      </c>
      <c r="R19" s="241">
        <f xml:space="preserve">
IF($A$4&lt;=12,SUMIFS('ON Data'!W:W,'ON Data'!$D:$D,$A$4,'ON Data'!$E:$E,9),SUMIFS('ON Data'!W:W,'ON Data'!$E:$E,9))</f>
        <v>0</v>
      </c>
      <c r="S19" s="241">
        <f xml:space="preserve">
IF($A$4&lt;=12,SUMIFS('ON Data'!X:X,'ON Data'!$D:$D,$A$4,'ON Data'!$E:$E,9),SUMIFS('ON Data'!X:X,'ON Data'!$E:$E,9))</f>
        <v>0</v>
      </c>
      <c r="T19" s="241">
        <f xml:space="preserve">
IF($A$4&lt;=12,SUMIFS('ON Data'!Y:Y,'ON Data'!$D:$D,$A$4,'ON Data'!$E:$E,9),SUMIFS('ON Data'!Y:Y,'ON Data'!$E:$E,9))</f>
        <v>0</v>
      </c>
      <c r="U19" s="241">
        <f xml:space="preserve">
IF($A$4&lt;=12,SUMIFS('ON Data'!Z:Z,'ON Data'!$D:$D,$A$4,'ON Data'!$E:$E,9),SUMIFS('ON Data'!Z:Z,'ON Data'!$E:$E,9))</f>
        <v>13808</v>
      </c>
      <c r="V19" s="241">
        <f xml:space="preserve">
IF($A$4&lt;=12,SUMIFS('ON Data'!AA:AA,'ON Data'!$D:$D,$A$4,'ON Data'!$E:$E,9),SUMIFS('ON Data'!AA:AA,'ON Data'!$E:$E,9))</f>
        <v>0</v>
      </c>
      <c r="W19" s="241">
        <f xml:space="preserve">
IF($A$4&lt;=12,SUMIFS('ON Data'!AB:AB,'ON Data'!$D:$D,$A$4,'ON Data'!$E:$E,9),SUMIFS('ON Data'!AB:AB,'ON Data'!$E:$E,9))</f>
        <v>0</v>
      </c>
      <c r="X19" s="241">
        <f xml:space="preserve">
IF($A$4&lt;=12,SUMIFS('ON Data'!AC:AC,'ON Data'!$D:$D,$A$4,'ON Data'!$E:$E,9),SUMIFS('ON Data'!AC:AC,'ON Data'!$E:$E,9))</f>
        <v>0</v>
      </c>
      <c r="Y19" s="241">
        <f xml:space="preserve">
IF($A$4&lt;=12,SUMIFS('ON Data'!AD:AD,'ON Data'!$D:$D,$A$4,'ON Data'!$E:$E,9),SUMIFS('ON Data'!AD:AD,'ON Data'!$E:$E,9))</f>
        <v>0</v>
      </c>
      <c r="Z19" s="241">
        <f xml:space="preserve">
IF($A$4&lt;=12,SUMIFS('ON Data'!AE:AE,'ON Data'!$D:$D,$A$4,'ON Data'!$E:$E,9),SUMIFS('ON Data'!AE:AE,'ON Data'!$E:$E,9))</f>
        <v>0</v>
      </c>
      <c r="AA19" s="241">
        <f xml:space="preserve">
IF($A$4&lt;=12,SUMIFS('ON Data'!AF:AF,'ON Data'!$D:$D,$A$4,'ON Data'!$E:$E,9),SUMIFS('ON Data'!AF:AF,'ON Data'!$E:$E,9))</f>
        <v>0</v>
      </c>
      <c r="AB19" s="241">
        <f xml:space="preserve">
IF($A$4&lt;=12,SUMIFS('ON Data'!AG:AG,'ON Data'!$D:$D,$A$4,'ON Data'!$E:$E,9),SUMIFS('ON Data'!AG:AG,'ON Data'!$E:$E,9))</f>
        <v>2583</v>
      </c>
      <c r="AC19" s="241">
        <f xml:space="preserve">
IF($A$4&lt;=12,SUMIFS('ON Data'!AH:AH,'ON Data'!$D:$D,$A$4,'ON Data'!$E:$E,9),SUMIFS('ON Data'!AH:AH,'ON Data'!$E:$E,9))</f>
        <v>14828</v>
      </c>
      <c r="AD19" s="241">
        <f xml:space="preserve">
IF($A$4&lt;=12,SUMIFS('ON Data'!AI:AI,'ON Data'!$D:$D,$A$4,'ON Data'!$E:$E,9),SUMIFS('ON Data'!AI:AI,'ON Data'!$E:$E,9))</f>
        <v>0</v>
      </c>
      <c r="AE19" s="241">
        <f xml:space="preserve">
IF($A$4&lt;=12,SUMIFS('ON Data'!AJ:AJ,'ON Data'!$D:$D,$A$4,'ON Data'!$E:$E,9),SUMIFS('ON Data'!AJ:AJ,'ON Data'!$E:$E,9))</f>
        <v>0</v>
      </c>
      <c r="AF19" s="241">
        <f xml:space="preserve">
IF($A$4&lt;=12,SUMIFS('ON Data'!AK:AK,'ON Data'!$D:$D,$A$4,'ON Data'!$E:$E,9),SUMIFS('ON Data'!AK:AK,'ON Data'!$E:$E,9))</f>
        <v>0</v>
      </c>
      <c r="AG19" s="241">
        <f xml:space="preserve">
IF($A$4&lt;=12,SUMIFS('ON Data'!AM:AM,'ON Data'!$D:$D,$A$4,'ON Data'!$E:$E,9),SUMIFS('ON Data'!AM:AM,'ON Data'!$E:$E,9))</f>
        <v>0</v>
      </c>
      <c r="AH19" s="451">
        <f xml:space="preserve">
IF($A$4&lt;=12,SUMIFS('ON Data'!AN:AN,'ON Data'!$D:$D,$A$4,'ON Data'!$E:$E,9),SUMIFS('ON Data'!AN:AN,'ON Data'!$E:$E,9))</f>
        <v>0</v>
      </c>
      <c r="AI19" s="459"/>
    </row>
    <row r="20" spans="1:35" ht="15" collapsed="1" thickBot="1" x14ac:dyDescent="0.35">
      <c r="A20" s="217" t="s">
        <v>55</v>
      </c>
      <c r="B20" s="242">
        <f xml:space="preserve">
IF($A$4&lt;=12,SUMIFS('ON Data'!F:F,'ON Data'!$D:$D,$A$4,'ON Data'!$E:$E,6),SUMIFS('ON Data'!F:F,'ON Data'!$E:$E,6))</f>
        <v>2045245</v>
      </c>
      <c r="C20" s="243">
        <f xml:space="preserve">
IF($A$4&lt;=12,SUMIFS('ON Data'!G:G,'ON Data'!$D:$D,$A$4,'ON Data'!$E:$E,6),SUMIFS('ON Data'!G:G,'ON Data'!$E:$E,6))</f>
        <v>220710</v>
      </c>
      <c r="D20" s="244">
        <f xml:space="preserve">
IF($A$4&lt;=12,SUMIFS('ON Data'!H:H,'ON Data'!$D:$D,$A$4,'ON Data'!$E:$E,6),SUMIFS('ON Data'!H:H,'ON Data'!$E:$E,6))</f>
        <v>552122</v>
      </c>
      <c r="E20" s="244">
        <f xml:space="preserve">
IF($A$4&lt;=12,SUMIFS('ON Data'!I:I,'ON Data'!$D:$D,$A$4,'ON Data'!$E:$E,6),SUMIFS('ON Data'!I:I,'ON Data'!$E:$E,6))</f>
        <v>0</v>
      </c>
      <c r="F20" s="244">
        <f xml:space="preserve">
IF($A$4&lt;=12,SUMIFS('ON Data'!K:K,'ON Data'!$D:$D,$A$4,'ON Data'!$E:$E,6),SUMIFS('ON Data'!K:K,'ON Data'!$E:$E,6))</f>
        <v>0</v>
      </c>
      <c r="G20" s="244">
        <f xml:space="preserve">
IF($A$4&lt;=12,SUMIFS('ON Data'!L:L,'ON Data'!$D:$D,$A$4,'ON Data'!$E:$E,6),SUMIFS('ON Data'!L:L,'ON Data'!$E:$E,6))</f>
        <v>0</v>
      </c>
      <c r="H20" s="244">
        <f xml:space="preserve">
IF($A$4&lt;=12,SUMIFS('ON Data'!M:M,'ON Data'!$D:$D,$A$4,'ON Data'!$E:$E,6),SUMIFS('ON Data'!M:M,'ON Data'!$E:$E,6))</f>
        <v>0</v>
      </c>
      <c r="I20" s="244">
        <f xml:space="preserve">
IF($A$4&lt;=12,SUMIFS('ON Data'!N:N,'ON Data'!$D:$D,$A$4,'ON Data'!$E:$E,6),SUMIFS('ON Data'!N:N,'ON Data'!$E:$E,6))</f>
        <v>441387</v>
      </c>
      <c r="J20" s="244">
        <f xml:space="preserve">
IF($A$4&lt;=12,SUMIFS('ON Data'!O:O,'ON Data'!$D:$D,$A$4,'ON Data'!$E:$E,6),SUMIFS('ON Data'!O:O,'ON Data'!$E:$E,6))</f>
        <v>0</v>
      </c>
      <c r="K20" s="244">
        <f xml:space="preserve">
IF($A$4&lt;=12,SUMIFS('ON Data'!P:P,'ON Data'!$D:$D,$A$4,'ON Data'!$E:$E,6),SUMIFS('ON Data'!P:P,'ON Data'!$E:$E,6))</f>
        <v>0</v>
      </c>
      <c r="L20" s="244">
        <f xml:space="preserve">
IF($A$4&lt;=12,SUMIFS('ON Data'!Q:Q,'ON Data'!$D:$D,$A$4,'ON Data'!$E:$E,6),SUMIFS('ON Data'!Q:Q,'ON Data'!$E:$E,6))</f>
        <v>0</v>
      </c>
      <c r="M20" s="244">
        <f xml:space="preserve">
IF($A$4&lt;=12,SUMIFS('ON Data'!R:R,'ON Data'!$D:$D,$A$4,'ON Data'!$E:$E,6),SUMIFS('ON Data'!R:R,'ON Data'!$E:$E,6))</f>
        <v>0</v>
      </c>
      <c r="N20" s="244">
        <f xml:space="preserve">
IF($A$4&lt;=12,SUMIFS('ON Data'!S:S,'ON Data'!$D:$D,$A$4,'ON Data'!$E:$E,6),SUMIFS('ON Data'!S:S,'ON Data'!$E:$E,6))</f>
        <v>0</v>
      </c>
      <c r="O20" s="244">
        <f xml:space="preserve">
IF($A$4&lt;=12,SUMIFS('ON Data'!T:T,'ON Data'!$D:$D,$A$4,'ON Data'!$E:$E,6),SUMIFS('ON Data'!T:T,'ON Data'!$E:$E,6))</f>
        <v>0</v>
      </c>
      <c r="P20" s="244">
        <f xml:space="preserve">
IF($A$4&lt;=12,SUMIFS('ON Data'!U:U,'ON Data'!$D:$D,$A$4,'ON Data'!$E:$E,6),SUMIFS('ON Data'!U:U,'ON Data'!$E:$E,6))</f>
        <v>0</v>
      </c>
      <c r="Q20" s="244">
        <f xml:space="preserve">
IF($A$4&lt;=12,SUMIFS('ON Data'!V:V,'ON Data'!$D:$D,$A$4,'ON Data'!$E:$E,6),SUMIFS('ON Data'!V:V,'ON Data'!$E:$E,6))</f>
        <v>0</v>
      </c>
      <c r="R20" s="244">
        <f xml:space="preserve">
IF($A$4&lt;=12,SUMIFS('ON Data'!W:W,'ON Data'!$D:$D,$A$4,'ON Data'!$E:$E,6),SUMIFS('ON Data'!W:W,'ON Data'!$E:$E,6))</f>
        <v>0</v>
      </c>
      <c r="S20" s="244">
        <f xml:space="preserve">
IF($A$4&lt;=12,SUMIFS('ON Data'!X:X,'ON Data'!$D:$D,$A$4,'ON Data'!$E:$E,6),SUMIFS('ON Data'!X:X,'ON Data'!$E:$E,6))</f>
        <v>0</v>
      </c>
      <c r="T20" s="244">
        <f xml:space="preserve">
IF($A$4&lt;=12,SUMIFS('ON Data'!Y:Y,'ON Data'!$D:$D,$A$4,'ON Data'!$E:$E,6),SUMIFS('ON Data'!Y:Y,'ON Data'!$E:$E,6))</f>
        <v>0</v>
      </c>
      <c r="U20" s="244">
        <f xml:space="preserve">
IF($A$4&lt;=12,SUMIFS('ON Data'!Z:Z,'ON Data'!$D:$D,$A$4,'ON Data'!$E:$E,6),SUMIFS('ON Data'!Z:Z,'ON Data'!$E:$E,6))</f>
        <v>497507</v>
      </c>
      <c r="V20" s="244">
        <f xml:space="preserve">
IF($A$4&lt;=12,SUMIFS('ON Data'!AA:AA,'ON Data'!$D:$D,$A$4,'ON Data'!$E:$E,6),SUMIFS('ON Data'!AA:AA,'ON Data'!$E:$E,6))</f>
        <v>0</v>
      </c>
      <c r="W20" s="244">
        <f xml:space="preserve">
IF($A$4&lt;=12,SUMIFS('ON Data'!AB:AB,'ON Data'!$D:$D,$A$4,'ON Data'!$E:$E,6),SUMIFS('ON Data'!AB:AB,'ON Data'!$E:$E,6))</f>
        <v>0</v>
      </c>
      <c r="X20" s="244">
        <f xml:space="preserve">
IF($A$4&lt;=12,SUMIFS('ON Data'!AC:AC,'ON Data'!$D:$D,$A$4,'ON Data'!$E:$E,6),SUMIFS('ON Data'!AC:AC,'ON Data'!$E:$E,6))</f>
        <v>0</v>
      </c>
      <c r="Y20" s="244">
        <f xml:space="preserve">
IF($A$4&lt;=12,SUMIFS('ON Data'!AD:AD,'ON Data'!$D:$D,$A$4,'ON Data'!$E:$E,6),SUMIFS('ON Data'!AD:AD,'ON Data'!$E:$E,6))</f>
        <v>0</v>
      </c>
      <c r="Z20" s="244">
        <f xml:space="preserve">
IF($A$4&lt;=12,SUMIFS('ON Data'!AE:AE,'ON Data'!$D:$D,$A$4,'ON Data'!$E:$E,6),SUMIFS('ON Data'!AE:AE,'ON Data'!$E:$E,6))</f>
        <v>0</v>
      </c>
      <c r="AA20" s="244">
        <f xml:space="preserve">
IF($A$4&lt;=12,SUMIFS('ON Data'!AF:AF,'ON Data'!$D:$D,$A$4,'ON Data'!$E:$E,6),SUMIFS('ON Data'!AF:AF,'ON Data'!$E:$E,6))</f>
        <v>0</v>
      </c>
      <c r="AB20" s="244">
        <f xml:space="preserve">
IF($A$4&lt;=12,SUMIFS('ON Data'!AG:AG,'ON Data'!$D:$D,$A$4,'ON Data'!$E:$E,6),SUMIFS('ON Data'!AG:AG,'ON Data'!$E:$E,6))</f>
        <v>6066</v>
      </c>
      <c r="AC20" s="244">
        <f xml:space="preserve">
IF($A$4&lt;=12,SUMIFS('ON Data'!AH:AH,'ON Data'!$D:$D,$A$4,'ON Data'!$E:$E,6),SUMIFS('ON Data'!AH:AH,'ON Data'!$E:$E,6))</f>
        <v>199001</v>
      </c>
      <c r="AD20" s="244">
        <f xml:space="preserve">
IF($A$4&lt;=12,SUMIFS('ON Data'!AI:AI,'ON Data'!$D:$D,$A$4,'ON Data'!$E:$E,6),SUMIFS('ON Data'!AI:AI,'ON Data'!$E:$E,6))</f>
        <v>0</v>
      </c>
      <c r="AE20" s="244">
        <f xml:space="preserve">
IF($A$4&lt;=12,SUMIFS('ON Data'!AJ:AJ,'ON Data'!$D:$D,$A$4,'ON Data'!$E:$E,6),SUMIFS('ON Data'!AJ:AJ,'ON Data'!$E:$E,6))</f>
        <v>0</v>
      </c>
      <c r="AF20" s="244">
        <f xml:space="preserve">
IF($A$4&lt;=12,SUMIFS('ON Data'!AK:AK,'ON Data'!$D:$D,$A$4,'ON Data'!$E:$E,6),SUMIFS('ON Data'!AK:AK,'ON Data'!$E:$E,6))</f>
        <v>0</v>
      </c>
      <c r="AG20" s="244">
        <f xml:space="preserve">
IF($A$4&lt;=12,SUMIFS('ON Data'!AM:AM,'ON Data'!$D:$D,$A$4,'ON Data'!$E:$E,6),SUMIFS('ON Data'!AM:AM,'ON Data'!$E:$E,6))</f>
        <v>110532</v>
      </c>
      <c r="AH20" s="452">
        <f xml:space="preserve">
IF($A$4&lt;=12,SUMIFS('ON Data'!AN:AN,'ON Data'!$D:$D,$A$4,'ON Data'!$E:$E,6),SUMIFS('ON Data'!AN:AN,'ON Data'!$E:$E,6))</f>
        <v>17920</v>
      </c>
      <c r="AI20" s="459"/>
    </row>
    <row r="21" spans="1:35" ht="15" hidden="1" outlineLevel="1" thickBot="1" x14ac:dyDescent="0.35">
      <c r="A21" s="210" t="s">
        <v>90</v>
      </c>
      <c r="B21" s="230">
        <f xml:space="preserve">
IF($A$4&lt;=12,SUMIFS('ON Data'!F:F,'ON Data'!$D:$D,$A$4,'ON Data'!$E:$E,12),SUMIFS('ON Data'!F:F,'ON Data'!$E:$E,12))</f>
        <v>0</v>
      </c>
      <c r="C21" s="231">
        <f xml:space="preserve">
IF($A$4&lt;=12,SUMIFS('ON Data'!G:G,'ON Data'!$D:$D,$A$4,'ON Data'!$E:$E,12),SUMIFS('ON Data'!G:G,'ON Data'!$E:$E,12))</f>
        <v>0</v>
      </c>
      <c r="D21" s="232">
        <f xml:space="preserve">
IF($A$4&lt;=12,SUMIFS('ON Data'!H:H,'ON Data'!$D:$D,$A$4,'ON Data'!$E:$E,12),SUMIFS('ON Data'!H:H,'ON Data'!$E:$E,12))</f>
        <v>0</v>
      </c>
      <c r="E21" s="232">
        <f xml:space="preserve">
IF($A$4&lt;=12,SUMIFS('ON Data'!I:I,'ON Data'!$D:$D,$A$4,'ON Data'!$E:$E,12),SUMIFS('ON Data'!I:I,'ON Data'!$E:$E,12))</f>
        <v>0</v>
      </c>
      <c r="F21" s="232">
        <f xml:space="preserve">
IF($A$4&lt;=12,SUMIFS('ON Data'!K:K,'ON Data'!$D:$D,$A$4,'ON Data'!$E:$E,12),SUMIFS('ON Data'!K:K,'ON Data'!$E:$E,12))</f>
        <v>0</v>
      </c>
      <c r="G21" s="232">
        <f xml:space="preserve">
IF($A$4&lt;=12,SUMIFS('ON Data'!L:L,'ON Data'!$D:$D,$A$4,'ON Data'!$E:$E,12),SUMIFS('ON Data'!L:L,'ON Data'!$E:$E,12))</f>
        <v>0</v>
      </c>
      <c r="H21" s="232">
        <f xml:space="preserve">
IF($A$4&lt;=12,SUMIFS('ON Data'!M:M,'ON Data'!$D:$D,$A$4,'ON Data'!$E:$E,12),SUMIFS('ON Data'!M:M,'ON Data'!$E:$E,12))</f>
        <v>0</v>
      </c>
      <c r="I21" s="232">
        <f xml:space="preserve">
IF($A$4&lt;=12,SUMIFS('ON Data'!N:N,'ON Data'!$D:$D,$A$4,'ON Data'!$E:$E,12),SUMIFS('ON Data'!N:N,'ON Data'!$E:$E,12))</f>
        <v>0</v>
      </c>
      <c r="J21" s="232">
        <f xml:space="preserve">
IF($A$4&lt;=12,SUMIFS('ON Data'!O:O,'ON Data'!$D:$D,$A$4,'ON Data'!$E:$E,12),SUMIFS('ON Data'!O:O,'ON Data'!$E:$E,12))</f>
        <v>0</v>
      </c>
      <c r="K21" s="232">
        <f xml:space="preserve">
IF($A$4&lt;=12,SUMIFS('ON Data'!P:P,'ON Data'!$D:$D,$A$4,'ON Data'!$E:$E,12),SUMIFS('ON Data'!P:P,'ON Data'!$E:$E,12))</f>
        <v>0</v>
      </c>
      <c r="L21" s="232">
        <f xml:space="preserve">
IF($A$4&lt;=12,SUMIFS('ON Data'!Q:Q,'ON Data'!$D:$D,$A$4,'ON Data'!$E:$E,12),SUMIFS('ON Data'!Q:Q,'ON Data'!$E:$E,12))</f>
        <v>0</v>
      </c>
      <c r="M21" s="232">
        <f xml:space="preserve">
IF($A$4&lt;=12,SUMIFS('ON Data'!R:R,'ON Data'!$D:$D,$A$4,'ON Data'!$E:$E,12),SUMIFS('ON Data'!R:R,'ON Data'!$E:$E,12))</f>
        <v>0</v>
      </c>
      <c r="N21" s="232">
        <f xml:space="preserve">
IF($A$4&lt;=12,SUMIFS('ON Data'!S:S,'ON Data'!$D:$D,$A$4,'ON Data'!$E:$E,12),SUMIFS('ON Data'!S:S,'ON Data'!$E:$E,12))</f>
        <v>0</v>
      </c>
      <c r="O21" s="232">
        <f xml:space="preserve">
IF($A$4&lt;=12,SUMIFS('ON Data'!T:T,'ON Data'!$D:$D,$A$4,'ON Data'!$E:$E,12),SUMIFS('ON Data'!T:T,'ON Data'!$E:$E,12))</f>
        <v>0</v>
      </c>
      <c r="P21" s="232">
        <f xml:space="preserve">
IF($A$4&lt;=12,SUMIFS('ON Data'!U:U,'ON Data'!$D:$D,$A$4,'ON Data'!$E:$E,12),SUMIFS('ON Data'!U:U,'ON Data'!$E:$E,12))</f>
        <v>0</v>
      </c>
      <c r="Q21" s="232">
        <f xml:space="preserve">
IF($A$4&lt;=12,SUMIFS('ON Data'!V:V,'ON Data'!$D:$D,$A$4,'ON Data'!$E:$E,12),SUMIFS('ON Data'!V:V,'ON Data'!$E:$E,12))</f>
        <v>0</v>
      </c>
      <c r="R21" s="232">
        <f xml:space="preserve">
IF($A$4&lt;=12,SUMIFS('ON Data'!W:W,'ON Data'!$D:$D,$A$4,'ON Data'!$E:$E,12),SUMIFS('ON Data'!W:W,'ON Data'!$E:$E,12))</f>
        <v>0</v>
      </c>
      <c r="S21" s="232">
        <f xml:space="preserve">
IF($A$4&lt;=12,SUMIFS('ON Data'!X:X,'ON Data'!$D:$D,$A$4,'ON Data'!$E:$E,12),SUMIFS('ON Data'!X:X,'ON Data'!$E:$E,12))</f>
        <v>0</v>
      </c>
      <c r="T21" s="232">
        <f xml:space="preserve">
IF($A$4&lt;=12,SUMIFS('ON Data'!Y:Y,'ON Data'!$D:$D,$A$4,'ON Data'!$E:$E,12),SUMIFS('ON Data'!Y:Y,'ON Data'!$E:$E,12))</f>
        <v>0</v>
      </c>
      <c r="U21" s="232">
        <f xml:space="preserve">
IF($A$4&lt;=12,SUMIFS('ON Data'!Z:Z,'ON Data'!$D:$D,$A$4,'ON Data'!$E:$E,12),SUMIFS('ON Data'!Z:Z,'ON Data'!$E:$E,12))</f>
        <v>0</v>
      </c>
      <c r="V21" s="232">
        <f xml:space="preserve">
IF($A$4&lt;=12,SUMIFS('ON Data'!AA:AA,'ON Data'!$D:$D,$A$4,'ON Data'!$E:$E,12),SUMIFS('ON Data'!AA:AA,'ON Data'!$E:$E,12))</f>
        <v>0</v>
      </c>
      <c r="W21" s="232">
        <f xml:space="preserve">
IF($A$4&lt;=12,SUMIFS('ON Data'!AB:AB,'ON Data'!$D:$D,$A$4,'ON Data'!$E:$E,12),SUMIFS('ON Data'!AB:AB,'ON Data'!$E:$E,12))</f>
        <v>0</v>
      </c>
      <c r="X21" s="232">
        <f xml:space="preserve">
IF($A$4&lt;=12,SUMIFS('ON Data'!AC:AC,'ON Data'!$D:$D,$A$4,'ON Data'!$E:$E,12),SUMIFS('ON Data'!AC:AC,'ON Data'!$E:$E,12))</f>
        <v>0</v>
      </c>
      <c r="Y21" s="232">
        <f xml:space="preserve">
IF($A$4&lt;=12,SUMIFS('ON Data'!AD:AD,'ON Data'!$D:$D,$A$4,'ON Data'!$E:$E,12),SUMIFS('ON Data'!AD:AD,'ON Data'!$E:$E,12))</f>
        <v>0</v>
      </c>
      <c r="Z21" s="232">
        <f xml:space="preserve">
IF($A$4&lt;=12,SUMIFS('ON Data'!AE:AE,'ON Data'!$D:$D,$A$4,'ON Data'!$E:$E,12),SUMIFS('ON Data'!AE:AE,'ON Data'!$E:$E,12))</f>
        <v>0</v>
      </c>
      <c r="AA21" s="232">
        <f xml:space="preserve">
IF($A$4&lt;=12,SUMIFS('ON Data'!AF:AF,'ON Data'!$D:$D,$A$4,'ON Data'!$E:$E,12),SUMIFS('ON Data'!AF:AF,'ON Data'!$E:$E,12))</f>
        <v>0</v>
      </c>
      <c r="AB21" s="232">
        <f xml:space="preserve">
IF($A$4&lt;=12,SUMIFS('ON Data'!AG:AG,'ON Data'!$D:$D,$A$4,'ON Data'!$E:$E,12),SUMIFS('ON Data'!AG:AG,'ON Data'!$E:$E,12))</f>
        <v>0</v>
      </c>
      <c r="AC21" s="232">
        <f xml:space="preserve">
IF($A$4&lt;=12,SUMIFS('ON Data'!AH:AH,'ON Data'!$D:$D,$A$4,'ON Data'!$E:$E,12),SUMIFS('ON Data'!AH:AH,'ON Data'!$E:$E,12))</f>
        <v>0</v>
      </c>
      <c r="AD21" s="232">
        <f xml:space="preserve">
IF($A$4&lt;=12,SUMIFS('ON Data'!AI:AI,'ON Data'!$D:$D,$A$4,'ON Data'!$E:$E,12),SUMIFS('ON Data'!AI:AI,'ON Data'!$E:$E,12))</f>
        <v>0</v>
      </c>
      <c r="AE21" s="232">
        <f xml:space="preserve">
IF($A$4&lt;=12,SUMIFS('ON Data'!AJ:AJ,'ON Data'!$D:$D,$A$4,'ON Data'!$E:$E,12),SUMIFS('ON Data'!AJ:AJ,'ON Data'!$E:$E,12))</f>
        <v>0</v>
      </c>
      <c r="AF21" s="232">
        <f xml:space="preserve">
IF($A$4&lt;=12,SUMIFS('ON Data'!AK:AK,'ON Data'!$D:$D,$A$4,'ON Data'!$E:$E,12),SUMIFS('ON Data'!AK:AK,'ON Data'!$E:$E,12))</f>
        <v>0</v>
      </c>
      <c r="AG21" s="232">
        <f xml:space="preserve">
IF($A$4&lt;=12,SUMIFS('ON Data'!AM:AM,'ON Data'!$D:$D,$A$4,'ON Data'!$E:$E,12),SUMIFS('ON Data'!AM:AM,'ON Data'!$E:$E,12))</f>
        <v>0</v>
      </c>
      <c r="AH21" s="448">
        <f xml:space="preserve">
IF($A$4&lt;=12,SUMIFS('ON Data'!AN:AN,'ON Data'!$D:$D,$A$4,'ON Data'!$E:$E,12),SUMIFS('ON Data'!AN:AN,'ON Data'!$E:$E,12))</f>
        <v>0</v>
      </c>
      <c r="AI21" s="459"/>
    </row>
    <row r="22" spans="1:35" ht="15" hidden="1" outlineLevel="1" thickBot="1" x14ac:dyDescent="0.35">
      <c r="A22" s="210" t="s">
        <v>57</v>
      </c>
      <c r="B22" s="286" t="str">
        <f xml:space="preserve">
IF(OR(B21="",B21=0),"",B20/B21)</f>
        <v/>
      </c>
      <c r="C22" s="287" t="str">
        <f t="shared" ref="C22:AH22" si="2" xml:space="preserve">
IF(OR(C21="",C21=0),"",C20/C21)</f>
        <v/>
      </c>
      <c r="D22" s="288" t="str">
        <f t="shared" si="2"/>
        <v/>
      </c>
      <c r="E22" s="288" t="str">
        <f t="shared" si="2"/>
        <v/>
      </c>
      <c r="F22" s="288" t="str">
        <f t="shared" si="2"/>
        <v/>
      </c>
      <c r="G22" s="288" t="str">
        <f t="shared" si="2"/>
        <v/>
      </c>
      <c r="H22" s="288" t="str">
        <f t="shared" si="2"/>
        <v/>
      </c>
      <c r="I22" s="288" t="str">
        <f t="shared" si="2"/>
        <v/>
      </c>
      <c r="J22" s="288" t="str">
        <f t="shared" si="2"/>
        <v/>
      </c>
      <c r="K22" s="288" t="str">
        <f t="shared" si="2"/>
        <v/>
      </c>
      <c r="L22" s="288" t="str">
        <f t="shared" si="2"/>
        <v/>
      </c>
      <c r="M22" s="288" t="str">
        <f t="shared" si="2"/>
        <v/>
      </c>
      <c r="N22" s="288" t="str">
        <f t="shared" si="2"/>
        <v/>
      </c>
      <c r="O22" s="288" t="str">
        <f t="shared" si="2"/>
        <v/>
      </c>
      <c r="P22" s="288" t="str">
        <f t="shared" si="2"/>
        <v/>
      </c>
      <c r="Q22" s="288" t="str">
        <f t="shared" si="2"/>
        <v/>
      </c>
      <c r="R22" s="288" t="str">
        <f t="shared" si="2"/>
        <v/>
      </c>
      <c r="S22" s="288" t="str">
        <f t="shared" si="2"/>
        <v/>
      </c>
      <c r="T22" s="288" t="str">
        <f t="shared" si="2"/>
        <v/>
      </c>
      <c r="U22" s="288" t="str">
        <f t="shared" si="2"/>
        <v/>
      </c>
      <c r="V22" s="288" t="str">
        <f t="shared" si="2"/>
        <v/>
      </c>
      <c r="W22" s="288" t="str">
        <f t="shared" si="2"/>
        <v/>
      </c>
      <c r="X22" s="288" t="str">
        <f t="shared" si="2"/>
        <v/>
      </c>
      <c r="Y22" s="288" t="str">
        <f t="shared" si="2"/>
        <v/>
      </c>
      <c r="Z22" s="288" t="str">
        <f t="shared" si="2"/>
        <v/>
      </c>
      <c r="AA22" s="288" t="str">
        <f t="shared" si="2"/>
        <v/>
      </c>
      <c r="AB22" s="288" t="str">
        <f t="shared" si="2"/>
        <v/>
      </c>
      <c r="AC22" s="288" t="str">
        <f t="shared" si="2"/>
        <v/>
      </c>
      <c r="AD22" s="288" t="str">
        <f t="shared" si="2"/>
        <v/>
      </c>
      <c r="AE22" s="288" t="str">
        <f t="shared" si="2"/>
        <v/>
      </c>
      <c r="AF22" s="288" t="str">
        <f t="shared" si="2"/>
        <v/>
      </c>
      <c r="AG22" s="288" t="str">
        <f t="shared" si="2"/>
        <v/>
      </c>
      <c r="AH22" s="453" t="str">
        <f t="shared" si="2"/>
        <v/>
      </c>
      <c r="AI22" s="459"/>
    </row>
    <row r="23" spans="1:35" ht="15" hidden="1" outlineLevel="1" thickBot="1" x14ac:dyDescent="0.35">
      <c r="A23" s="218" t="s">
        <v>50</v>
      </c>
      <c r="B23" s="233">
        <f xml:space="preserve">
IF(B21="","",B20-B21)</f>
        <v>2045245</v>
      </c>
      <c r="C23" s="234">
        <f t="shared" ref="C23:AH23" si="3" xml:space="preserve">
IF(C21="","",C20-C21)</f>
        <v>220710</v>
      </c>
      <c r="D23" s="235">
        <f t="shared" si="3"/>
        <v>552122</v>
      </c>
      <c r="E23" s="235">
        <f t="shared" si="3"/>
        <v>0</v>
      </c>
      <c r="F23" s="235">
        <f t="shared" si="3"/>
        <v>0</v>
      </c>
      <c r="G23" s="235">
        <f t="shared" si="3"/>
        <v>0</v>
      </c>
      <c r="H23" s="235">
        <f t="shared" si="3"/>
        <v>0</v>
      </c>
      <c r="I23" s="235">
        <f t="shared" si="3"/>
        <v>441387</v>
      </c>
      <c r="J23" s="235">
        <f t="shared" si="3"/>
        <v>0</v>
      </c>
      <c r="K23" s="235">
        <f t="shared" si="3"/>
        <v>0</v>
      </c>
      <c r="L23" s="235">
        <f t="shared" si="3"/>
        <v>0</v>
      </c>
      <c r="M23" s="235">
        <f t="shared" si="3"/>
        <v>0</v>
      </c>
      <c r="N23" s="235">
        <f t="shared" si="3"/>
        <v>0</v>
      </c>
      <c r="O23" s="235">
        <f t="shared" si="3"/>
        <v>0</v>
      </c>
      <c r="P23" s="235">
        <f t="shared" si="3"/>
        <v>0</v>
      </c>
      <c r="Q23" s="235">
        <f t="shared" si="3"/>
        <v>0</v>
      </c>
      <c r="R23" s="235">
        <f t="shared" si="3"/>
        <v>0</v>
      </c>
      <c r="S23" s="235">
        <f t="shared" si="3"/>
        <v>0</v>
      </c>
      <c r="T23" s="235">
        <f t="shared" si="3"/>
        <v>0</v>
      </c>
      <c r="U23" s="235">
        <f t="shared" si="3"/>
        <v>497507</v>
      </c>
      <c r="V23" s="235">
        <f t="shared" si="3"/>
        <v>0</v>
      </c>
      <c r="W23" s="235">
        <f t="shared" si="3"/>
        <v>0</v>
      </c>
      <c r="X23" s="235">
        <f t="shared" si="3"/>
        <v>0</v>
      </c>
      <c r="Y23" s="235">
        <f t="shared" si="3"/>
        <v>0</v>
      </c>
      <c r="Z23" s="235">
        <f t="shared" si="3"/>
        <v>0</v>
      </c>
      <c r="AA23" s="235">
        <f t="shared" si="3"/>
        <v>0</v>
      </c>
      <c r="AB23" s="235">
        <f t="shared" si="3"/>
        <v>6066</v>
      </c>
      <c r="AC23" s="235">
        <f t="shared" si="3"/>
        <v>199001</v>
      </c>
      <c r="AD23" s="235">
        <f t="shared" si="3"/>
        <v>0</v>
      </c>
      <c r="AE23" s="235">
        <f t="shared" si="3"/>
        <v>0</v>
      </c>
      <c r="AF23" s="235">
        <f t="shared" si="3"/>
        <v>0</v>
      </c>
      <c r="AG23" s="235">
        <f t="shared" si="3"/>
        <v>110532</v>
      </c>
      <c r="AH23" s="449">
        <f t="shared" si="3"/>
        <v>17920</v>
      </c>
      <c r="AI23" s="459"/>
    </row>
    <row r="24" spans="1:35" x14ac:dyDescent="0.3">
      <c r="A24" s="212" t="s">
        <v>160</v>
      </c>
      <c r="B24" s="259" t="s">
        <v>3</v>
      </c>
      <c r="C24" s="460" t="s">
        <v>171</v>
      </c>
      <c r="D24" s="433"/>
      <c r="E24" s="434"/>
      <c r="F24" s="434" t="s">
        <v>172</v>
      </c>
      <c r="G24" s="434"/>
      <c r="H24" s="434"/>
      <c r="I24" s="434"/>
      <c r="J24" s="434"/>
      <c r="K24" s="434"/>
      <c r="L24" s="434"/>
      <c r="M24" s="434"/>
      <c r="N24" s="434"/>
      <c r="O24" s="434"/>
      <c r="P24" s="434"/>
      <c r="Q24" s="434"/>
      <c r="R24" s="434"/>
      <c r="S24" s="434"/>
      <c r="T24" s="434"/>
      <c r="U24" s="434"/>
      <c r="V24" s="434"/>
      <c r="W24" s="434"/>
      <c r="X24" s="434"/>
      <c r="Y24" s="434"/>
      <c r="Z24" s="434"/>
      <c r="AA24" s="434"/>
      <c r="AB24" s="434"/>
      <c r="AC24" s="434"/>
      <c r="AD24" s="434"/>
      <c r="AE24" s="434"/>
      <c r="AF24" s="434"/>
      <c r="AG24" s="434" t="s">
        <v>173</v>
      </c>
      <c r="AH24" s="454"/>
      <c r="AI24" s="459"/>
    </row>
    <row r="25" spans="1:35" x14ac:dyDescent="0.3">
      <c r="A25" s="213" t="s">
        <v>55</v>
      </c>
      <c r="B25" s="230">
        <f xml:space="preserve">
SUM(C25:AH25)</f>
        <v>8210</v>
      </c>
      <c r="C25" s="461">
        <f xml:space="preserve">
IF($A$4&lt;=12,SUMIFS('ON Data'!H:H,'ON Data'!$D:$D,$A$4,'ON Data'!$E:$E,10),SUMIFS('ON Data'!H:H,'ON Data'!$E:$E,10))</f>
        <v>0</v>
      </c>
      <c r="D25" s="435"/>
      <c r="E25" s="436"/>
      <c r="F25" s="436">
        <f xml:space="preserve">
IF($A$4&lt;=12,SUMIFS('ON Data'!K:K,'ON Data'!$D:$D,$A$4,'ON Data'!$E:$E,10),SUMIFS('ON Data'!K:K,'ON Data'!$E:$E,10))</f>
        <v>8210</v>
      </c>
      <c r="G25" s="436"/>
      <c r="H25" s="436"/>
      <c r="I25" s="436"/>
      <c r="J25" s="436"/>
      <c r="K25" s="436"/>
      <c r="L25" s="436"/>
      <c r="M25" s="436"/>
      <c r="N25" s="436"/>
      <c r="O25" s="436"/>
      <c r="P25" s="436"/>
      <c r="Q25" s="436"/>
      <c r="R25" s="436"/>
      <c r="S25" s="436"/>
      <c r="T25" s="436"/>
      <c r="U25" s="436"/>
      <c r="V25" s="436"/>
      <c r="W25" s="436"/>
      <c r="X25" s="436"/>
      <c r="Y25" s="436"/>
      <c r="Z25" s="436"/>
      <c r="AA25" s="436"/>
      <c r="AB25" s="436"/>
      <c r="AC25" s="436"/>
      <c r="AD25" s="436"/>
      <c r="AE25" s="436"/>
      <c r="AF25" s="436"/>
      <c r="AG25" s="436">
        <f xml:space="preserve">
IF($A$4&lt;=12,SUMIFS('ON Data'!AM:AM,'ON Data'!$D:$D,$A$4,'ON Data'!$E:$E,10),SUMIFS('ON Data'!AM:AM,'ON Data'!$E:$E,10))</f>
        <v>0</v>
      </c>
      <c r="AH25" s="455"/>
      <c r="AI25" s="459"/>
    </row>
    <row r="26" spans="1:35" x14ac:dyDescent="0.3">
      <c r="A26" s="219" t="s">
        <v>170</v>
      </c>
      <c r="B26" s="239">
        <f xml:space="preserve">
SUM(C26:AH26)</f>
        <v>9131</v>
      </c>
      <c r="C26" s="461">
        <f xml:space="preserve">
IF($A$4&lt;=12,SUMIFS('ON Data'!H:H,'ON Data'!$D:$D,$A$4,'ON Data'!$E:$E,11),SUMIFS('ON Data'!H:H,'ON Data'!$E:$E,11))</f>
        <v>4131</v>
      </c>
      <c r="D26" s="435"/>
      <c r="E26" s="436"/>
      <c r="F26" s="437">
        <f xml:space="preserve">
IF($A$4&lt;=12,SUMIFS('ON Data'!K:K,'ON Data'!$D:$D,$A$4,'ON Data'!$E:$E,11),SUMIFS('ON Data'!K:K,'ON Data'!$E:$E,11))</f>
        <v>5000</v>
      </c>
      <c r="G26" s="437"/>
      <c r="H26" s="437"/>
      <c r="I26" s="437"/>
      <c r="J26" s="437"/>
      <c r="K26" s="437"/>
      <c r="L26" s="437"/>
      <c r="M26" s="437"/>
      <c r="N26" s="437"/>
      <c r="O26" s="437"/>
      <c r="P26" s="437"/>
      <c r="Q26" s="437"/>
      <c r="R26" s="437"/>
      <c r="S26" s="437"/>
      <c r="T26" s="437"/>
      <c r="U26" s="437"/>
      <c r="V26" s="437"/>
      <c r="W26" s="437"/>
      <c r="X26" s="437"/>
      <c r="Y26" s="437"/>
      <c r="Z26" s="437"/>
      <c r="AA26" s="437"/>
      <c r="AB26" s="437"/>
      <c r="AC26" s="437"/>
      <c r="AD26" s="437"/>
      <c r="AE26" s="437"/>
      <c r="AF26" s="437"/>
      <c r="AG26" s="436">
        <f xml:space="preserve">
IF($A$4&lt;=12,SUMIFS('ON Data'!AM:AM,'ON Data'!$D:$D,$A$4,'ON Data'!$E:$E,11),SUMIFS('ON Data'!AM:AM,'ON Data'!$E:$E,11))</f>
        <v>0</v>
      </c>
      <c r="AH26" s="456"/>
      <c r="AI26" s="459"/>
    </row>
    <row r="27" spans="1:35" x14ac:dyDescent="0.3">
      <c r="A27" s="219" t="s">
        <v>57</v>
      </c>
      <c r="B27" s="260">
        <f xml:space="preserve">
IF(B26=0,0,B25/B26)</f>
        <v>0.89913481546380458</v>
      </c>
      <c r="C27" s="462">
        <f xml:space="preserve">
IF(C26=0,0,C25/C26)</f>
        <v>0</v>
      </c>
      <c r="D27" s="438"/>
      <c r="E27" s="439"/>
      <c r="F27" s="439">
        <f xml:space="preserve">
IF(F26=0,0,F25/F26)</f>
        <v>1.6419999999999999</v>
      </c>
      <c r="G27" s="439"/>
      <c r="H27" s="439"/>
      <c r="I27" s="439"/>
      <c r="J27" s="439"/>
      <c r="K27" s="439"/>
      <c r="L27" s="439"/>
      <c r="M27" s="439"/>
      <c r="N27" s="439"/>
      <c r="O27" s="439"/>
      <c r="P27" s="439"/>
      <c r="Q27" s="439"/>
      <c r="R27" s="439"/>
      <c r="S27" s="439"/>
      <c r="T27" s="439"/>
      <c r="U27" s="439"/>
      <c r="V27" s="439"/>
      <c r="W27" s="439"/>
      <c r="X27" s="439"/>
      <c r="Y27" s="439"/>
      <c r="Z27" s="439"/>
      <c r="AA27" s="439"/>
      <c r="AB27" s="439"/>
      <c r="AC27" s="439"/>
      <c r="AD27" s="439"/>
      <c r="AE27" s="439"/>
      <c r="AF27" s="439"/>
      <c r="AG27" s="439">
        <f xml:space="preserve">
IF(AG26=0,0,AG25/AG26)</f>
        <v>0</v>
      </c>
      <c r="AH27" s="457"/>
      <c r="AI27" s="459"/>
    </row>
    <row r="28" spans="1:35" ht="15" thickBot="1" x14ac:dyDescent="0.35">
      <c r="A28" s="219" t="s">
        <v>169</v>
      </c>
      <c r="B28" s="239">
        <f xml:space="preserve">
SUM(C28:AH28)</f>
        <v>921</v>
      </c>
      <c r="C28" s="463">
        <f xml:space="preserve">
C26-C25</f>
        <v>4131</v>
      </c>
      <c r="D28" s="440"/>
      <c r="E28" s="441"/>
      <c r="F28" s="441">
        <f xml:space="preserve">
F26-F25</f>
        <v>-3210</v>
      </c>
      <c r="G28" s="441"/>
      <c r="H28" s="441"/>
      <c r="I28" s="441"/>
      <c r="J28" s="441"/>
      <c r="K28" s="441"/>
      <c r="L28" s="441"/>
      <c r="M28" s="441"/>
      <c r="N28" s="441"/>
      <c r="O28" s="441"/>
      <c r="P28" s="441"/>
      <c r="Q28" s="441"/>
      <c r="R28" s="441"/>
      <c r="S28" s="441"/>
      <c r="T28" s="441"/>
      <c r="U28" s="441"/>
      <c r="V28" s="441"/>
      <c r="W28" s="441"/>
      <c r="X28" s="441"/>
      <c r="Y28" s="441"/>
      <c r="Z28" s="441"/>
      <c r="AA28" s="441"/>
      <c r="AB28" s="441"/>
      <c r="AC28" s="441"/>
      <c r="AD28" s="441"/>
      <c r="AE28" s="441"/>
      <c r="AF28" s="441"/>
      <c r="AG28" s="441">
        <f xml:space="preserve">
AG26-AG25</f>
        <v>0</v>
      </c>
      <c r="AH28" s="458"/>
      <c r="AI28" s="459"/>
    </row>
    <row r="29" spans="1:35" x14ac:dyDescent="0.3">
      <c r="A29" s="220"/>
      <c r="B29" s="220"/>
      <c r="C29" s="221"/>
      <c r="D29" s="220"/>
      <c r="E29" s="220"/>
      <c r="F29" s="221"/>
      <c r="G29" s="221"/>
      <c r="H29" s="221"/>
      <c r="I29" s="221"/>
      <c r="J29" s="221"/>
      <c r="K29" s="221"/>
      <c r="L29" s="221"/>
      <c r="M29" s="221"/>
      <c r="N29" s="221"/>
      <c r="O29" s="221"/>
      <c r="P29" s="221"/>
      <c r="Q29" s="221"/>
      <c r="R29" s="221"/>
      <c r="S29" s="221"/>
      <c r="T29" s="221"/>
      <c r="U29" s="221"/>
      <c r="V29" s="221"/>
      <c r="W29" s="221"/>
      <c r="X29" s="221"/>
      <c r="Y29" s="221"/>
      <c r="Z29" s="221"/>
      <c r="AA29" s="221"/>
      <c r="AB29" s="221"/>
      <c r="AC29" s="221"/>
      <c r="AD29" s="221"/>
      <c r="AE29" s="220"/>
      <c r="AF29" s="220"/>
      <c r="AG29" s="220"/>
      <c r="AH29" s="220"/>
    </row>
    <row r="30" spans="1:35" x14ac:dyDescent="0.3">
      <c r="A30" s="88" t="s">
        <v>124</v>
      </c>
      <c r="B30" s="105"/>
      <c r="C30" s="105"/>
      <c r="D30" s="105"/>
      <c r="E30" s="105"/>
      <c r="F30" s="105"/>
      <c r="G30" s="105"/>
      <c r="H30" s="105"/>
      <c r="I30" s="105"/>
      <c r="J30" s="105"/>
      <c r="K30" s="105"/>
      <c r="L30" s="105"/>
      <c r="M30" s="105"/>
      <c r="N30" s="105"/>
      <c r="O30" s="105"/>
      <c r="P30" s="105"/>
      <c r="Q30" s="105"/>
      <c r="R30" s="105"/>
      <c r="S30" s="105"/>
      <c r="T30" s="105"/>
      <c r="U30" s="105"/>
      <c r="V30" s="105"/>
      <c r="W30" s="105"/>
      <c r="X30" s="105"/>
      <c r="Y30" s="105"/>
      <c r="Z30" s="105"/>
      <c r="AA30" s="105"/>
      <c r="AB30" s="105"/>
      <c r="AC30" s="105"/>
      <c r="AD30" s="105"/>
      <c r="AE30" s="105"/>
      <c r="AF30" s="105"/>
      <c r="AG30" s="124"/>
      <c r="AH30" s="124"/>
    </row>
    <row r="31" spans="1:35" x14ac:dyDescent="0.3">
      <c r="A31" s="89" t="s">
        <v>167</v>
      </c>
      <c r="B31" s="105"/>
      <c r="C31" s="105"/>
      <c r="D31" s="105"/>
      <c r="E31" s="105"/>
      <c r="F31" s="105"/>
      <c r="G31" s="105"/>
      <c r="H31" s="105"/>
      <c r="I31" s="105"/>
      <c r="J31" s="105"/>
      <c r="K31" s="105"/>
      <c r="L31" s="105"/>
      <c r="M31" s="105"/>
      <c r="N31" s="105"/>
      <c r="O31" s="105"/>
      <c r="P31" s="105"/>
      <c r="Q31" s="105"/>
      <c r="R31" s="105"/>
      <c r="S31" s="105"/>
      <c r="T31" s="105"/>
      <c r="U31" s="105"/>
      <c r="V31" s="105"/>
      <c r="W31" s="105"/>
      <c r="X31" s="105"/>
      <c r="Y31" s="105"/>
      <c r="Z31" s="105"/>
      <c r="AA31" s="105"/>
      <c r="AB31" s="105"/>
      <c r="AC31" s="105"/>
      <c r="AD31" s="105"/>
      <c r="AE31" s="105"/>
      <c r="AF31" s="105"/>
      <c r="AG31" s="124"/>
      <c r="AH31" s="124"/>
    </row>
    <row r="32" spans="1:35" ht="14.4" customHeight="1" x14ac:dyDescent="0.3">
      <c r="A32" s="256" t="s">
        <v>164</v>
      </c>
      <c r="B32" s="257"/>
      <c r="C32" s="257"/>
      <c r="D32" s="257"/>
      <c r="E32" s="257"/>
      <c r="F32" s="257"/>
      <c r="G32" s="257"/>
      <c r="H32" s="257"/>
      <c r="I32" s="257"/>
      <c r="J32" s="257"/>
      <c r="K32" s="257"/>
      <c r="L32" s="257"/>
      <c r="M32" s="257"/>
      <c r="N32" s="257"/>
      <c r="O32" s="257"/>
      <c r="P32" s="257"/>
      <c r="Q32" s="257"/>
      <c r="R32" s="257"/>
      <c r="S32" s="257"/>
      <c r="T32" s="257"/>
      <c r="U32" s="257"/>
      <c r="V32" s="257"/>
      <c r="W32" s="257"/>
      <c r="X32" s="257"/>
      <c r="Y32" s="257"/>
      <c r="Z32" s="257"/>
      <c r="AA32" s="257"/>
      <c r="AB32" s="257"/>
      <c r="AC32" s="257"/>
      <c r="AD32" s="257"/>
      <c r="AE32" s="257"/>
      <c r="AF32" s="257"/>
    </row>
    <row r="33" spans="1:1" x14ac:dyDescent="0.3">
      <c r="A33" s="258" t="s">
        <v>174</v>
      </c>
    </row>
    <row r="34" spans="1:1" x14ac:dyDescent="0.3">
      <c r="A34" s="258" t="s">
        <v>175</v>
      </c>
    </row>
    <row r="35" spans="1:1" x14ac:dyDescent="0.3">
      <c r="A35" s="258" t="s">
        <v>176</v>
      </c>
    </row>
    <row r="36" spans="1:1" x14ac:dyDescent="0.3">
      <c r="A36" s="258" t="s">
        <v>177</v>
      </c>
    </row>
  </sheetData>
  <mergeCells count="17">
    <mergeCell ref="A1:AH1"/>
    <mergeCell ref="B3:B4"/>
    <mergeCell ref="AG24:AH24"/>
    <mergeCell ref="AG25:AH25"/>
    <mergeCell ref="C24:E24"/>
    <mergeCell ref="AG26:AH26"/>
    <mergeCell ref="C25:E25"/>
    <mergeCell ref="C26:E26"/>
    <mergeCell ref="F24:AF24"/>
    <mergeCell ref="F25:AF25"/>
    <mergeCell ref="F26:AF26"/>
    <mergeCell ref="C28:E28"/>
    <mergeCell ref="AG27:AH27"/>
    <mergeCell ref="AG28:AH28"/>
    <mergeCell ref="C27:E27"/>
    <mergeCell ref="F27:AF27"/>
    <mergeCell ref="F28:AF28"/>
  </mergeCells>
  <conditionalFormatting sqref="C27 AG27 F27">
    <cfRule type="cellIs" dxfId="4" priority="4" operator="greaterThan">
      <formula>1</formula>
    </cfRule>
  </conditionalFormatting>
  <conditionalFormatting sqref="C28 AG28 F28">
    <cfRule type="cellIs" dxfId="3" priority="3" operator="lessThan">
      <formula>0</formula>
    </cfRule>
  </conditionalFormatting>
  <conditionalFormatting sqref="B22:AH22">
    <cfRule type="cellIs" dxfId="2" priority="2" operator="greaterThan">
      <formula>1</formula>
    </cfRule>
  </conditionalFormatting>
  <conditionalFormatting sqref="B23:AH23">
    <cfRule type="cellIs" dxfId="1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'ON Data'!$B$3:$B$16</xm:f>
          </x14:formula1>
          <xm:sqref>A4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N22"/>
  <sheetViews>
    <sheetView showGridLines="0" showRowColHeaders="0" workbookViewId="0"/>
  </sheetViews>
  <sheetFormatPr defaultRowHeight="14.4" x14ac:dyDescent="0.3"/>
  <cols>
    <col min="1" max="16384" width="8.88671875" style="199"/>
  </cols>
  <sheetData>
    <row r="1" spans="1:40" x14ac:dyDescent="0.3">
      <c r="A1" s="199" t="s">
        <v>530</v>
      </c>
    </row>
    <row r="2" spans="1:40" x14ac:dyDescent="0.3">
      <c r="A2" s="203" t="s">
        <v>241</v>
      </c>
    </row>
    <row r="3" spans="1:40" x14ac:dyDescent="0.3">
      <c r="A3" s="199" t="s">
        <v>133</v>
      </c>
      <c r="B3" s="224">
        <v>2015</v>
      </c>
      <c r="D3" s="200">
        <f>MAX(D5:D1048576)</f>
        <v>2</v>
      </c>
      <c r="F3" s="200">
        <f>SUMIF($E5:$E1048576,"&lt;10",F5:F1048576)</f>
        <v>2086618.6</v>
      </c>
      <c r="G3" s="200">
        <f t="shared" ref="G3:AN3" si="0">SUMIF($E5:$E1048576,"&lt;10",G5:G1048576)</f>
        <v>222376</v>
      </c>
      <c r="H3" s="200">
        <f t="shared" si="0"/>
        <v>554045.6</v>
      </c>
      <c r="I3" s="200">
        <f t="shared" si="0"/>
        <v>0</v>
      </c>
      <c r="J3" s="200">
        <f t="shared" si="0"/>
        <v>0</v>
      </c>
      <c r="K3" s="200">
        <f t="shared" si="0"/>
        <v>0</v>
      </c>
      <c r="L3" s="200">
        <f t="shared" si="0"/>
        <v>0</v>
      </c>
      <c r="M3" s="200">
        <f t="shared" si="0"/>
        <v>0</v>
      </c>
      <c r="N3" s="200">
        <f t="shared" si="0"/>
        <v>443997</v>
      </c>
      <c r="O3" s="200">
        <f t="shared" si="0"/>
        <v>0</v>
      </c>
      <c r="P3" s="200">
        <f t="shared" si="0"/>
        <v>0</v>
      </c>
      <c r="Q3" s="200">
        <f t="shared" si="0"/>
        <v>0</v>
      </c>
      <c r="R3" s="200">
        <f t="shared" si="0"/>
        <v>0</v>
      </c>
      <c r="S3" s="200">
        <f t="shared" si="0"/>
        <v>0</v>
      </c>
      <c r="T3" s="200">
        <f t="shared" si="0"/>
        <v>0</v>
      </c>
      <c r="U3" s="200">
        <f t="shared" si="0"/>
        <v>0</v>
      </c>
      <c r="V3" s="200">
        <f t="shared" si="0"/>
        <v>0</v>
      </c>
      <c r="W3" s="200">
        <f t="shared" si="0"/>
        <v>0</v>
      </c>
      <c r="X3" s="200">
        <f t="shared" si="0"/>
        <v>0</v>
      </c>
      <c r="Y3" s="200">
        <f t="shared" si="0"/>
        <v>0</v>
      </c>
      <c r="Z3" s="200">
        <f t="shared" si="0"/>
        <v>512674</v>
      </c>
      <c r="AA3" s="200">
        <f t="shared" si="0"/>
        <v>0</v>
      </c>
      <c r="AB3" s="200">
        <f t="shared" si="0"/>
        <v>0</v>
      </c>
      <c r="AC3" s="200">
        <f t="shared" si="0"/>
        <v>0</v>
      </c>
      <c r="AD3" s="200">
        <f t="shared" si="0"/>
        <v>0</v>
      </c>
      <c r="AE3" s="200">
        <f t="shared" si="0"/>
        <v>0</v>
      </c>
      <c r="AF3" s="200">
        <f t="shared" si="0"/>
        <v>0</v>
      </c>
      <c r="AG3" s="200">
        <f t="shared" si="0"/>
        <v>8658</v>
      </c>
      <c r="AH3" s="200">
        <f t="shared" si="0"/>
        <v>215482</v>
      </c>
      <c r="AI3" s="200">
        <f t="shared" si="0"/>
        <v>0</v>
      </c>
      <c r="AJ3" s="200">
        <f t="shared" si="0"/>
        <v>0</v>
      </c>
      <c r="AK3" s="200">
        <f t="shared" si="0"/>
        <v>0</v>
      </c>
      <c r="AL3" s="200">
        <f t="shared" si="0"/>
        <v>0</v>
      </c>
      <c r="AM3" s="200">
        <f t="shared" si="0"/>
        <v>111297</v>
      </c>
      <c r="AN3" s="200">
        <f t="shared" si="0"/>
        <v>18089</v>
      </c>
    </row>
    <row r="4" spans="1:40" x14ac:dyDescent="0.3">
      <c r="A4" s="199" t="s">
        <v>134</v>
      </c>
      <c r="B4" s="224">
        <v>1</v>
      </c>
      <c r="C4" s="201" t="s">
        <v>5</v>
      </c>
      <c r="D4" s="202" t="s">
        <v>49</v>
      </c>
      <c r="E4" s="202" t="s">
        <v>128</v>
      </c>
      <c r="F4" s="202" t="s">
        <v>3</v>
      </c>
      <c r="G4" s="202" t="s">
        <v>129</v>
      </c>
      <c r="H4" s="202" t="s">
        <v>130</v>
      </c>
      <c r="I4" s="202" t="s">
        <v>131</v>
      </c>
      <c r="J4" s="202" t="s">
        <v>132</v>
      </c>
      <c r="K4" s="202">
        <v>305</v>
      </c>
      <c r="L4" s="202">
        <v>306</v>
      </c>
      <c r="M4" s="202">
        <v>408</v>
      </c>
      <c r="N4" s="202">
        <v>409</v>
      </c>
      <c r="O4" s="202">
        <v>410</v>
      </c>
      <c r="P4" s="202">
        <v>415</v>
      </c>
      <c r="Q4" s="202">
        <v>416</v>
      </c>
      <c r="R4" s="202">
        <v>418</v>
      </c>
      <c r="S4" s="202">
        <v>419</v>
      </c>
      <c r="T4" s="202">
        <v>420</v>
      </c>
      <c r="U4" s="202">
        <v>421</v>
      </c>
      <c r="V4" s="202">
        <v>522</v>
      </c>
      <c r="W4" s="202">
        <v>523</v>
      </c>
      <c r="X4" s="202">
        <v>524</v>
      </c>
      <c r="Y4" s="202">
        <v>525</v>
      </c>
      <c r="Z4" s="202">
        <v>526</v>
      </c>
      <c r="AA4" s="202">
        <v>527</v>
      </c>
      <c r="AB4" s="202">
        <v>528</v>
      </c>
      <c r="AC4" s="202">
        <v>629</v>
      </c>
      <c r="AD4" s="202">
        <v>630</v>
      </c>
      <c r="AE4" s="202">
        <v>636</v>
      </c>
      <c r="AF4" s="202">
        <v>637</v>
      </c>
      <c r="AG4" s="202">
        <v>640</v>
      </c>
      <c r="AH4" s="202">
        <v>642</v>
      </c>
      <c r="AI4" s="202">
        <v>743</v>
      </c>
      <c r="AJ4" s="202">
        <v>745</v>
      </c>
      <c r="AK4" s="202">
        <v>746</v>
      </c>
      <c r="AL4" s="202">
        <v>747</v>
      </c>
      <c r="AM4" s="202">
        <v>930</v>
      </c>
      <c r="AN4" s="202">
        <v>940</v>
      </c>
    </row>
    <row r="5" spans="1:40" x14ac:dyDescent="0.3">
      <c r="A5" s="199" t="s">
        <v>135</v>
      </c>
      <c r="B5" s="224">
        <v>2</v>
      </c>
      <c r="C5" s="199">
        <v>38</v>
      </c>
      <c r="D5" s="199">
        <v>1</v>
      </c>
      <c r="E5" s="199">
        <v>1</v>
      </c>
      <c r="F5" s="199">
        <v>26.8</v>
      </c>
      <c r="G5" s="199">
        <v>0</v>
      </c>
      <c r="H5" s="199">
        <v>5.8</v>
      </c>
      <c r="I5" s="199">
        <v>0</v>
      </c>
      <c r="J5" s="199">
        <v>0</v>
      </c>
      <c r="K5" s="199">
        <v>0</v>
      </c>
      <c r="L5" s="199">
        <v>0</v>
      </c>
      <c r="M5" s="199">
        <v>0</v>
      </c>
      <c r="N5" s="199">
        <v>9</v>
      </c>
      <c r="O5" s="199">
        <v>0</v>
      </c>
      <c r="P5" s="199">
        <v>0</v>
      </c>
      <c r="Q5" s="199">
        <v>0</v>
      </c>
      <c r="R5" s="199">
        <v>0</v>
      </c>
      <c r="S5" s="199">
        <v>0</v>
      </c>
      <c r="T5" s="199">
        <v>0</v>
      </c>
      <c r="U5" s="199">
        <v>0</v>
      </c>
      <c r="V5" s="199">
        <v>0</v>
      </c>
      <c r="W5" s="199">
        <v>0</v>
      </c>
      <c r="X5" s="199">
        <v>0</v>
      </c>
      <c r="Y5" s="199">
        <v>0</v>
      </c>
      <c r="Z5" s="199">
        <v>4</v>
      </c>
      <c r="AA5" s="199">
        <v>0</v>
      </c>
      <c r="AB5" s="199">
        <v>0</v>
      </c>
      <c r="AC5" s="199">
        <v>0</v>
      </c>
      <c r="AD5" s="199">
        <v>0</v>
      </c>
      <c r="AE5" s="199">
        <v>0</v>
      </c>
      <c r="AF5" s="199">
        <v>0</v>
      </c>
      <c r="AG5" s="199">
        <v>0</v>
      </c>
      <c r="AH5" s="199">
        <v>5</v>
      </c>
      <c r="AI5" s="199">
        <v>0</v>
      </c>
      <c r="AJ5" s="199">
        <v>0</v>
      </c>
      <c r="AK5" s="199">
        <v>0</v>
      </c>
      <c r="AL5" s="199">
        <v>0</v>
      </c>
      <c r="AM5" s="199">
        <v>2.5</v>
      </c>
      <c r="AN5" s="199">
        <v>0.5</v>
      </c>
    </row>
    <row r="6" spans="1:40" x14ac:dyDescent="0.3">
      <c r="A6" s="199" t="s">
        <v>136</v>
      </c>
      <c r="B6" s="224">
        <v>3</v>
      </c>
      <c r="C6" s="199">
        <v>38</v>
      </c>
      <c r="D6" s="199">
        <v>1</v>
      </c>
      <c r="E6" s="199">
        <v>2</v>
      </c>
      <c r="F6" s="199">
        <v>4260</v>
      </c>
      <c r="G6" s="199">
        <v>0</v>
      </c>
      <c r="H6" s="199">
        <v>1008</v>
      </c>
      <c r="I6" s="199">
        <v>0</v>
      </c>
      <c r="J6" s="199">
        <v>0</v>
      </c>
      <c r="K6" s="199">
        <v>0</v>
      </c>
      <c r="L6" s="199">
        <v>0</v>
      </c>
      <c r="M6" s="199">
        <v>0</v>
      </c>
      <c r="N6" s="199">
        <v>1352</v>
      </c>
      <c r="O6" s="199">
        <v>0</v>
      </c>
      <c r="P6" s="199">
        <v>0</v>
      </c>
      <c r="Q6" s="199">
        <v>0</v>
      </c>
      <c r="R6" s="199">
        <v>0</v>
      </c>
      <c r="S6" s="199">
        <v>0</v>
      </c>
      <c r="T6" s="199">
        <v>0</v>
      </c>
      <c r="U6" s="199">
        <v>0</v>
      </c>
      <c r="V6" s="199">
        <v>0</v>
      </c>
      <c r="W6" s="199">
        <v>0</v>
      </c>
      <c r="X6" s="199">
        <v>0</v>
      </c>
      <c r="Y6" s="199">
        <v>0</v>
      </c>
      <c r="Z6" s="199">
        <v>592</v>
      </c>
      <c r="AA6" s="199">
        <v>0</v>
      </c>
      <c r="AB6" s="199">
        <v>0</v>
      </c>
      <c r="AC6" s="199">
        <v>0</v>
      </c>
      <c r="AD6" s="199">
        <v>0</v>
      </c>
      <c r="AE6" s="199">
        <v>0</v>
      </c>
      <c r="AF6" s="199">
        <v>0</v>
      </c>
      <c r="AG6" s="199">
        <v>0</v>
      </c>
      <c r="AH6" s="199">
        <v>824</v>
      </c>
      <c r="AI6" s="199">
        <v>0</v>
      </c>
      <c r="AJ6" s="199">
        <v>0</v>
      </c>
      <c r="AK6" s="199">
        <v>0</v>
      </c>
      <c r="AL6" s="199">
        <v>0</v>
      </c>
      <c r="AM6" s="199">
        <v>396</v>
      </c>
      <c r="AN6" s="199">
        <v>88</v>
      </c>
    </row>
    <row r="7" spans="1:40" x14ac:dyDescent="0.3">
      <c r="A7" s="199" t="s">
        <v>137</v>
      </c>
      <c r="B7" s="224">
        <v>4</v>
      </c>
      <c r="C7" s="199">
        <v>38</v>
      </c>
      <c r="D7" s="199">
        <v>1</v>
      </c>
      <c r="E7" s="199">
        <v>3</v>
      </c>
      <c r="F7" s="199">
        <v>32</v>
      </c>
      <c r="G7" s="199">
        <v>0</v>
      </c>
      <c r="H7" s="199">
        <v>0</v>
      </c>
      <c r="I7" s="199">
        <v>0</v>
      </c>
      <c r="J7" s="199">
        <v>0</v>
      </c>
      <c r="K7" s="199">
        <v>0</v>
      </c>
      <c r="L7" s="199">
        <v>0</v>
      </c>
      <c r="M7" s="199">
        <v>0</v>
      </c>
      <c r="N7" s="199">
        <v>0</v>
      </c>
      <c r="O7" s="199">
        <v>0</v>
      </c>
      <c r="P7" s="199">
        <v>0</v>
      </c>
      <c r="Q7" s="199">
        <v>0</v>
      </c>
      <c r="R7" s="199">
        <v>0</v>
      </c>
      <c r="S7" s="199">
        <v>0</v>
      </c>
      <c r="T7" s="199">
        <v>0</v>
      </c>
      <c r="U7" s="199">
        <v>0</v>
      </c>
      <c r="V7" s="199">
        <v>0</v>
      </c>
      <c r="W7" s="199">
        <v>0</v>
      </c>
      <c r="X7" s="199">
        <v>0</v>
      </c>
      <c r="Y7" s="199">
        <v>0</v>
      </c>
      <c r="Z7" s="199">
        <v>32</v>
      </c>
      <c r="AA7" s="199">
        <v>0</v>
      </c>
      <c r="AB7" s="199">
        <v>0</v>
      </c>
      <c r="AC7" s="199">
        <v>0</v>
      </c>
      <c r="AD7" s="199">
        <v>0</v>
      </c>
      <c r="AE7" s="199">
        <v>0</v>
      </c>
      <c r="AF7" s="199">
        <v>0</v>
      </c>
      <c r="AG7" s="199">
        <v>0</v>
      </c>
      <c r="AH7" s="199">
        <v>0</v>
      </c>
      <c r="AI7" s="199">
        <v>0</v>
      </c>
      <c r="AJ7" s="199">
        <v>0</v>
      </c>
      <c r="AK7" s="199">
        <v>0</v>
      </c>
      <c r="AL7" s="199">
        <v>0</v>
      </c>
      <c r="AM7" s="199">
        <v>0</v>
      </c>
      <c r="AN7" s="199">
        <v>0</v>
      </c>
    </row>
    <row r="8" spans="1:40" x14ac:dyDescent="0.3">
      <c r="A8" s="199" t="s">
        <v>138</v>
      </c>
      <c r="B8" s="224">
        <v>5</v>
      </c>
      <c r="C8" s="199">
        <v>38</v>
      </c>
      <c r="D8" s="199">
        <v>1</v>
      </c>
      <c r="E8" s="199">
        <v>4</v>
      </c>
      <c r="F8" s="199">
        <v>109.5</v>
      </c>
      <c r="G8" s="199">
        <v>0</v>
      </c>
      <c r="H8" s="199">
        <v>0</v>
      </c>
      <c r="I8" s="199">
        <v>0</v>
      </c>
      <c r="J8" s="199">
        <v>0</v>
      </c>
      <c r="K8" s="199">
        <v>0</v>
      </c>
      <c r="L8" s="199">
        <v>0</v>
      </c>
      <c r="M8" s="199">
        <v>0</v>
      </c>
      <c r="N8" s="199">
        <v>0</v>
      </c>
      <c r="O8" s="199">
        <v>0</v>
      </c>
      <c r="P8" s="199">
        <v>0</v>
      </c>
      <c r="Q8" s="199">
        <v>0</v>
      </c>
      <c r="R8" s="199">
        <v>0</v>
      </c>
      <c r="S8" s="199">
        <v>0</v>
      </c>
      <c r="T8" s="199">
        <v>0</v>
      </c>
      <c r="U8" s="199">
        <v>0</v>
      </c>
      <c r="V8" s="199">
        <v>0</v>
      </c>
      <c r="W8" s="199">
        <v>0</v>
      </c>
      <c r="X8" s="199">
        <v>0</v>
      </c>
      <c r="Y8" s="199">
        <v>0</v>
      </c>
      <c r="Z8" s="199">
        <v>88</v>
      </c>
      <c r="AA8" s="199">
        <v>0</v>
      </c>
      <c r="AB8" s="199">
        <v>0</v>
      </c>
      <c r="AC8" s="199">
        <v>0</v>
      </c>
      <c r="AD8" s="199">
        <v>0</v>
      </c>
      <c r="AE8" s="199">
        <v>0</v>
      </c>
      <c r="AF8" s="199">
        <v>0</v>
      </c>
      <c r="AG8" s="199">
        <v>3</v>
      </c>
      <c r="AH8" s="199">
        <v>18.5</v>
      </c>
      <c r="AI8" s="199">
        <v>0</v>
      </c>
      <c r="AJ8" s="199">
        <v>0</v>
      </c>
      <c r="AK8" s="199">
        <v>0</v>
      </c>
      <c r="AL8" s="199">
        <v>0</v>
      </c>
      <c r="AM8" s="199">
        <v>0</v>
      </c>
      <c r="AN8" s="199">
        <v>0</v>
      </c>
    </row>
    <row r="9" spans="1:40" x14ac:dyDescent="0.3">
      <c r="A9" s="199" t="s">
        <v>139</v>
      </c>
      <c r="B9" s="224">
        <v>6</v>
      </c>
      <c r="C9" s="199">
        <v>38</v>
      </c>
      <c r="D9" s="199">
        <v>1</v>
      </c>
      <c r="E9" s="199">
        <v>5</v>
      </c>
      <c r="F9" s="199">
        <v>863</v>
      </c>
      <c r="G9" s="199">
        <v>863</v>
      </c>
      <c r="H9" s="199">
        <v>0</v>
      </c>
      <c r="I9" s="199">
        <v>0</v>
      </c>
      <c r="J9" s="199">
        <v>0</v>
      </c>
      <c r="K9" s="199">
        <v>0</v>
      </c>
      <c r="L9" s="199">
        <v>0</v>
      </c>
      <c r="M9" s="199">
        <v>0</v>
      </c>
      <c r="N9" s="199">
        <v>0</v>
      </c>
      <c r="O9" s="199">
        <v>0</v>
      </c>
      <c r="P9" s="199">
        <v>0</v>
      </c>
      <c r="Q9" s="199">
        <v>0</v>
      </c>
      <c r="R9" s="199">
        <v>0</v>
      </c>
      <c r="S9" s="199">
        <v>0</v>
      </c>
      <c r="T9" s="199">
        <v>0</v>
      </c>
      <c r="U9" s="199">
        <v>0</v>
      </c>
      <c r="V9" s="199">
        <v>0</v>
      </c>
      <c r="W9" s="199">
        <v>0</v>
      </c>
      <c r="X9" s="199">
        <v>0</v>
      </c>
      <c r="Y9" s="199">
        <v>0</v>
      </c>
      <c r="Z9" s="199">
        <v>0</v>
      </c>
      <c r="AA9" s="199">
        <v>0</v>
      </c>
      <c r="AB9" s="199">
        <v>0</v>
      </c>
      <c r="AC9" s="199">
        <v>0</v>
      </c>
      <c r="AD9" s="199">
        <v>0</v>
      </c>
      <c r="AE9" s="199">
        <v>0</v>
      </c>
      <c r="AF9" s="199">
        <v>0</v>
      </c>
      <c r="AG9" s="199">
        <v>0</v>
      </c>
      <c r="AH9" s="199">
        <v>0</v>
      </c>
      <c r="AI9" s="199">
        <v>0</v>
      </c>
      <c r="AJ9" s="199">
        <v>0</v>
      </c>
      <c r="AK9" s="199">
        <v>0</v>
      </c>
      <c r="AL9" s="199">
        <v>0</v>
      </c>
      <c r="AM9" s="199">
        <v>0</v>
      </c>
      <c r="AN9" s="199">
        <v>0</v>
      </c>
    </row>
    <row r="10" spans="1:40" x14ac:dyDescent="0.3">
      <c r="A10" s="199" t="s">
        <v>140</v>
      </c>
      <c r="B10" s="224">
        <v>7</v>
      </c>
      <c r="C10" s="199">
        <v>38</v>
      </c>
      <c r="D10" s="199">
        <v>1</v>
      </c>
      <c r="E10" s="199">
        <v>6</v>
      </c>
      <c r="F10" s="199">
        <v>1041360</v>
      </c>
      <c r="G10" s="199">
        <v>115440</v>
      </c>
      <c r="H10" s="199">
        <v>274440</v>
      </c>
      <c r="I10" s="199">
        <v>0</v>
      </c>
      <c r="J10" s="199">
        <v>0</v>
      </c>
      <c r="K10" s="199">
        <v>0</v>
      </c>
      <c r="L10" s="199">
        <v>0</v>
      </c>
      <c r="M10" s="199">
        <v>0</v>
      </c>
      <c r="N10" s="199">
        <v>223139</v>
      </c>
      <c r="O10" s="199">
        <v>0</v>
      </c>
      <c r="P10" s="199">
        <v>0</v>
      </c>
      <c r="Q10" s="199">
        <v>0</v>
      </c>
      <c r="R10" s="199">
        <v>0</v>
      </c>
      <c r="S10" s="199">
        <v>0</v>
      </c>
      <c r="T10" s="199">
        <v>0</v>
      </c>
      <c r="U10" s="199">
        <v>0</v>
      </c>
      <c r="V10" s="199">
        <v>0</v>
      </c>
      <c r="W10" s="199">
        <v>0</v>
      </c>
      <c r="X10" s="199">
        <v>0</v>
      </c>
      <c r="Y10" s="199">
        <v>0</v>
      </c>
      <c r="Z10" s="199">
        <v>260563</v>
      </c>
      <c r="AA10" s="199">
        <v>0</v>
      </c>
      <c r="AB10" s="199">
        <v>0</v>
      </c>
      <c r="AC10" s="199">
        <v>0</v>
      </c>
      <c r="AD10" s="199">
        <v>0</v>
      </c>
      <c r="AE10" s="199">
        <v>0</v>
      </c>
      <c r="AF10" s="199">
        <v>0</v>
      </c>
      <c r="AG10" s="199">
        <v>3043</v>
      </c>
      <c r="AH10" s="199">
        <v>100266</v>
      </c>
      <c r="AI10" s="199">
        <v>0</v>
      </c>
      <c r="AJ10" s="199">
        <v>0</v>
      </c>
      <c r="AK10" s="199">
        <v>0</v>
      </c>
      <c r="AL10" s="199">
        <v>0</v>
      </c>
      <c r="AM10" s="199">
        <v>55509</v>
      </c>
      <c r="AN10" s="199">
        <v>8960</v>
      </c>
    </row>
    <row r="11" spans="1:40" x14ac:dyDescent="0.3">
      <c r="A11" s="199" t="s">
        <v>141</v>
      </c>
      <c r="B11" s="224">
        <v>8</v>
      </c>
      <c r="C11" s="199">
        <v>38</v>
      </c>
      <c r="D11" s="199">
        <v>1</v>
      </c>
      <c r="E11" s="199">
        <v>9</v>
      </c>
      <c r="F11" s="199">
        <v>16456</v>
      </c>
      <c r="G11" s="199">
        <v>0</v>
      </c>
      <c r="H11" s="199">
        <v>0</v>
      </c>
      <c r="I11" s="199">
        <v>0</v>
      </c>
      <c r="J11" s="199">
        <v>0</v>
      </c>
      <c r="K11" s="199">
        <v>0</v>
      </c>
      <c r="L11" s="199">
        <v>0</v>
      </c>
      <c r="M11" s="199">
        <v>0</v>
      </c>
      <c r="N11" s="199">
        <v>0</v>
      </c>
      <c r="O11" s="199">
        <v>0</v>
      </c>
      <c r="P11" s="199">
        <v>0</v>
      </c>
      <c r="Q11" s="199">
        <v>0</v>
      </c>
      <c r="R11" s="199">
        <v>0</v>
      </c>
      <c r="S11" s="199">
        <v>0</v>
      </c>
      <c r="T11" s="199">
        <v>0</v>
      </c>
      <c r="U11" s="199">
        <v>0</v>
      </c>
      <c r="V11" s="199">
        <v>0</v>
      </c>
      <c r="W11" s="199">
        <v>0</v>
      </c>
      <c r="X11" s="199">
        <v>0</v>
      </c>
      <c r="Y11" s="199">
        <v>0</v>
      </c>
      <c r="Z11" s="199">
        <v>7258</v>
      </c>
      <c r="AA11" s="199">
        <v>0</v>
      </c>
      <c r="AB11" s="199">
        <v>0</v>
      </c>
      <c r="AC11" s="199">
        <v>0</v>
      </c>
      <c r="AD11" s="199">
        <v>0</v>
      </c>
      <c r="AE11" s="199">
        <v>0</v>
      </c>
      <c r="AF11" s="199">
        <v>0</v>
      </c>
      <c r="AG11" s="199">
        <v>1540</v>
      </c>
      <c r="AH11" s="199">
        <v>7658</v>
      </c>
      <c r="AI11" s="199">
        <v>0</v>
      </c>
      <c r="AJ11" s="199">
        <v>0</v>
      </c>
      <c r="AK11" s="199">
        <v>0</v>
      </c>
      <c r="AL11" s="199">
        <v>0</v>
      </c>
      <c r="AM11" s="199">
        <v>0</v>
      </c>
      <c r="AN11" s="199">
        <v>0</v>
      </c>
    </row>
    <row r="12" spans="1:40" x14ac:dyDescent="0.3">
      <c r="A12" s="199" t="s">
        <v>142</v>
      </c>
      <c r="B12" s="224">
        <v>9</v>
      </c>
      <c r="C12" s="199">
        <v>38</v>
      </c>
      <c r="D12" s="199">
        <v>1</v>
      </c>
      <c r="E12" s="199">
        <v>10</v>
      </c>
      <c r="F12" s="199">
        <v>7000</v>
      </c>
      <c r="G12" s="199">
        <v>0</v>
      </c>
      <c r="H12" s="199">
        <v>0</v>
      </c>
      <c r="I12" s="199">
        <v>0</v>
      </c>
      <c r="J12" s="199">
        <v>0</v>
      </c>
      <c r="K12" s="199">
        <v>7000</v>
      </c>
      <c r="L12" s="199">
        <v>0</v>
      </c>
      <c r="M12" s="199">
        <v>0</v>
      </c>
      <c r="N12" s="199">
        <v>0</v>
      </c>
      <c r="O12" s="199">
        <v>0</v>
      </c>
      <c r="P12" s="199">
        <v>0</v>
      </c>
      <c r="Q12" s="199">
        <v>0</v>
      </c>
      <c r="R12" s="199">
        <v>0</v>
      </c>
      <c r="S12" s="199">
        <v>0</v>
      </c>
      <c r="T12" s="199">
        <v>0</v>
      </c>
      <c r="U12" s="199">
        <v>0</v>
      </c>
      <c r="V12" s="199">
        <v>0</v>
      </c>
      <c r="W12" s="199">
        <v>0</v>
      </c>
      <c r="X12" s="199">
        <v>0</v>
      </c>
      <c r="Y12" s="199">
        <v>0</v>
      </c>
      <c r="Z12" s="199">
        <v>0</v>
      </c>
      <c r="AA12" s="199">
        <v>0</v>
      </c>
      <c r="AB12" s="199">
        <v>0</v>
      </c>
      <c r="AC12" s="199">
        <v>0</v>
      </c>
      <c r="AD12" s="199">
        <v>0</v>
      </c>
      <c r="AE12" s="199">
        <v>0</v>
      </c>
      <c r="AF12" s="199">
        <v>0</v>
      </c>
      <c r="AG12" s="199">
        <v>0</v>
      </c>
      <c r="AH12" s="199">
        <v>0</v>
      </c>
      <c r="AI12" s="199">
        <v>0</v>
      </c>
      <c r="AJ12" s="199">
        <v>0</v>
      </c>
      <c r="AK12" s="199">
        <v>0</v>
      </c>
      <c r="AL12" s="199">
        <v>0</v>
      </c>
      <c r="AM12" s="199">
        <v>0</v>
      </c>
      <c r="AN12" s="199">
        <v>0</v>
      </c>
    </row>
    <row r="13" spans="1:40" x14ac:dyDescent="0.3">
      <c r="A13" s="199" t="s">
        <v>143</v>
      </c>
      <c r="B13" s="224">
        <v>10</v>
      </c>
      <c r="C13" s="199">
        <v>38</v>
      </c>
      <c r="D13" s="199">
        <v>1</v>
      </c>
      <c r="E13" s="199">
        <v>11</v>
      </c>
      <c r="F13" s="199">
        <v>4565.5</v>
      </c>
      <c r="G13" s="199">
        <v>0</v>
      </c>
      <c r="H13" s="199">
        <v>2065.5</v>
      </c>
      <c r="I13" s="199">
        <v>0</v>
      </c>
      <c r="J13" s="199">
        <v>0</v>
      </c>
      <c r="K13" s="199">
        <v>2500</v>
      </c>
      <c r="L13" s="199">
        <v>0</v>
      </c>
      <c r="M13" s="199">
        <v>0</v>
      </c>
      <c r="N13" s="199">
        <v>0</v>
      </c>
      <c r="O13" s="199">
        <v>0</v>
      </c>
      <c r="P13" s="199">
        <v>0</v>
      </c>
      <c r="Q13" s="199">
        <v>0</v>
      </c>
      <c r="R13" s="199">
        <v>0</v>
      </c>
      <c r="S13" s="199">
        <v>0</v>
      </c>
      <c r="T13" s="199">
        <v>0</v>
      </c>
      <c r="U13" s="199">
        <v>0</v>
      </c>
      <c r="V13" s="199">
        <v>0</v>
      </c>
      <c r="W13" s="199">
        <v>0</v>
      </c>
      <c r="X13" s="199">
        <v>0</v>
      </c>
      <c r="Y13" s="199">
        <v>0</v>
      </c>
      <c r="Z13" s="199">
        <v>0</v>
      </c>
      <c r="AA13" s="199">
        <v>0</v>
      </c>
      <c r="AB13" s="199">
        <v>0</v>
      </c>
      <c r="AC13" s="199">
        <v>0</v>
      </c>
      <c r="AD13" s="199">
        <v>0</v>
      </c>
      <c r="AE13" s="199">
        <v>0</v>
      </c>
      <c r="AF13" s="199">
        <v>0</v>
      </c>
      <c r="AG13" s="199">
        <v>0</v>
      </c>
      <c r="AH13" s="199">
        <v>0</v>
      </c>
      <c r="AI13" s="199">
        <v>0</v>
      </c>
      <c r="AJ13" s="199">
        <v>0</v>
      </c>
      <c r="AK13" s="199">
        <v>0</v>
      </c>
      <c r="AL13" s="199">
        <v>0</v>
      </c>
      <c r="AM13" s="199">
        <v>0</v>
      </c>
      <c r="AN13" s="199">
        <v>0</v>
      </c>
    </row>
    <row r="14" spans="1:40" x14ac:dyDescent="0.3">
      <c r="A14" s="199" t="s">
        <v>144</v>
      </c>
      <c r="B14" s="224">
        <v>11</v>
      </c>
      <c r="C14" s="199">
        <v>38</v>
      </c>
      <c r="D14" s="199">
        <v>2</v>
      </c>
      <c r="E14" s="199">
        <v>1</v>
      </c>
      <c r="F14" s="199">
        <v>26.8</v>
      </c>
      <c r="G14" s="199">
        <v>0</v>
      </c>
      <c r="H14" s="199">
        <v>5.8</v>
      </c>
      <c r="I14" s="199">
        <v>0</v>
      </c>
      <c r="J14" s="199">
        <v>0</v>
      </c>
      <c r="K14" s="199">
        <v>0</v>
      </c>
      <c r="L14" s="199">
        <v>0</v>
      </c>
      <c r="M14" s="199">
        <v>0</v>
      </c>
      <c r="N14" s="199">
        <v>9</v>
      </c>
      <c r="O14" s="199">
        <v>0</v>
      </c>
      <c r="P14" s="199">
        <v>0</v>
      </c>
      <c r="Q14" s="199">
        <v>0</v>
      </c>
      <c r="R14" s="199">
        <v>0</v>
      </c>
      <c r="S14" s="199">
        <v>0</v>
      </c>
      <c r="T14" s="199">
        <v>0</v>
      </c>
      <c r="U14" s="199">
        <v>0</v>
      </c>
      <c r="V14" s="199">
        <v>0</v>
      </c>
      <c r="W14" s="199">
        <v>0</v>
      </c>
      <c r="X14" s="199">
        <v>0</v>
      </c>
      <c r="Y14" s="199">
        <v>0</v>
      </c>
      <c r="Z14" s="199">
        <v>4</v>
      </c>
      <c r="AA14" s="199">
        <v>0</v>
      </c>
      <c r="AB14" s="199">
        <v>0</v>
      </c>
      <c r="AC14" s="199">
        <v>0</v>
      </c>
      <c r="AD14" s="199">
        <v>0</v>
      </c>
      <c r="AE14" s="199">
        <v>0</v>
      </c>
      <c r="AF14" s="199">
        <v>0</v>
      </c>
      <c r="AG14" s="199">
        <v>0</v>
      </c>
      <c r="AH14" s="199">
        <v>5</v>
      </c>
      <c r="AI14" s="199">
        <v>0</v>
      </c>
      <c r="AJ14" s="199">
        <v>0</v>
      </c>
      <c r="AK14" s="199">
        <v>0</v>
      </c>
      <c r="AL14" s="199">
        <v>0</v>
      </c>
      <c r="AM14" s="199">
        <v>2.5</v>
      </c>
      <c r="AN14" s="199">
        <v>0.5</v>
      </c>
    </row>
    <row r="15" spans="1:40" x14ac:dyDescent="0.3">
      <c r="A15" s="199" t="s">
        <v>145</v>
      </c>
      <c r="B15" s="224">
        <v>12</v>
      </c>
      <c r="C15" s="199">
        <v>38</v>
      </c>
      <c r="D15" s="199">
        <v>2</v>
      </c>
      <c r="E15" s="199">
        <v>2</v>
      </c>
      <c r="F15" s="199">
        <v>3898.4</v>
      </c>
      <c r="G15" s="199">
        <v>0</v>
      </c>
      <c r="H15" s="199">
        <v>904</v>
      </c>
      <c r="I15" s="199">
        <v>0</v>
      </c>
      <c r="J15" s="199">
        <v>0</v>
      </c>
      <c r="K15" s="199">
        <v>0</v>
      </c>
      <c r="L15" s="199">
        <v>0</v>
      </c>
      <c r="M15" s="199">
        <v>0</v>
      </c>
      <c r="N15" s="199">
        <v>1240</v>
      </c>
      <c r="O15" s="199">
        <v>0</v>
      </c>
      <c r="P15" s="199">
        <v>0</v>
      </c>
      <c r="Q15" s="199">
        <v>0</v>
      </c>
      <c r="R15" s="199">
        <v>0</v>
      </c>
      <c r="S15" s="199">
        <v>0</v>
      </c>
      <c r="T15" s="199">
        <v>0</v>
      </c>
      <c r="U15" s="199">
        <v>0</v>
      </c>
      <c r="V15" s="199">
        <v>0</v>
      </c>
      <c r="W15" s="199">
        <v>0</v>
      </c>
      <c r="X15" s="199">
        <v>0</v>
      </c>
      <c r="Y15" s="199">
        <v>0</v>
      </c>
      <c r="Z15" s="199">
        <v>526.4</v>
      </c>
      <c r="AA15" s="199">
        <v>0</v>
      </c>
      <c r="AB15" s="199">
        <v>0</v>
      </c>
      <c r="AC15" s="199">
        <v>0</v>
      </c>
      <c r="AD15" s="199">
        <v>0</v>
      </c>
      <c r="AE15" s="199">
        <v>0</v>
      </c>
      <c r="AF15" s="199">
        <v>0</v>
      </c>
      <c r="AG15" s="199">
        <v>0</v>
      </c>
      <c r="AH15" s="199">
        <v>784</v>
      </c>
      <c r="AI15" s="199">
        <v>0</v>
      </c>
      <c r="AJ15" s="199">
        <v>0</v>
      </c>
      <c r="AK15" s="199">
        <v>0</v>
      </c>
      <c r="AL15" s="199">
        <v>0</v>
      </c>
      <c r="AM15" s="199">
        <v>364</v>
      </c>
      <c r="AN15" s="199">
        <v>80</v>
      </c>
    </row>
    <row r="16" spans="1:40" x14ac:dyDescent="0.3">
      <c r="A16" s="199" t="s">
        <v>133</v>
      </c>
      <c r="B16" s="224">
        <v>2015</v>
      </c>
      <c r="C16" s="199">
        <v>38</v>
      </c>
      <c r="D16" s="199">
        <v>2</v>
      </c>
      <c r="E16" s="199">
        <v>3</v>
      </c>
      <c r="F16" s="199">
        <v>33.6</v>
      </c>
      <c r="G16" s="199">
        <v>0</v>
      </c>
      <c r="H16" s="199">
        <v>0</v>
      </c>
      <c r="I16" s="199">
        <v>0</v>
      </c>
      <c r="J16" s="199">
        <v>0</v>
      </c>
      <c r="K16" s="199">
        <v>0</v>
      </c>
      <c r="L16" s="199">
        <v>0</v>
      </c>
      <c r="M16" s="199">
        <v>0</v>
      </c>
      <c r="N16" s="199">
        <v>0</v>
      </c>
      <c r="O16" s="199">
        <v>0</v>
      </c>
      <c r="P16" s="199">
        <v>0</v>
      </c>
      <c r="Q16" s="199">
        <v>0</v>
      </c>
      <c r="R16" s="199">
        <v>0</v>
      </c>
      <c r="S16" s="199">
        <v>0</v>
      </c>
      <c r="T16" s="199">
        <v>0</v>
      </c>
      <c r="U16" s="199">
        <v>0</v>
      </c>
      <c r="V16" s="199">
        <v>0</v>
      </c>
      <c r="W16" s="199">
        <v>0</v>
      </c>
      <c r="X16" s="199">
        <v>0</v>
      </c>
      <c r="Y16" s="199">
        <v>0</v>
      </c>
      <c r="Z16" s="199">
        <v>33.6</v>
      </c>
      <c r="AA16" s="199">
        <v>0</v>
      </c>
      <c r="AB16" s="199">
        <v>0</v>
      </c>
      <c r="AC16" s="199">
        <v>0</v>
      </c>
      <c r="AD16" s="199">
        <v>0</v>
      </c>
      <c r="AE16" s="199">
        <v>0</v>
      </c>
      <c r="AF16" s="199">
        <v>0</v>
      </c>
      <c r="AG16" s="199">
        <v>0</v>
      </c>
      <c r="AH16" s="199">
        <v>0</v>
      </c>
      <c r="AI16" s="199">
        <v>0</v>
      </c>
      <c r="AJ16" s="199">
        <v>0</v>
      </c>
      <c r="AK16" s="199">
        <v>0</v>
      </c>
      <c r="AL16" s="199">
        <v>0</v>
      </c>
      <c r="AM16" s="199">
        <v>0</v>
      </c>
      <c r="AN16" s="199">
        <v>0</v>
      </c>
    </row>
    <row r="17" spans="3:40" x14ac:dyDescent="0.3">
      <c r="C17" s="199">
        <v>38</v>
      </c>
      <c r="D17" s="199">
        <v>2</v>
      </c>
      <c r="E17" s="199">
        <v>4</v>
      </c>
      <c r="F17" s="199">
        <v>101.5</v>
      </c>
      <c r="G17" s="199">
        <v>0</v>
      </c>
      <c r="H17" s="199">
        <v>0</v>
      </c>
      <c r="I17" s="199">
        <v>0</v>
      </c>
      <c r="J17" s="199">
        <v>0</v>
      </c>
      <c r="K17" s="199">
        <v>0</v>
      </c>
      <c r="L17" s="199">
        <v>0</v>
      </c>
      <c r="M17" s="199">
        <v>0</v>
      </c>
      <c r="N17" s="199">
        <v>0</v>
      </c>
      <c r="O17" s="199">
        <v>0</v>
      </c>
      <c r="P17" s="199">
        <v>0</v>
      </c>
      <c r="Q17" s="199">
        <v>0</v>
      </c>
      <c r="R17" s="199">
        <v>0</v>
      </c>
      <c r="S17" s="199">
        <v>0</v>
      </c>
      <c r="T17" s="199">
        <v>0</v>
      </c>
      <c r="U17" s="199">
        <v>0</v>
      </c>
      <c r="V17" s="199">
        <v>0</v>
      </c>
      <c r="W17" s="199">
        <v>0</v>
      </c>
      <c r="X17" s="199">
        <v>0</v>
      </c>
      <c r="Y17" s="199">
        <v>0</v>
      </c>
      <c r="Z17" s="199">
        <v>79</v>
      </c>
      <c r="AA17" s="199">
        <v>0</v>
      </c>
      <c r="AB17" s="199">
        <v>0</v>
      </c>
      <c r="AC17" s="199">
        <v>0</v>
      </c>
      <c r="AD17" s="199">
        <v>0</v>
      </c>
      <c r="AE17" s="199">
        <v>0</v>
      </c>
      <c r="AF17" s="199">
        <v>0</v>
      </c>
      <c r="AG17" s="199">
        <v>6</v>
      </c>
      <c r="AH17" s="199">
        <v>16.5</v>
      </c>
      <c r="AI17" s="199">
        <v>0</v>
      </c>
      <c r="AJ17" s="199">
        <v>0</v>
      </c>
      <c r="AK17" s="199">
        <v>0</v>
      </c>
      <c r="AL17" s="199">
        <v>0</v>
      </c>
      <c r="AM17" s="199">
        <v>0</v>
      </c>
      <c r="AN17" s="199">
        <v>0</v>
      </c>
    </row>
    <row r="18" spans="3:40" x14ac:dyDescent="0.3">
      <c r="C18" s="199">
        <v>38</v>
      </c>
      <c r="D18" s="199">
        <v>2</v>
      </c>
      <c r="E18" s="199">
        <v>5</v>
      </c>
      <c r="F18" s="199">
        <v>803</v>
      </c>
      <c r="G18" s="199">
        <v>803</v>
      </c>
      <c r="H18" s="199">
        <v>0</v>
      </c>
      <c r="I18" s="199">
        <v>0</v>
      </c>
      <c r="J18" s="199">
        <v>0</v>
      </c>
      <c r="K18" s="199">
        <v>0</v>
      </c>
      <c r="L18" s="199">
        <v>0</v>
      </c>
      <c r="M18" s="199">
        <v>0</v>
      </c>
      <c r="N18" s="199">
        <v>0</v>
      </c>
      <c r="O18" s="199">
        <v>0</v>
      </c>
      <c r="P18" s="199">
        <v>0</v>
      </c>
      <c r="Q18" s="199">
        <v>0</v>
      </c>
      <c r="R18" s="199">
        <v>0</v>
      </c>
      <c r="S18" s="199">
        <v>0</v>
      </c>
      <c r="T18" s="199">
        <v>0</v>
      </c>
      <c r="U18" s="199">
        <v>0</v>
      </c>
      <c r="V18" s="199">
        <v>0</v>
      </c>
      <c r="W18" s="199">
        <v>0</v>
      </c>
      <c r="X18" s="199">
        <v>0</v>
      </c>
      <c r="Y18" s="199">
        <v>0</v>
      </c>
      <c r="Z18" s="199">
        <v>0</v>
      </c>
      <c r="AA18" s="199">
        <v>0</v>
      </c>
      <c r="AB18" s="199">
        <v>0</v>
      </c>
      <c r="AC18" s="199">
        <v>0</v>
      </c>
      <c r="AD18" s="199">
        <v>0</v>
      </c>
      <c r="AE18" s="199">
        <v>0</v>
      </c>
      <c r="AF18" s="199">
        <v>0</v>
      </c>
      <c r="AG18" s="199">
        <v>0</v>
      </c>
      <c r="AH18" s="199">
        <v>0</v>
      </c>
      <c r="AI18" s="199">
        <v>0</v>
      </c>
      <c r="AJ18" s="199">
        <v>0</v>
      </c>
      <c r="AK18" s="199">
        <v>0</v>
      </c>
      <c r="AL18" s="199">
        <v>0</v>
      </c>
      <c r="AM18" s="199">
        <v>0</v>
      </c>
      <c r="AN18" s="199">
        <v>0</v>
      </c>
    </row>
    <row r="19" spans="3:40" x14ac:dyDescent="0.3">
      <c r="C19" s="199">
        <v>38</v>
      </c>
      <c r="D19" s="199">
        <v>2</v>
      </c>
      <c r="E19" s="199">
        <v>6</v>
      </c>
      <c r="F19" s="199">
        <v>1003885</v>
      </c>
      <c r="G19" s="199">
        <v>105270</v>
      </c>
      <c r="H19" s="199">
        <v>277682</v>
      </c>
      <c r="I19" s="199">
        <v>0</v>
      </c>
      <c r="J19" s="199">
        <v>0</v>
      </c>
      <c r="K19" s="199">
        <v>0</v>
      </c>
      <c r="L19" s="199">
        <v>0</v>
      </c>
      <c r="M19" s="199">
        <v>0</v>
      </c>
      <c r="N19" s="199">
        <v>218248</v>
      </c>
      <c r="O19" s="199">
        <v>0</v>
      </c>
      <c r="P19" s="199">
        <v>0</v>
      </c>
      <c r="Q19" s="199">
        <v>0</v>
      </c>
      <c r="R19" s="199">
        <v>0</v>
      </c>
      <c r="S19" s="199">
        <v>0</v>
      </c>
      <c r="T19" s="199">
        <v>0</v>
      </c>
      <c r="U19" s="199">
        <v>0</v>
      </c>
      <c r="V19" s="199">
        <v>0</v>
      </c>
      <c r="W19" s="199">
        <v>0</v>
      </c>
      <c r="X19" s="199">
        <v>0</v>
      </c>
      <c r="Y19" s="199">
        <v>0</v>
      </c>
      <c r="Z19" s="199">
        <v>236944</v>
      </c>
      <c r="AA19" s="199">
        <v>0</v>
      </c>
      <c r="AB19" s="199">
        <v>0</v>
      </c>
      <c r="AC19" s="199">
        <v>0</v>
      </c>
      <c r="AD19" s="199">
        <v>0</v>
      </c>
      <c r="AE19" s="199">
        <v>0</v>
      </c>
      <c r="AF19" s="199">
        <v>0</v>
      </c>
      <c r="AG19" s="199">
        <v>3023</v>
      </c>
      <c r="AH19" s="199">
        <v>98735</v>
      </c>
      <c r="AI19" s="199">
        <v>0</v>
      </c>
      <c r="AJ19" s="199">
        <v>0</v>
      </c>
      <c r="AK19" s="199">
        <v>0</v>
      </c>
      <c r="AL19" s="199">
        <v>0</v>
      </c>
      <c r="AM19" s="199">
        <v>55023</v>
      </c>
      <c r="AN19" s="199">
        <v>8960</v>
      </c>
    </row>
    <row r="20" spans="3:40" x14ac:dyDescent="0.3">
      <c r="C20" s="199">
        <v>38</v>
      </c>
      <c r="D20" s="199">
        <v>2</v>
      </c>
      <c r="E20" s="199">
        <v>9</v>
      </c>
      <c r="F20" s="199">
        <v>14763</v>
      </c>
      <c r="G20" s="199">
        <v>0</v>
      </c>
      <c r="H20" s="199">
        <v>0</v>
      </c>
      <c r="I20" s="199">
        <v>0</v>
      </c>
      <c r="J20" s="199">
        <v>0</v>
      </c>
      <c r="K20" s="199">
        <v>0</v>
      </c>
      <c r="L20" s="199">
        <v>0</v>
      </c>
      <c r="M20" s="199">
        <v>0</v>
      </c>
      <c r="N20" s="199">
        <v>0</v>
      </c>
      <c r="O20" s="199">
        <v>0</v>
      </c>
      <c r="P20" s="199">
        <v>0</v>
      </c>
      <c r="Q20" s="199">
        <v>0</v>
      </c>
      <c r="R20" s="199">
        <v>0</v>
      </c>
      <c r="S20" s="199">
        <v>0</v>
      </c>
      <c r="T20" s="199">
        <v>0</v>
      </c>
      <c r="U20" s="199">
        <v>0</v>
      </c>
      <c r="V20" s="199">
        <v>0</v>
      </c>
      <c r="W20" s="199">
        <v>0</v>
      </c>
      <c r="X20" s="199">
        <v>0</v>
      </c>
      <c r="Y20" s="199">
        <v>0</v>
      </c>
      <c r="Z20" s="199">
        <v>6550</v>
      </c>
      <c r="AA20" s="199">
        <v>0</v>
      </c>
      <c r="AB20" s="199">
        <v>0</v>
      </c>
      <c r="AC20" s="199">
        <v>0</v>
      </c>
      <c r="AD20" s="199">
        <v>0</v>
      </c>
      <c r="AE20" s="199">
        <v>0</v>
      </c>
      <c r="AF20" s="199">
        <v>0</v>
      </c>
      <c r="AG20" s="199">
        <v>1043</v>
      </c>
      <c r="AH20" s="199">
        <v>7170</v>
      </c>
      <c r="AI20" s="199">
        <v>0</v>
      </c>
      <c r="AJ20" s="199">
        <v>0</v>
      </c>
      <c r="AK20" s="199">
        <v>0</v>
      </c>
      <c r="AL20" s="199">
        <v>0</v>
      </c>
      <c r="AM20" s="199">
        <v>0</v>
      </c>
      <c r="AN20" s="199">
        <v>0</v>
      </c>
    </row>
    <row r="21" spans="3:40" x14ac:dyDescent="0.3">
      <c r="C21" s="199">
        <v>38</v>
      </c>
      <c r="D21" s="199">
        <v>2</v>
      </c>
      <c r="E21" s="199">
        <v>10</v>
      </c>
      <c r="F21" s="199">
        <v>1210</v>
      </c>
      <c r="G21" s="199">
        <v>0</v>
      </c>
      <c r="H21" s="199">
        <v>0</v>
      </c>
      <c r="I21" s="199">
        <v>0</v>
      </c>
      <c r="J21" s="199">
        <v>0</v>
      </c>
      <c r="K21" s="199">
        <v>1210</v>
      </c>
      <c r="L21" s="199">
        <v>0</v>
      </c>
      <c r="M21" s="199">
        <v>0</v>
      </c>
      <c r="N21" s="199">
        <v>0</v>
      </c>
      <c r="O21" s="199">
        <v>0</v>
      </c>
      <c r="P21" s="199">
        <v>0</v>
      </c>
      <c r="Q21" s="199">
        <v>0</v>
      </c>
      <c r="R21" s="199">
        <v>0</v>
      </c>
      <c r="S21" s="199">
        <v>0</v>
      </c>
      <c r="T21" s="199">
        <v>0</v>
      </c>
      <c r="U21" s="199">
        <v>0</v>
      </c>
      <c r="V21" s="199">
        <v>0</v>
      </c>
      <c r="W21" s="199">
        <v>0</v>
      </c>
      <c r="X21" s="199">
        <v>0</v>
      </c>
      <c r="Y21" s="199">
        <v>0</v>
      </c>
      <c r="Z21" s="199">
        <v>0</v>
      </c>
      <c r="AA21" s="199">
        <v>0</v>
      </c>
      <c r="AB21" s="199">
        <v>0</v>
      </c>
      <c r="AC21" s="199">
        <v>0</v>
      </c>
      <c r="AD21" s="199">
        <v>0</v>
      </c>
      <c r="AE21" s="199">
        <v>0</v>
      </c>
      <c r="AF21" s="199">
        <v>0</v>
      </c>
      <c r="AG21" s="199">
        <v>0</v>
      </c>
      <c r="AH21" s="199">
        <v>0</v>
      </c>
      <c r="AI21" s="199">
        <v>0</v>
      </c>
      <c r="AJ21" s="199">
        <v>0</v>
      </c>
      <c r="AK21" s="199">
        <v>0</v>
      </c>
      <c r="AL21" s="199">
        <v>0</v>
      </c>
      <c r="AM21" s="199">
        <v>0</v>
      </c>
      <c r="AN21" s="199">
        <v>0</v>
      </c>
    </row>
    <row r="22" spans="3:40" x14ac:dyDescent="0.3">
      <c r="C22" s="199">
        <v>38</v>
      </c>
      <c r="D22" s="199">
        <v>2</v>
      </c>
      <c r="E22" s="199">
        <v>11</v>
      </c>
      <c r="F22" s="199">
        <v>4565.5</v>
      </c>
      <c r="G22" s="199">
        <v>0</v>
      </c>
      <c r="H22" s="199">
        <v>2065.5</v>
      </c>
      <c r="I22" s="199">
        <v>0</v>
      </c>
      <c r="J22" s="199">
        <v>0</v>
      </c>
      <c r="K22" s="199">
        <v>2500</v>
      </c>
      <c r="L22" s="199">
        <v>0</v>
      </c>
      <c r="M22" s="199">
        <v>0</v>
      </c>
      <c r="N22" s="199">
        <v>0</v>
      </c>
      <c r="O22" s="199">
        <v>0</v>
      </c>
      <c r="P22" s="199">
        <v>0</v>
      </c>
      <c r="Q22" s="199">
        <v>0</v>
      </c>
      <c r="R22" s="199">
        <v>0</v>
      </c>
      <c r="S22" s="199">
        <v>0</v>
      </c>
      <c r="T22" s="199">
        <v>0</v>
      </c>
      <c r="U22" s="199">
        <v>0</v>
      </c>
      <c r="V22" s="199">
        <v>0</v>
      </c>
      <c r="W22" s="199">
        <v>0</v>
      </c>
      <c r="X22" s="199">
        <v>0</v>
      </c>
      <c r="Y22" s="199">
        <v>0</v>
      </c>
      <c r="Z22" s="199">
        <v>0</v>
      </c>
      <c r="AA22" s="199">
        <v>0</v>
      </c>
      <c r="AB22" s="199">
        <v>0</v>
      </c>
      <c r="AC22" s="199">
        <v>0</v>
      </c>
      <c r="AD22" s="199">
        <v>0</v>
      </c>
      <c r="AE22" s="199">
        <v>0</v>
      </c>
      <c r="AF22" s="199">
        <v>0</v>
      </c>
      <c r="AG22" s="199">
        <v>0</v>
      </c>
      <c r="AH22" s="199">
        <v>0</v>
      </c>
      <c r="AI22" s="199">
        <v>0</v>
      </c>
      <c r="AJ22" s="199">
        <v>0</v>
      </c>
      <c r="AK22" s="199">
        <v>0</v>
      </c>
      <c r="AL22" s="199">
        <v>0</v>
      </c>
      <c r="AM22" s="199">
        <v>0</v>
      </c>
      <c r="AN22" s="199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pageSetUpPr fitToPage="1"/>
  </sheetPr>
  <dimension ref="A1:S10"/>
  <sheetViews>
    <sheetView showGridLines="0" showRowColHeaders="0" workbookViewId="0">
      <pane ySplit="5" topLeftCell="A6" activePane="bottomLeft" state="frozen"/>
      <selection activeCell="A2" sqref="A2:M2"/>
      <selection pane="bottomLeft" sqref="A1:S1"/>
    </sheetView>
  </sheetViews>
  <sheetFormatPr defaultRowHeight="14.4" customHeight="1" x14ac:dyDescent="0.3"/>
  <cols>
    <col min="1" max="1" width="46.6640625" style="105" bestFit="1" customWidth="1"/>
    <col min="2" max="2" width="7.77734375" style="81" customWidth="1"/>
    <col min="3" max="3" width="5.44140625" style="105" hidden="1" customWidth="1"/>
    <col min="4" max="4" width="7.77734375" style="81" customWidth="1"/>
    <col min="5" max="5" width="5.44140625" style="105" hidden="1" customWidth="1"/>
    <col min="6" max="6" width="7.77734375" style="81" customWidth="1"/>
    <col min="7" max="7" width="7.77734375" style="184" customWidth="1"/>
    <col min="8" max="8" width="7.77734375" style="81" customWidth="1"/>
    <col min="9" max="9" width="5.44140625" style="105" hidden="1" customWidth="1"/>
    <col min="10" max="10" width="7.77734375" style="81" customWidth="1"/>
    <col min="11" max="11" width="5.44140625" style="105" hidden="1" customWidth="1"/>
    <col min="12" max="12" width="7.77734375" style="81" customWidth="1"/>
    <col min="13" max="13" width="7.77734375" style="184" customWidth="1"/>
    <col min="14" max="14" width="7.77734375" style="81" customWidth="1"/>
    <col min="15" max="15" width="5" style="105" hidden="1" customWidth="1"/>
    <col min="16" max="16" width="7.77734375" style="81" customWidth="1"/>
    <col min="17" max="17" width="5" style="105" hidden="1" customWidth="1"/>
    <col min="18" max="18" width="7.77734375" style="81" customWidth="1"/>
    <col min="19" max="19" width="7.77734375" style="184" customWidth="1"/>
    <col min="20" max="16384" width="8.88671875" style="105"/>
  </cols>
  <sheetData>
    <row r="1" spans="1:19" ht="18.600000000000001" customHeight="1" thickBot="1" x14ac:dyDescent="0.4">
      <c r="A1" s="338" t="s">
        <v>536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  <c r="N1" s="293"/>
      <c r="O1" s="293"/>
      <c r="P1" s="293"/>
      <c r="Q1" s="293"/>
      <c r="R1" s="293"/>
      <c r="S1" s="293"/>
    </row>
    <row r="2" spans="1:19" ht="14.4" customHeight="1" thickBot="1" x14ac:dyDescent="0.35">
      <c r="A2" s="203" t="s">
        <v>241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</row>
    <row r="3" spans="1:19" ht="14.4" customHeight="1" thickBot="1" x14ac:dyDescent="0.35">
      <c r="A3" s="189" t="s">
        <v>108</v>
      </c>
      <c r="B3" s="190">
        <f>SUBTOTAL(9,B6:B1048576)</f>
        <v>3029811</v>
      </c>
      <c r="C3" s="191">
        <f t="shared" ref="C3:R3" si="0">SUBTOTAL(9,C6:C1048576)</f>
        <v>2</v>
      </c>
      <c r="D3" s="191">
        <f t="shared" si="0"/>
        <v>2474565</v>
      </c>
      <c r="E3" s="191">
        <f t="shared" si="0"/>
        <v>1.6528722928289377</v>
      </c>
      <c r="F3" s="191">
        <f t="shared" si="0"/>
        <v>3265805</v>
      </c>
      <c r="G3" s="192">
        <f>IF(B3&lt;&gt;0,F3/B3,"")</f>
        <v>1.0778906671076183</v>
      </c>
      <c r="H3" s="193">
        <f t="shared" si="0"/>
        <v>0</v>
      </c>
      <c r="I3" s="191">
        <f t="shared" si="0"/>
        <v>0</v>
      </c>
      <c r="J3" s="191">
        <f t="shared" si="0"/>
        <v>0</v>
      </c>
      <c r="K3" s="191">
        <f t="shared" si="0"/>
        <v>0</v>
      </c>
      <c r="L3" s="191">
        <f t="shared" si="0"/>
        <v>0</v>
      </c>
      <c r="M3" s="194" t="str">
        <f>IF(H3&lt;&gt;0,L3/H3,"")</f>
        <v/>
      </c>
      <c r="N3" s="190">
        <f t="shared" si="0"/>
        <v>0</v>
      </c>
      <c r="O3" s="191">
        <f t="shared" si="0"/>
        <v>0</v>
      </c>
      <c r="P3" s="191">
        <f t="shared" si="0"/>
        <v>0</v>
      </c>
      <c r="Q3" s="191">
        <f t="shared" si="0"/>
        <v>0</v>
      </c>
      <c r="R3" s="191">
        <f t="shared" si="0"/>
        <v>0</v>
      </c>
      <c r="S3" s="192" t="str">
        <f>IF(N3&lt;&gt;0,R3/N3,"")</f>
        <v/>
      </c>
    </row>
    <row r="4" spans="1:19" ht="14.4" customHeight="1" x14ac:dyDescent="0.3">
      <c r="A4" s="339" t="s">
        <v>81</v>
      </c>
      <c r="B4" s="340" t="s">
        <v>82</v>
      </c>
      <c r="C4" s="341"/>
      <c r="D4" s="341"/>
      <c r="E4" s="341"/>
      <c r="F4" s="341"/>
      <c r="G4" s="342"/>
      <c r="H4" s="340" t="s">
        <v>83</v>
      </c>
      <c r="I4" s="341"/>
      <c r="J4" s="341"/>
      <c r="K4" s="341"/>
      <c r="L4" s="341"/>
      <c r="M4" s="342"/>
      <c r="N4" s="340" t="s">
        <v>84</v>
      </c>
      <c r="O4" s="341"/>
      <c r="P4" s="341"/>
      <c r="Q4" s="341"/>
      <c r="R4" s="341"/>
      <c r="S4" s="342"/>
    </row>
    <row r="5" spans="1:19" ht="14.4" customHeight="1" thickBot="1" x14ac:dyDescent="0.35">
      <c r="A5" s="464"/>
      <c r="B5" s="465">
        <v>2013</v>
      </c>
      <c r="C5" s="466"/>
      <c r="D5" s="466">
        <v>2014</v>
      </c>
      <c r="E5" s="466"/>
      <c r="F5" s="466">
        <v>2015</v>
      </c>
      <c r="G5" s="467" t="s">
        <v>2</v>
      </c>
      <c r="H5" s="465">
        <v>2013</v>
      </c>
      <c r="I5" s="466"/>
      <c r="J5" s="466">
        <v>2014</v>
      </c>
      <c r="K5" s="466"/>
      <c r="L5" s="466">
        <v>2015</v>
      </c>
      <c r="M5" s="467" t="s">
        <v>2</v>
      </c>
      <c r="N5" s="465">
        <v>2013</v>
      </c>
      <c r="O5" s="466"/>
      <c r="P5" s="466">
        <v>2014</v>
      </c>
      <c r="Q5" s="466"/>
      <c r="R5" s="466">
        <v>2015</v>
      </c>
      <c r="S5" s="467" t="s">
        <v>2</v>
      </c>
    </row>
    <row r="6" spans="1:19" ht="14.4" customHeight="1" x14ac:dyDescent="0.3">
      <c r="A6" s="397" t="s">
        <v>531</v>
      </c>
      <c r="B6" s="468">
        <v>2394470</v>
      </c>
      <c r="C6" s="420">
        <v>1</v>
      </c>
      <c r="D6" s="468">
        <v>1938885</v>
      </c>
      <c r="E6" s="420">
        <v>0.80973451327433632</v>
      </c>
      <c r="F6" s="468">
        <v>2595450</v>
      </c>
      <c r="G6" s="399">
        <v>1.0839350670503285</v>
      </c>
      <c r="H6" s="468"/>
      <c r="I6" s="420"/>
      <c r="J6" s="468"/>
      <c r="K6" s="420"/>
      <c r="L6" s="468"/>
      <c r="M6" s="399"/>
      <c r="N6" s="468"/>
      <c r="O6" s="420"/>
      <c r="P6" s="468"/>
      <c r="Q6" s="420"/>
      <c r="R6" s="468"/>
      <c r="S6" s="400"/>
    </row>
    <row r="7" spans="1:19" ht="14.4" customHeight="1" thickBot="1" x14ac:dyDescent="0.35">
      <c r="A7" s="470" t="s">
        <v>532</v>
      </c>
      <c r="B7" s="469">
        <v>635341</v>
      </c>
      <c r="C7" s="430">
        <v>1</v>
      </c>
      <c r="D7" s="469">
        <v>535680</v>
      </c>
      <c r="E7" s="430">
        <v>0.84313777955460134</v>
      </c>
      <c r="F7" s="469">
        <v>670355</v>
      </c>
      <c r="G7" s="402">
        <v>1.0551105626742174</v>
      </c>
      <c r="H7" s="469"/>
      <c r="I7" s="430"/>
      <c r="J7" s="469"/>
      <c r="K7" s="430"/>
      <c r="L7" s="469"/>
      <c r="M7" s="402"/>
      <c r="N7" s="469"/>
      <c r="O7" s="430"/>
      <c r="P7" s="469"/>
      <c r="Q7" s="430"/>
      <c r="R7" s="469"/>
      <c r="S7" s="403"/>
    </row>
    <row r="8" spans="1:19" ht="14.4" customHeight="1" x14ac:dyDescent="0.3">
      <c r="A8" s="471" t="s">
        <v>533</v>
      </c>
    </row>
    <row r="9" spans="1:19" ht="14.4" customHeight="1" x14ac:dyDescent="0.3">
      <c r="A9" s="472" t="s">
        <v>534</v>
      </c>
    </row>
    <row r="10" spans="1:19" ht="14.4" customHeight="1" x14ac:dyDescent="0.3">
      <c r="A10" s="471" t="s">
        <v>535</v>
      </c>
    </row>
  </sheetData>
  <mergeCells count="5">
    <mergeCell ref="A1:S1"/>
    <mergeCell ref="A4:A5"/>
    <mergeCell ref="B4:G4"/>
    <mergeCell ref="H4:M4"/>
    <mergeCell ref="N4:S4"/>
  </mergeCells>
  <conditionalFormatting sqref="G4:G1048576">
    <cfRule type="cellIs" dxfId="0" priority="4" stopIfTrue="1" operator="lessThan">
      <formula>0.95</formula>
    </cfRule>
  </conditionalFormatting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{791987AB-EB4E-4323-988C-2CC9543F5F95}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{3D1704E4-2CF0-40FE-8B51-535F514AA804}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{DA7CE90D-FADD-456D-9A84-45478435DA52}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91987AB-EB4E-4323-988C-2CC9543F5F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3D1704E4-2CF0-40FE-8B51-535F514AA80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DA7CE90D-FADD-456D-9A84-45478435DA5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9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x14ac:dyDescent="0.3"/>
  <cols>
    <col min="1" max="1" width="46.6640625" style="105" bestFit="1" customWidth="1"/>
    <col min="2" max="4" width="7.77734375" style="181" customWidth="1"/>
    <col min="5" max="7" width="7.77734375" style="81" customWidth="1"/>
    <col min="8" max="16384" width="8.88671875" style="105"/>
  </cols>
  <sheetData>
    <row r="1" spans="1:7" ht="18.600000000000001" customHeight="1" thickBot="1" x14ac:dyDescent="0.4">
      <c r="A1" s="338" t="s">
        <v>538</v>
      </c>
      <c r="B1" s="293"/>
      <c r="C1" s="293"/>
      <c r="D1" s="293"/>
      <c r="E1" s="293"/>
      <c r="F1" s="293"/>
      <c r="G1" s="293"/>
    </row>
    <row r="2" spans="1:7" ht="14.4" customHeight="1" thickBot="1" x14ac:dyDescent="0.35">
      <c r="A2" s="203" t="s">
        <v>241</v>
      </c>
      <c r="B2" s="86"/>
      <c r="C2" s="86"/>
      <c r="D2" s="86"/>
      <c r="E2" s="86"/>
      <c r="F2" s="86"/>
      <c r="G2" s="86"/>
    </row>
    <row r="3" spans="1:7" ht="14.4" customHeight="1" thickBot="1" x14ac:dyDescent="0.35">
      <c r="A3" s="189" t="s">
        <v>108</v>
      </c>
      <c r="B3" s="283">
        <f t="shared" ref="B3:G3" si="0">SUBTOTAL(9,B6:B1048576)</f>
        <v>992</v>
      </c>
      <c r="C3" s="284">
        <f t="shared" si="0"/>
        <v>1140</v>
      </c>
      <c r="D3" s="284">
        <f t="shared" si="0"/>
        <v>1567</v>
      </c>
      <c r="E3" s="193">
        <f t="shared" si="0"/>
        <v>3029811</v>
      </c>
      <c r="F3" s="191">
        <f t="shared" si="0"/>
        <v>2474565</v>
      </c>
      <c r="G3" s="285">
        <f t="shared" si="0"/>
        <v>3265805</v>
      </c>
    </row>
    <row r="4" spans="1:7" ht="14.4" customHeight="1" x14ac:dyDescent="0.3">
      <c r="A4" s="339" t="s">
        <v>109</v>
      </c>
      <c r="B4" s="340" t="s">
        <v>218</v>
      </c>
      <c r="C4" s="341"/>
      <c r="D4" s="341"/>
      <c r="E4" s="343" t="s">
        <v>82</v>
      </c>
      <c r="F4" s="344"/>
      <c r="G4" s="345"/>
    </row>
    <row r="5" spans="1:7" ht="14.4" customHeight="1" thickBot="1" x14ac:dyDescent="0.35">
      <c r="A5" s="464"/>
      <c r="B5" s="465">
        <v>2013</v>
      </c>
      <c r="C5" s="466">
        <v>2014</v>
      </c>
      <c r="D5" s="466">
        <v>2015</v>
      </c>
      <c r="E5" s="465">
        <v>2013</v>
      </c>
      <c r="F5" s="466">
        <v>2014</v>
      </c>
      <c r="G5" s="473">
        <v>2015</v>
      </c>
    </row>
    <row r="6" spans="1:7" ht="14.4" customHeight="1" thickBot="1" x14ac:dyDescent="0.35">
      <c r="A6" s="477" t="s">
        <v>537</v>
      </c>
      <c r="B6" s="474">
        <v>992</v>
      </c>
      <c r="C6" s="474">
        <v>1140</v>
      </c>
      <c r="D6" s="474">
        <v>1567</v>
      </c>
      <c r="E6" s="475">
        <v>3029811</v>
      </c>
      <c r="F6" s="475">
        <v>2474565</v>
      </c>
      <c r="G6" s="476">
        <v>3265805</v>
      </c>
    </row>
    <row r="7" spans="1:7" ht="14.4" customHeight="1" x14ac:dyDescent="0.3">
      <c r="A7" s="471" t="s">
        <v>533</v>
      </c>
    </row>
    <row r="8" spans="1:7" ht="14.4" customHeight="1" x14ac:dyDescent="0.3">
      <c r="A8" s="472" t="s">
        <v>534</v>
      </c>
    </row>
    <row r="9" spans="1:7" ht="14.4" customHeight="1" x14ac:dyDescent="0.3">
      <c r="A9" s="471" t="s">
        <v>535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pageSetUpPr fitToPage="1"/>
  </sheetPr>
  <dimension ref="A1:P34"/>
  <sheetViews>
    <sheetView showGridLines="0" showRowColHeaders="0" workbookViewId="0">
      <pane ySplit="5" topLeftCell="A6" activePane="bottomLeft" state="frozen"/>
      <selection activeCell="U26" sqref="U26"/>
      <selection pane="bottomLeft" sqref="A1:P1"/>
    </sheetView>
  </sheetViews>
  <sheetFormatPr defaultRowHeight="14.4" customHeight="1" x14ac:dyDescent="0.3"/>
  <cols>
    <col min="1" max="1" width="8.6640625" style="105" bestFit="1" customWidth="1"/>
    <col min="2" max="2" width="2.109375" style="105" bestFit="1" customWidth="1"/>
    <col min="3" max="3" width="8" style="105" customWidth="1"/>
    <col min="4" max="4" width="50.88671875" style="105" bestFit="1" customWidth="1"/>
    <col min="5" max="6" width="11.109375" style="181" customWidth="1"/>
    <col min="7" max="8" width="9.33203125" style="105" hidden="1" customWidth="1"/>
    <col min="9" max="10" width="11.109375" style="181" customWidth="1"/>
    <col min="11" max="12" width="9.33203125" style="105" hidden="1" customWidth="1"/>
    <col min="13" max="14" width="11.109375" style="181" customWidth="1"/>
    <col min="15" max="15" width="11.109375" style="184" customWidth="1"/>
    <col min="16" max="16" width="11.109375" style="181" customWidth="1"/>
    <col min="17" max="16384" width="8.88671875" style="105"/>
  </cols>
  <sheetData>
    <row r="1" spans="1:16" ht="18.600000000000001" customHeight="1" thickBot="1" x14ac:dyDescent="0.4">
      <c r="A1" s="293" t="s">
        <v>596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  <c r="N1" s="293"/>
      <c r="O1" s="293"/>
      <c r="P1" s="293"/>
    </row>
    <row r="2" spans="1:16" ht="14.4" customHeight="1" thickBot="1" x14ac:dyDescent="0.35">
      <c r="A2" s="203" t="s">
        <v>241</v>
      </c>
      <c r="B2" s="106"/>
      <c r="C2" s="282"/>
      <c r="D2" s="106"/>
      <c r="E2" s="197"/>
      <c r="F2" s="197"/>
      <c r="G2" s="106"/>
      <c r="H2" s="106"/>
      <c r="I2" s="197"/>
      <c r="J2" s="197"/>
      <c r="K2" s="106"/>
      <c r="L2" s="106"/>
      <c r="M2" s="197"/>
      <c r="N2" s="197"/>
      <c r="O2" s="198"/>
      <c r="P2" s="197"/>
    </row>
    <row r="3" spans="1:16" ht="14.4" customHeight="1" thickBot="1" x14ac:dyDescent="0.35">
      <c r="D3" s="63" t="s">
        <v>108</v>
      </c>
      <c r="E3" s="77">
        <f t="shared" ref="E3:N3" si="0">SUBTOTAL(9,E6:E1048576)</f>
        <v>992</v>
      </c>
      <c r="F3" s="78">
        <f t="shared" si="0"/>
        <v>3029811</v>
      </c>
      <c r="G3" s="58"/>
      <c r="H3" s="58"/>
      <c r="I3" s="78">
        <f t="shared" si="0"/>
        <v>1140</v>
      </c>
      <c r="J3" s="78">
        <f t="shared" si="0"/>
        <v>2474565</v>
      </c>
      <c r="K3" s="58"/>
      <c r="L3" s="58"/>
      <c r="M3" s="78">
        <f t="shared" si="0"/>
        <v>1567</v>
      </c>
      <c r="N3" s="78">
        <f t="shared" si="0"/>
        <v>3265805</v>
      </c>
      <c r="O3" s="59">
        <f>IF(F3=0,0,N3/F3)</f>
        <v>1.0778906671076183</v>
      </c>
      <c r="P3" s="79">
        <f>IF(M3=0,0,N3/M3)</f>
        <v>2084.1129546904913</v>
      </c>
    </row>
    <row r="4" spans="1:16" ht="14.4" customHeight="1" x14ac:dyDescent="0.3">
      <c r="A4" s="347" t="s">
        <v>77</v>
      </c>
      <c r="B4" s="348" t="s">
        <v>78</v>
      </c>
      <c r="C4" s="353" t="s">
        <v>53</v>
      </c>
      <c r="D4" s="349" t="s">
        <v>52</v>
      </c>
      <c r="E4" s="350">
        <v>2013</v>
      </c>
      <c r="F4" s="351"/>
      <c r="G4" s="76"/>
      <c r="H4" s="76"/>
      <c r="I4" s="350">
        <v>2014</v>
      </c>
      <c r="J4" s="351"/>
      <c r="K4" s="76"/>
      <c r="L4" s="76"/>
      <c r="M4" s="350">
        <v>2015</v>
      </c>
      <c r="N4" s="351"/>
      <c r="O4" s="352" t="s">
        <v>2</v>
      </c>
      <c r="P4" s="346" t="s">
        <v>80</v>
      </c>
    </row>
    <row r="5" spans="1:16" ht="14.4" customHeight="1" thickBot="1" x14ac:dyDescent="0.35">
      <c r="A5" s="478"/>
      <c r="B5" s="479"/>
      <c r="C5" s="480"/>
      <c r="D5" s="481"/>
      <c r="E5" s="482" t="s">
        <v>54</v>
      </c>
      <c r="F5" s="483" t="s">
        <v>10</v>
      </c>
      <c r="G5" s="484"/>
      <c r="H5" s="484"/>
      <c r="I5" s="482" t="s">
        <v>54</v>
      </c>
      <c r="J5" s="483" t="s">
        <v>10</v>
      </c>
      <c r="K5" s="484"/>
      <c r="L5" s="484"/>
      <c r="M5" s="482" t="s">
        <v>54</v>
      </c>
      <c r="N5" s="483" t="s">
        <v>10</v>
      </c>
      <c r="O5" s="485"/>
      <c r="P5" s="486"/>
    </row>
    <row r="6" spans="1:16" ht="14.4" customHeight="1" x14ac:dyDescent="0.3">
      <c r="A6" s="419" t="s">
        <v>539</v>
      </c>
      <c r="B6" s="420" t="s">
        <v>540</v>
      </c>
      <c r="C6" s="420" t="s">
        <v>541</v>
      </c>
      <c r="D6" s="420" t="s">
        <v>542</v>
      </c>
      <c r="E6" s="398">
        <v>226</v>
      </c>
      <c r="F6" s="398">
        <v>2394470</v>
      </c>
      <c r="G6" s="420">
        <v>1</v>
      </c>
      <c r="H6" s="420">
        <v>10595</v>
      </c>
      <c r="I6" s="398">
        <v>183</v>
      </c>
      <c r="J6" s="398">
        <v>1938885</v>
      </c>
      <c r="K6" s="420">
        <v>0.80973451327433632</v>
      </c>
      <c r="L6" s="420">
        <v>10595</v>
      </c>
      <c r="M6" s="398">
        <v>242</v>
      </c>
      <c r="N6" s="398">
        <v>2595450</v>
      </c>
      <c r="O6" s="399">
        <v>1.0839350670503285</v>
      </c>
      <c r="P6" s="410">
        <v>10725</v>
      </c>
    </row>
    <row r="7" spans="1:16" ht="14.4" customHeight="1" x14ac:dyDescent="0.3">
      <c r="A7" s="423" t="s">
        <v>543</v>
      </c>
      <c r="B7" s="424" t="s">
        <v>540</v>
      </c>
      <c r="C7" s="424" t="s">
        <v>544</v>
      </c>
      <c r="D7" s="424" t="s">
        <v>545</v>
      </c>
      <c r="E7" s="427">
        <v>6</v>
      </c>
      <c r="F7" s="427">
        <v>756</v>
      </c>
      <c r="G7" s="424">
        <v>1</v>
      </c>
      <c r="H7" s="424">
        <v>126</v>
      </c>
      <c r="I7" s="427">
        <v>2</v>
      </c>
      <c r="J7" s="427">
        <v>252</v>
      </c>
      <c r="K7" s="424">
        <v>0.33333333333333331</v>
      </c>
      <c r="L7" s="424">
        <v>126</v>
      </c>
      <c r="M7" s="427">
        <v>3</v>
      </c>
      <c r="N7" s="427">
        <v>384</v>
      </c>
      <c r="O7" s="487">
        <v>0.50793650793650791</v>
      </c>
      <c r="P7" s="428">
        <v>128</v>
      </c>
    </row>
    <row r="8" spans="1:16" ht="14.4" customHeight="1" x14ac:dyDescent="0.3">
      <c r="A8" s="423" t="s">
        <v>543</v>
      </c>
      <c r="B8" s="424" t="s">
        <v>540</v>
      </c>
      <c r="C8" s="424" t="s">
        <v>546</v>
      </c>
      <c r="D8" s="424" t="s">
        <v>547</v>
      </c>
      <c r="E8" s="427">
        <v>3</v>
      </c>
      <c r="F8" s="427">
        <v>3660</v>
      </c>
      <c r="G8" s="424">
        <v>1</v>
      </c>
      <c r="H8" s="424">
        <v>1220</v>
      </c>
      <c r="I8" s="427">
        <v>6</v>
      </c>
      <c r="J8" s="427">
        <v>7320</v>
      </c>
      <c r="K8" s="424">
        <v>2</v>
      </c>
      <c r="L8" s="424">
        <v>1220</v>
      </c>
      <c r="M8" s="427">
        <v>3</v>
      </c>
      <c r="N8" s="427">
        <v>3684</v>
      </c>
      <c r="O8" s="487">
        <v>1.0065573770491802</v>
      </c>
      <c r="P8" s="428">
        <v>1228</v>
      </c>
    </row>
    <row r="9" spans="1:16" ht="14.4" customHeight="1" x14ac:dyDescent="0.3">
      <c r="A9" s="423" t="s">
        <v>543</v>
      </c>
      <c r="B9" s="424" t="s">
        <v>540</v>
      </c>
      <c r="C9" s="424" t="s">
        <v>548</v>
      </c>
      <c r="D9" s="424" t="s">
        <v>549</v>
      </c>
      <c r="E9" s="427">
        <v>65</v>
      </c>
      <c r="F9" s="427">
        <v>143845</v>
      </c>
      <c r="G9" s="424">
        <v>1</v>
      </c>
      <c r="H9" s="424">
        <v>2213</v>
      </c>
      <c r="I9" s="427">
        <v>21</v>
      </c>
      <c r="J9" s="427">
        <v>46473</v>
      </c>
      <c r="K9" s="424">
        <v>0.32307692307692309</v>
      </c>
      <c r="L9" s="424">
        <v>2213</v>
      </c>
      <c r="M9" s="427">
        <v>10</v>
      </c>
      <c r="N9" s="427">
        <v>22360</v>
      </c>
      <c r="O9" s="487">
        <v>0.15544509715318572</v>
      </c>
      <c r="P9" s="428">
        <v>2236</v>
      </c>
    </row>
    <row r="10" spans="1:16" ht="14.4" customHeight="1" x14ac:dyDescent="0.3">
      <c r="A10" s="423" t="s">
        <v>543</v>
      </c>
      <c r="B10" s="424" t="s">
        <v>540</v>
      </c>
      <c r="C10" s="424" t="s">
        <v>550</v>
      </c>
      <c r="D10" s="424" t="s">
        <v>551</v>
      </c>
      <c r="E10" s="427">
        <v>11</v>
      </c>
      <c r="F10" s="427">
        <v>11385</v>
      </c>
      <c r="G10" s="424">
        <v>1</v>
      </c>
      <c r="H10" s="424">
        <v>1035</v>
      </c>
      <c r="I10" s="427">
        <v>10</v>
      </c>
      <c r="J10" s="427">
        <v>10350</v>
      </c>
      <c r="K10" s="424">
        <v>0.90909090909090906</v>
      </c>
      <c r="L10" s="424">
        <v>1035</v>
      </c>
      <c r="M10" s="427">
        <v>3</v>
      </c>
      <c r="N10" s="427">
        <v>3129</v>
      </c>
      <c r="O10" s="487">
        <v>0.2748353096179183</v>
      </c>
      <c r="P10" s="428">
        <v>1043</v>
      </c>
    </row>
    <row r="11" spans="1:16" ht="14.4" customHeight="1" x14ac:dyDescent="0.3">
      <c r="A11" s="423" t="s">
        <v>543</v>
      </c>
      <c r="B11" s="424" t="s">
        <v>540</v>
      </c>
      <c r="C11" s="424" t="s">
        <v>552</v>
      </c>
      <c r="D11" s="424" t="s">
        <v>553</v>
      </c>
      <c r="E11" s="427">
        <v>22</v>
      </c>
      <c r="F11" s="427">
        <v>81356</v>
      </c>
      <c r="G11" s="424">
        <v>1</v>
      </c>
      <c r="H11" s="424">
        <v>3698</v>
      </c>
      <c r="I11" s="427">
        <v>15</v>
      </c>
      <c r="J11" s="427">
        <v>55470</v>
      </c>
      <c r="K11" s="424">
        <v>0.68181818181818177</v>
      </c>
      <c r="L11" s="424">
        <v>3698</v>
      </c>
      <c r="M11" s="427">
        <v>13</v>
      </c>
      <c r="N11" s="427">
        <v>48373</v>
      </c>
      <c r="O11" s="487">
        <v>0.59458429617975317</v>
      </c>
      <c r="P11" s="428">
        <v>3721</v>
      </c>
    </row>
    <row r="12" spans="1:16" ht="14.4" customHeight="1" x14ac:dyDescent="0.3">
      <c r="A12" s="423" t="s">
        <v>543</v>
      </c>
      <c r="B12" s="424" t="s">
        <v>540</v>
      </c>
      <c r="C12" s="424" t="s">
        <v>554</v>
      </c>
      <c r="D12" s="424" t="s">
        <v>555</v>
      </c>
      <c r="E12" s="427">
        <v>2</v>
      </c>
      <c r="F12" s="427">
        <v>876</v>
      </c>
      <c r="G12" s="424">
        <v>1</v>
      </c>
      <c r="H12" s="424">
        <v>438</v>
      </c>
      <c r="I12" s="427">
        <v>194</v>
      </c>
      <c r="J12" s="427">
        <v>84972</v>
      </c>
      <c r="K12" s="424">
        <v>97</v>
      </c>
      <c r="L12" s="424">
        <v>438</v>
      </c>
      <c r="M12" s="427">
        <v>301</v>
      </c>
      <c r="N12" s="427">
        <v>132139</v>
      </c>
      <c r="O12" s="487">
        <v>150.84360730593608</v>
      </c>
      <c r="P12" s="428">
        <v>439</v>
      </c>
    </row>
    <row r="13" spans="1:16" ht="14.4" customHeight="1" x14ac:dyDescent="0.3">
      <c r="A13" s="423" t="s">
        <v>543</v>
      </c>
      <c r="B13" s="424" t="s">
        <v>540</v>
      </c>
      <c r="C13" s="424" t="s">
        <v>556</v>
      </c>
      <c r="D13" s="424" t="s">
        <v>557</v>
      </c>
      <c r="E13" s="427">
        <v>3</v>
      </c>
      <c r="F13" s="427">
        <v>2496</v>
      </c>
      <c r="G13" s="424">
        <v>1</v>
      </c>
      <c r="H13" s="424">
        <v>832</v>
      </c>
      <c r="I13" s="427">
        <v>8</v>
      </c>
      <c r="J13" s="427">
        <v>6656</v>
      </c>
      <c r="K13" s="424">
        <v>2.6666666666666665</v>
      </c>
      <c r="L13" s="424">
        <v>832</v>
      </c>
      <c r="M13" s="427">
        <v>26</v>
      </c>
      <c r="N13" s="427">
        <v>21736</v>
      </c>
      <c r="O13" s="487">
        <v>8.7083333333333339</v>
      </c>
      <c r="P13" s="428">
        <v>836</v>
      </c>
    </row>
    <row r="14" spans="1:16" ht="14.4" customHeight="1" x14ac:dyDescent="0.3">
      <c r="A14" s="423" t="s">
        <v>543</v>
      </c>
      <c r="B14" s="424" t="s">
        <v>540</v>
      </c>
      <c r="C14" s="424" t="s">
        <v>558</v>
      </c>
      <c r="D14" s="424" t="s">
        <v>559</v>
      </c>
      <c r="E14" s="427"/>
      <c r="F14" s="427"/>
      <c r="G14" s="424"/>
      <c r="H14" s="424"/>
      <c r="I14" s="427">
        <v>20</v>
      </c>
      <c r="J14" s="427">
        <v>32260</v>
      </c>
      <c r="K14" s="424"/>
      <c r="L14" s="424">
        <v>1613</v>
      </c>
      <c r="M14" s="427">
        <v>14</v>
      </c>
      <c r="N14" s="427">
        <v>22694</v>
      </c>
      <c r="O14" s="487"/>
      <c r="P14" s="428">
        <v>1621</v>
      </c>
    </row>
    <row r="15" spans="1:16" ht="14.4" customHeight="1" x14ac:dyDescent="0.3">
      <c r="A15" s="423" t="s">
        <v>543</v>
      </c>
      <c r="B15" s="424" t="s">
        <v>540</v>
      </c>
      <c r="C15" s="424" t="s">
        <v>560</v>
      </c>
      <c r="D15" s="424" t="s">
        <v>561</v>
      </c>
      <c r="E15" s="427">
        <v>3</v>
      </c>
      <c r="F15" s="427">
        <v>4611</v>
      </c>
      <c r="G15" s="424">
        <v>1</v>
      </c>
      <c r="H15" s="424">
        <v>1537</v>
      </c>
      <c r="I15" s="427"/>
      <c r="J15" s="427"/>
      <c r="K15" s="424"/>
      <c r="L15" s="424"/>
      <c r="M15" s="427"/>
      <c r="N15" s="427"/>
      <c r="O15" s="487"/>
      <c r="P15" s="428"/>
    </row>
    <row r="16" spans="1:16" ht="14.4" customHeight="1" x14ac:dyDescent="0.3">
      <c r="A16" s="423" t="s">
        <v>543</v>
      </c>
      <c r="B16" s="424" t="s">
        <v>540</v>
      </c>
      <c r="C16" s="424" t="s">
        <v>562</v>
      </c>
      <c r="D16" s="424" t="s">
        <v>563</v>
      </c>
      <c r="E16" s="427">
        <v>45</v>
      </c>
      <c r="F16" s="427">
        <v>36855</v>
      </c>
      <c r="G16" s="424">
        <v>1</v>
      </c>
      <c r="H16" s="424">
        <v>819</v>
      </c>
      <c r="I16" s="427">
        <v>4</v>
      </c>
      <c r="J16" s="427">
        <v>3276</v>
      </c>
      <c r="K16" s="424">
        <v>8.8888888888888892E-2</v>
      </c>
      <c r="L16" s="424">
        <v>819</v>
      </c>
      <c r="M16" s="427">
        <v>5</v>
      </c>
      <c r="N16" s="427">
        <v>4115</v>
      </c>
      <c r="O16" s="487">
        <v>0.11165377832044499</v>
      </c>
      <c r="P16" s="428">
        <v>823</v>
      </c>
    </row>
    <row r="17" spans="1:16" ht="14.4" customHeight="1" x14ac:dyDescent="0.3">
      <c r="A17" s="423" t="s">
        <v>543</v>
      </c>
      <c r="B17" s="424" t="s">
        <v>540</v>
      </c>
      <c r="C17" s="424" t="s">
        <v>564</v>
      </c>
      <c r="D17" s="424" t="s">
        <v>565</v>
      </c>
      <c r="E17" s="427">
        <v>36</v>
      </c>
      <c r="F17" s="427">
        <v>52092</v>
      </c>
      <c r="G17" s="424">
        <v>1</v>
      </c>
      <c r="H17" s="424">
        <v>1447</v>
      </c>
      <c r="I17" s="427">
        <v>18</v>
      </c>
      <c r="J17" s="427">
        <v>26046</v>
      </c>
      <c r="K17" s="424">
        <v>0.5</v>
      </c>
      <c r="L17" s="424">
        <v>1447</v>
      </c>
      <c r="M17" s="427">
        <v>33</v>
      </c>
      <c r="N17" s="427">
        <v>48213</v>
      </c>
      <c r="O17" s="487">
        <v>0.925535590877678</v>
      </c>
      <c r="P17" s="428">
        <v>1461</v>
      </c>
    </row>
    <row r="18" spans="1:16" ht="14.4" customHeight="1" x14ac:dyDescent="0.3">
      <c r="A18" s="423" t="s">
        <v>543</v>
      </c>
      <c r="B18" s="424" t="s">
        <v>540</v>
      </c>
      <c r="C18" s="424" t="s">
        <v>566</v>
      </c>
      <c r="D18" s="424" t="s">
        <v>567</v>
      </c>
      <c r="E18" s="427">
        <v>1</v>
      </c>
      <c r="F18" s="427">
        <v>3078</v>
      </c>
      <c r="G18" s="424">
        <v>1</v>
      </c>
      <c r="H18" s="424">
        <v>3078</v>
      </c>
      <c r="I18" s="427"/>
      <c r="J18" s="427"/>
      <c r="K18" s="424"/>
      <c r="L18" s="424"/>
      <c r="M18" s="427"/>
      <c r="N18" s="427"/>
      <c r="O18" s="487"/>
      <c r="P18" s="428"/>
    </row>
    <row r="19" spans="1:16" ht="14.4" customHeight="1" x14ac:dyDescent="0.3">
      <c r="A19" s="423" t="s">
        <v>543</v>
      </c>
      <c r="B19" s="424" t="s">
        <v>540</v>
      </c>
      <c r="C19" s="424" t="s">
        <v>568</v>
      </c>
      <c r="D19" s="424" t="s">
        <v>569</v>
      </c>
      <c r="E19" s="427">
        <v>69</v>
      </c>
      <c r="F19" s="427">
        <v>1104</v>
      </c>
      <c r="G19" s="424">
        <v>1</v>
      </c>
      <c r="H19" s="424">
        <v>16</v>
      </c>
      <c r="I19" s="427">
        <v>29</v>
      </c>
      <c r="J19" s="427">
        <v>464</v>
      </c>
      <c r="K19" s="424">
        <v>0.42028985507246375</v>
      </c>
      <c r="L19" s="424">
        <v>16</v>
      </c>
      <c r="M19" s="427">
        <v>20</v>
      </c>
      <c r="N19" s="427">
        <v>320</v>
      </c>
      <c r="O19" s="487">
        <v>0.28985507246376813</v>
      </c>
      <c r="P19" s="428">
        <v>16</v>
      </c>
    </row>
    <row r="20" spans="1:16" ht="14.4" customHeight="1" x14ac:dyDescent="0.3">
      <c r="A20" s="423" t="s">
        <v>543</v>
      </c>
      <c r="B20" s="424" t="s">
        <v>540</v>
      </c>
      <c r="C20" s="424" t="s">
        <v>570</v>
      </c>
      <c r="D20" s="424" t="s">
        <v>555</v>
      </c>
      <c r="E20" s="427">
        <v>73</v>
      </c>
      <c r="F20" s="427">
        <v>50224</v>
      </c>
      <c r="G20" s="424">
        <v>1</v>
      </c>
      <c r="H20" s="424">
        <v>688</v>
      </c>
      <c r="I20" s="427">
        <v>37</v>
      </c>
      <c r="J20" s="427">
        <v>25456</v>
      </c>
      <c r="K20" s="424">
        <v>0.50684931506849318</v>
      </c>
      <c r="L20" s="424">
        <v>688</v>
      </c>
      <c r="M20" s="427">
        <v>26</v>
      </c>
      <c r="N20" s="427">
        <v>18096</v>
      </c>
      <c r="O20" s="487">
        <v>0.36030582988212806</v>
      </c>
      <c r="P20" s="428">
        <v>696</v>
      </c>
    </row>
    <row r="21" spans="1:16" ht="14.4" customHeight="1" x14ac:dyDescent="0.3">
      <c r="A21" s="423" t="s">
        <v>543</v>
      </c>
      <c r="B21" s="424" t="s">
        <v>540</v>
      </c>
      <c r="C21" s="424" t="s">
        <v>571</v>
      </c>
      <c r="D21" s="424" t="s">
        <v>557</v>
      </c>
      <c r="E21" s="427">
        <v>34</v>
      </c>
      <c r="F21" s="427">
        <v>46750</v>
      </c>
      <c r="G21" s="424">
        <v>1</v>
      </c>
      <c r="H21" s="424">
        <v>1375</v>
      </c>
      <c r="I21" s="427">
        <v>26</v>
      </c>
      <c r="J21" s="427">
        <v>35750</v>
      </c>
      <c r="K21" s="424">
        <v>0.76470588235294112</v>
      </c>
      <c r="L21" s="424">
        <v>1375</v>
      </c>
      <c r="M21" s="427">
        <v>17</v>
      </c>
      <c r="N21" s="427">
        <v>23579</v>
      </c>
      <c r="O21" s="487">
        <v>0.50436363636363635</v>
      </c>
      <c r="P21" s="428">
        <v>1387</v>
      </c>
    </row>
    <row r="22" spans="1:16" ht="14.4" customHeight="1" x14ac:dyDescent="0.3">
      <c r="A22" s="423" t="s">
        <v>543</v>
      </c>
      <c r="B22" s="424" t="s">
        <v>540</v>
      </c>
      <c r="C22" s="424" t="s">
        <v>572</v>
      </c>
      <c r="D22" s="424" t="s">
        <v>573</v>
      </c>
      <c r="E22" s="427">
        <v>21</v>
      </c>
      <c r="F22" s="427">
        <v>48699</v>
      </c>
      <c r="G22" s="424">
        <v>1</v>
      </c>
      <c r="H22" s="424">
        <v>2319</v>
      </c>
      <c r="I22" s="427">
        <v>11</v>
      </c>
      <c r="J22" s="427">
        <v>25509</v>
      </c>
      <c r="K22" s="424">
        <v>0.52380952380952384</v>
      </c>
      <c r="L22" s="424">
        <v>2319</v>
      </c>
      <c r="M22" s="427">
        <v>12</v>
      </c>
      <c r="N22" s="427">
        <v>28092</v>
      </c>
      <c r="O22" s="487">
        <v>0.57684962730240863</v>
      </c>
      <c r="P22" s="428">
        <v>2341</v>
      </c>
    </row>
    <row r="23" spans="1:16" ht="14.4" customHeight="1" x14ac:dyDescent="0.3">
      <c r="A23" s="423" t="s">
        <v>543</v>
      </c>
      <c r="B23" s="424" t="s">
        <v>540</v>
      </c>
      <c r="C23" s="424" t="s">
        <v>574</v>
      </c>
      <c r="D23" s="424" t="s">
        <v>575</v>
      </c>
      <c r="E23" s="427">
        <v>75</v>
      </c>
      <c r="F23" s="427">
        <v>4875</v>
      </c>
      <c r="G23" s="424">
        <v>1</v>
      </c>
      <c r="H23" s="424">
        <v>65</v>
      </c>
      <c r="I23" s="427">
        <v>236</v>
      </c>
      <c r="J23" s="427">
        <v>15340</v>
      </c>
      <c r="K23" s="424">
        <v>3.1466666666666665</v>
      </c>
      <c r="L23" s="424">
        <v>65</v>
      </c>
      <c r="M23" s="427">
        <v>327</v>
      </c>
      <c r="N23" s="427">
        <v>21582</v>
      </c>
      <c r="O23" s="487">
        <v>4.4270769230769229</v>
      </c>
      <c r="P23" s="428">
        <v>66</v>
      </c>
    </row>
    <row r="24" spans="1:16" ht="14.4" customHeight="1" x14ac:dyDescent="0.3">
      <c r="A24" s="423" t="s">
        <v>543</v>
      </c>
      <c r="B24" s="424" t="s">
        <v>540</v>
      </c>
      <c r="C24" s="424" t="s">
        <v>576</v>
      </c>
      <c r="D24" s="424" t="s">
        <v>577</v>
      </c>
      <c r="E24" s="427">
        <v>36</v>
      </c>
      <c r="F24" s="427">
        <v>14256</v>
      </c>
      <c r="G24" s="424">
        <v>1</v>
      </c>
      <c r="H24" s="424">
        <v>396</v>
      </c>
      <c r="I24" s="427">
        <v>18</v>
      </c>
      <c r="J24" s="427">
        <v>7128</v>
      </c>
      <c r="K24" s="424">
        <v>0.5</v>
      </c>
      <c r="L24" s="424">
        <v>396</v>
      </c>
      <c r="M24" s="427">
        <v>33</v>
      </c>
      <c r="N24" s="427">
        <v>13233</v>
      </c>
      <c r="O24" s="487">
        <v>0.9282407407407407</v>
      </c>
      <c r="P24" s="428">
        <v>401</v>
      </c>
    </row>
    <row r="25" spans="1:16" ht="14.4" customHeight="1" x14ac:dyDescent="0.3">
      <c r="A25" s="423" t="s">
        <v>543</v>
      </c>
      <c r="B25" s="424" t="s">
        <v>540</v>
      </c>
      <c r="C25" s="424" t="s">
        <v>578</v>
      </c>
      <c r="D25" s="424" t="s">
        <v>579</v>
      </c>
      <c r="E25" s="427">
        <v>1</v>
      </c>
      <c r="F25" s="427">
        <v>1601</v>
      </c>
      <c r="G25" s="424">
        <v>1</v>
      </c>
      <c r="H25" s="424">
        <v>1601</v>
      </c>
      <c r="I25" s="427">
        <v>10</v>
      </c>
      <c r="J25" s="427">
        <v>16010</v>
      </c>
      <c r="K25" s="424">
        <v>10</v>
      </c>
      <c r="L25" s="424">
        <v>1601</v>
      </c>
      <c r="M25" s="427">
        <v>24</v>
      </c>
      <c r="N25" s="427">
        <v>38712</v>
      </c>
      <c r="O25" s="487">
        <v>24.179887570268583</v>
      </c>
      <c r="P25" s="428">
        <v>1613</v>
      </c>
    </row>
    <row r="26" spans="1:16" ht="14.4" customHeight="1" x14ac:dyDescent="0.3">
      <c r="A26" s="423" t="s">
        <v>543</v>
      </c>
      <c r="B26" s="424" t="s">
        <v>540</v>
      </c>
      <c r="C26" s="424" t="s">
        <v>580</v>
      </c>
      <c r="D26" s="424" t="s">
        <v>581</v>
      </c>
      <c r="E26" s="427">
        <v>107</v>
      </c>
      <c r="F26" s="427">
        <v>58850</v>
      </c>
      <c r="G26" s="424">
        <v>1</v>
      </c>
      <c r="H26" s="424">
        <v>550</v>
      </c>
      <c r="I26" s="427">
        <v>46</v>
      </c>
      <c r="J26" s="427">
        <v>25300</v>
      </c>
      <c r="K26" s="424">
        <v>0.42990654205607476</v>
      </c>
      <c r="L26" s="424">
        <v>550</v>
      </c>
      <c r="M26" s="427">
        <v>63</v>
      </c>
      <c r="N26" s="427">
        <v>34776</v>
      </c>
      <c r="O26" s="487">
        <v>0.59092608326253182</v>
      </c>
      <c r="P26" s="428">
        <v>552</v>
      </c>
    </row>
    <row r="27" spans="1:16" ht="14.4" customHeight="1" x14ac:dyDescent="0.3">
      <c r="A27" s="423" t="s">
        <v>543</v>
      </c>
      <c r="B27" s="424" t="s">
        <v>540</v>
      </c>
      <c r="C27" s="424" t="s">
        <v>582</v>
      </c>
      <c r="D27" s="424" t="s">
        <v>583</v>
      </c>
      <c r="E27" s="427">
        <v>1</v>
      </c>
      <c r="F27" s="427">
        <v>1234</v>
      </c>
      <c r="G27" s="424">
        <v>1</v>
      </c>
      <c r="H27" s="424">
        <v>1234</v>
      </c>
      <c r="I27" s="427"/>
      <c r="J27" s="427"/>
      <c r="K27" s="424"/>
      <c r="L27" s="424"/>
      <c r="M27" s="427"/>
      <c r="N27" s="427"/>
      <c r="O27" s="487"/>
      <c r="P27" s="428"/>
    </row>
    <row r="28" spans="1:16" ht="14.4" customHeight="1" x14ac:dyDescent="0.3">
      <c r="A28" s="423" t="s">
        <v>543</v>
      </c>
      <c r="B28" s="424" t="s">
        <v>540</v>
      </c>
      <c r="C28" s="424" t="s">
        <v>584</v>
      </c>
      <c r="D28" s="424" t="s">
        <v>585</v>
      </c>
      <c r="E28" s="427"/>
      <c r="F28" s="427"/>
      <c r="G28" s="424"/>
      <c r="H28" s="424"/>
      <c r="I28" s="427">
        <v>46</v>
      </c>
      <c r="J28" s="427">
        <v>1610</v>
      </c>
      <c r="K28" s="424"/>
      <c r="L28" s="424">
        <v>35</v>
      </c>
      <c r="M28" s="427">
        <v>97</v>
      </c>
      <c r="N28" s="427">
        <v>3492</v>
      </c>
      <c r="O28" s="487"/>
      <c r="P28" s="428">
        <v>36</v>
      </c>
    </row>
    <row r="29" spans="1:16" ht="14.4" customHeight="1" x14ac:dyDescent="0.3">
      <c r="A29" s="423" t="s">
        <v>543</v>
      </c>
      <c r="B29" s="424" t="s">
        <v>540</v>
      </c>
      <c r="C29" s="424" t="s">
        <v>586</v>
      </c>
      <c r="D29" s="424" t="s">
        <v>587</v>
      </c>
      <c r="E29" s="427"/>
      <c r="F29" s="427"/>
      <c r="G29" s="424"/>
      <c r="H29" s="424"/>
      <c r="I29" s="427">
        <v>7</v>
      </c>
      <c r="J29" s="427">
        <v>854</v>
      </c>
      <c r="K29" s="424"/>
      <c r="L29" s="424">
        <v>122</v>
      </c>
      <c r="M29" s="427"/>
      <c r="N29" s="427"/>
      <c r="O29" s="487"/>
      <c r="P29" s="428"/>
    </row>
    <row r="30" spans="1:16" ht="14.4" customHeight="1" x14ac:dyDescent="0.3">
      <c r="A30" s="423" t="s">
        <v>543</v>
      </c>
      <c r="B30" s="424" t="s">
        <v>540</v>
      </c>
      <c r="C30" s="424" t="s">
        <v>588</v>
      </c>
      <c r="D30" s="424" t="s">
        <v>589</v>
      </c>
      <c r="E30" s="427">
        <v>146</v>
      </c>
      <c r="F30" s="427">
        <v>62050</v>
      </c>
      <c r="G30" s="424">
        <v>1</v>
      </c>
      <c r="H30" s="424">
        <v>425</v>
      </c>
      <c r="I30" s="427">
        <v>167</v>
      </c>
      <c r="J30" s="427">
        <v>70975</v>
      </c>
      <c r="K30" s="424">
        <v>1.1438356164383561</v>
      </c>
      <c r="L30" s="424">
        <v>425</v>
      </c>
      <c r="M30" s="427">
        <v>247</v>
      </c>
      <c r="N30" s="427">
        <v>105222</v>
      </c>
      <c r="O30" s="487">
        <v>1.6957614826752618</v>
      </c>
      <c r="P30" s="428">
        <v>426</v>
      </c>
    </row>
    <row r="31" spans="1:16" ht="14.4" customHeight="1" x14ac:dyDescent="0.3">
      <c r="A31" s="423" t="s">
        <v>543</v>
      </c>
      <c r="B31" s="424" t="s">
        <v>540</v>
      </c>
      <c r="C31" s="424" t="s">
        <v>590</v>
      </c>
      <c r="D31" s="424" t="s">
        <v>591</v>
      </c>
      <c r="E31" s="427">
        <v>2</v>
      </c>
      <c r="F31" s="427">
        <v>2406</v>
      </c>
      <c r="G31" s="424">
        <v>1</v>
      </c>
      <c r="H31" s="424">
        <v>1203</v>
      </c>
      <c r="I31" s="427">
        <v>2</v>
      </c>
      <c r="J31" s="427">
        <v>2406</v>
      </c>
      <c r="K31" s="424">
        <v>1</v>
      </c>
      <c r="L31" s="424">
        <v>1203</v>
      </c>
      <c r="M31" s="427">
        <v>1</v>
      </c>
      <c r="N31" s="427">
        <v>1211</v>
      </c>
      <c r="O31" s="487">
        <v>0.50332502078137986</v>
      </c>
      <c r="P31" s="428">
        <v>1211</v>
      </c>
    </row>
    <row r="32" spans="1:16" ht="14.4" customHeight="1" x14ac:dyDescent="0.3">
      <c r="A32" s="423" t="s">
        <v>543</v>
      </c>
      <c r="B32" s="424" t="s">
        <v>540</v>
      </c>
      <c r="C32" s="424" t="s">
        <v>592</v>
      </c>
      <c r="D32" s="424" t="s">
        <v>551</v>
      </c>
      <c r="E32" s="427">
        <v>2</v>
      </c>
      <c r="F32" s="427">
        <v>1830</v>
      </c>
      <c r="G32" s="424">
        <v>1</v>
      </c>
      <c r="H32" s="424">
        <v>915</v>
      </c>
      <c r="I32" s="427">
        <v>2</v>
      </c>
      <c r="J32" s="427">
        <v>1830</v>
      </c>
      <c r="K32" s="424">
        <v>1</v>
      </c>
      <c r="L32" s="424">
        <v>915</v>
      </c>
      <c r="M32" s="427">
        <v>1</v>
      </c>
      <c r="N32" s="427">
        <v>923</v>
      </c>
      <c r="O32" s="487">
        <v>0.50437158469945353</v>
      </c>
      <c r="P32" s="428">
        <v>923</v>
      </c>
    </row>
    <row r="33" spans="1:16" ht="14.4" customHeight="1" x14ac:dyDescent="0.3">
      <c r="A33" s="423" t="s">
        <v>543</v>
      </c>
      <c r="B33" s="424" t="s">
        <v>540</v>
      </c>
      <c r="C33" s="424" t="s">
        <v>593</v>
      </c>
      <c r="D33" s="424" t="s">
        <v>594</v>
      </c>
      <c r="E33" s="427"/>
      <c r="F33" s="427"/>
      <c r="G33" s="424"/>
      <c r="H33" s="424"/>
      <c r="I33" s="427">
        <v>21</v>
      </c>
      <c r="J33" s="427">
        <v>33747</v>
      </c>
      <c r="K33" s="424"/>
      <c r="L33" s="424">
        <v>1607</v>
      </c>
      <c r="M33" s="427">
        <v>46</v>
      </c>
      <c r="N33" s="427">
        <v>74290</v>
      </c>
      <c r="O33" s="487"/>
      <c r="P33" s="428">
        <v>1615</v>
      </c>
    </row>
    <row r="34" spans="1:16" ht="14.4" customHeight="1" thickBot="1" x14ac:dyDescent="0.35">
      <c r="A34" s="429" t="s">
        <v>543</v>
      </c>
      <c r="B34" s="430" t="s">
        <v>540</v>
      </c>
      <c r="C34" s="430" t="s">
        <v>595</v>
      </c>
      <c r="D34" s="430" t="s">
        <v>587</v>
      </c>
      <c r="E34" s="401">
        <v>2</v>
      </c>
      <c r="F34" s="401">
        <v>452</v>
      </c>
      <c r="G34" s="430">
        <v>1</v>
      </c>
      <c r="H34" s="430">
        <v>226</v>
      </c>
      <c r="I34" s="401">
        <v>1</v>
      </c>
      <c r="J34" s="401">
        <v>226</v>
      </c>
      <c r="K34" s="430">
        <v>0.5</v>
      </c>
      <c r="L34" s="430">
        <v>226</v>
      </c>
      <c r="M34" s="401"/>
      <c r="N34" s="401"/>
      <c r="O34" s="402"/>
      <c r="P34" s="411"/>
    </row>
  </sheetData>
  <autoFilter ref="A5:P5"/>
  <mergeCells count="10">
    <mergeCell ref="P4:P5"/>
    <mergeCell ref="A1:P1"/>
    <mergeCell ref="A4:A5"/>
    <mergeCell ref="B4:B5"/>
    <mergeCell ref="D4:D5"/>
    <mergeCell ref="E4:F4"/>
    <mergeCell ref="I4:J4"/>
    <mergeCell ref="M4:N4"/>
    <mergeCell ref="O4:O5"/>
    <mergeCell ref="C4:C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pageSetUpPr fitToPage="1"/>
  </sheetPr>
  <dimension ref="A1:S21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x14ac:dyDescent="0.3"/>
  <cols>
    <col min="1" max="1" width="46.6640625" style="105" bestFit="1" customWidth="1"/>
    <col min="2" max="2" width="7.77734375" style="81" customWidth="1"/>
    <col min="3" max="3" width="0.109375" style="105" hidden="1" customWidth="1"/>
    <col min="4" max="4" width="7.77734375" style="81" customWidth="1"/>
    <col min="5" max="5" width="5.44140625" style="105" hidden="1" customWidth="1"/>
    <col min="6" max="6" width="7.77734375" style="81" customWidth="1"/>
    <col min="7" max="7" width="7.77734375" style="184" customWidth="1"/>
    <col min="8" max="8" width="7.77734375" style="81" customWidth="1"/>
    <col min="9" max="9" width="5.44140625" style="105" hidden="1" customWidth="1"/>
    <col min="10" max="10" width="7.77734375" style="81" customWidth="1"/>
    <col min="11" max="11" width="5.44140625" style="105" hidden="1" customWidth="1"/>
    <col min="12" max="12" width="7.77734375" style="81" customWidth="1"/>
    <col min="13" max="13" width="7.77734375" style="184" customWidth="1"/>
    <col min="14" max="14" width="7.77734375" style="81" customWidth="1"/>
    <col min="15" max="15" width="5" style="105" hidden="1" customWidth="1"/>
    <col min="16" max="16" width="7.77734375" style="81" customWidth="1"/>
    <col min="17" max="17" width="5" style="105" hidden="1" customWidth="1"/>
    <col min="18" max="18" width="7.77734375" style="81" customWidth="1"/>
    <col min="19" max="19" width="7.77734375" style="184" customWidth="1"/>
    <col min="20" max="16384" width="8.88671875" style="105"/>
  </cols>
  <sheetData>
    <row r="1" spans="1:19" ht="18.600000000000001" customHeight="1" thickBot="1" x14ac:dyDescent="0.4">
      <c r="A1" s="302" t="s">
        <v>107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  <c r="N1" s="293"/>
      <c r="O1" s="293"/>
      <c r="P1" s="293"/>
      <c r="Q1" s="293"/>
      <c r="R1" s="293"/>
      <c r="S1" s="293"/>
    </row>
    <row r="2" spans="1:19" ht="14.4" customHeight="1" thickBot="1" x14ac:dyDescent="0.35">
      <c r="A2" s="203" t="s">
        <v>241</v>
      </c>
      <c r="B2" s="195"/>
      <c r="C2" s="86"/>
      <c r="D2" s="195"/>
      <c r="E2" s="86"/>
      <c r="F2" s="195"/>
      <c r="G2" s="196"/>
      <c r="H2" s="195"/>
      <c r="I2" s="86"/>
      <c r="J2" s="195"/>
      <c r="K2" s="86"/>
      <c r="L2" s="195"/>
      <c r="M2" s="196"/>
      <c r="N2" s="195"/>
      <c r="O2" s="86"/>
      <c r="P2" s="195"/>
      <c r="Q2" s="86"/>
      <c r="R2" s="195"/>
      <c r="S2" s="196"/>
    </row>
    <row r="3" spans="1:19" ht="14.4" customHeight="1" thickBot="1" x14ac:dyDescent="0.35">
      <c r="A3" s="189" t="s">
        <v>108</v>
      </c>
      <c r="B3" s="190">
        <f>SUBTOTAL(9,B6:B1048576)</f>
        <v>513926</v>
      </c>
      <c r="C3" s="191">
        <f t="shared" ref="C3:R3" si="0">SUBTOTAL(9,C6:C1048576)</f>
        <v>12</v>
      </c>
      <c r="D3" s="191">
        <f t="shared" si="0"/>
        <v>568853</v>
      </c>
      <c r="E3" s="191">
        <f t="shared" si="0"/>
        <v>11.870450356510423</v>
      </c>
      <c r="F3" s="191">
        <f t="shared" si="0"/>
        <v>349476</v>
      </c>
      <c r="G3" s="194">
        <f>IF(B3&lt;&gt;0,F3/B3,"")</f>
        <v>0.68001229749030012</v>
      </c>
      <c r="H3" s="190">
        <f t="shared" si="0"/>
        <v>0</v>
      </c>
      <c r="I3" s="191">
        <f t="shared" si="0"/>
        <v>0</v>
      </c>
      <c r="J3" s="191">
        <f t="shared" si="0"/>
        <v>0</v>
      </c>
      <c r="K3" s="191">
        <f t="shared" si="0"/>
        <v>0</v>
      </c>
      <c r="L3" s="191">
        <f t="shared" si="0"/>
        <v>0</v>
      </c>
      <c r="M3" s="192" t="str">
        <f>IF(H3&lt;&gt;0,L3/H3,"")</f>
        <v/>
      </c>
      <c r="N3" s="193">
        <f t="shared" si="0"/>
        <v>0</v>
      </c>
      <c r="O3" s="191">
        <f t="shared" si="0"/>
        <v>0</v>
      </c>
      <c r="P3" s="191">
        <f t="shared" si="0"/>
        <v>0</v>
      </c>
      <c r="Q3" s="191">
        <f t="shared" si="0"/>
        <v>0</v>
      </c>
      <c r="R3" s="191">
        <f t="shared" si="0"/>
        <v>0</v>
      </c>
      <c r="S3" s="192" t="str">
        <f>IF(N3&lt;&gt;0,R3/N3,"")</f>
        <v/>
      </c>
    </row>
    <row r="4" spans="1:19" ht="14.4" customHeight="1" x14ac:dyDescent="0.3">
      <c r="A4" s="339" t="s">
        <v>88</v>
      </c>
      <c r="B4" s="340" t="s">
        <v>82</v>
      </c>
      <c r="C4" s="341"/>
      <c r="D4" s="341"/>
      <c r="E4" s="341"/>
      <c r="F4" s="341"/>
      <c r="G4" s="342"/>
      <c r="H4" s="340" t="s">
        <v>83</v>
      </c>
      <c r="I4" s="341"/>
      <c r="J4" s="341"/>
      <c r="K4" s="341"/>
      <c r="L4" s="341"/>
      <c r="M4" s="342"/>
      <c r="N4" s="340" t="s">
        <v>84</v>
      </c>
      <c r="O4" s="341"/>
      <c r="P4" s="341"/>
      <c r="Q4" s="341"/>
      <c r="R4" s="341"/>
      <c r="S4" s="342"/>
    </row>
    <row r="5" spans="1:19" ht="14.4" customHeight="1" thickBot="1" x14ac:dyDescent="0.35">
      <c r="A5" s="464"/>
      <c r="B5" s="465">
        <v>2013</v>
      </c>
      <c r="C5" s="466"/>
      <c r="D5" s="466">
        <v>2014</v>
      </c>
      <c r="E5" s="466"/>
      <c r="F5" s="466">
        <v>2015</v>
      </c>
      <c r="G5" s="467" t="s">
        <v>2</v>
      </c>
      <c r="H5" s="465">
        <v>2013</v>
      </c>
      <c r="I5" s="466"/>
      <c r="J5" s="466">
        <v>2014</v>
      </c>
      <c r="K5" s="466"/>
      <c r="L5" s="466">
        <v>2015</v>
      </c>
      <c r="M5" s="467" t="s">
        <v>2</v>
      </c>
      <c r="N5" s="465">
        <v>2013</v>
      </c>
      <c r="O5" s="466"/>
      <c r="P5" s="466">
        <v>2014</v>
      </c>
      <c r="Q5" s="466"/>
      <c r="R5" s="466">
        <v>2015</v>
      </c>
      <c r="S5" s="467" t="s">
        <v>2</v>
      </c>
    </row>
    <row r="6" spans="1:19" ht="14.4" customHeight="1" x14ac:dyDescent="0.3">
      <c r="A6" s="397" t="s">
        <v>597</v>
      </c>
      <c r="B6" s="468"/>
      <c r="C6" s="420"/>
      <c r="D6" s="468">
        <v>47201</v>
      </c>
      <c r="E6" s="420"/>
      <c r="F6" s="468"/>
      <c r="G6" s="399"/>
      <c r="H6" s="468"/>
      <c r="I6" s="420"/>
      <c r="J6" s="468"/>
      <c r="K6" s="420"/>
      <c r="L6" s="468"/>
      <c r="M6" s="399"/>
      <c r="N6" s="468"/>
      <c r="O6" s="420"/>
      <c r="P6" s="468"/>
      <c r="Q6" s="420"/>
      <c r="R6" s="468"/>
      <c r="S6" s="400"/>
    </row>
    <row r="7" spans="1:19" ht="14.4" customHeight="1" x14ac:dyDescent="0.3">
      <c r="A7" s="490" t="s">
        <v>598</v>
      </c>
      <c r="B7" s="488">
        <v>35000</v>
      </c>
      <c r="C7" s="424">
        <v>1</v>
      </c>
      <c r="D7" s="488">
        <v>28947</v>
      </c>
      <c r="E7" s="424">
        <v>0.82705714285714282</v>
      </c>
      <c r="F7" s="488">
        <v>34142</v>
      </c>
      <c r="G7" s="487">
        <v>0.97548571428571429</v>
      </c>
      <c r="H7" s="488"/>
      <c r="I7" s="424"/>
      <c r="J7" s="488"/>
      <c r="K7" s="424"/>
      <c r="L7" s="488"/>
      <c r="M7" s="487"/>
      <c r="N7" s="488"/>
      <c r="O7" s="424"/>
      <c r="P7" s="488"/>
      <c r="Q7" s="424"/>
      <c r="R7" s="488"/>
      <c r="S7" s="489"/>
    </row>
    <row r="8" spans="1:19" ht="14.4" customHeight="1" x14ac:dyDescent="0.3">
      <c r="A8" s="490" t="s">
        <v>599</v>
      </c>
      <c r="B8" s="488">
        <v>108061</v>
      </c>
      <c r="C8" s="424">
        <v>1</v>
      </c>
      <c r="D8" s="488">
        <v>90588</v>
      </c>
      <c r="E8" s="424">
        <v>0.83830429109484461</v>
      </c>
      <c r="F8" s="488">
        <v>68205</v>
      </c>
      <c r="G8" s="487">
        <v>0.6311712828865178</v>
      </c>
      <c r="H8" s="488"/>
      <c r="I8" s="424"/>
      <c r="J8" s="488"/>
      <c r="K8" s="424"/>
      <c r="L8" s="488"/>
      <c r="M8" s="487"/>
      <c r="N8" s="488"/>
      <c r="O8" s="424"/>
      <c r="P8" s="488"/>
      <c r="Q8" s="424"/>
      <c r="R8" s="488"/>
      <c r="S8" s="489"/>
    </row>
    <row r="9" spans="1:19" ht="14.4" customHeight="1" x14ac:dyDescent="0.3">
      <c r="A9" s="490" t="s">
        <v>600</v>
      </c>
      <c r="B9" s="488">
        <v>29435</v>
      </c>
      <c r="C9" s="424">
        <v>1</v>
      </c>
      <c r="D9" s="488">
        <v>26546</v>
      </c>
      <c r="E9" s="424">
        <v>0.90185153728554446</v>
      </c>
      <c r="F9" s="488">
        <v>5062</v>
      </c>
      <c r="G9" s="487">
        <v>0.17197214200781383</v>
      </c>
      <c r="H9" s="488"/>
      <c r="I9" s="424"/>
      <c r="J9" s="488"/>
      <c r="K9" s="424"/>
      <c r="L9" s="488"/>
      <c r="M9" s="487"/>
      <c r="N9" s="488"/>
      <c r="O9" s="424"/>
      <c r="P9" s="488"/>
      <c r="Q9" s="424"/>
      <c r="R9" s="488"/>
      <c r="S9" s="489"/>
    </row>
    <row r="10" spans="1:19" ht="14.4" customHeight="1" x14ac:dyDescent="0.3">
      <c r="A10" s="490" t="s">
        <v>601</v>
      </c>
      <c r="B10" s="488">
        <v>80914</v>
      </c>
      <c r="C10" s="424">
        <v>1</v>
      </c>
      <c r="D10" s="488">
        <v>119625</v>
      </c>
      <c r="E10" s="424">
        <v>1.4784215339743432</v>
      </c>
      <c r="F10" s="488">
        <v>61402</v>
      </c>
      <c r="G10" s="487">
        <v>0.75885508070296859</v>
      </c>
      <c r="H10" s="488"/>
      <c r="I10" s="424"/>
      <c r="J10" s="488"/>
      <c r="K10" s="424"/>
      <c r="L10" s="488"/>
      <c r="M10" s="487"/>
      <c r="N10" s="488"/>
      <c r="O10" s="424"/>
      <c r="P10" s="488"/>
      <c r="Q10" s="424"/>
      <c r="R10" s="488"/>
      <c r="S10" s="489"/>
    </row>
    <row r="11" spans="1:19" ht="14.4" customHeight="1" x14ac:dyDescent="0.3">
      <c r="A11" s="490" t="s">
        <v>602</v>
      </c>
      <c r="B11" s="488">
        <v>7536</v>
      </c>
      <c r="C11" s="424">
        <v>1</v>
      </c>
      <c r="D11" s="488">
        <v>13006</v>
      </c>
      <c r="E11" s="424">
        <v>1.7258492569002124</v>
      </c>
      <c r="F11" s="488">
        <v>17603</v>
      </c>
      <c r="G11" s="487">
        <v>2.3358545647558389</v>
      </c>
      <c r="H11" s="488"/>
      <c r="I11" s="424"/>
      <c r="J11" s="488"/>
      <c r="K11" s="424"/>
      <c r="L11" s="488"/>
      <c r="M11" s="487"/>
      <c r="N11" s="488"/>
      <c r="O11" s="424"/>
      <c r="P11" s="488"/>
      <c r="Q11" s="424"/>
      <c r="R11" s="488"/>
      <c r="S11" s="489"/>
    </row>
    <row r="12" spans="1:19" ht="14.4" customHeight="1" x14ac:dyDescent="0.3">
      <c r="A12" s="490" t="s">
        <v>603</v>
      </c>
      <c r="B12" s="488">
        <v>10136</v>
      </c>
      <c r="C12" s="424">
        <v>1</v>
      </c>
      <c r="D12" s="488">
        <v>850</v>
      </c>
      <c r="E12" s="424">
        <v>8.3859510655090772E-2</v>
      </c>
      <c r="F12" s="488">
        <v>22413</v>
      </c>
      <c r="G12" s="487">
        <v>2.2112273086029992</v>
      </c>
      <c r="H12" s="488"/>
      <c r="I12" s="424"/>
      <c r="J12" s="488"/>
      <c r="K12" s="424"/>
      <c r="L12" s="488"/>
      <c r="M12" s="487"/>
      <c r="N12" s="488"/>
      <c r="O12" s="424"/>
      <c r="P12" s="488"/>
      <c r="Q12" s="424"/>
      <c r="R12" s="488"/>
      <c r="S12" s="489"/>
    </row>
    <row r="13" spans="1:19" ht="14.4" customHeight="1" x14ac:dyDescent="0.3">
      <c r="A13" s="490" t="s">
        <v>604</v>
      </c>
      <c r="B13" s="488">
        <v>113121</v>
      </c>
      <c r="C13" s="424">
        <v>1</v>
      </c>
      <c r="D13" s="488">
        <v>61063</v>
      </c>
      <c r="E13" s="424">
        <v>0.53980251235402799</v>
      </c>
      <c r="F13" s="488">
        <v>32902</v>
      </c>
      <c r="G13" s="487">
        <v>0.29085669327534236</v>
      </c>
      <c r="H13" s="488"/>
      <c r="I13" s="424"/>
      <c r="J13" s="488"/>
      <c r="K13" s="424"/>
      <c r="L13" s="488"/>
      <c r="M13" s="487"/>
      <c r="N13" s="488"/>
      <c r="O13" s="424"/>
      <c r="P13" s="488"/>
      <c r="Q13" s="424"/>
      <c r="R13" s="488"/>
      <c r="S13" s="489"/>
    </row>
    <row r="14" spans="1:19" ht="14.4" customHeight="1" x14ac:dyDescent="0.3">
      <c r="A14" s="490" t="s">
        <v>605</v>
      </c>
      <c r="B14" s="488"/>
      <c r="C14" s="424"/>
      <c r="D14" s="488"/>
      <c r="E14" s="424"/>
      <c r="F14" s="488">
        <v>11555</v>
      </c>
      <c r="G14" s="487"/>
      <c r="H14" s="488"/>
      <c r="I14" s="424"/>
      <c r="J14" s="488"/>
      <c r="K14" s="424"/>
      <c r="L14" s="488"/>
      <c r="M14" s="487"/>
      <c r="N14" s="488"/>
      <c r="O14" s="424"/>
      <c r="P14" s="488"/>
      <c r="Q14" s="424"/>
      <c r="R14" s="488"/>
      <c r="S14" s="489"/>
    </row>
    <row r="15" spans="1:19" ht="14.4" customHeight="1" x14ac:dyDescent="0.3">
      <c r="A15" s="490" t="s">
        <v>606</v>
      </c>
      <c r="B15" s="488">
        <v>25224</v>
      </c>
      <c r="C15" s="424">
        <v>1</v>
      </c>
      <c r="D15" s="488">
        <v>58752</v>
      </c>
      <c r="E15" s="424">
        <v>2.329210275927688</v>
      </c>
      <c r="F15" s="488">
        <v>46347</v>
      </c>
      <c r="G15" s="487">
        <v>1.8374167459562321</v>
      </c>
      <c r="H15" s="488"/>
      <c r="I15" s="424"/>
      <c r="J15" s="488"/>
      <c r="K15" s="424"/>
      <c r="L15" s="488"/>
      <c r="M15" s="487"/>
      <c r="N15" s="488"/>
      <c r="O15" s="424"/>
      <c r="P15" s="488"/>
      <c r="Q15" s="424"/>
      <c r="R15" s="488"/>
      <c r="S15" s="489"/>
    </row>
    <row r="16" spans="1:19" ht="14.4" customHeight="1" x14ac:dyDescent="0.3">
      <c r="A16" s="490" t="s">
        <v>607</v>
      </c>
      <c r="B16" s="488">
        <v>70034</v>
      </c>
      <c r="C16" s="424">
        <v>1</v>
      </c>
      <c r="D16" s="488">
        <v>106719</v>
      </c>
      <c r="E16" s="424">
        <v>1.523817003169889</v>
      </c>
      <c r="F16" s="488">
        <v>17958</v>
      </c>
      <c r="G16" s="487">
        <v>0.25641831110603419</v>
      </c>
      <c r="H16" s="488"/>
      <c r="I16" s="424"/>
      <c r="J16" s="488"/>
      <c r="K16" s="424"/>
      <c r="L16" s="488"/>
      <c r="M16" s="487"/>
      <c r="N16" s="488"/>
      <c r="O16" s="424"/>
      <c r="P16" s="488"/>
      <c r="Q16" s="424"/>
      <c r="R16" s="488"/>
      <c r="S16" s="489"/>
    </row>
    <row r="17" spans="1:19" ht="14.4" customHeight="1" x14ac:dyDescent="0.3">
      <c r="A17" s="490" t="s">
        <v>608</v>
      </c>
      <c r="B17" s="488">
        <v>19776</v>
      </c>
      <c r="C17" s="424">
        <v>1</v>
      </c>
      <c r="D17" s="488"/>
      <c r="E17" s="424"/>
      <c r="F17" s="488"/>
      <c r="G17" s="487"/>
      <c r="H17" s="488"/>
      <c r="I17" s="424"/>
      <c r="J17" s="488"/>
      <c r="K17" s="424"/>
      <c r="L17" s="488"/>
      <c r="M17" s="487"/>
      <c r="N17" s="488"/>
      <c r="O17" s="424"/>
      <c r="P17" s="488"/>
      <c r="Q17" s="424"/>
      <c r="R17" s="488"/>
      <c r="S17" s="489"/>
    </row>
    <row r="18" spans="1:19" ht="14.4" customHeight="1" x14ac:dyDescent="0.3">
      <c r="A18" s="490" t="s">
        <v>609</v>
      </c>
      <c r="B18" s="488">
        <v>7022</v>
      </c>
      <c r="C18" s="424">
        <v>1</v>
      </c>
      <c r="D18" s="488"/>
      <c r="E18" s="424"/>
      <c r="F18" s="488">
        <v>10725</v>
      </c>
      <c r="G18" s="487">
        <v>1.527342637425235</v>
      </c>
      <c r="H18" s="488"/>
      <c r="I18" s="424"/>
      <c r="J18" s="488"/>
      <c r="K18" s="424"/>
      <c r="L18" s="488"/>
      <c r="M18" s="487"/>
      <c r="N18" s="488"/>
      <c r="O18" s="424"/>
      <c r="P18" s="488"/>
      <c r="Q18" s="424"/>
      <c r="R18" s="488"/>
      <c r="S18" s="489"/>
    </row>
    <row r="19" spans="1:19" ht="14.4" customHeight="1" x14ac:dyDescent="0.3">
      <c r="A19" s="490" t="s">
        <v>610</v>
      </c>
      <c r="B19" s="488"/>
      <c r="C19" s="424"/>
      <c r="D19" s="488">
        <v>3118</v>
      </c>
      <c r="E19" s="424"/>
      <c r="F19" s="488"/>
      <c r="G19" s="487"/>
      <c r="H19" s="488"/>
      <c r="I19" s="424"/>
      <c r="J19" s="488"/>
      <c r="K19" s="424"/>
      <c r="L19" s="488"/>
      <c r="M19" s="487"/>
      <c r="N19" s="488"/>
      <c r="O19" s="424"/>
      <c r="P19" s="488"/>
      <c r="Q19" s="424"/>
      <c r="R19" s="488"/>
      <c r="S19" s="489"/>
    </row>
    <row r="20" spans="1:19" ht="14.4" customHeight="1" x14ac:dyDescent="0.3">
      <c r="A20" s="490" t="s">
        <v>611</v>
      </c>
      <c r="B20" s="488"/>
      <c r="C20" s="424"/>
      <c r="D20" s="488"/>
      <c r="E20" s="424"/>
      <c r="F20" s="488">
        <v>10437</v>
      </c>
      <c r="G20" s="487"/>
      <c r="H20" s="488"/>
      <c r="I20" s="424"/>
      <c r="J20" s="488"/>
      <c r="K20" s="424"/>
      <c r="L20" s="488"/>
      <c r="M20" s="487"/>
      <c r="N20" s="488"/>
      <c r="O20" s="424"/>
      <c r="P20" s="488"/>
      <c r="Q20" s="424"/>
      <c r="R20" s="488"/>
      <c r="S20" s="489"/>
    </row>
    <row r="21" spans="1:19" ht="14.4" customHeight="1" thickBot="1" x14ac:dyDescent="0.35">
      <c r="A21" s="470" t="s">
        <v>612</v>
      </c>
      <c r="B21" s="469">
        <v>7667</v>
      </c>
      <c r="C21" s="430">
        <v>1</v>
      </c>
      <c r="D21" s="469">
        <v>12438</v>
      </c>
      <c r="E21" s="430">
        <v>1.6222772922916395</v>
      </c>
      <c r="F21" s="469">
        <v>10725</v>
      </c>
      <c r="G21" s="402">
        <v>1.3988522238163559</v>
      </c>
      <c r="H21" s="469"/>
      <c r="I21" s="430"/>
      <c r="J21" s="469"/>
      <c r="K21" s="430"/>
      <c r="L21" s="469"/>
      <c r="M21" s="402"/>
      <c r="N21" s="469"/>
      <c r="O21" s="430"/>
      <c r="P21" s="469"/>
      <c r="Q21" s="430"/>
      <c r="R21" s="469"/>
      <c r="S21" s="403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pageSetUpPr fitToPage="1"/>
  </sheetPr>
  <dimension ref="A1:Q174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x14ac:dyDescent="0.3"/>
  <cols>
    <col min="1" max="1" width="3" style="105" bestFit="1" customWidth="1"/>
    <col min="2" max="2" width="8.6640625" style="105" bestFit="1" customWidth="1"/>
    <col min="3" max="3" width="2.109375" style="105" bestFit="1" customWidth="1"/>
    <col min="4" max="4" width="8" style="105" bestFit="1" customWidth="1"/>
    <col min="5" max="5" width="52.88671875" style="105" bestFit="1" customWidth="1"/>
    <col min="6" max="7" width="11.109375" style="181" customWidth="1"/>
    <col min="8" max="9" width="9.33203125" style="181" hidden="1" customWidth="1"/>
    <col min="10" max="11" width="11.109375" style="181" customWidth="1"/>
    <col min="12" max="13" width="9.33203125" style="181" hidden="1" customWidth="1"/>
    <col min="14" max="15" width="11.109375" style="181" customWidth="1"/>
    <col min="16" max="16" width="11.109375" style="184" customWidth="1"/>
    <col min="17" max="17" width="11.109375" style="181" customWidth="1"/>
    <col min="18" max="16384" width="8.88671875" style="105"/>
  </cols>
  <sheetData>
    <row r="1" spans="1:17" ht="18.600000000000001" customHeight="1" thickBot="1" x14ac:dyDescent="0.4">
      <c r="A1" s="293" t="s">
        <v>629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  <c r="N1" s="293"/>
      <c r="O1" s="293"/>
      <c r="P1" s="293"/>
      <c r="Q1" s="293"/>
    </row>
    <row r="2" spans="1:17" ht="14.4" customHeight="1" thickBot="1" x14ac:dyDescent="0.35">
      <c r="A2" s="203" t="s">
        <v>241</v>
      </c>
      <c r="B2" s="106"/>
      <c r="C2" s="106"/>
      <c r="D2" s="106"/>
      <c r="E2" s="106"/>
      <c r="F2" s="197"/>
      <c r="G2" s="197"/>
      <c r="H2" s="197"/>
      <c r="I2" s="197"/>
      <c r="J2" s="197"/>
      <c r="K2" s="197"/>
      <c r="L2" s="197"/>
      <c r="M2" s="197"/>
      <c r="N2" s="197"/>
      <c r="O2" s="197"/>
      <c r="P2" s="198"/>
      <c r="Q2" s="197"/>
    </row>
    <row r="3" spans="1:17" ht="14.4" customHeight="1" thickBot="1" x14ac:dyDescent="0.35">
      <c r="E3" s="63" t="s">
        <v>108</v>
      </c>
      <c r="F3" s="77">
        <f t="shared" ref="F3:O3" si="0">SUBTOTAL(9,F6:F1048576)</f>
        <v>553</v>
      </c>
      <c r="G3" s="78">
        <f t="shared" si="0"/>
        <v>513926</v>
      </c>
      <c r="H3" s="78"/>
      <c r="I3" s="78"/>
      <c r="J3" s="78">
        <f t="shared" si="0"/>
        <v>591</v>
      </c>
      <c r="K3" s="78">
        <f t="shared" si="0"/>
        <v>568853</v>
      </c>
      <c r="L3" s="78"/>
      <c r="M3" s="78"/>
      <c r="N3" s="78">
        <f t="shared" si="0"/>
        <v>368</v>
      </c>
      <c r="O3" s="78">
        <f t="shared" si="0"/>
        <v>349476</v>
      </c>
      <c r="P3" s="59">
        <f>IF(G3=0,0,O3/G3)</f>
        <v>0.68001229749030012</v>
      </c>
      <c r="Q3" s="79">
        <f>IF(N3=0,0,O3/N3)</f>
        <v>949.66304347826087</v>
      </c>
    </row>
    <row r="4" spans="1:17" ht="14.4" customHeight="1" x14ac:dyDescent="0.3">
      <c r="A4" s="348" t="s">
        <v>51</v>
      </c>
      <c r="B4" s="347" t="s">
        <v>77</v>
      </c>
      <c r="C4" s="348" t="s">
        <v>78</v>
      </c>
      <c r="D4" s="356" t="s">
        <v>79</v>
      </c>
      <c r="E4" s="349" t="s">
        <v>52</v>
      </c>
      <c r="F4" s="354">
        <v>2013</v>
      </c>
      <c r="G4" s="355"/>
      <c r="H4" s="80"/>
      <c r="I4" s="80"/>
      <c r="J4" s="354">
        <v>2014</v>
      </c>
      <c r="K4" s="355"/>
      <c r="L4" s="80"/>
      <c r="M4" s="80"/>
      <c r="N4" s="354">
        <v>2015</v>
      </c>
      <c r="O4" s="355"/>
      <c r="P4" s="357" t="s">
        <v>2</v>
      </c>
      <c r="Q4" s="346" t="s">
        <v>80</v>
      </c>
    </row>
    <row r="5" spans="1:17" ht="14.4" customHeight="1" thickBot="1" x14ac:dyDescent="0.35">
      <c r="A5" s="479"/>
      <c r="B5" s="478"/>
      <c r="C5" s="479"/>
      <c r="D5" s="491"/>
      <c r="E5" s="481"/>
      <c r="F5" s="492" t="s">
        <v>54</v>
      </c>
      <c r="G5" s="493" t="s">
        <v>10</v>
      </c>
      <c r="H5" s="494"/>
      <c r="I5" s="494"/>
      <c r="J5" s="492" t="s">
        <v>54</v>
      </c>
      <c r="K5" s="493" t="s">
        <v>10</v>
      </c>
      <c r="L5" s="494"/>
      <c r="M5" s="494"/>
      <c r="N5" s="492" t="s">
        <v>54</v>
      </c>
      <c r="O5" s="493" t="s">
        <v>10</v>
      </c>
      <c r="P5" s="495"/>
      <c r="Q5" s="486"/>
    </row>
    <row r="6" spans="1:17" ht="14.4" customHeight="1" x14ac:dyDescent="0.3">
      <c r="A6" s="419" t="s">
        <v>613</v>
      </c>
      <c r="B6" s="420" t="s">
        <v>543</v>
      </c>
      <c r="C6" s="420" t="s">
        <v>540</v>
      </c>
      <c r="D6" s="420" t="s">
        <v>552</v>
      </c>
      <c r="E6" s="420" t="s">
        <v>553</v>
      </c>
      <c r="F6" s="398"/>
      <c r="G6" s="398"/>
      <c r="H6" s="398"/>
      <c r="I6" s="398"/>
      <c r="J6" s="398">
        <v>4</v>
      </c>
      <c r="K6" s="398">
        <v>14792</v>
      </c>
      <c r="L6" s="398"/>
      <c r="M6" s="398">
        <v>3698</v>
      </c>
      <c r="N6" s="398"/>
      <c r="O6" s="398"/>
      <c r="P6" s="399"/>
      <c r="Q6" s="410"/>
    </row>
    <row r="7" spans="1:17" ht="14.4" customHeight="1" x14ac:dyDescent="0.3">
      <c r="A7" s="423" t="s">
        <v>613</v>
      </c>
      <c r="B7" s="424" t="s">
        <v>543</v>
      </c>
      <c r="C7" s="424" t="s">
        <v>540</v>
      </c>
      <c r="D7" s="424" t="s">
        <v>558</v>
      </c>
      <c r="E7" s="424" t="s">
        <v>559</v>
      </c>
      <c r="F7" s="427"/>
      <c r="G7" s="427"/>
      <c r="H7" s="427"/>
      <c r="I7" s="427"/>
      <c r="J7" s="427">
        <v>2</v>
      </c>
      <c r="K7" s="427">
        <v>3226</v>
      </c>
      <c r="L7" s="427"/>
      <c r="M7" s="427">
        <v>1613</v>
      </c>
      <c r="N7" s="427"/>
      <c r="O7" s="427"/>
      <c r="P7" s="487"/>
      <c r="Q7" s="428"/>
    </row>
    <row r="8" spans="1:17" ht="14.4" customHeight="1" x14ac:dyDescent="0.3">
      <c r="A8" s="423" t="s">
        <v>613</v>
      </c>
      <c r="B8" s="424" t="s">
        <v>543</v>
      </c>
      <c r="C8" s="424" t="s">
        <v>540</v>
      </c>
      <c r="D8" s="424" t="s">
        <v>564</v>
      </c>
      <c r="E8" s="424" t="s">
        <v>565</v>
      </c>
      <c r="F8" s="427"/>
      <c r="G8" s="427"/>
      <c r="H8" s="427"/>
      <c r="I8" s="427"/>
      <c r="J8" s="427">
        <v>1</v>
      </c>
      <c r="K8" s="427">
        <v>1447</v>
      </c>
      <c r="L8" s="427"/>
      <c r="M8" s="427">
        <v>1447</v>
      </c>
      <c r="N8" s="427"/>
      <c r="O8" s="427"/>
      <c r="P8" s="487"/>
      <c r="Q8" s="428"/>
    </row>
    <row r="9" spans="1:17" ht="14.4" customHeight="1" x14ac:dyDescent="0.3">
      <c r="A9" s="423" t="s">
        <v>613</v>
      </c>
      <c r="B9" s="424" t="s">
        <v>543</v>
      </c>
      <c r="C9" s="424" t="s">
        <v>540</v>
      </c>
      <c r="D9" s="424" t="s">
        <v>571</v>
      </c>
      <c r="E9" s="424" t="s">
        <v>557</v>
      </c>
      <c r="F9" s="427"/>
      <c r="G9" s="427"/>
      <c r="H9" s="427"/>
      <c r="I9" s="427"/>
      <c r="J9" s="427">
        <v>8</v>
      </c>
      <c r="K9" s="427">
        <v>11000</v>
      </c>
      <c r="L9" s="427"/>
      <c r="M9" s="427">
        <v>1375</v>
      </c>
      <c r="N9" s="427"/>
      <c r="O9" s="427"/>
      <c r="P9" s="487"/>
      <c r="Q9" s="428"/>
    </row>
    <row r="10" spans="1:17" ht="14.4" customHeight="1" x14ac:dyDescent="0.3">
      <c r="A10" s="423" t="s">
        <v>613</v>
      </c>
      <c r="B10" s="424" t="s">
        <v>543</v>
      </c>
      <c r="C10" s="424" t="s">
        <v>540</v>
      </c>
      <c r="D10" s="424" t="s">
        <v>572</v>
      </c>
      <c r="E10" s="424" t="s">
        <v>573</v>
      </c>
      <c r="F10" s="427"/>
      <c r="G10" s="427"/>
      <c r="H10" s="427"/>
      <c r="I10" s="427"/>
      <c r="J10" s="427">
        <v>4</v>
      </c>
      <c r="K10" s="427">
        <v>9276</v>
      </c>
      <c r="L10" s="427"/>
      <c r="M10" s="427">
        <v>2319</v>
      </c>
      <c r="N10" s="427"/>
      <c r="O10" s="427"/>
      <c r="P10" s="487"/>
      <c r="Q10" s="428"/>
    </row>
    <row r="11" spans="1:17" ht="14.4" customHeight="1" x14ac:dyDescent="0.3">
      <c r="A11" s="423" t="s">
        <v>613</v>
      </c>
      <c r="B11" s="424" t="s">
        <v>543</v>
      </c>
      <c r="C11" s="424" t="s">
        <v>540</v>
      </c>
      <c r="D11" s="424" t="s">
        <v>576</v>
      </c>
      <c r="E11" s="424" t="s">
        <v>577</v>
      </c>
      <c r="F11" s="427"/>
      <c r="G11" s="427"/>
      <c r="H11" s="427"/>
      <c r="I11" s="427"/>
      <c r="J11" s="427">
        <v>1</v>
      </c>
      <c r="K11" s="427">
        <v>396</v>
      </c>
      <c r="L11" s="427"/>
      <c r="M11" s="427">
        <v>396</v>
      </c>
      <c r="N11" s="427"/>
      <c r="O11" s="427"/>
      <c r="P11" s="487"/>
      <c r="Q11" s="428"/>
    </row>
    <row r="12" spans="1:17" ht="14.4" customHeight="1" x14ac:dyDescent="0.3">
      <c r="A12" s="423" t="s">
        <v>613</v>
      </c>
      <c r="B12" s="424" t="s">
        <v>543</v>
      </c>
      <c r="C12" s="424" t="s">
        <v>540</v>
      </c>
      <c r="D12" s="424" t="s">
        <v>580</v>
      </c>
      <c r="E12" s="424" t="s">
        <v>581</v>
      </c>
      <c r="F12" s="427"/>
      <c r="G12" s="427"/>
      <c r="H12" s="427"/>
      <c r="I12" s="427"/>
      <c r="J12" s="427">
        <v>7</v>
      </c>
      <c r="K12" s="427">
        <v>3850</v>
      </c>
      <c r="L12" s="427"/>
      <c r="M12" s="427">
        <v>550</v>
      </c>
      <c r="N12" s="427"/>
      <c r="O12" s="427"/>
      <c r="P12" s="487"/>
      <c r="Q12" s="428"/>
    </row>
    <row r="13" spans="1:17" ht="14.4" customHeight="1" x14ac:dyDescent="0.3">
      <c r="A13" s="423" t="s">
        <v>613</v>
      </c>
      <c r="B13" s="424" t="s">
        <v>543</v>
      </c>
      <c r="C13" s="424" t="s">
        <v>540</v>
      </c>
      <c r="D13" s="424" t="s">
        <v>593</v>
      </c>
      <c r="E13" s="424" t="s">
        <v>594</v>
      </c>
      <c r="F13" s="427"/>
      <c r="G13" s="427"/>
      <c r="H13" s="427"/>
      <c r="I13" s="427"/>
      <c r="J13" s="427">
        <v>2</v>
      </c>
      <c r="K13" s="427">
        <v>3214</v>
      </c>
      <c r="L13" s="427"/>
      <c r="M13" s="427">
        <v>1607</v>
      </c>
      <c r="N13" s="427"/>
      <c r="O13" s="427"/>
      <c r="P13" s="487"/>
      <c r="Q13" s="428"/>
    </row>
    <row r="14" spans="1:17" ht="14.4" customHeight="1" x14ac:dyDescent="0.3">
      <c r="A14" s="423" t="s">
        <v>614</v>
      </c>
      <c r="B14" s="424" t="s">
        <v>543</v>
      </c>
      <c r="C14" s="424" t="s">
        <v>540</v>
      </c>
      <c r="D14" s="424" t="s">
        <v>548</v>
      </c>
      <c r="E14" s="424" t="s">
        <v>549</v>
      </c>
      <c r="F14" s="427">
        <v>3</v>
      </c>
      <c r="G14" s="427">
        <v>6639</v>
      </c>
      <c r="H14" s="427">
        <v>1</v>
      </c>
      <c r="I14" s="427">
        <v>2213</v>
      </c>
      <c r="J14" s="427"/>
      <c r="K14" s="427"/>
      <c r="L14" s="427"/>
      <c r="M14" s="427"/>
      <c r="N14" s="427"/>
      <c r="O14" s="427"/>
      <c r="P14" s="487"/>
      <c r="Q14" s="428"/>
    </row>
    <row r="15" spans="1:17" ht="14.4" customHeight="1" x14ac:dyDescent="0.3">
      <c r="A15" s="423" t="s">
        <v>614</v>
      </c>
      <c r="B15" s="424" t="s">
        <v>543</v>
      </c>
      <c r="C15" s="424" t="s">
        <v>540</v>
      </c>
      <c r="D15" s="424" t="s">
        <v>552</v>
      </c>
      <c r="E15" s="424" t="s">
        <v>553</v>
      </c>
      <c r="F15" s="427">
        <v>1</v>
      </c>
      <c r="G15" s="427">
        <v>3698</v>
      </c>
      <c r="H15" s="427">
        <v>1</v>
      </c>
      <c r="I15" s="427">
        <v>3698</v>
      </c>
      <c r="J15" s="427">
        <v>1</v>
      </c>
      <c r="K15" s="427">
        <v>3698</v>
      </c>
      <c r="L15" s="427">
        <v>1</v>
      </c>
      <c r="M15" s="427">
        <v>3698</v>
      </c>
      <c r="N15" s="427">
        <v>3</v>
      </c>
      <c r="O15" s="427">
        <v>11163</v>
      </c>
      <c r="P15" s="487">
        <v>3.0186587344510545</v>
      </c>
      <c r="Q15" s="428">
        <v>3721</v>
      </c>
    </row>
    <row r="16" spans="1:17" ht="14.4" customHeight="1" x14ac:dyDescent="0.3">
      <c r="A16" s="423" t="s">
        <v>614</v>
      </c>
      <c r="B16" s="424" t="s">
        <v>543</v>
      </c>
      <c r="C16" s="424" t="s">
        <v>540</v>
      </c>
      <c r="D16" s="424" t="s">
        <v>554</v>
      </c>
      <c r="E16" s="424" t="s">
        <v>555</v>
      </c>
      <c r="F16" s="427"/>
      <c r="G16" s="427"/>
      <c r="H16" s="427"/>
      <c r="I16" s="427"/>
      <c r="J16" s="427">
        <v>2</v>
      </c>
      <c r="K16" s="427">
        <v>876</v>
      </c>
      <c r="L16" s="427"/>
      <c r="M16" s="427">
        <v>438</v>
      </c>
      <c r="N16" s="427"/>
      <c r="O16" s="427"/>
      <c r="P16" s="487"/>
      <c r="Q16" s="428"/>
    </row>
    <row r="17" spans="1:17" ht="14.4" customHeight="1" x14ac:dyDescent="0.3">
      <c r="A17" s="423" t="s">
        <v>614</v>
      </c>
      <c r="B17" s="424" t="s">
        <v>543</v>
      </c>
      <c r="C17" s="424" t="s">
        <v>540</v>
      </c>
      <c r="D17" s="424" t="s">
        <v>558</v>
      </c>
      <c r="E17" s="424" t="s">
        <v>559</v>
      </c>
      <c r="F17" s="427"/>
      <c r="G17" s="427"/>
      <c r="H17" s="427"/>
      <c r="I17" s="427"/>
      <c r="J17" s="427"/>
      <c r="K17" s="427"/>
      <c r="L17" s="427"/>
      <c r="M17" s="427"/>
      <c r="N17" s="427">
        <v>1</v>
      </c>
      <c r="O17" s="427">
        <v>1621</v>
      </c>
      <c r="P17" s="487"/>
      <c r="Q17" s="428">
        <v>1621</v>
      </c>
    </row>
    <row r="18" spans="1:17" ht="14.4" customHeight="1" x14ac:dyDescent="0.3">
      <c r="A18" s="423" t="s">
        <v>614</v>
      </c>
      <c r="B18" s="424" t="s">
        <v>543</v>
      </c>
      <c r="C18" s="424" t="s">
        <v>540</v>
      </c>
      <c r="D18" s="424" t="s">
        <v>562</v>
      </c>
      <c r="E18" s="424" t="s">
        <v>563</v>
      </c>
      <c r="F18" s="427">
        <v>2</v>
      </c>
      <c r="G18" s="427">
        <v>1638</v>
      </c>
      <c r="H18" s="427">
        <v>1</v>
      </c>
      <c r="I18" s="427">
        <v>819</v>
      </c>
      <c r="J18" s="427"/>
      <c r="K18" s="427"/>
      <c r="L18" s="427"/>
      <c r="M18" s="427"/>
      <c r="N18" s="427"/>
      <c r="O18" s="427"/>
      <c r="P18" s="487"/>
      <c r="Q18" s="428"/>
    </row>
    <row r="19" spans="1:17" ht="14.4" customHeight="1" x14ac:dyDescent="0.3">
      <c r="A19" s="423" t="s">
        <v>614</v>
      </c>
      <c r="B19" s="424" t="s">
        <v>543</v>
      </c>
      <c r="C19" s="424" t="s">
        <v>540</v>
      </c>
      <c r="D19" s="424" t="s">
        <v>564</v>
      </c>
      <c r="E19" s="424" t="s">
        <v>565</v>
      </c>
      <c r="F19" s="427">
        <v>2</v>
      </c>
      <c r="G19" s="427">
        <v>2894</v>
      </c>
      <c r="H19" s="427">
        <v>1</v>
      </c>
      <c r="I19" s="427">
        <v>1447</v>
      </c>
      <c r="J19" s="427"/>
      <c r="K19" s="427"/>
      <c r="L19" s="427"/>
      <c r="M19" s="427"/>
      <c r="N19" s="427"/>
      <c r="O19" s="427"/>
      <c r="P19" s="487"/>
      <c r="Q19" s="428"/>
    </row>
    <row r="20" spans="1:17" ht="14.4" customHeight="1" x14ac:dyDescent="0.3">
      <c r="A20" s="423" t="s">
        <v>614</v>
      </c>
      <c r="B20" s="424" t="s">
        <v>543</v>
      </c>
      <c r="C20" s="424" t="s">
        <v>540</v>
      </c>
      <c r="D20" s="424" t="s">
        <v>568</v>
      </c>
      <c r="E20" s="424" t="s">
        <v>569</v>
      </c>
      <c r="F20" s="427">
        <v>5</v>
      </c>
      <c r="G20" s="427">
        <v>80</v>
      </c>
      <c r="H20" s="427">
        <v>1</v>
      </c>
      <c r="I20" s="427">
        <v>16</v>
      </c>
      <c r="J20" s="427">
        <v>5</v>
      </c>
      <c r="K20" s="427">
        <v>80</v>
      </c>
      <c r="L20" s="427">
        <v>1</v>
      </c>
      <c r="M20" s="427">
        <v>16</v>
      </c>
      <c r="N20" s="427">
        <v>2</v>
      </c>
      <c r="O20" s="427">
        <v>32</v>
      </c>
      <c r="P20" s="487">
        <v>0.4</v>
      </c>
      <c r="Q20" s="428">
        <v>16</v>
      </c>
    </row>
    <row r="21" spans="1:17" ht="14.4" customHeight="1" x14ac:dyDescent="0.3">
      <c r="A21" s="423" t="s">
        <v>614</v>
      </c>
      <c r="B21" s="424" t="s">
        <v>543</v>
      </c>
      <c r="C21" s="424" t="s">
        <v>540</v>
      </c>
      <c r="D21" s="424" t="s">
        <v>570</v>
      </c>
      <c r="E21" s="424" t="s">
        <v>555</v>
      </c>
      <c r="F21" s="427">
        <v>7</v>
      </c>
      <c r="G21" s="427">
        <v>4816</v>
      </c>
      <c r="H21" s="427">
        <v>1</v>
      </c>
      <c r="I21" s="427">
        <v>688</v>
      </c>
      <c r="J21" s="427">
        <v>5</v>
      </c>
      <c r="K21" s="427">
        <v>3440</v>
      </c>
      <c r="L21" s="427">
        <v>0.7142857142857143</v>
      </c>
      <c r="M21" s="427">
        <v>688</v>
      </c>
      <c r="N21" s="427">
        <v>4</v>
      </c>
      <c r="O21" s="427">
        <v>2784</v>
      </c>
      <c r="P21" s="487">
        <v>0.57807308970099669</v>
      </c>
      <c r="Q21" s="428">
        <v>696</v>
      </c>
    </row>
    <row r="22" spans="1:17" ht="14.4" customHeight="1" x14ac:dyDescent="0.3">
      <c r="A22" s="423" t="s">
        <v>614</v>
      </c>
      <c r="B22" s="424" t="s">
        <v>543</v>
      </c>
      <c r="C22" s="424" t="s">
        <v>540</v>
      </c>
      <c r="D22" s="424" t="s">
        <v>571</v>
      </c>
      <c r="E22" s="424" t="s">
        <v>557</v>
      </c>
      <c r="F22" s="427">
        <v>4</v>
      </c>
      <c r="G22" s="427">
        <v>5500</v>
      </c>
      <c r="H22" s="427">
        <v>1</v>
      </c>
      <c r="I22" s="427">
        <v>1375</v>
      </c>
      <c r="J22" s="427">
        <v>4</v>
      </c>
      <c r="K22" s="427">
        <v>5500</v>
      </c>
      <c r="L22" s="427">
        <v>1</v>
      </c>
      <c r="M22" s="427">
        <v>1375</v>
      </c>
      <c r="N22" s="427">
        <v>3</v>
      </c>
      <c r="O22" s="427">
        <v>4161</v>
      </c>
      <c r="P22" s="487">
        <v>0.75654545454545452</v>
      </c>
      <c r="Q22" s="428">
        <v>1387</v>
      </c>
    </row>
    <row r="23" spans="1:17" ht="14.4" customHeight="1" x14ac:dyDescent="0.3">
      <c r="A23" s="423" t="s">
        <v>614</v>
      </c>
      <c r="B23" s="424" t="s">
        <v>543</v>
      </c>
      <c r="C23" s="424" t="s">
        <v>540</v>
      </c>
      <c r="D23" s="424" t="s">
        <v>572</v>
      </c>
      <c r="E23" s="424" t="s">
        <v>573</v>
      </c>
      <c r="F23" s="427">
        <v>2</v>
      </c>
      <c r="G23" s="427">
        <v>4638</v>
      </c>
      <c r="H23" s="427">
        <v>1</v>
      </c>
      <c r="I23" s="427">
        <v>2319</v>
      </c>
      <c r="J23" s="427">
        <v>4</v>
      </c>
      <c r="K23" s="427">
        <v>9276</v>
      </c>
      <c r="L23" s="427">
        <v>2</v>
      </c>
      <c r="M23" s="427">
        <v>2319</v>
      </c>
      <c r="N23" s="427">
        <v>3</v>
      </c>
      <c r="O23" s="427">
        <v>7023</v>
      </c>
      <c r="P23" s="487">
        <v>1.5142302716688227</v>
      </c>
      <c r="Q23" s="428">
        <v>2341</v>
      </c>
    </row>
    <row r="24" spans="1:17" ht="14.4" customHeight="1" x14ac:dyDescent="0.3">
      <c r="A24" s="423" t="s">
        <v>614</v>
      </c>
      <c r="B24" s="424" t="s">
        <v>543</v>
      </c>
      <c r="C24" s="424" t="s">
        <v>540</v>
      </c>
      <c r="D24" s="424" t="s">
        <v>574</v>
      </c>
      <c r="E24" s="424" t="s">
        <v>575</v>
      </c>
      <c r="F24" s="427">
        <v>7</v>
      </c>
      <c r="G24" s="427">
        <v>455</v>
      </c>
      <c r="H24" s="427">
        <v>1</v>
      </c>
      <c r="I24" s="427">
        <v>65</v>
      </c>
      <c r="J24" s="427">
        <v>7</v>
      </c>
      <c r="K24" s="427">
        <v>455</v>
      </c>
      <c r="L24" s="427">
        <v>1</v>
      </c>
      <c r="M24" s="427">
        <v>65</v>
      </c>
      <c r="N24" s="427">
        <v>4</v>
      </c>
      <c r="O24" s="427">
        <v>264</v>
      </c>
      <c r="P24" s="487">
        <v>0.58021978021978027</v>
      </c>
      <c r="Q24" s="428">
        <v>66</v>
      </c>
    </row>
    <row r="25" spans="1:17" ht="14.4" customHeight="1" x14ac:dyDescent="0.3">
      <c r="A25" s="423" t="s">
        <v>614</v>
      </c>
      <c r="B25" s="424" t="s">
        <v>543</v>
      </c>
      <c r="C25" s="424" t="s">
        <v>540</v>
      </c>
      <c r="D25" s="424" t="s">
        <v>576</v>
      </c>
      <c r="E25" s="424" t="s">
        <v>577</v>
      </c>
      <c r="F25" s="427">
        <v>2</v>
      </c>
      <c r="G25" s="427">
        <v>792</v>
      </c>
      <c r="H25" s="427">
        <v>1</v>
      </c>
      <c r="I25" s="427">
        <v>396</v>
      </c>
      <c r="J25" s="427"/>
      <c r="K25" s="427"/>
      <c r="L25" s="427"/>
      <c r="M25" s="427"/>
      <c r="N25" s="427"/>
      <c r="O25" s="427"/>
      <c r="P25" s="487"/>
      <c r="Q25" s="428"/>
    </row>
    <row r="26" spans="1:17" ht="14.4" customHeight="1" x14ac:dyDescent="0.3">
      <c r="A26" s="423" t="s">
        <v>614</v>
      </c>
      <c r="B26" s="424" t="s">
        <v>543</v>
      </c>
      <c r="C26" s="424" t="s">
        <v>540</v>
      </c>
      <c r="D26" s="424" t="s">
        <v>580</v>
      </c>
      <c r="E26" s="424" t="s">
        <v>581</v>
      </c>
      <c r="F26" s="427">
        <v>7</v>
      </c>
      <c r="G26" s="427">
        <v>3850</v>
      </c>
      <c r="H26" s="427">
        <v>1</v>
      </c>
      <c r="I26" s="427">
        <v>550</v>
      </c>
      <c r="J26" s="427">
        <v>10</v>
      </c>
      <c r="K26" s="427">
        <v>5500</v>
      </c>
      <c r="L26" s="427">
        <v>1.4285714285714286</v>
      </c>
      <c r="M26" s="427">
        <v>550</v>
      </c>
      <c r="N26" s="427">
        <v>7</v>
      </c>
      <c r="O26" s="427">
        <v>3864</v>
      </c>
      <c r="P26" s="487">
        <v>1.0036363636363637</v>
      </c>
      <c r="Q26" s="428">
        <v>552</v>
      </c>
    </row>
    <row r="27" spans="1:17" ht="14.4" customHeight="1" x14ac:dyDescent="0.3">
      <c r="A27" s="423" t="s">
        <v>614</v>
      </c>
      <c r="B27" s="424" t="s">
        <v>543</v>
      </c>
      <c r="C27" s="424" t="s">
        <v>540</v>
      </c>
      <c r="D27" s="424" t="s">
        <v>586</v>
      </c>
      <c r="E27" s="424" t="s">
        <v>587</v>
      </c>
      <c r="F27" s="427"/>
      <c r="G27" s="427"/>
      <c r="H27" s="427"/>
      <c r="I27" s="427"/>
      <c r="J27" s="427">
        <v>1</v>
      </c>
      <c r="K27" s="427">
        <v>122</v>
      </c>
      <c r="L27" s="427"/>
      <c r="M27" s="427">
        <v>122</v>
      </c>
      <c r="N27" s="427"/>
      <c r="O27" s="427"/>
      <c r="P27" s="487"/>
      <c r="Q27" s="428"/>
    </row>
    <row r="28" spans="1:17" ht="14.4" customHeight="1" x14ac:dyDescent="0.3">
      <c r="A28" s="423" t="s">
        <v>614</v>
      </c>
      <c r="B28" s="424" t="s">
        <v>543</v>
      </c>
      <c r="C28" s="424" t="s">
        <v>540</v>
      </c>
      <c r="D28" s="424" t="s">
        <v>593</v>
      </c>
      <c r="E28" s="424" t="s">
        <v>594</v>
      </c>
      <c r="F28" s="427"/>
      <c r="G28" s="427"/>
      <c r="H28" s="427"/>
      <c r="I28" s="427"/>
      <c r="J28" s="427"/>
      <c r="K28" s="427"/>
      <c r="L28" s="427"/>
      <c r="M28" s="427"/>
      <c r="N28" s="427">
        <v>2</v>
      </c>
      <c r="O28" s="427">
        <v>3230</v>
      </c>
      <c r="P28" s="487"/>
      <c r="Q28" s="428">
        <v>1615</v>
      </c>
    </row>
    <row r="29" spans="1:17" ht="14.4" customHeight="1" x14ac:dyDescent="0.3">
      <c r="A29" s="423" t="s">
        <v>615</v>
      </c>
      <c r="B29" s="424" t="s">
        <v>543</v>
      </c>
      <c r="C29" s="424" t="s">
        <v>540</v>
      </c>
      <c r="D29" s="424" t="s">
        <v>544</v>
      </c>
      <c r="E29" s="424" t="s">
        <v>545</v>
      </c>
      <c r="F29" s="427">
        <v>3</v>
      </c>
      <c r="G29" s="427">
        <v>378</v>
      </c>
      <c r="H29" s="427">
        <v>1</v>
      </c>
      <c r="I29" s="427">
        <v>126</v>
      </c>
      <c r="J29" s="427">
        <v>1</v>
      </c>
      <c r="K29" s="427">
        <v>126</v>
      </c>
      <c r="L29" s="427">
        <v>0.33333333333333331</v>
      </c>
      <c r="M29" s="427">
        <v>126</v>
      </c>
      <c r="N29" s="427"/>
      <c r="O29" s="427"/>
      <c r="P29" s="487"/>
      <c r="Q29" s="428"/>
    </row>
    <row r="30" spans="1:17" ht="14.4" customHeight="1" x14ac:dyDescent="0.3">
      <c r="A30" s="423" t="s">
        <v>615</v>
      </c>
      <c r="B30" s="424" t="s">
        <v>543</v>
      </c>
      <c r="C30" s="424" t="s">
        <v>540</v>
      </c>
      <c r="D30" s="424" t="s">
        <v>548</v>
      </c>
      <c r="E30" s="424" t="s">
        <v>549</v>
      </c>
      <c r="F30" s="427">
        <v>9</v>
      </c>
      <c r="G30" s="427">
        <v>19917</v>
      </c>
      <c r="H30" s="427">
        <v>1</v>
      </c>
      <c r="I30" s="427">
        <v>2213</v>
      </c>
      <c r="J30" s="427"/>
      <c r="K30" s="427"/>
      <c r="L30" s="427"/>
      <c r="M30" s="427"/>
      <c r="N30" s="427"/>
      <c r="O30" s="427"/>
      <c r="P30" s="487"/>
      <c r="Q30" s="428"/>
    </row>
    <row r="31" spans="1:17" ht="14.4" customHeight="1" x14ac:dyDescent="0.3">
      <c r="A31" s="423" t="s">
        <v>615</v>
      </c>
      <c r="B31" s="424" t="s">
        <v>543</v>
      </c>
      <c r="C31" s="424" t="s">
        <v>540</v>
      </c>
      <c r="D31" s="424" t="s">
        <v>550</v>
      </c>
      <c r="E31" s="424" t="s">
        <v>551</v>
      </c>
      <c r="F31" s="427">
        <v>1</v>
      </c>
      <c r="G31" s="427">
        <v>1035</v>
      </c>
      <c r="H31" s="427">
        <v>1</v>
      </c>
      <c r="I31" s="427">
        <v>1035</v>
      </c>
      <c r="J31" s="427">
        <v>1</v>
      </c>
      <c r="K31" s="427">
        <v>1035</v>
      </c>
      <c r="L31" s="427">
        <v>1</v>
      </c>
      <c r="M31" s="427">
        <v>1035</v>
      </c>
      <c r="N31" s="427"/>
      <c r="O31" s="427"/>
      <c r="P31" s="487"/>
      <c r="Q31" s="428"/>
    </row>
    <row r="32" spans="1:17" ht="14.4" customHeight="1" x14ac:dyDescent="0.3">
      <c r="A32" s="423" t="s">
        <v>615</v>
      </c>
      <c r="B32" s="424" t="s">
        <v>543</v>
      </c>
      <c r="C32" s="424" t="s">
        <v>540</v>
      </c>
      <c r="D32" s="424" t="s">
        <v>552</v>
      </c>
      <c r="E32" s="424" t="s">
        <v>553</v>
      </c>
      <c r="F32" s="427">
        <v>4</v>
      </c>
      <c r="G32" s="427">
        <v>14792</v>
      </c>
      <c r="H32" s="427">
        <v>1</v>
      </c>
      <c r="I32" s="427">
        <v>3698</v>
      </c>
      <c r="J32" s="427">
        <v>6</v>
      </c>
      <c r="K32" s="427">
        <v>22188</v>
      </c>
      <c r="L32" s="427">
        <v>1.5</v>
      </c>
      <c r="M32" s="427">
        <v>3698</v>
      </c>
      <c r="N32" s="427">
        <v>5</v>
      </c>
      <c r="O32" s="427">
        <v>18605</v>
      </c>
      <c r="P32" s="487">
        <v>1.2577744726879394</v>
      </c>
      <c r="Q32" s="428">
        <v>3721</v>
      </c>
    </row>
    <row r="33" spans="1:17" ht="14.4" customHeight="1" x14ac:dyDescent="0.3">
      <c r="A33" s="423" t="s">
        <v>615</v>
      </c>
      <c r="B33" s="424" t="s">
        <v>543</v>
      </c>
      <c r="C33" s="424" t="s">
        <v>540</v>
      </c>
      <c r="D33" s="424" t="s">
        <v>558</v>
      </c>
      <c r="E33" s="424" t="s">
        <v>559</v>
      </c>
      <c r="F33" s="427"/>
      <c r="G33" s="427"/>
      <c r="H33" s="427"/>
      <c r="I33" s="427"/>
      <c r="J33" s="427">
        <v>3</v>
      </c>
      <c r="K33" s="427">
        <v>4839</v>
      </c>
      <c r="L33" s="427"/>
      <c r="M33" s="427">
        <v>1613</v>
      </c>
      <c r="N33" s="427">
        <v>1</v>
      </c>
      <c r="O33" s="427">
        <v>1621</v>
      </c>
      <c r="P33" s="487"/>
      <c r="Q33" s="428">
        <v>1621</v>
      </c>
    </row>
    <row r="34" spans="1:17" ht="14.4" customHeight="1" x14ac:dyDescent="0.3">
      <c r="A34" s="423" t="s">
        <v>615</v>
      </c>
      <c r="B34" s="424" t="s">
        <v>543</v>
      </c>
      <c r="C34" s="424" t="s">
        <v>540</v>
      </c>
      <c r="D34" s="424" t="s">
        <v>562</v>
      </c>
      <c r="E34" s="424" t="s">
        <v>563</v>
      </c>
      <c r="F34" s="427">
        <v>8</v>
      </c>
      <c r="G34" s="427">
        <v>6552</v>
      </c>
      <c r="H34" s="427">
        <v>1</v>
      </c>
      <c r="I34" s="427">
        <v>819</v>
      </c>
      <c r="J34" s="427"/>
      <c r="K34" s="427"/>
      <c r="L34" s="427"/>
      <c r="M34" s="427"/>
      <c r="N34" s="427"/>
      <c r="O34" s="427"/>
      <c r="P34" s="487"/>
      <c r="Q34" s="428"/>
    </row>
    <row r="35" spans="1:17" ht="14.4" customHeight="1" x14ac:dyDescent="0.3">
      <c r="A35" s="423" t="s">
        <v>615</v>
      </c>
      <c r="B35" s="424" t="s">
        <v>543</v>
      </c>
      <c r="C35" s="424" t="s">
        <v>540</v>
      </c>
      <c r="D35" s="424" t="s">
        <v>564</v>
      </c>
      <c r="E35" s="424" t="s">
        <v>565</v>
      </c>
      <c r="F35" s="427">
        <v>3</v>
      </c>
      <c r="G35" s="427">
        <v>4341</v>
      </c>
      <c r="H35" s="427">
        <v>1</v>
      </c>
      <c r="I35" s="427">
        <v>1447</v>
      </c>
      <c r="J35" s="427"/>
      <c r="K35" s="427"/>
      <c r="L35" s="427"/>
      <c r="M35" s="427"/>
      <c r="N35" s="427"/>
      <c r="O35" s="427"/>
      <c r="P35" s="487"/>
      <c r="Q35" s="428"/>
    </row>
    <row r="36" spans="1:17" ht="14.4" customHeight="1" x14ac:dyDescent="0.3">
      <c r="A36" s="423" t="s">
        <v>615</v>
      </c>
      <c r="B36" s="424" t="s">
        <v>543</v>
      </c>
      <c r="C36" s="424" t="s">
        <v>540</v>
      </c>
      <c r="D36" s="424" t="s">
        <v>568</v>
      </c>
      <c r="E36" s="424" t="s">
        <v>569</v>
      </c>
      <c r="F36" s="427">
        <v>18</v>
      </c>
      <c r="G36" s="427">
        <v>288</v>
      </c>
      <c r="H36" s="427">
        <v>1</v>
      </c>
      <c r="I36" s="427">
        <v>16</v>
      </c>
      <c r="J36" s="427">
        <v>6</v>
      </c>
      <c r="K36" s="427">
        <v>96</v>
      </c>
      <c r="L36" s="427">
        <v>0.33333333333333331</v>
      </c>
      <c r="M36" s="427">
        <v>16</v>
      </c>
      <c r="N36" s="427">
        <v>3</v>
      </c>
      <c r="O36" s="427">
        <v>48</v>
      </c>
      <c r="P36" s="487">
        <v>0.16666666666666666</v>
      </c>
      <c r="Q36" s="428">
        <v>16</v>
      </c>
    </row>
    <row r="37" spans="1:17" ht="14.4" customHeight="1" x14ac:dyDescent="0.3">
      <c r="A37" s="423" t="s">
        <v>615</v>
      </c>
      <c r="B37" s="424" t="s">
        <v>543</v>
      </c>
      <c r="C37" s="424" t="s">
        <v>540</v>
      </c>
      <c r="D37" s="424" t="s">
        <v>570</v>
      </c>
      <c r="E37" s="424" t="s">
        <v>555</v>
      </c>
      <c r="F37" s="427">
        <v>21</v>
      </c>
      <c r="G37" s="427">
        <v>14448</v>
      </c>
      <c r="H37" s="427">
        <v>1</v>
      </c>
      <c r="I37" s="427">
        <v>688</v>
      </c>
      <c r="J37" s="427">
        <v>11</v>
      </c>
      <c r="K37" s="427">
        <v>7568</v>
      </c>
      <c r="L37" s="427">
        <v>0.52380952380952384</v>
      </c>
      <c r="M37" s="427">
        <v>688</v>
      </c>
      <c r="N37" s="427">
        <v>6</v>
      </c>
      <c r="O37" s="427">
        <v>4176</v>
      </c>
      <c r="P37" s="487">
        <v>0.28903654485049834</v>
      </c>
      <c r="Q37" s="428">
        <v>696</v>
      </c>
    </row>
    <row r="38" spans="1:17" ht="14.4" customHeight="1" x14ac:dyDescent="0.3">
      <c r="A38" s="423" t="s">
        <v>615</v>
      </c>
      <c r="B38" s="424" t="s">
        <v>543</v>
      </c>
      <c r="C38" s="424" t="s">
        <v>540</v>
      </c>
      <c r="D38" s="424" t="s">
        <v>571</v>
      </c>
      <c r="E38" s="424" t="s">
        <v>557</v>
      </c>
      <c r="F38" s="427">
        <v>14</v>
      </c>
      <c r="G38" s="427">
        <v>19250</v>
      </c>
      <c r="H38" s="427">
        <v>1</v>
      </c>
      <c r="I38" s="427">
        <v>1375</v>
      </c>
      <c r="J38" s="427">
        <v>18</v>
      </c>
      <c r="K38" s="427">
        <v>24750</v>
      </c>
      <c r="L38" s="427">
        <v>1.2857142857142858</v>
      </c>
      <c r="M38" s="427">
        <v>1375</v>
      </c>
      <c r="N38" s="427">
        <v>14</v>
      </c>
      <c r="O38" s="427">
        <v>19418</v>
      </c>
      <c r="P38" s="487">
        <v>1.0087272727272727</v>
      </c>
      <c r="Q38" s="428">
        <v>1387</v>
      </c>
    </row>
    <row r="39" spans="1:17" ht="14.4" customHeight="1" x14ac:dyDescent="0.3">
      <c r="A39" s="423" t="s">
        <v>615</v>
      </c>
      <c r="B39" s="424" t="s">
        <v>543</v>
      </c>
      <c r="C39" s="424" t="s">
        <v>540</v>
      </c>
      <c r="D39" s="424" t="s">
        <v>572</v>
      </c>
      <c r="E39" s="424" t="s">
        <v>573</v>
      </c>
      <c r="F39" s="427">
        <v>7</v>
      </c>
      <c r="G39" s="427">
        <v>16233</v>
      </c>
      <c r="H39" s="427">
        <v>1</v>
      </c>
      <c r="I39" s="427">
        <v>2319</v>
      </c>
      <c r="J39" s="427">
        <v>6</v>
      </c>
      <c r="K39" s="427">
        <v>13914</v>
      </c>
      <c r="L39" s="427">
        <v>0.8571428571428571</v>
      </c>
      <c r="M39" s="427">
        <v>2319</v>
      </c>
      <c r="N39" s="427">
        <v>6</v>
      </c>
      <c r="O39" s="427">
        <v>14046</v>
      </c>
      <c r="P39" s="487">
        <v>0.86527444095361306</v>
      </c>
      <c r="Q39" s="428">
        <v>2341</v>
      </c>
    </row>
    <row r="40" spans="1:17" ht="14.4" customHeight="1" x14ac:dyDescent="0.3">
      <c r="A40" s="423" t="s">
        <v>615</v>
      </c>
      <c r="B40" s="424" t="s">
        <v>543</v>
      </c>
      <c r="C40" s="424" t="s">
        <v>540</v>
      </c>
      <c r="D40" s="424" t="s">
        <v>574</v>
      </c>
      <c r="E40" s="424" t="s">
        <v>575</v>
      </c>
      <c r="F40" s="427">
        <v>21</v>
      </c>
      <c r="G40" s="427">
        <v>1365</v>
      </c>
      <c r="H40" s="427">
        <v>1</v>
      </c>
      <c r="I40" s="427">
        <v>65</v>
      </c>
      <c r="J40" s="427">
        <v>11</v>
      </c>
      <c r="K40" s="427">
        <v>715</v>
      </c>
      <c r="L40" s="427">
        <v>0.52380952380952384</v>
      </c>
      <c r="M40" s="427">
        <v>65</v>
      </c>
      <c r="N40" s="427">
        <v>6</v>
      </c>
      <c r="O40" s="427">
        <v>396</v>
      </c>
      <c r="P40" s="487">
        <v>0.29010989010989013</v>
      </c>
      <c r="Q40" s="428">
        <v>66</v>
      </c>
    </row>
    <row r="41" spans="1:17" ht="14.4" customHeight="1" x14ac:dyDescent="0.3">
      <c r="A41" s="423" t="s">
        <v>615</v>
      </c>
      <c r="B41" s="424" t="s">
        <v>543</v>
      </c>
      <c r="C41" s="424" t="s">
        <v>540</v>
      </c>
      <c r="D41" s="424" t="s">
        <v>576</v>
      </c>
      <c r="E41" s="424" t="s">
        <v>577</v>
      </c>
      <c r="F41" s="427">
        <v>3</v>
      </c>
      <c r="G41" s="427">
        <v>1188</v>
      </c>
      <c r="H41" s="427">
        <v>1</v>
      </c>
      <c r="I41" s="427">
        <v>396</v>
      </c>
      <c r="J41" s="427"/>
      <c r="K41" s="427"/>
      <c r="L41" s="427"/>
      <c r="M41" s="427"/>
      <c r="N41" s="427"/>
      <c r="O41" s="427"/>
      <c r="P41" s="487"/>
      <c r="Q41" s="428"/>
    </row>
    <row r="42" spans="1:17" ht="14.4" customHeight="1" x14ac:dyDescent="0.3">
      <c r="A42" s="423" t="s">
        <v>615</v>
      </c>
      <c r="B42" s="424" t="s">
        <v>543</v>
      </c>
      <c r="C42" s="424" t="s">
        <v>540</v>
      </c>
      <c r="D42" s="424" t="s">
        <v>580</v>
      </c>
      <c r="E42" s="424" t="s">
        <v>581</v>
      </c>
      <c r="F42" s="427">
        <v>14</v>
      </c>
      <c r="G42" s="427">
        <v>7700</v>
      </c>
      <c r="H42" s="427">
        <v>1</v>
      </c>
      <c r="I42" s="427">
        <v>550</v>
      </c>
      <c r="J42" s="427">
        <v>25</v>
      </c>
      <c r="K42" s="427">
        <v>13750</v>
      </c>
      <c r="L42" s="427">
        <v>1.7857142857142858</v>
      </c>
      <c r="M42" s="427">
        <v>550</v>
      </c>
      <c r="N42" s="427">
        <v>15</v>
      </c>
      <c r="O42" s="427">
        <v>8280</v>
      </c>
      <c r="P42" s="487">
        <v>1.0753246753246752</v>
      </c>
      <c r="Q42" s="428">
        <v>552</v>
      </c>
    </row>
    <row r="43" spans="1:17" ht="14.4" customHeight="1" x14ac:dyDescent="0.3">
      <c r="A43" s="423" t="s">
        <v>615</v>
      </c>
      <c r="B43" s="424" t="s">
        <v>543</v>
      </c>
      <c r="C43" s="424" t="s">
        <v>540</v>
      </c>
      <c r="D43" s="424" t="s">
        <v>586</v>
      </c>
      <c r="E43" s="424" t="s">
        <v>587</v>
      </c>
      <c r="F43" s="427">
        <v>1</v>
      </c>
      <c r="G43" s="427">
        <v>122</v>
      </c>
      <c r="H43" s="427">
        <v>1</v>
      </c>
      <c r="I43" s="427">
        <v>122</v>
      </c>
      <c r="J43" s="427"/>
      <c r="K43" s="427"/>
      <c r="L43" s="427"/>
      <c r="M43" s="427"/>
      <c r="N43" s="427"/>
      <c r="O43" s="427"/>
      <c r="P43" s="487"/>
      <c r="Q43" s="428"/>
    </row>
    <row r="44" spans="1:17" ht="14.4" customHeight="1" x14ac:dyDescent="0.3">
      <c r="A44" s="423" t="s">
        <v>615</v>
      </c>
      <c r="B44" s="424" t="s">
        <v>543</v>
      </c>
      <c r="C44" s="424" t="s">
        <v>540</v>
      </c>
      <c r="D44" s="424" t="s">
        <v>593</v>
      </c>
      <c r="E44" s="424" t="s">
        <v>594</v>
      </c>
      <c r="F44" s="427"/>
      <c r="G44" s="427"/>
      <c r="H44" s="427"/>
      <c r="I44" s="427"/>
      <c r="J44" s="427">
        <v>1</v>
      </c>
      <c r="K44" s="427">
        <v>1607</v>
      </c>
      <c r="L44" s="427"/>
      <c r="M44" s="427">
        <v>1607</v>
      </c>
      <c r="N44" s="427">
        <v>1</v>
      </c>
      <c r="O44" s="427">
        <v>1615</v>
      </c>
      <c r="P44" s="487"/>
      <c r="Q44" s="428">
        <v>1615</v>
      </c>
    </row>
    <row r="45" spans="1:17" ht="14.4" customHeight="1" x14ac:dyDescent="0.3">
      <c r="A45" s="423" t="s">
        <v>615</v>
      </c>
      <c r="B45" s="424" t="s">
        <v>543</v>
      </c>
      <c r="C45" s="424" t="s">
        <v>540</v>
      </c>
      <c r="D45" s="424" t="s">
        <v>595</v>
      </c>
      <c r="E45" s="424" t="s">
        <v>587</v>
      </c>
      <c r="F45" s="427">
        <v>2</v>
      </c>
      <c r="G45" s="427">
        <v>452</v>
      </c>
      <c r="H45" s="427">
        <v>1</v>
      </c>
      <c r="I45" s="427">
        <v>226</v>
      </c>
      <c r="J45" s="427"/>
      <c r="K45" s="427"/>
      <c r="L45" s="427"/>
      <c r="M45" s="427"/>
      <c r="N45" s="427"/>
      <c r="O45" s="427"/>
      <c r="P45" s="487"/>
      <c r="Q45" s="428"/>
    </row>
    <row r="46" spans="1:17" ht="14.4" customHeight="1" x14ac:dyDescent="0.3">
      <c r="A46" s="423" t="s">
        <v>616</v>
      </c>
      <c r="B46" s="424" t="s">
        <v>539</v>
      </c>
      <c r="C46" s="424" t="s">
        <v>540</v>
      </c>
      <c r="D46" s="424" t="s">
        <v>541</v>
      </c>
      <c r="E46" s="424" t="s">
        <v>542</v>
      </c>
      <c r="F46" s="427">
        <v>1</v>
      </c>
      <c r="G46" s="427">
        <v>10595</v>
      </c>
      <c r="H46" s="427">
        <v>1</v>
      </c>
      <c r="I46" s="427">
        <v>10595</v>
      </c>
      <c r="J46" s="427"/>
      <c r="K46" s="427"/>
      <c r="L46" s="427"/>
      <c r="M46" s="427"/>
      <c r="N46" s="427"/>
      <c r="O46" s="427"/>
      <c r="P46" s="487"/>
      <c r="Q46" s="428"/>
    </row>
    <row r="47" spans="1:17" ht="14.4" customHeight="1" x14ac:dyDescent="0.3">
      <c r="A47" s="423" t="s">
        <v>616</v>
      </c>
      <c r="B47" s="424" t="s">
        <v>543</v>
      </c>
      <c r="C47" s="424" t="s">
        <v>540</v>
      </c>
      <c r="D47" s="424" t="s">
        <v>548</v>
      </c>
      <c r="E47" s="424" t="s">
        <v>549</v>
      </c>
      <c r="F47" s="427">
        <v>2</v>
      </c>
      <c r="G47" s="427">
        <v>4426</v>
      </c>
      <c r="H47" s="427">
        <v>1</v>
      </c>
      <c r="I47" s="427">
        <v>2213</v>
      </c>
      <c r="J47" s="427"/>
      <c r="K47" s="427"/>
      <c r="L47" s="427"/>
      <c r="M47" s="427"/>
      <c r="N47" s="427"/>
      <c r="O47" s="427"/>
      <c r="P47" s="487"/>
      <c r="Q47" s="428"/>
    </row>
    <row r="48" spans="1:17" ht="14.4" customHeight="1" x14ac:dyDescent="0.3">
      <c r="A48" s="423" t="s">
        <v>616</v>
      </c>
      <c r="B48" s="424" t="s">
        <v>543</v>
      </c>
      <c r="C48" s="424" t="s">
        <v>540</v>
      </c>
      <c r="D48" s="424" t="s">
        <v>552</v>
      </c>
      <c r="E48" s="424" t="s">
        <v>553</v>
      </c>
      <c r="F48" s="427">
        <v>1</v>
      </c>
      <c r="G48" s="427">
        <v>3698</v>
      </c>
      <c r="H48" s="427">
        <v>1</v>
      </c>
      <c r="I48" s="427">
        <v>3698</v>
      </c>
      <c r="J48" s="427">
        <v>2</v>
      </c>
      <c r="K48" s="427">
        <v>7396</v>
      </c>
      <c r="L48" s="427">
        <v>2</v>
      </c>
      <c r="M48" s="427">
        <v>3698</v>
      </c>
      <c r="N48" s="427"/>
      <c r="O48" s="427"/>
      <c r="P48" s="487"/>
      <c r="Q48" s="428"/>
    </row>
    <row r="49" spans="1:17" ht="14.4" customHeight="1" x14ac:dyDescent="0.3">
      <c r="A49" s="423" t="s">
        <v>616</v>
      </c>
      <c r="B49" s="424" t="s">
        <v>543</v>
      </c>
      <c r="C49" s="424" t="s">
        <v>540</v>
      </c>
      <c r="D49" s="424" t="s">
        <v>564</v>
      </c>
      <c r="E49" s="424" t="s">
        <v>565</v>
      </c>
      <c r="F49" s="427"/>
      <c r="G49" s="427"/>
      <c r="H49" s="427"/>
      <c r="I49" s="427"/>
      <c r="J49" s="427">
        <v>1</v>
      </c>
      <c r="K49" s="427">
        <v>1447</v>
      </c>
      <c r="L49" s="427"/>
      <c r="M49" s="427">
        <v>1447</v>
      </c>
      <c r="N49" s="427"/>
      <c r="O49" s="427"/>
      <c r="P49" s="487"/>
      <c r="Q49" s="428"/>
    </row>
    <row r="50" spans="1:17" ht="14.4" customHeight="1" x14ac:dyDescent="0.3">
      <c r="A50" s="423" t="s">
        <v>616</v>
      </c>
      <c r="B50" s="424" t="s">
        <v>543</v>
      </c>
      <c r="C50" s="424" t="s">
        <v>540</v>
      </c>
      <c r="D50" s="424" t="s">
        <v>568</v>
      </c>
      <c r="E50" s="424" t="s">
        <v>569</v>
      </c>
      <c r="F50" s="427">
        <v>1</v>
      </c>
      <c r="G50" s="427">
        <v>16</v>
      </c>
      <c r="H50" s="427">
        <v>1</v>
      </c>
      <c r="I50" s="427">
        <v>16</v>
      </c>
      <c r="J50" s="427">
        <v>2</v>
      </c>
      <c r="K50" s="427">
        <v>32</v>
      </c>
      <c r="L50" s="427">
        <v>2</v>
      </c>
      <c r="M50" s="427">
        <v>16</v>
      </c>
      <c r="N50" s="427">
        <v>1</v>
      </c>
      <c r="O50" s="427">
        <v>16</v>
      </c>
      <c r="P50" s="487">
        <v>1</v>
      </c>
      <c r="Q50" s="428">
        <v>16</v>
      </c>
    </row>
    <row r="51" spans="1:17" ht="14.4" customHeight="1" x14ac:dyDescent="0.3">
      <c r="A51" s="423" t="s">
        <v>616</v>
      </c>
      <c r="B51" s="424" t="s">
        <v>543</v>
      </c>
      <c r="C51" s="424" t="s">
        <v>540</v>
      </c>
      <c r="D51" s="424" t="s">
        <v>570</v>
      </c>
      <c r="E51" s="424" t="s">
        <v>555</v>
      </c>
      <c r="F51" s="427">
        <v>2</v>
      </c>
      <c r="G51" s="427">
        <v>1376</v>
      </c>
      <c r="H51" s="427">
        <v>1</v>
      </c>
      <c r="I51" s="427">
        <v>688</v>
      </c>
      <c r="J51" s="427">
        <v>4</v>
      </c>
      <c r="K51" s="427">
        <v>2752</v>
      </c>
      <c r="L51" s="427">
        <v>2</v>
      </c>
      <c r="M51" s="427">
        <v>688</v>
      </c>
      <c r="N51" s="427">
        <v>3</v>
      </c>
      <c r="O51" s="427">
        <v>2088</v>
      </c>
      <c r="P51" s="487">
        <v>1.5174418604651163</v>
      </c>
      <c r="Q51" s="428">
        <v>696</v>
      </c>
    </row>
    <row r="52" spans="1:17" ht="14.4" customHeight="1" x14ac:dyDescent="0.3">
      <c r="A52" s="423" t="s">
        <v>616</v>
      </c>
      <c r="B52" s="424" t="s">
        <v>543</v>
      </c>
      <c r="C52" s="424" t="s">
        <v>540</v>
      </c>
      <c r="D52" s="424" t="s">
        <v>571</v>
      </c>
      <c r="E52" s="424" t="s">
        <v>557</v>
      </c>
      <c r="F52" s="427">
        <v>3</v>
      </c>
      <c r="G52" s="427">
        <v>4125</v>
      </c>
      <c r="H52" s="427">
        <v>1</v>
      </c>
      <c r="I52" s="427">
        <v>1375</v>
      </c>
      <c r="J52" s="427">
        <v>3</v>
      </c>
      <c r="K52" s="427">
        <v>4125</v>
      </c>
      <c r="L52" s="427">
        <v>1</v>
      </c>
      <c r="M52" s="427">
        <v>1375</v>
      </c>
      <c r="N52" s="427"/>
      <c r="O52" s="427"/>
      <c r="P52" s="487"/>
      <c r="Q52" s="428"/>
    </row>
    <row r="53" spans="1:17" ht="14.4" customHeight="1" x14ac:dyDescent="0.3">
      <c r="A53" s="423" t="s">
        <v>616</v>
      </c>
      <c r="B53" s="424" t="s">
        <v>543</v>
      </c>
      <c r="C53" s="424" t="s">
        <v>540</v>
      </c>
      <c r="D53" s="424" t="s">
        <v>572</v>
      </c>
      <c r="E53" s="424" t="s">
        <v>573</v>
      </c>
      <c r="F53" s="427">
        <v>1</v>
      </c>
      <c r="G53" s="427">
        <v>2319</v>
      </c>
      <c r="H53" s="427">
        <v>1</v>
      </c>
      <c r="I53" s="427">
        <v>2319</v>
      </c>
      <c r="J53" s="427">
        <v>2</v>
      </c>
      <c r="K53" s="427">
        <v>4638</v>
      </c>
      <c r="L53" s="427">
        <v>2</v>
      </c>
      <c r="M53" s="427">
        <v>2319</v>
      </c>
      <c r="N53" s="427"/>
      <c r="O53" s="427"/>
      <c r="P53" s="487"/>
      <c r="Q53" s="428"/>
    </row>
    <row r="54" spans="1:17" ht="14.4" customHeight="1" x14ac:dyDescent="0.3">
      <c r="A54" s="423" t="s">
        <v>616</v>
      </c>
      <c r="B54" s="424" t="s">
        <v>543</v>
      </c>
      <c r="C54" s="424" t="s">
        <v>540</v>
      </c>
      <c r="D54" s="424" t="s">
        <v>574</v>
      </c>
      <c r="E54" s="424" t="s">
        <v>575</v>
      </c>
      <c r="F54" s="427">
        <v>2</v>
      </c>
      <c r="G54" s="427">
        <v>130</v>
      </c>
      <c r="H54" s="427">
        <v>1</v>
      </c>
      <c r="I54" s="427">
        <v>65</v>
      </c>
      <c r="J54" s="427">
        <v>4</v>
      </c>
      <c r="K54" s="427">
        <v>260</v>
      </c>
      <c r="L54" s="427">
        <v>2</v>
      </c>
      <c r="M54" s="427">
        <v>65</v>
      </c>
      <c r="N54" s="427">
        <v>3</v>
      </c>
      <c r="O54" s="427">
        <v>198</v>
      </c>
      <c r="P54" s="487">
        <v>1.523076923076923</v>
      </c>
      <c r="Q54" s="428">
        <v>66</v>
      </c>
    </row>
    <row r="55" spans="1:17" ht="14.4" customHeight="1" x14ac:dyDescent="0.3">
      <c r="A55" s="423" t="s">
        <v>616</v>
      </c>
      <c r="B55" s="424" t="s">
        <v>543</v>
      </c>
      <c r="C55" s="424" t="s">
        <v>540</v>
      </c>
      <c r="D55" s="424" t="s">
        <v>576</v>
      </c>
      <c r="E55" s="424" t="s">
        <v>577</v>
      </c>
      <c r="F55" s="427"/>
      <c r="G55" s="427"/>
      <c r="H55" s="427"/>
      <c r="I55" s="427"/>
      <c r="J55" s="427">
        <v>1</v>
      </c>
      <c r="K55" s="427">
        <v>396</v>
      </c>
      <c r="L55" s="427"/>
      <c r="M55" s="427">
        <v>396</v>
      </c>
      <c r="N55" s="427"/>
      <c r="O55" s="427"/>
      <c r="P55" s="487"/>
      <c r="Q55" s="428"/>
    </row>
    <row r="56" spans="1:17" ht="14.4" customHeight="1" x14ac:dyDescent="0.3">
      <c r="A56" s="423" t="s">
        <v>616</v>
      </c>
      <c r="B56" s="424" t="s">
        <v>543</v>
      </c>
      <c r="C56" s="424" t="s">
        <v>540</v>
      </c>
      <c r="D56" s="424" t="s">
        <v>580</v>
      </c>
      <c r="E56" s="424" t="s">
        <v>581</v>
      </c>
      <c r="F56" s="427">
        <v>5</v>
      </c>
      <c r="G56" s="427">
        <v>2750</v>
      </c>
      <c r="H56" s="427">
        <v>1</v>
      </c>
      <c r="I56" s="427">
        <v>550</v>
      </c>
      <c r="J56" s="427">
        <v>10</v>
      </c>
      <c r="K56" s="427">
        <v>5500</v>
      </c>
      <c r="L56" s="427">
        <v>2</v>
      </c>
      <c r="M56" s="427">
        <v>550</v>
      </c>
      <c r="N56" s="427">
        <v>5</v>
      </c>
      <c r="O56" s="427">
        <v>2760</v>
      </c>
      <c r="P56" s="487">
        <v>1.0036363636363637</v>
      </c>
      <c r="Q56" s="428">
        <v>552</v>
      </c>
    </row>
    <row r="57" spans="1:17" ht="14.4" customHeight="1" x14ac:dyDescent="0.3">
      <c r="A57" s="423" t="s">
        <v>617</v>
      </c>
      <c r="B57" s="424" t="s">
        <v>539</v>
      </c>
      <c r="C57" s="424" t="s">
        <v>540</v>
      </c>
      <c r="D57" s="424" t="s">
        <v>541</v>
      </c>
      <c r="E57" s="424" t="s">
        <v>542</v>
      </c>
      <c r="F57" s="427">
        <v>1</v>
      </c>
      <c r="G57" s="427">
        <v>10595</v>
      </c>
      <c r="H57" s="427">
        <v>1</v>
      </c>
      <c r="I57" s="427">
        <v>10595</v>
      </c>
      <c r="J57" s="427"/>
      <c r="K57" s="427"/>
      <c r="L57" s="427"/>
      <c r="M57" s="427"/>
      <c r="N57" s="427">
        <v>2</v>
      </c>
      <c r="O57" s="427">
        <v>21450</v>
      </c>
      <c r="P57" s="487">
        <v>2.0245398773006134</v>
      </c>
      <c r="Q57" s="428">
        <v>10725</v>
      </c>
    </row>
    <row r="58" spans="1:17" ht="14.4" customHeight="1" x14ac:dyDescent="0.3">
      <c r="A58" s="423" t="s">
        <v>617</v>
      </c>
      <c r="B58" s="424" t="s">
        <v>543</v>
      </c>
      <c r="C58" s="424" t="s">
        <v>540</v>
      </c>
      <c r="D58" s="424" t="s">
        <v>544</v>
      </c>
      <c r="E58" s="424" t="s">
        <v>545</v>
      </c>
      <c r="F58" s="427"/>
      <c r="G58" s="427"/>
      <c r="H58" s="427"/>
      <c r="I58" s="427"/>
      <c r="J58" s="427">
        <v>3</v>
      </c>
      <c r="K58" s="427">
        <v>378</v>
      </c>
      <c r="L58" s="427"/>
      <c r="M58" s="427">
        <v>126</v>
      </c>
      <c r="N58" s="427"/>
      <c r="O58" s="427"/>
      <c r="P58" s="487"/>
      <c r="Q58" s="428"/>
    </row>
    <row r="59" spans="1:17" ht="14.4" customHeight="1" x14ac:dyDescent="0.3">
      <c r="A59" s="423" t="s">
        <v>617</v>
      </c>
      <c r="B59" s="424" t="s">
        <v>543</v>
      </c>
      <c r="C59" s="424" t="s">
        <v>540</v>
      </c>
      <c r="D59" s="424" t="s">
        <v>546</v>
      </c>
      <c r="E59" s="424" t="s">
        <v>547</v>
      </c>
      <c r="F59" s="427"/>
      <c r="G59" s="427"/>
      <c r="H59" s="427"/>
      <c r="I59" s="427"/>
      <c r="J59" s="427">
        <v>10</v>
      </c>
      <c r="K59" s="427">
        <v>12200</v>
      </c>
      <c r="L59" s="427"/>
      <c r="M59" s="427">
        <v>1220</v>
      </c>
      <c r="N59" s="427"/>
      <c r="O59" s="427"/>
      <c r="P59" s="487"/>
      <c r="Q59" s="428"/>
    </row>
    <row r="60" spans="1:17" ht="14.4" customHeight="1" x14ac:dyDescent="0.3">
      <c r="A60" s="423" t="s">
        <v>617</v>
      </c>
      <c r="B60" s="424" t="s">
        <v>543</v>
      </c>
      <c r="C60" s="424" t="s">
        <v>540</v>
      </c>
      <c r="D60" s="424" t="s">
        <v>548</v>
      </c>
      <c r="E60" s="424" t="s">
        <v>549</v>
      </c>
      <c r="F60" s="427">
        <v>2</v>
      </c>
      <c r="G60" s="427">
        <v>4426</v>
      </c>
      <c r="H60" s="427">
        <v>1</v>
      </c>
      <c r="I60" s="427">
        <v>2213</v>
      </c>
      <c r="J60" s="427">
        <v>9</v>
      </c>
      <c r="K60" s="427">
        <v>19917</v>
      </c>
      <c r="L60" s="427">
        <v>4.5</v>
      </c>
      <c r="M60" s="427">
        <v>2213</v>
      </c>
      <c r="N60" s="427"/>
      <c r="O60" s="427"/>
      <c r="P60" s="487"/>
      <c r="Q60" s="428"/>
    </row>
    <row r="61" spans="1:17" ht="14.4" customHeight="1" x14ac:dyDescent="0.3">
      <c r="A61" s="423" t="s">
        <v>617</v>
      </c>
      <c r="B61" s="424" t="s">
        <v>543</v>
      </c>
      <c r="C61" s="424" t="s">
        <v>540</v>
      </c>
      <c r="D61" s="424" t="s">
        <v>552</v>
      </c>
      <c r="E61" s="424" t="s">
        <v>553</v>
      </c>
      <c r="F61" s="427">
        <v>4</v>
      </c>
      <c r="G61" s="427">
        <v>14792</v>
      </c>
      <c r="H61" s="427">
        <v>1</v>
      </c>
      <c r="I61" s="427">
        <v>3698</v>
      </c>
      <c r="J61" s="427">
        <v>6</v>
      </c>
      <c r="K61" s="427">
        <v>22188</v>
      </c>
      <c r="L61" s="427">
        <v>1.5</v>
      </c>
      <c r="M61" s="427">
        <v>3698</v>
      </c>
      <c r="N61" s="427">
        <v>1</v>
      </c>
      <c r="O61" s="427">
        <v>3721</v>
      </c>
      <c r="P61" s="487">
        <v>0.25155489453758789</v>
      </c>
      <c r="Q61" s="428">
        <v>3721</v>
      </c>
    </row>
    <row r="62" spans="1:17" ht="14.4" customHeight="1" x14ac:dyDescent="0.3">
      <c r="A62" s="423" t="s">
        <v>617</v>
      </c>
      <c r="B62" s="424" t="s">
        <v>543</v>
      </c>
      <c r="C62" s="424" t="s">
        <v>540</v>
      </c>
      <c r="D62" s="424" t="s">
        <v>554</v>
      </c>
      <c r="E62" s="424" t="s">
        <v>555</v>
      </c>
      <c r="F62" s="427"/>
      <c r="G62" s="427"/>
      <c r="H62" s="427"/>
      <c r="I62" s="427"/>
      <c r="J62" s="427">
        <v>1</v>
      </c>
      <c r="K62" s="427">
        <v>438</v>
      </c>
      <c r="L62" s="427"/>
      <c r="M62" s="427">
        <v>438</v>
      </c>
      <c r="N62" s="427"/>
      <c r="O62" s="427"/>
      <c r="P62" s="487"/>
      <c r="Q62" s="428"/>
    </row>
    <row r="63" spans="1:17" ht="14.4" customHeight="1" x14ac:dyDescent="0.3">
      <c r="A63" s="423" t="s">
        <v>617</v>
      </c>
      <c r="B63" s="424" t="s">
        <v>543</v>
      </c>
      <c r="C63" s="424" t="s">
        <v>540</v>
      </c>
      <c r="D63" s="424" t="s">
        <v>556</v>
      </c>
      <c r="E63" s="424" t="s">
        <v>557</v>
      </c>
      <c r="F63" s="427">
        <v>1</v>
      </c>
      <c r="G63" s="427">
        <v>832</v>
      </c>
      <c r="H63" s="427">
        <v>1</v>
      </c>
      <c r="I63" s="427">
        <v>832</v>
      </c>
      <c r="J63" s="427"/>
      <c r="K63" s="427"/>
      <c r="L63" s="427"/>
      <c r="M63" s="427"/>
      <c r="N63" s="427"/>
      <c r="O63" s="427"/>
      <c r="P63" s="487"/>
      <c r="Q63" s="428"/>
    </row>
    <row r="64" spans="1:17" ht="14.4" customHeight="1" x14ac:dyDescent="0.3">
      <c r="A64" s="423" t="s">
        <v>617</v>
      </c>
      <c r="B64" s="424" t="s">
        <v>543</v>
      </c>
      <c r="C64" s="424" t="s">
        <v>540</v>
      </c>
      <c r="D64" s="424" t="s">
        <v>558</v>
      </c>
      <c r="E64" s="424" t="s">
        <v>559</v>
      </c>
      <c r="F64" s="427"/>
      <c r="G64" s="427"/>
      <c r="H64" s="427"/>
      <c r="I64" s="427"/>
      <c r="J64" s="427">
        <v>2</v>
      </c>
      <c r="K64" s="427">
        <v>3226</v>
      </c>
      <c r="L64" s="427"/>
      <c r="M64" s="427">
        <v>1613</v>
      </c>
      <c r="N64" s="427">
        <v>1</v>
      </c>
      <c r="O64" s="427">
        <v>1621</v>
      </c>
      <c r="P64" s="487"/>
      <c r="Q64" s="428">
        <v>1621</v>
      </c>
    </row>
    <row r="65" spans="1:17" ht="14.4" customHeight="1" x14ac:dyDescent="0.3">
      <c r="A65" s="423" t="s">
        <v>617</v>
      </c>
      <c r="B65" s="424" t="s">
        <v>543</v>
      </c>
      <c r="C65" s="424" t="s">
        <v>540</v>
      </c>
      <c r="D65" s="424" t="s">
        <v>562</v>
      </c>
      <c r="E65" s="424" t="s">
        <v>563</v>
      </c>
      <c r="F65" s="427">
        <v>2</v>
      </c>
      <c r="G65" s="427">
        <v>1638</v>
      </c>
      <c r="H65" s="427">
        <v>1</v>
      </c>
      <c r="I65" s="427">
        <v>819</v>
      </c>
      <c r="J65" s="427">
        <v>1</v>
      </c>
      <c r="K65" s="427">
        <v>819</v>
      </c>
      <c r="L65" s="427">
        <v>0.5</v>
      </c>
      <c r="M65" s="427">
        <v>819</v>
      </c>
      <c r="N65" s="427"/>
      <c r="O65" s="427"/>
      <c r="P65" s="487"/>
      <c r="Q65" s="428"/>
    </row>
    <row r="66" spans="1:17" ht="14.4" customHeight="1" x14ac:dyDescent="0.3">
      <c r="A66" s="423" t="s">
        <v>617</v>
      </c>
      <c r="B66" s="424" t="s">
        <v>543</v>
      </c>
      <c r="C66" s="424" t="s">
        <v>540</v>
      </c>
      <c r="D66" s="424" t="s">
        <v>566</v>
      </c>
      <c r="E66" s="424" t="s">
        <v>567</v>
      </c>
      <c r="F66" s="427">
        <v>1</v>
      </c>
      <c r="G66" s="427">
        <v>3078</v>
      </c>
      <c r="H66" s="427">
        <v>1</v>
      </c>
      <c r="I66" s="427">
        <v>3078</v>
      </c>
      <c r="J66" s="427"/>
      <c r="K66" s="427"/>
      <c r="L66" s="427"/>
      <c r="M66" s="427"/>
      <c r="N66" s="427"/>
      <c r="O66" s="427"/>
      <c r="P66" s="487"/>
      <c r="Q66" s="428"/>
    </row>
    <row r="67" spans="1:17" ht="14.4" customHeight="1" x14ac:dyDescent="0.3">
      <c r="A67" s="423" t="s">
        <v>617</v>
      </c>
      <c r="B67" s="424" t="s">
        <v>543</v>
      </c>
      <c r="C67" s="424" t="s">
        <v>540</v>
      </c>
      <c r="D67" s="424" t="s">
        <v>568</v>
      </c>
      <c r="E67" s="424" t="s">
        <v>569</v>
      </c>
      <c r="F67" s="427">
        <v>6</v>
      </c>
      <c r="G67" s="427">
        <v>96</v>
      </c>
      <c r="H67" s="427">
        <v>1</v>
      </c>
      <c r="I67" s="427">
        <v>16</v>
      </c>
      <c r="J67" s="427">
        <v>15</v>
      </c>
      <c r="K67" s="427">
        <v>240</v>
      </c>
      <c r="L67" s="427">
        <v>2.5</v>
      </c>
      <c r="M67" s="427">
        <v>16</v>
      </c>
      <c r="N67" s="427">
        <v>3</v>
      </c>
      <c r="O67" s="427">
        <v>48</v>
      </c>
      <c r="P67" s="487">
        <v>0.5</v>
      </c>
      <c r="Q67" s="428">
        <v>16</v>
      </c>
    </row>
    <row r="68" spans="1:17" ht="14.4" customHeight="1" x14ac:dyDescent="0.3">
      <c r="A68" s="423" t="s">
        <v>617</v>
      </c>
      <c r="B68" s="424" t="s">
        <v>543</v>
      </c>
      <c r="C68" s="424" t="s">
        <v>540</v>
      </c>
      <c r="D68" s="424" t="s">
        <v>570</v>
      </c>
      <c r="E68" s="424" t="s">
        <v>555</v>
      </c>
      <c r="F68" s="427">
        <v>10</v>
      </c>
      <c r="G68" s="427">
        <v>6880</v>
      </c>
      <c r="H68" s="427">
        <v>1</v>
      </c>
      <c r="I68" s="427">
        <v>688</v>
      </c>
      <c r="J68" s="427">
        <v>19</v>
      </c>
      <c r="K68" s="427">
        <v>13072</v>
      </c>
      <c r="L68" s="427">
        <v>1.9</v>
      </c>
      <c r="M68" s="427">
        <v>688</v>
      </c>
      <c r="N68" s="427">
        <v>6</v>
      </c>
      <c r="O68" s="427">
        <v>4176</v>
      </c>
      <c r="P68" s="487">
        <v>0.60697674418604652</v>
      </c>
      <c r="Q68" s="428">
        <v>696</v>
      </c>
    </row>
    <row r="69" spans="1:17" ht="14.4" customHeight="1" x14ac:dyDescent="0.3">
      <c r="A69" s="423" t="s">
        <v>617</v>
      </c>
      <c r="B69" s="424" t="s">
        <v>543</v>
      </c>
      <c r="C69" s="424" t="s">
        <v>540</v>
      </c>
      <c r="D69" s="424" t="s">
        <v>571</v>
      </c>
      <c r="E69" s="424" t="s">
        <v>557</v>
      </c>
      <c r="F69" s="427">
        <v>11</v>
      </c>
      <c r="G69" s="427">
        <v>15125</v>
      </c>
      <c r="H69" s="427">
        <v>1</v>
      </c>
      <c r="I69" s="427">
        <v>1375</v>
      </c>
      <c r="J69" s="427">
        <v>10</v>
      </c>
      <c r="K69" s="427">
        <v>13750</v>
      </c>
      <c r="L69" s="427">
        <v>0.90909090909090906</v>
      </c>
      <c r="M69" s="427">
        <v>1375</v>
      </c>
      <c r="N69" s="427">
        <v>7</v>
      </c>
      <c r="O69" s="427">
        <v>9709</v>
      </c>
      <c r="P69" s="487">
        <v>0.64191735537190087</v>
      </c>
      <c r="Q69" s="428">
        <v>1387</v>
      </c>
    </row>
    <row r="70" spans="1:17" ht="14.4" customHeight="1" x14ac:dyDescent="0.3">
      <c r="A70" s="423" t="s">
        <v>617</v>
      </c>
      <c r="B70" s="424" t="s">
        <v>543</v>
      </c>
      <c r="C70" s="424" t="s">
        <v>540</v>
      </c>
      <c r="D70" s="424" t="s">
        <v>572</v>
      </c>
      <c r="E70" s="424" t="s">
        <v>573</v>
      </c>
      <c r="F70" s="427">
        <v>5</v>
      </c>
      <c r="G70" s="427">
        <v>11595</v>
      </c>
      <c r="H70" s="427">
        <v>1</v>
      </c>
      <c r="I70" s="427">
        <v>2319</v>
      </c>
      <c r="J70" s="427">
        <v>7</v>
      </c>
      <c r="K70" s="427">
        <v>16233</v>
      </c>
      <c r="L70" s="427">
        <v>1.4</v>
      </c>
      <c r="M70" s="427">
        <v>2319</v>
      </c>
      <c r="N70" s="427">
        <v>4</v>
      </c>
      <c r="O70" s="427">
        <v>9364</v>
      </c>
      <c r="P70" s="487">
        <v>0.80758947822337213</v>
      </c>
      <c r="Q70" s="428">
        <v>2341</v>
      </c>
    </row>
    <row r="71" spans="1:17" ht="14.4" customHeight="1" x14ac:dyDescent="0.3">
      <c r="A71" s="423" t="s">
        <v>617</v>
      </c>
      <c r="B71" s="424" t="s">
        <v>543</v>
      </c>
      <c r="C71" s="424" t="s">
        <v>540</v>
      </c>
      <c r="D71" s="424" t="s">
        <v>574</v>
      </c>
      <c r="E71" s="424" t="s">
        <v>575</v>
      </c>
      <c r="F71" s="427">
        <v>10</v>
      </c>
      <c r="G71" s="427">
        <v>650</v>
      </c>
      <c r="H71" s="427">
        <v>1</v>
      </c>
      <c r="I71" s="427">
        <v>65</v>
      </c>
      <c r="J71" s="427">
        <v>20</v>
      </c>
      <c r="K71" s="427">
        <v>1300</v>
      </c>
      <c r="L71" s="427">
        <v>2</v>
      </c>
      <c r="M71" s="427">
        <v>65</v>
      </c>
      <c r="N71" s="427">
        <v>6</v>
      </c>
      <c r="O71" s="427">
        <v>396</v>
      </c>
      <c r="P71" s="487">
        <v>0.60923076923076924</v>
      </c>
      <c r="Q71" s="428">
        <v>66</v>
      </c>
    </row>
    <row r="72" spans="1:17" ht="14.4" customHeight="1" x14ac:dyDescent="0.3">
      <c r="A72" s="423" t="s">
        <v>617</v>
      </c>
      <c r="B72" s="424" t="s">
        <v>543</v>
      </c>
      <c r="C72" s="424" t="s">
        <v>540</v>
      </c>
      <c r="D72" s="424" t="s">
        <v>578</v>
      </c>
      <c r="E72" s="424" t="s">
        <v>579</v>
      </c>
      <c r="F72" s="427">
        <v>1</v>
      </c>
      <c r="G72" s="427">
        <v>1601</v>
      </c>
      <c r="H72" s="427">
        <v>1</v>
      </c>
      <c r="I72" s="427">
        <v>1601</v>
      </c>
      <c r="J72" s="427"/>
      <c r="K72" s="427"/>
      <c r="L72" s="427"/>
      <c r="M72" s="427"/>
      <c r="N72" s="427"/>
      <c r="O72" s="427"/>
      <c r="P72" s="487"/>
      <c r="Q72" s="428"/>
    </row>
    <row r="73" spans="1:17" ht="14.4" customHeight="1" x14ac:dyDescent="0.3">
      <c r="A73" s="423" t="s">
        <v>617</v>
      </c>
      <c r="B73" s="424" t="s">
        <v>543</v>
      </c>
      <c r="C73" s="424" t="s">
        <v>540</v>
      </c>
      <c r="D73" s="424" t="s">
        <v>580</v>
      </c>
      <c r="E73" s="424" t="s">
        <v>581</v>
      </c>
      <c r="F73" s="427">
        <v>15</v>
      </c>
      <c r="G73" s="427">
        <v>8250</v>
      </c>
      <c r="H73" s="427">
        <v>1</v>
      </c>
      <c r="I73" s="427">
        <v>550</v>
      </c>
      <c r="J73" s="427">
        <v>23</v>
      </c>
      <c r="K73" s="427">
        <v>12650</v>
      </c>
      <c r="L73" s="427">
        <v>1.5333333333333334</v>
      </c>
      <c r="M73" s="427">
        <v>550</v>
      </c>
      <c r="N73" s="427">
        <v>11</v>
      </c>
      <c r="O73" s="427">
        <v>6072</v>
      </c>
      <c r="P73" s="487">
        <v>0.73599999999999999</v>
      </c>
      <c r="Q73" s="428">
        <v>552</v>
      </c>
    </row>
    <row r="74" spans="1:17" ht="14.4" customHeight="1" x14ac:dyDescent="0.3">
      <c r="A74" s="423" t="s">
        <v>617</v>
      </c>
      <c r="B74" s="424" t="s">
        <v>543</v>
      </c>
      <c r="C74" s="424" t="s">
        <v>540</v>
      </c>
      <c r="D74" s="424" t="s">
        <v>582</v>
      </c>
      <c r="E74" s="424" t="s">
        <v>583</v>
      </c>
      <c r="F74" s="427">
        <v>1</v>
      </c>
      <c r="G74" s="427">
        <v>1234</v>
      </c>
      <c r="H74" s="427">
        <v>1</v>
      </c>
      <c r="I74" s="427">
        <v>1234</v>
      </c>
      <c r="J74" s="427"/>
      <c r="K74" s="427"/>
      <c r="L74" s="427"/>
      <c r="M74" s="427"/>
      <c r="N74" s="427"/>
      <c r="O74" s="427"/>
      <c r="P74" s="487"/>
      <c r="Q74" s="428"/>
    </row>
    <row r="75" spans="1:17" ht="14.4" customHeight="1" x14ac:dyDescent="0.3">
      <c r="A75" s="423" t="s">
        <v>617</v>
      </c>
      <c r="B75" s="424" t="s">
        <v>543</v>
      </c>
      <c r="C75" s="424" t="s">
        <v>540</v>
      </c>
      <c r="D75" s="424" t="s">
        <v>586</v>
      </c>
      <c r="E75" s="424" t="s">
        <v>587</v>
      </c>
      <c r="F75" s="427">
        <v>1</v>
      </c>
      <c r="G75" s="427">
        <v>122</v>
      </c>
      <c r="H75" s="427">
        <v>1</v>
      </c>
      <c r="I75" s="427">
        <v>122</v>
      </c>
      <c r="J75" s="427"/>
      <c r="K75" s="427"/>
      <c r="L75" s="427"/>
      <c r="M75" s="427"/>
      <c r="N75" s="427"/>
      <c r="O75" s="427"/>
      <c r="P75" s="487"/>
      <c r="Q75" s="428"/>
    </row>
    <row r="76" spans="1:17" ht="14.4" customHeight="1" x14ac:dyDescent="0.3">
      <c r="A76" s="423" t="s">
        <v>617</v>
      </c>
      <c r="B76" s="424" t="s">
        <v>543</v>
      </c>
      <c r="C76" s="424" t="s">
        <v>540</v>
      </c>
      <c r="D76" s="424" t="s">
        <v>593</v>
      </c>
      <c r="E76" s="424" t="s">
        <v>594</v>
      </c>
      <c r="F76" s="427"/>
      <c r="G76" s="427"/>
      <c r="H76" s="427"/>
      <c r="I76" s="427"/>
      <c r="J76" s="427">
        <v>2</v>
      </c>
      <c r="K76" s="427">
        <v>3214</v>
      </c>
      <c r="L76" s="427"/>
      <c r="M76" s="427">
        <v>1607</v>
      </c>
      <c r="N76" s="427">
        <v>3</v>
      </c>
      <c r="O76" s="427">
        <v>4845</v>
      </c>
      <c r="P76" s="487"/>
      <c r="Q76" s="428">
        <v>1615</v>
      </c>
    </row>
    <row r="77" spans="1:17" ht="14.4" customHeight="1" x14ac:dyDescent="0.3">
      <c r="A77" s="423" t="s">
        <v>618</v>
      </c>
      <c r="B77" s="424" t="s">
        <v>543</v>
      </c>
      <c r="C77" s="424" t="s">
        <v>540</v>
      </c>
      <c r="D77" s="424" t="s">
        <v>544</v>
      </c>
      <c r="E77" s="424" t="s">
        <v>545</v>
      </c>
      <c r="F77" s="427"/>
      <c r="G77" s="427"/>
      <c r="H77" s="427"/>
      <c r="I77" s="427"/>
      <c r="J77" s="427">
        <v>1</v>
      </c>
      <c r="K77" s="427">
        <v>126</v>
      </c>
      <c r="L77" s="427"/>
      <c r="M77" s="427">
        <v>126</v>
      </c>
      <c r="N77" s="427">
        <v>2</v>
      </c>
      <c r="O77" s="427">
        <v>256</v>
      </c>
      <c r="P77" s="487"/>
      <c r="Q77" s="428">
        <v>128</v>
      </c>
    </row>
    <row r="78" spans="1:17" ht="14.4" customHeight="1" x14ac:dyDescent="0.3">
      <c r="A78" s="423" t="s">
        <v>618</v>
      </c>
      <c r="B78" s="424" t="s">
        <v>543</v>
      </c>
      <c r="C78" s="424" t="s">
        <v>540</v>
      </c>
      <c r="D78" s="424" t="s">
        <v>564</v>
      </c>
      <c r="E78" s="424" t="s">
        <v>565</v>
      </c>
      <c r="F78" s="427">
        <v>2</v>
      </c>
      <c r="G78" s="427">
        <v>2894</v>
      </c>
      <c r="H78" s="427">
        <v>1</v>
      </c>
      <c r="I78" s="427">
        <v>1447</v>
      </c>
      <c r="J78" s="427">
        <v>2</v>
      </c>
      <c r="K78" s="427">
        <v>2894</v>
      </c>
      <c r="L78" s="427">
        <v>1</v>
      </c>
      <c r="M78" s="427">
        <v>1447</v>
      </c>
      <c r="N78" s="427">
        <v>3</v>
      </c>
      <c r="O78" s="427">
        <v>4383</v>
      </c>
      <c r="P78" s="487">
        <v>1.5145127850725639</v>
      </c>
      <c r="Q78" s="428">
        <v>1461</v>
      </c>
    </row>
    <row r="79" spans="1:17" ht="14.4" customHeight="1" x14ac:dyDescent="0.3">
      <c r="A79" s="423" t="s">
        <v>618</v>
      </c>
      <c r="B79" s="424" t="s">
        <v>543</v>
      </c>
      <c r="C79" s="424" t="s">
        <v>540</v>
      </c>
      <c r="D79" s="424" t="s">
        <v>570</v>
      </c>
      <c r="E79" s="424" t="s">
        <v>555</v>
      </c>
      <c r="F79" s="427"/>
      <c r="G79" s="427"/>
      <c r="H79" s="427"/>
      <c r="I79" s="427"/>
      <c r="J79" s="427"/>
      <c r="K79" s="427"/>
      <c r="L79" s="427"/>
      <c r="M79" s="427"/>
      <c r="N79" s="427">
        <v>1</v>
      </c>
      <c r="O79" s="427">
        <v>696</v>
      </c>
      <c r="P79" s="487"/>
      <c r="Q79" s="428">
        <v>696</v>
      </c>
    </row>
    <row r="80" spans="1:17" ht="14.4" customHeight="1" x14ac:dyDescent="0.3">
      <c r="A80" s="423" t="s">
        <v>618</v>
      </c>
      <c r="B80" s="424" t="s">
        <v>543</v>
      </c>
      <c r="C80" s="424" t="s">
        <v>540</v>
      </c>
      <c r="D80" s="424" t="s">
        <v>571</v>
      </c>
      <c r="E80" s="424" t="s">
        <v>557</v>
      </c>
      <c r="F80" s="427"/>
      <c r="G80" s="427"/>
      <c r="H80" s="427"/>
      <c r="I80" s="427"/>
      <c r="J80" s="427">
        <v>1</v>
      </c>
      <c r="K80" s="427">
        <v>1375</v>
      </c>
      <c r="L80" s="427"/>
      <c r="M80" s="427">
        <v>1375</v>
      </c>
      <c r="N80" s="427"/>
      <c r="O80" s="427"/>
      <c r="P80" s="487"/>
      <c r="Q80" s="428"/>
    </row>
    <row r="81" spans="1:17" ht="14.4" customHeight="1" x14ac:dyDescent="0.3">
      <c r="A81" s="423" t="s">
        <v>618</v>
      </c>
      <c r="B81" s="424" t="s">
        <v>543</v>
      </c>
      <c r="C81" s="424" t="s">
        <v>540</v>
      </c>
      <c r="D81" s="424" t="s">
        <v>572</v>
      </c>
      <c r="E81" s="424" t="s">
        <v>573</v>
      </c>
      <c r="F81" s="427"/>
      <c r="G81" s="427"/>
      <c r="H81" s="427"/>
      <c r="I81" s="427"/>
      <c r="J81" s="427">
        <v>1</v>
      </c>
      <c r="K81" s="427">
        <v>2319</v>
      </c>
      <c r="L81" s="427"/>
      <c r="M81" s="427">
        <v>2319</v>
      </c>
      <c r="N81" s="427"/>
      <c r="O81" s="427"/>
      <c r="P81" s="487"/>
      <c r="Q81" s="428"/>
    </row>
    <row r="82" spans="1:17" ht="14.4" customHeight="1" x14ac:dyDescent="0.3">
      <c r="A82" s="423" t="s">
        <v>618</v>
      </c>
      <c r="B82" s="424" t="s">
        <v>543</v>
      </c>
      <c r="C82" s="424" t="s">
        <v>540</v>
      </c>
      <c r="D82" s="424" t="s">
        <v>574</v>
      </c>
      <c r="E82" s="424" t="s">
        <v>575</v>
      </c>
      <c r="F82" s="427"/>
      <c r="G82" s="427"/>
      <c r="H82" s="427"/>
      <c r="I82" s="427"/>
      <c r="J82" s="427"/>
      <c r="K82" s="427"/>
      <c r="L82" s="427"/>
      <c r="M82" s="427"/>
      <c r="N82" s="427">
        <v>1</v>
      </c>
      <c r="O82" s="427">
        <v>66</v>
      </c>
      <c r="P82" s="487"/>
      <c r="Q82" s="428">
        <v>66</v>
      </c>
    </row>
    <row r="83" spans="1:17" ht="14.4" customHeight="1" x14ac:dyDescent="0.3">
      <c r="A83" s="423" t="s">
        <v>618</v>
      </c>
      <c r="B83" s="424" t="s">
        <v>543</v>
      </c>
      <c r="C83" s="424" t="s">
        <v>540</v>
      </c>
      <c r="D83" s="424" t="s">
        <v>576</v>
      </c>
      <c r="E83" s="424" t="s">
        <v>577</v>
      </c>
      <c r="F83" s="427">
        <v>2</v>
      </c>
      <c r="G83" s="427">
        <v>792</v>
      </c>
      <c r="H83" s="427">
        <v>1</v>
      </c>
      <c r="I83" s="427">
        <v>396</v>
      </c>
      <c r="J83" s="427">
        <v>2</v>
      </c>
      <c r="K83" s="427">
        <v>792</v>
      </c>
      <c r="L83" s="427">
        <v>1</v>
      </c>
      <c r="M83" s="427">
        <v>396</v>
      </c>
      <c r="N83" s="427">
        <v>3</v>
      </c>
      <c r="O83" s="427">
        <v>1203</v>
      </c>
      <c r="P83" s="487">
        <v>1.518939393939394</v>
      </c>
      <c r="Q83" s="428">
        <v>401</v>
      </c>
    </row>
    <row r="84" spans="1:17" ht="14.4" customHeight="1" x14ac:dyDescent="0.3">
      <c r="A84" s="423" t="s">
        <v>618</v>
      </c>
      <c r="B84" s="424" t="s">
        <v>543</v>
      </c>
      <c r="C84" s="424" t="s">
        <v>540</v>
      </c>
      <c r="D84" s="424" t="s">
        <v>580</v>
      </c>
      <c r="E84" s="424" t="s">
        <v>581</v>
      </c>
      <c r="F84" s="427">
        <v>7</v>
      </c>
      <c r="G84" s="427">
        <v>3850</v>
      </c>
      <c r="H84" s="427">
        <v>1</v>
      </c>
      <c r="I84" s="427">
        <v>550</v>
      </c>
      <c r="J84" s="427">
        <v>10</v>
      </c>
      <c r="K84" s="427">
        <v>5500</v>
      </c>
      <c r="L84" s="427">
        <v>1.4285714285714286</v>
      </c>
      <c r="M84" s="427">
        <v>550</v>
      </c>
      <c r="N84" s="427">
        <v>17</v>
      </c>
      <c r="O84" s="427">
        <v>9384</v>
      </c>
      <c r="P84" s="487">
        <v>2.4374025974025972</v>
      </c>
      <c r="Q84" s="428">
        <v>552</v>
      </c>
    </row>
    <row r="85" spans="1:17" ht="14.4" customHeight="1" x14ac:dyDescent="0.3">
      <c r="A85" s="423" t="s">
        <v>618</v>
      </c>
      <c r="B85" s="424" t="s">
        <v>543</v>
      </c>
      <c r="C85" s="424" t="s">
        <v>540</v>
      </c>
      <c r="D85" s="424" t="s">
        <v>593</v>
      </c>
      <c r="E85" s="424" t="s">
        <v>594</v>
      </c>
      <c r="F85" s="427"/>
      <c r="G85" s="427"/>
      <c r="H85" s="427"/>
      <c r="I85" s="427"/>
      <c r="J85" s="427"/>
      <c r="K85" s="427"/>
      <c r="L85" s="427"/>
      <c r="M85" s="427"/>
      <c r="N85" s="427">
        <v>1</v>
      </c>
      <c r="O85" s="427">
        <v>1615</v>
      </c>
      <c r="P85" s="487"/>
      <c r="Q85" s="428">
        <v>1615</v>
      </c>
    </row>
    <row r="86" spans="1:17" ht="14.4" customHeight="1" x14ac:dyDescent="0.3">
      <c r="A86" s="423" t="s">
        <v>619</v>
      </c>
      <c r="B86" s="424" t="s">
        <v>543</v>
      </c>
      <c r="C86" s="424" t="s">
        <v>540</v>
      </c>
      <c r="D86" s="424" t="s">
        <v>544</v>
      </c>
      <c r="E86" s="424" t="s">
        <v>545</v>
      </c>
      <c r="F86" s="427"/>
      <c r="G86" s="427"/>
      <c r="H86" s="427"/>
      <c r="I86" s="427"/>
      <c r="J86" s="427"/>
      <c r="K86" s="427"/>
      <c r="L86" s="427"/>
      <c r="M86" s="427"/>
      <c r="N86" s="427">
        <v>3</v>
      </c>
      <c r="O86" s="427">
        <v>384</v>
      </c>
      <c r="P86" s="487"/>
      <c r="Q86" s="428">
        <v>128</v>
      </c>
    </row>
    <row r="87" spans="1:17" ht="14.4" customHeight="1" x14ac:dyDescent="0.3">
      <c r="A87" s="423" t="s">
        <v>619</v>
      </c>
      <c r="B87" s="424" t="s">
        <v>543</v>
      </c>
      <c r="C87" s="424" t="s">
        <v>540</v>
      </c>
      <c r="D87" s="424" t="s">
        <v>564</v>
      </c>
      <c r="E87" s="424" t="s">
        <v>565</v>
      </c>
      <c r="F87" s="427">
        <v>2</v>
      </c>
      <c r="G87" s="427">
        <v>2894</v>
      </c>
      <c r="H87" s="427">
        <v>1</v>
      </c>
      <c r="I87" s="427">
        <v>1447</v>
      </c>
      <c r="J87" s="427"/>
      <c r="K87" s="427"/>
      <c r="L87" s="427"/>
      <c r="M87" s="427"/>
      <c r="N87" s="427">
        <v>4</v>
      </c>
      <c r="O87" s="427">
        <v>5844</v>
      </c>
      <c r="P87" s="487">
        <v>2.0193503800967521</v>
      </c>
      <c r="Q87" s="428">
        <v>1461</v>
      </c>
    </row>
    <row r="88" spans="1:17" ht="14.4" customHeight="1" x14ac:dyDescent="0.3">
      <c r="A88" s="423" t="s">
        <v>619</v>
      </c>
      <c r="B88" s="424" t="s">
        <v>543</v>
      </c>
      <c r="C88" s="424" t="s">
        <v>540</v>
      </c>
      <c r="D88" s="424" t="s">
        <v>576</v>
      </c>
      <c r="E88" s="424" t="s">
        <v>577</v>
      </c>
      <c r="F88" s="427">
        <v>2</v>
      </c>
      <c r="G88" s="427">
        <v>792</v>
      </c>
      <c r="H88" s="427">
        <v>1</v>
      </c>
      <c r="I88" s="427">
        <v>396</v>
      </c>
      <c r="J88" s="427"/>
      <c r="K88" s="427"/>
      <c r="L88" s="427"/>
      <c r="M88" s="427"/>
      <c r="N88" s="427">
        <v>4</v>
      </c>
      <c r="O88" s="427">
        <v>1604</v>
      </c>
      <c r="P88" s="487">
        <v>2.0252525252525251</v>
      </c>
      <c r="Q88" s="428">
        <v>401</v>
      </c>
    </row>
    <row r="89" spans="1:17" ht="14.4" customHeight="1" x14ac:dyDescent="0.3">
      <c r="A89" s="423" t="s">
        <v>619</v>
      </c>
      <c r="B89" s="424" t="s">
        <v>543</v>
      </c>
      <c r="C89" s="424" t="s">
        <v>540</v>
      </c>
      <c r="D89" s="424" t="s">
        <v>580</v>
      </c>
      <c r="E89" s="424" t="s">
        <v>581</v>
      </c>
      <c r="F89" s="427">
        <v>4</v>
      </c>
      <c r="G89" s="427">
        <v>2200</v>
      </c>
      <c r="H89" s="427">
        <v>1</v>
      </c>
      <c r="I89" s="427">
        <v>550</v>
      </c>
      <c r="J89" s="427"/>
      <c r="K89" s="427"/>
      <c r="L89" s="427"/>
      <c r="M89" s="427"/>
      <c r="N89" s="427">
        <v>15</v>
      </c>
      <c r="O89" s="427">
        <v>8280</v>
      </c>
      <c r="P89" s="487">
        <v>3.7636363636363637</v>
      </c>
      <c r="Q89" s="428">
        <v>552</v>
      </c>
    </row>
    <row r="90" spans="1:17" ht="14.4" customHeight="1" x14ac:dyDescent="0.3">
      <c r="A90" s="423" t="s">
        <v>619</v>
      </c>
      <c r="B90" s="424" t="s">
        <v>543</v>
      </c>
      <c r="C90" s="424" t="s">
        <v>540</v>
      </c>
      <c r="D90" s="424" t="s">
        <v>588</v>
      </c>
      <c r="E90" s="424" t="s">
        <v>589</v>
      </c>
      <c r="F90" s="427">
        <v>10</v>
      </c>
      <c r="G90" s="427">
        <v>4250</v>
      </c>
      <c r="H90" s="427">
        <v>1</v>
      </c>
      <c r="I90" s="427">
        <v>425</v>
      </c>
      <c r="J90" s="427">
        <v>2</v>
      </c>
      <c r="K90" s="427">
        <v>850</v>
      </c>
      <c r="L90" s="427">
        <v>0.2</v>
      </c>
      <c r="M90" s="427">
        <v>425</v>
      </c>
      <c r="N90" s="427">
        <v>11</v>
      </c>
      <c r="O90" s="427">
        <v>4686</v>
      </c>
      <c r="P90" s="487">
        <v>1.1025882352941176</v>
      </c>
      <c r="Q90" s="428">
        <v>426</v>
      </c>
    </row>
    <row r="91" spans="1:17" ht="14.4" customHeight="1" x14ac:dyDescent="0.3">
      <c r="A91" s="423" t="s">
        <v>619</v>
      </c>
      <c r="B91" s="424" t="s">
        <v>543</v>
      </c>
      <c r="C91" s="424" t="s">
        <v>540</v>
      </c>
      <c r="D91" s="424" t="s">
        <v>593</v>
      </c>
      <c r="E91" s="424" t="s">
        <v>594</v>
      </c>
      <c r="F91" s="427"/>
      <c r="G91" s="427"/>
      <c r="H91" s="427"/>
      <c r="I91" s="427"/>
      <c r="J91" s="427"/>
      <c r="K91" s="427"/>
      <c r="L91" s="427"/>
      <c r="M91" s="427"/>
      <c r="N91" s="427">
        <v>1</v>
      </c>
      <c r="O91" s="427">
        <v>1615</v>
      </c>
      <c r="P91" s="487"/>
      <c r="Q91" s="428">
        <v>1615</v>
      </c>
    </row>
    <row r="92" spans="1:17" ht="14.4" customHeight="1" x14ac:dyDescent="0.3">
      <c r="A92" s="423" t="s">
        <v>620</v>
      </c>
      <c r="B92" s="424" t="s">
        <v>543</v>
      </c>
      <c r="C92" s="424" t="s">
        <v>540</v>
      </c>
      <c r="D92" s="424" t="s">
        <v>544</v>
      </c>
      <c r="E92" s="424" t="s">
        <v>545</v>
      </c>
      <c r="F92" s="427">
        <v>2</v>
      </c>
      <c r="G92" s="427">
        <v>252</v>
      </c>
      <c r="H92" s="427">
        <v>1</v>
      </c>
      <c r="I92" s="427">
        <v>126</v>
      </c>
      <c r="J92" s="427">
        <v>3</v>
      </c>
      <c r="K92" s="427">
        <v>378</v>
      </c>
      <c r="L92" s="427">
        <v>1.5</v>
      </c>
      <c r="M92" s="427">
        <v>126</v>
      </c>
      <c r="N92" s="427">
        <v>2</v>
      </c>
      <c r="O92" s="427">
        <v>256</v>
      </c>
      <c r="P92" s="487">
        <v>1.0158730158730158</v>
      </c>
      <c r="Q92" s="428">
        <v>128</v>
      </c>
    </row>
    <row r="93" spans="1:17" ht="14.4" customHeight="1" x14ac:dyDescent="0.3">
      <c r="A93" s="423" t="s">
        <v>620</v>
      </c>
      <c r="B93" s="424" t="s">
        <v>543</v>
      </c>
      <c r="C93" s="424" t="s">
        <v>540</v>
      </c>
      <c r="D93" s="424" t="s">
        <v>550</v>
      </c>
      <c r="E93" s="424" t="s">
        <v>551</v>
      </c>
      <c r="F93" s="427">
        <v>1</v>
      </c>
      <c r="G93" s="427">
        <v>1035</v>
      </c>
      <c r="H93" s="427">
        <v>1</v>
      </c>
      <c r="I93" s="427">
        <v>1035</v>
      </c>
      <c r="J93" s="427"/>
      <c r="K93" s="427"/>
      <c r="L93" s="427"/>
      <c r="M93" s="427"/>
      <c r="N93" s="427"/>
      <c r="O93" s="427"/>
      <c r="P93" s="487"/>
      <c r="Q93" s="428"/>
    </row>
    <row r="94" spans="1:17" ht="14.4" customHeight="1" x14ac:dyDescent="0.3">
      <c r="A94" s="423" t="s">
        <v>620</v>
      </c>
      <c r="B94" s="424" t="s">
        <v>543</v>
      </c>
      <c r="C94" s="424" t="s">
        <v>540</v>
      </c>
      <c r="D94" s="424" t="s">
        <v>552</v>
      </c>
      <c r="E94" s="424" t="s">
        <v>553</v>
      </c>
      <c r="F94" s="427">
        <v>9</v>
      </c>
      <c r="G94" s="427">
        <v>33282</v>
      </c>
      <c r="H94" s="427">
        <v>1</v>
      </c>
      <c r="I94" s="427">
        <v>3698</v>
      </c>
      <c r="J94" s="427">
        <v>3</v>
      </c>
      <c r="K94" s="427">
        <v>11094</v>
      </c>
      <c r="L94" s="427">
        <v>0.33333333333333331</v>
      </c>
      <c r="M94" s="427">
        <v>3698</v>
      </c>
      <c r="N94" s="427"/>
      <c r="O94" s="427"/>
      <c r="P94" s="487"/>
      <c r="Q94" s="428"/>
    </row>
    <row r="95" spans="1:17" ht="14.4" customHeight="1" x14ac:dyDescent="0.3">
      <c r="A95" s="423" t="s">
        <v>620</v>
      </c>
      <c r="B95" s="424" t="s">
        <v>543</v>
      </c>
      <c r="C95" s="424" t="s">
        <v>540</v>
      </c>
      <c r="D95" s="424" t="s">
        <v>554</v>
      </c>
      <c r="E95" s="424" t="s">
        <v>555</v>
      </c>
      <c r="F95" s="427"/>
      <c r="G95" s="427"/>
      <c r="H95" s="427"/>
      <c r="I95" s="427"/>
      <c r="J95" s="427">
        <v>1</v>
      </c>
      <c r="K95" s="427">
        <v>438</v>
      </c>
      <c r="L95" s="427"/>
      <c r="M95" s="427">
        <v>438</v>
      </c>
      <c r="N95" s="427">
        <v>4</v>
      </c>
      <c r="O95" s="427">
        <v>1756</v>
      </c>
      <c r="P95" s="487"/>
      <c r="Q95" s="428">
        <v>439</v>
      </c>
    </row>
    <row r="96" spans="1:17" ht="14.4" customHeight="1" x14ac:dyDescent="0.3">
      <c r="A96" s="423" t="s">
        <v>620</v>
      </c>
      <c r="B96" s="424" t="s">
        <v>543</v>
      </c>
      <c r="C96" s="424" t="s">
        <v>540</v>
      </c>
      <c r="D96" s="424" t="s">
        <v>556</v>
      </c>
      <c r="E96" s="424" t="s">
        <v>557</v>
      </c>
      <c r="F96" s="427"/>
      <c r="G96" s="427"/>
      <c r="H96" s="427"/>
      <c r="I96" s="427"/>
      <c r="J96" s="427"/>
      <c r="K96" s="427"/>
      <c r="L96" s="427"/>
      <c r="M96" s="427"/>
      <c r="N96" s="427">
        <v>4</v>
      </c>
      <c r="O96" s="427">
        <v>3344</v>
      </c>
      <c r="P96" s="487"/>
      <c r="Q96" s="428">
        <v>836</v>
      </c>
    </row>
    <row r="97" spans="1:17" ht="14.4" customHeight="1" x14ac:dyDescent="0.3">
      <c r="A97" s="423" t="s">
        <v>620</v>
      </c>
      <c r="B97" s="424" t="s">
        <v>543</v>
      </c>
      <c r="C97" s="424" t="s">
        <v>540</v>
      </c>
      <c r="D97" s="424" t="s">
        <v>558</v>
      </c>
      <c r="E97" s="424" t="s">
        <v>559</v>
      </c>
      <c r="F97" s="427"/>
      <c r="G97" s="427"/>
      <c r="H97" s="427"/>
      <c r="I97" s="427"/>
      <c r="J97" s="427">
        <v>2</v>
      </c>
      <c r="K97" s="427">
        <v>3226</v>
      </c>
      <c r="L97" s="427"/>
      <c r="M97" s="427">
        <v>1613</v>
      </c>
      <c r="N97" s="427"/>
      <c r="O97" s="427"/>
      <c r="P97" s="487"/>
      <c r="Q97" s="428"/>
    </row>
    <row r="98" spans="1:17" ht="14.4" customHeight="1" x14ac:dyDescent="0.3">
      <c r="A98" s="423" t="s">
        <v>620</v>
      </c>
      <c r="B98" s="424" t="s">
        <v>543</v>
      </c>
      <c r="C98" s="424" t="s">
        <v>540</v>
      </c>
      <c r="D98" s="424" t="s">
        <v>564</v>
      </c>
      <c r="E98" s="424" t="s">
        <v>565</v>
      </c>
      <c r="F98" s="427">
        <v>5</v>
      </c>
      <c r="G98" s="427">
        <v>7235</v>
      </c>
      <c r="H98" s="427">
        <v>1</v>
      </c>
      <c r="I98" s="427">
        <v>1447</v>
      </c>
      <c r="J98" s="427">
        <v>1</v>
      </c>
      <c r="K98" s="427">
        <v>1447</v>
      </c>
      <c r="L98" s="427">
        <v>0.2</v>
      </c>
      <c r="M98" s="427">
        <v>1447</v>
      </c>
      <c r="N98" s="427">
        <v>3</v>
      </c>
      <c r="O98" s="427">
        <v>4383</v>
      </c>
      <c r="P98" s="487">
        <v>0.60580511402902559</v>
      </c>
      <c r="Q98" s="428">
        <v>1461</v>
      </c>
    </row>
    <row r="99" spans="1:17" ht="14.4" customHeight="1" x14ac:dyDescent="0.3">
      <c r="A99" s="423" t="s">
        <v>620</v>
      </c>
      <c r="B99" s="424" t="s">
        <v>543</v>
      </c>
      <c r="C99" s="424" t="s">
        <v>540</v>
      </c>
      <c r="D99" s="424" t="s">
        <v>568</v>
      </c>
      <c r="E99" s="424" t="s">
        <v>569</v>
      </c>
      <c r="F99" s="427">
        <v>1</v>
      </c>
      <c r="G99" s="427">
        <v>16</v>
      </c>
      <c r="H99" s="427">
        <v>1</v>
      </c>
      <c r="I99" s="427">
        <v>16</v>
      </c>
      <c r="J99" s="427"/>
      <c r="K99" s="427"/>
      <c r="L99" s="427"/>
      <c r="M99" s="427"/>
      <c r="N99" s="427">
        <v>3</v>
      </c>
      <c r="O99" s="427">
        <v>48</v>
      </c>
      <c r="P99" s="487">
        <v>3</v>
      </c>
      <c r="Q99" s="428">
        <v>16</v>
      </c>
    </row>
    <row r="100" spans="1:17" ht="14.4" customHeight="1" x14ac:dyDescent="0.3">
      <c r="A100" s="423" t="s">
        <v>620</v>
      </c>
      <c r="B100" s="424" t="s">
        <v>543</v>
      </c>
      <c r="C100" s="424" t="s">
        <v>540</v>
      </c>
      <c r="D100" s="424" t="s">
        <v>570</v>
      </c>
      <c r="E100" s="424" t="s">
        <v>555</v>
      </c>
      <c r="F100" s="427">
        <v>2</v>
      </c>
      <c r="G100" s="427">
        <v>1376</v>
      </c>
      <c r="H100" s="427">
        <v>1</v>
      </c>
      <c r="I100" s="427">
        <v>688</v>
      </c>
      <c r="J100" s="427">
        <v>3</v>
      </c>
      <c r="K100" s="427">
        <v>2064</v>
      </c>
      <c r="L100" s="427">
        <v>1.5</v>
      </c>
      <c r="M100" s="427">
        <v>688</v>
      </c>
      <c r="N100" s="427">
        <v>3</v>
      </c>
      <c r="O100" s="427">
        <v>2088</v>
      </c>
      <c r="P100" s="487">
        <v>1.5174418604651163</v>
      </c>
      <c r="Q100" s="428">
        <v>696</v>
      </c>
    </row>
    <row r="101" spans="1:17" ht="14.4" customHeight="1" x14ac:dyDescent="0.3">
      <c r="A101" s="423" t="s">
        <v>620</v>
      </c>
      <c r="B101" s="424" t="s">
        <v>543</v>
      </c>
      <c r="C101" s="424" t="s">
        <v>540</v>
      </c>
      <c r="D101" s="424" t="s">
        <v>571</v>
      </c>
      <c r="E101" s="424" t="s">
        <v>557</v>
      </c>
      <c r="F101" s="427">
        <v>12</v>
      </c>
      <c r="G101" s="427">
        <v>16500</v>
      </c>
      <c r="H101" s="427">
        <v>1</v>
      </c>
      <c r="I101" s="427">
        <v>1375</v>
      </c>
      <c r="J101" s="427">
        <v>5</v>
      </c>
      <c r="K101" s="427">
        <v>6875</v>
      </c>
      <c r="L101" s="427">
        <v>0.41666666666666669</v>
      </c>
      <c r="M101" s="427">
        <v>1375</v>
      </c>
      <c r="N101" s="427"/>
      <c r="O101" s="427"/>
      <c r="P101" s="487"/>
      <c r="Q101" s="428"/>
    </row>
    <row r="102" spans="1:17" ht="14.4" customHeight="1" x14ac:dyDescent="0.3">
      <c r="A102" s="423" t="s">
        <v>620</v>
      </c>
      <c r="B102" s="424" t="s">
        <v>543</v>
      </c>
      <c r="C102" s="424" t="s">
        <v>540</v>
      </c>
      <c r="D102" s="424" t="s">
        <v>572</v>
      </c>
      <c r="E102" s="424" t="s">
        <v>573</v>
      </c>
      <c r="F102" s="427">
        <v>10</v>
      </c>
      <c r="G102" s="427">
        <v>23190</v>
      </c>
      <c r="H102" s="427">
        <v>1</v>
      </c>
      <c r="I102" s="427">
        <v>2319</v>
      </c>
      <c r="J102" s="427">
        <v>5</v>
      </c>
      <c r="K102" s="427">
        <v>11595</v>
      </c>
      <c r="L102" s="427">
        <v>0.5</v>
      </c>
      <c r="M102" s="427">
        <v>2319</v>
      </c>
      <c r="N102" s="427"/>
      <c r="O102" s="427"/>
      <c r="P102" s="487"/>
      <c r="Q102" s="428"/>
    </row>
    <row r="103" spans="1:17" ht="14.4" customHeight="1" x14ac:dyDescent="0.3">
      <c r="A103" s="423" t="s">
        <v>620</v>
      </c>
      <c r="B103" s="424" t="s">
        <v>543</v>
      </c>
      <c r="C103" s="424" t="s">
        <v>540</v>
      </c>
      <c r="D103" s="424" t="s">
        <v>574</v>
      </c>
      <c r="E103" s="424" t="s">
        <v>575</v>
      </c>
      <c r="F103" s="427">
        <v>2</v>
      </c>
      <c r="G103" s="427">
        <v>130</v>
      </c>
      <c r="H103" s="427">
        <v>1</v>
      </c>
      <c r="I103" s="427">
        <v>65</v>
      </c>
      <c r="J103" s="427">
        <v>4</v>
      </c>
      <c r="K103" s="427">
        <v>260</v>
      </c>
      <c r="L103" s="427">
        <v>2</v>
      </c>
      <c r="M103" s="427">
        <v>65</v>
      </c>
      <c r="N103" s="427">
        <v>6</v>
      </c>
      <c r="O103" s="427">
        <v>396</v>
      </c>
      <c r="P103" s="487">
        <v>3.046153846153846</v>
      </c>
      <c r="Q103" s="428">
        <v>66</v>
      </c>
    </row>
    <row r="104" spans="1:17" ht="14.4" customHeight="1" x14ac:dyDescent="0.3">
      <c r="A104" s="423" t="s">
        <v>620</v>
      </c>
      <c r="B104" s="424" t="s">
        <v>543</v>
      </c>
      <c r="C104" s="424" t="s">
        <v>540</v>
      </c>
      <c r="D104" s="424" t="s">
        <v>576</v>
      </c>
      <c r="E104" s="424" t="s">
        <v>577</v>
      </c>
      <c r="F104" s="427">
        <v>5</v>
      </c>
      <c r="G104" s="427">
        <v>1980</v>
      </c>
      <c r="H104" s="427">
        <v>1</v>
      </c>
      <c r="I104" s="427">
        <v>396</v>
      </c>
      <c r="J104" s="427">
        <v>1</v>
      </c>
      <c r="K104" s="427">
        <v>396</v>
      </c>
      <c r="L104" s="427">
        <v>0.2</v>
      </c>
      <c r="M104" s="427">
        <v>396</v>
      </c>
      <c r="N104" s="427">
        <v>3</v>
      </c>
      <c r="O104" s="427">
        <v>1203</v>
      </c>
      <c r="P104" s="487">
        <v>0.60757575757575755</v>
      </c>
      <c r="Q104" s="428">
        <v>401</v>
      </c>
    </row>
    <row r="105" spans="1:17" ht="14.4" customHeight="1" x14ac:dyDescent="0.3">
      <c r="A105" s="423" t="s">
        <v>620</v>
      </c>
      <c r="B105" s="424" t="s">
        <v>543</v>
      </c>
      <c r="C105" s="424" t="s">
        <v>540</v>
      </c>
      <c r="D105" s="424" t="s">
        <v>578</v>
      </c>
      <c r="E105" s="424" t="s">
        <v>579</v>
      </c>
      <c r="F105" s="427"/>
      <c r="G105" s="427"/>
      <c r="H105" s="427"/>
      <c r="I105" s="427"/>
      <c r="J105" s="427">
        <v>1</v>
      </c>
      <c r="K105" s="427">
        <v>1601</v>
      </c>
      <c r="L105" s="427"/>
      <c r="M105" s="427">
        <v>1601</v>
      </c>
      <c r="N105" s="427">
        <v>1</v>
      </c>
      <c r="O105" s="427">
        <v>1613</v>
      </c>
      <c r="P105" s="487"/>
      <c r="Q105" s="428">
        <v>1613</v>
      </c>
    </row>
    <row r="106" spans="1:17" ht="14.4" customHeight="1" x14ac:dyDescent="0.3">
      <c r="A106" s="423" t="s">
        <v>620</v>
      </c>
      <c r="B106" s="424" t="s">
        <v>543</v>
      </c>
      <c r="C106" s="424" t="s">
        <v>540</v>
      </c>
      <c r="D106" s="424" t="s">
        <v>580</v>
      </c>
      <c r="E106" s="424" t="s">
        <v>581</v>
      </c>
      <c r="F106" s="427">
        <v>38</v>
      </c>
      <c r="G106" s="427">
        <v>20900</v>
      </c>
      <c r="H106" s="427">
        <v>1</v>
      </c>
      <c r="I106" s="427">
        <v>550</v>
      </c>
      <c r="J106" s="427">
        <v>22</v>
      </c>
      <c r="K106" s="427">
        <v>12100</v>
      </c>
      <c r="L106" s="427">
        <v>0.57894736842105265</v>
      </c>
      <c r="M106" s="427">
        <v>550</v>
      </c>
      <c r="N106" s="427">
        <v>17</v>
      </c>
      <c r="O106" s="427">
        <v>9384</v>
      </c>
      <c r="P106" s="487">
        <v>0.44899521531100478</v>
      </c>
      <c r="Q106" s="428">
        <v>552</v>
      </c>
    </row>
    <row r="107" spans="1:17" ht="14.4" customHeight="1" x14ac:dyDescent="0.3">
      <c r="A107" s="423" t="s">
        <v>620</v>
      </c>
      <c r="B107" s="424" t="s">
        <v>543</v>
      </c>
      <c r="C107" s="424" t="s">
        <v>540</v>
      </c>
      <c r="D107" s="424" t="s">
        <v>588</v>
      </c>
      <c r="E107" s="424" t="s">
        <v>589</v>
      </c>
      <c r="F107" s="427">
        <v>17</v>
      </c>
      <c r="G107" s="427">
        <v>7225</v>
      </c>
      <c r="H107" s="427">
        <v>1</v>
      </c>
      <c r="I107" s="427">
        <v>425</v>
      </c>
      <c r="J107" s="427">
        <v>15</v>
      </c>
      <c r="K107" s="427">
        <v>6375</v>
      </c>
      <c r="L107" s="427">
        <v>0.88235294117647056</v>
      </c>
      <c r="M107" s="427">
        <v>425</v>
      </c>
      <c r="N107" s="427">
        <v>16</v>
      </c>
      <c r="O107" s="427">
        <v>6816</v>
      </c>
      <c r="P107" s="487">
        <v>0.94339100346020766</v>
      </c>
      <c r="Q107" s="428">
        <v>426</v>
      </c>
    </row>
    <row r="108" spans="1:17" ht="14.4" customHeight="1" x14ac:dyDescent="0.3">
      <c r="A108" s="423" t="s">
        <v>620</v>
      </c>
      <c r="B108" s="424" t="s">
        <v>543</v>
      </c>
      <c r="C108" s="424" t="s">
        <v>540</v>
      </c>
      <c r="D108" s="424" t="s">
        <v>593</v>
      </c>
      <c r="E108" s="424" t="s">
        <v>594</v>
      </c>
      <c r="F108" s="427"/>
      <c r="G108" s="427"/>
      <c r="H108" s="427"/>
      <c r="I108" s="427"/>
      <c r="J108" s="427">
        <v>2</v>
      </c>
      <c r="K108" s="427">
        <v>3214</v>
      </c>
      <c r="L108" s="427"/>
      <c r="M108" s="427">
        <v>1607</v>
      </c>
      <c r="N108" s="427">
        <v>1</v>
      </c>
      <c r="O108" s="427">
        <v>1615</v>
      </c>
      <c r="P108" s="487"/>
      <c r="Q108" s="428">
        <v>1615</v>
      </c>
    </row>
    <row r="109" spans="1:17" ht="14.4" customHeight="1" x14ac:dyDescent="0.3">
      <c r="A109" s="423" t="s">
        <v>621</v>
      </c>
      <c r="B109" s="424" t="s">
        <v>543</v>
      </c>
      <c r="C109" s="424" t="s">
        <v>540</v>
      </c>
      <c r="D109" s="424" t="s">
        <v>552</v>
      </c>
      <c r="E109" s="424" t="s">
        <v>553</v>
      </c>
      <c r="F109" s="427"/>
      <c r="G109" s="427"/>
      <c r="H109" s="427"/>
      <c r="I109" s="427"/>
      <c r="J109" s="427"/>
      <c r="K109" s="427"/>
      <c r="L109" s="427"/>
      <c r="M109" s="427"/>
      <c r="N109" s="427">
        <v>1</v>
      </c>
      <c r="O109" s="427">
        <v>3721</v>
      </c>
      <c r="P109" s="487"/>
      <c r="Q109" s="428">
        <v>3721</v>
      </c>
    </row>
    <row r="110" spans="1:17" ht="14.4" customHeight="1" x14ac:dyDescent="0.3">
      <c r="A110" s="423" t="s">
        <v>621</v>
      </c>
      <c r="B110" s="424" t="s">
        <v>543</v>
      </c>
      <c r="C110" s="424" t="s">
        <v>540</v>
      </c>
      <c r="D110" s="424" t="s">
        <v>571</v>
      </c>
      <c r="E110" s="424" t="s">
        <v>557</v>
      </c>
      <c r="F110" s="427"/>
      <c r="G110" s="427"/>
      <c r="H110" s="427"/>
      <c r="I110" s="427"/>
      <c r="J110" s="427"/>
      <c r="K110" s="427"/>
      <c r="L110" s="427"/>
      <c r="M110" s="427"/>
      <c r="N110" s="427">
        <v>2</v>
      </c>
      <c r="O110" s="427">
        <v>2774</v>
      </c>
      <c r="P110" s="487"/>
      <c r="Q110" s="428">
        <v>1387</v>
      </c>
    </row>
    <row r="111" spans="1:17" ht="14.4" customHeight="1" x14ac:dyDescent="0.3">
      <c r="A111" s="423" t="s">
        <v>621</v>
      </c>
      <c r="B111" s="424" t="s">
        <v>543</v>
      </c>
      <c r="C111" s="424" t="s">
        <v>540</v>
      </c>
      <c r="D111" s="424" t="s">
        <v>572</v>
      </c>
      <c r="E111" s="424" t="s">
        <v>573</v>
      </c>
      <c r="F111" s="427"/>
      <c r="G111" s="427"/>
      <c r="H111" s="427"/>
      <c r="I111" s="427"/>
      <c r="J111" s="427"/>
      <c r="K111" s="427"/>
      <c r="L111" s="427"/>
      <c r="M111" s="427"/>
      <c r="N111" s="427">
        <v>1</v>
      </c>
      <c r="O111" s="427">
        <v>2341</v>
      </c>
      <c r="P111" s="487"/>
      <c r="Q111" s="428">
        <v>2341</v>
      </c>
    </row>
    <row r="112" spans="1:17" ht="14.4" customHeight="1" x14ac:dyDescent="0.3">
      <c r="A112" s="423" t="s">
        <v>621</v>
      </c>
      <c r="B112" s="424" t="s">
        <v>543</v>
      </c>
      <c r="C112" s="424" t="s">
        <v>540</v>
      </c>
      <c r="D112" s="424" t="s">
        <v>580</v>
      </c>
      <c r="E112" s="424" t="s">
        <v>581</v>
      </c>
      <c r="F112" s="427"/>
      <c r="G112" s="427"/>
      <c r="H112" s="427"/>
      <c r="I112" s="427"/>
      <c r="J112" s="427"/>
      <c r="K112" s="427"/>
      <c r="L112" s="427"/>
      <c r="M112" s="427"/>
      <c r="N112" s="427">
        <v>2</v>
      </c>
      <c r="O112" s="427">
        <v>1104</v>
      </c>
      <c r="P112" s="487"/>
      <c r="Q112" s="428">
        <v>552</v>
      </c>
    </row>
    <row r="113" spans="1:17" ht="14.4" customHeight="1" x14ac:dyDescent="0.3">
      <c r="A113" s="423" t="s">
        <v>621</v>
      </c>
      <c r="B113" s="424" t="s">
        <v>543</v>
      </c>
      <c r="C113" s="424" t="s">
        <v>540</v>
      </c>
      <c r="D113" s="424" t="s">
        <v>593</v>
      </c>
      <c r="E113" s="424" t="s">
        <v>594</v>
      </c>
      <c r="F113" s="427"/>
      <c r="G113" s="427"/>
      <c r="H113" s="427"/>
      <c r="I113" s="427"/>
      <c r="J113" s="427"/>
      <c r="K113" s="427"/>
      <c r="L113" s="427"/>
      <c r="M113" s="427"/>
      <c r="N113" s="427">
        <v>1</v>
      </c>
      <c r="O113" s="427">
        <v>1615</v>
      </c>
      <c r="P113" s="487"/>
      <c r="Q113" s="428">
        <v>1615</v>
      </c>
    </row>
    <row r="114" spans="1:17" ht="14.4" customHeight="1" x14ac:dyDescent="0.3">
      <c r="A114" s="423" t="s">
        <v>622</v>
      </c>
      <c r="B114" s="424" t="s">
        <v>543</v>
      </c>
      <c r="C114" s="424" t="s">
        <v>540</v>
      </c>
      <c r="D114" s="424" t="s">
        <v>544</v>
      </c>
      <c r="E114" s="424" t="s">
        <v>545</v>
      </c>
      <c r="F114" s="427">
        <v>2</v>
      </c>
      <c r="G114" s="427">
        <v>252</v>
      </c>
      <c r="H114" s="427">
        <v>1</v>
      </c>
      <c r="I114" s="427">
        <v>126</v>
      </c>
      <c r="J114" s="427"/>
      <c r="K114" s="427"/>
      <c r="L114" s="427"/>
      <c r="M114" s="427"/>
      <c r="N114" s="427"/>
      <c r="O114" s="427"/>
      <c r="P114" s="487"/>
      <c r="Q114" s="428"/>
    </row>
    <row r="115" spans="1:17" ht="14.4" customHeight="1" x14ac:dyDescent="0.3">
      <c r="A115" s="423" t="s">
        <v>622</v>
      </c>
      <c r="B115" s="424" t="s">
        <v>543</v>
      </c>
      <c r="C115" s="424" t="s">
        <v>540</v>
      </c>
      <c r="D115" s="424" t="s">
        <v>548</v>
      </c>
      <c r="E115" s="424" t="s">
        <v>549</v>
      </c>
      <c r="F115" s="427">
        <v>3</v>
      </c>
      <c r="G115" s="427">
        <v>6639</v>
      </c>
      <c r="H115" s="427">
        <v>1</v>
      </c>
      <c r="I115" s="427">
        <v>2213</v>
      </c>
      <c r="J115" s="427">
        <v>4</v>
      </c>
      <c r="K115" s="427">
        <v>8852</v>
      </c>
      <c r="L115" s="427">
        <v>1.3333333333333333</v>
      </c>
      <c r="M115" s="427">
        <v>2213</v>
      </c>
      <c r="N115" s="427"/>
      <c r="O115" s="427"/>
      <c r="P115" s="487"/>
      <c r="Q115" s="428"/>
    </row>
    <row r="116" spans="1:17" ht="14.4" customHeight="1" x14ac:dyDescent="0.3">
      <c r="A116" s="423" t="s">
        <v>622</v>
      </c>
      <c r="B116" s="424" t="s">
        <v>543</v>
      </c>
      <c r="C116" s="424" t="s">
        <v>540</v>
      </c>
      <c r="D116" s="424" t="s">
        <v>552</v>
      </c>
      <c r="E116" s="424" t="s">
        <v>553</v>
      </c>
      <c r="F116" s="427">
        <v>1</v>
      </c>
      <c r="G116" s="427">
        <v>3698</v>
      </c>
      <c r="H116" s="427">
        <v>1</v>
      </c>
      <c r="I116" s="427">
        <v>3698</v>
      </c>
      <c r="J116" s="427">
        <v>3</v>
      </c>
      <c r="K116" s="427">
        <v>11094</v>
      </c>
      <c r="L116" s="427">
        <v>3</v>
      </c>
      <c r="M116" s="427">
        <v>3698</v>
      </c>
      <c r="N116" s="427">
        <v>2</v>
      </c>
      <c r="O116" s="427">
        <v>7442</v>
      </c>
      <c r="P116" s="487">
        <v>2.0124391563007031</v>
      </c>
      <c r="Q116" s="428">
        <v>3721</v>
      </c>
    </row>
    <row r="117" spans="1:17" ht="14.4" customHeight="1" x14ac:dyDescent="0.3">
      <c r="A117" s="423" t="s">
        <v>622</v>
      </c>
      <c r="B117" s="424" t="s">
        <v>543</v>
      </c>
      <c r="C117" s="424" t="s">
        <v>540</v>
      </c>
      <c r="D117" s="424" t="s">
        <v>558</v>
      </c>
      <c r="E117" s="424" t="s">
        <v>559</v>
      </c>
      <c r="F117" s="427"/>
      <c r="G117" s="427"/>
      <c r="H117" s="427"/>
      <c r="I117" s="427"/>
      <c r="J117" s="427">
        <v>2</v>
      </c>
      <c r="K117" s="427">
        <v>3226</v>
      </c>
      <c r="L117" s="427"/>
      <c r="M117" s="427">
        <v>1613</v>
      </c>
      <c r="N117" s="427"/>
      <c r="O117" s="427"/>
      <c r="P117" s="487"/>
      <c r="Q117" s="428"/>
    </row>
    <row r="118" spans="1:17" ht="14.4" customHeight="1" x14ac:dyDescent="0.3">
      <c r="A118" s="423" t="s">
        <v>622</v>
      </c>
      <c r="B118" s="424" t="s">
        <v>543</v>
      </c>
      <c r="C118" s="424" t="s">
        <v>540</v>
      </c>
      <c r="D118" s="424" t="s">
        <v>562</v>
      </c>
      <c r="E118" s="424" t="s">
        <v>563</v>
      </c>
      <c r="F118" s="427">
        <v>2</v>
      </c>
      <c r="G118" s="427">
        <v>1638</v>
      </c>
      <c r="H118" s="427">
        <v>1</v>
      </c>
      <c r="I118" s="427">
        <v>819</v>
      </c>
      <c r="J118" s="427">
        <v>1</v>
      </c>
      <c r="K118" s="427">
        <v>819</v>
      </c>
      <c r="L118" s="427">
        <v>0.5</v>
      </c>
      <c r="M118" s="427">
        <v>819</v>
      </c>
      <c r="N118" s="427"/>
      <c r="O118" s="427"/>
      <c r="P118" s="487"/>
      <c r="Q118" s="428"/>
    </row>
    <row r="119" spans="1:17" ht="14.4" customHeight="1" x14ac:dyDescent="0.3">
      <c r="A119" s="423" t="s">
        <v>622</v>
      </c>
      <c r="B119" s="424" t="s">
        <v>543</v>
      </c>
      <c r="C119" s="424" t="s">
        <v>540</v>
      </c>
      <c r="D119" s="424" t="s">
        <v>564</v>
      </c>
      <c r="E119" s="424" t="s">
        <v>565</v>
      </c>
      <c r="F119" s="427">
        <v>1</v>
      </c>
      <c r="G119" s="427">
        <v>1447</v>
      </c>
      <c r="H119" s="427">
        <v>1</v>
      </c>
      <c r="I119" s="427">
        <v>1447</v>
      </c>
      <c r="J119" s="427">
        <v>1</v>
      </c>
      <c r="K119" s="427">
        <v>1447</v>
      </c>
      <c r="L119" s="427">
        <v>1</v>
      </c>
      <c r="M119" s="427">
        <v>1447</v>
      </c>
      <c r="N119" s="427"/>
      <c r="O119" s="427"/>
      <c r="P119" s="487"/>
      <c r="Q119" s="428"/>
    </row>
    <row r="120" spans="1:17" ht="14.4" customHeight="1" x14ac:dyDescent="0.3">
      <c r="A120" s="423" t="s">
        <v>622</v>
      </c>
      <c r="B120" s="424" t="s">
        <v>543</v>
      </c>
      <c r="C120" s="424" t="s">
        <v>540</v>
      </c>
      <c r="D120" s="424" t="s">
        <v>568</v>
      </c>
      <c r="E120" s="424" t="s">
        <v>569</v>
      </c>
      <c r="F120" s="427">
        <v>3</v>
      </c>
      <c r="G120" s="427">
        <v>48</v>
      </c>
      <c r="H120" s="427">
        <v>1</v>
      </c>
      <c r="I120" s="427">
        <v>16</v>
      </c>
      <c r="J120" s="427">
        <v>3</v>
      </c>
      <c r="K120" s="427">
        <v>48</v>
      </c>
      <c r="L120" s="427">
        <v>1</v>
      </c>
      <c r="M120" s="427">
        <v>16</v>
      </c>
      <c r="N120" s="427">
        <v>4</v>
      </c>
      <c r="O120" s="427">
        <v>64</v>
      </c>
      <c r="P120" s="487">
        <v>1.3333333333333333</v>
      </c>
      <c r="Q120" s="428">
        <v>16</v>
      </c>
    </row>
    <row r="121" spans="1:17" ht="14.4" customHeight="1" x14ac:dyDescent="0.3">
      <c r="A121" s="423" t="s">
        <v>622</v>
      </c>
      <c r="B121" s="424" t="s">
        <v>543</v>
      </c>
      <c r="C121" s="424" t="s">
        <v>540</v>
      </c>
      <c r="D121" s="424" t="s">
        <v>570</v>
      </c>
      <c r="E121" s="424" t="s">
        <v>555</v>
      </c>
      <c r="F121" s="427">
        <v>4</v>
      </c>
      <c r="G121" s="427">
        <v>2752</v>
      </c>
      <c r="H121" s="427">
        <v>1</v>
      </c>
      <c r="I121" s="427">
        <v>688</v>
      </c>
      <c r="J121" s="427">
        <v>4</v>
      </c>
      <c r="K121" s="427">
        <v>2752</v>
      </c>
      <c r="L121" s="427">
        <v>1</v>
      </c>
      <c r="M121" s="427">
        <v>688</v>
      </c>
      <c r="N121" s="427">
        <v>7</v>
      </c>
      <c r="O121" s="427">
        <v>4872</v>
      </c>
      <c r="P121" s="487">
        <v>1.7703488372093024</v>
      </c>
      <c r="Q121" s="428">
        <v>696</v>
      </c>
    </row>
    <row r="122" spans="1:17" ht="14.4" customHeight="1" x14ac:dyDescent="0.3">
      <c r="A122" s="423" t="s">
        <v>622</v>
      </c>
      <c r="B122" s="424" t="s">
        <v>543</v>
      </c>
      <c r="C122" s="424" t="s">
        <v>540</v>
      </c>
      <c r="D122" s="424" t="s">
        <v>571</v>
      </c>
      <c r="E122" s="424" t="s">
        <v>557</v>
      </c>
      <c r="F122" s="427">
        <v>1</v>
      </c>
      <c r="G122" s="427">
        <v>1375</v>
      </c>
      <c r="H122" s="427">
        <v>1</v>
      </c>
      <c r="I122" s="427">
        <v>1375</v>
      </c>
      <c r="J122" s="427">
        <v>7</v>
      </c>
      <c r="K122" s="427">
        <v>9625</v>
      </c>
      <c r="L122" s="427">
        <v>7</v>
      </c>
      <c r="M122" s="427">
        <v>1375</v>
      </c>
      <c r="N122" s="427">
        <v>10</v>
      </c>
      <c r="O122" s="427">
        <v>13870</v>
      </c>
      <c r="P122" s="487">
        <v>10.087272727272728</v>
      </c>
      <c r="Q122" s="428">
        <v>1387</v>
      </c>
    </row>
    <row r="123" spans="1:17" ht="14.4" customHeight="1" x14ac:dyDescent="0.3">
      <c r="A123" s="423" t="s">
        <v>622</v>
      </c>
      <c r="B123" s="424" t="s">
        <v>543</v>
      </c>
      <c r="C123" s="424" t="s">
        <v>540</v>
      </c>
      <c r="D123" s="424" t="s">
        <v>572</v>
      </c>
      <c r="E123" s="424" t="s">
        <v>573</v>
      </c>
      <c r="F123" s="427">
        <v>1</v>
      </c>
      <c r="G123" s="427">
        <v>2319</v>
      </c>
      <c r="H123" s="427">
        <v>1</v>
      </c>
      <c r="I123" s="427">
        <v>2319</v>
      </c>
      <c r="J123" s="427">
        <v>4</v>
      </c>
      <c r="K123" s="427">
        <v>9276</v>
      </c>
      <c r="L123" s="427">
        <v>4</v>
      </c>
      <c r="M123" s="427">
        <v>2319</v>
      </c>
      <c r="N123" s="427">
        <v>3</v>
      </c>
      <c r="O123" s="427">
        <v>7023</v>
      </c>
      <c r="P123" s="487">
        <v>3.0284605433376455</v>
      </c>
      <c r="Q123" s="428">
        <v>2341</v>
      </c>
    </row>
    <row r="124" spans="1:17" ht="14.4" customHeight="1" x14ac:dyDescent="0.3">
      <c r="A124" s="423" t="s">
        <v>622</v>
      </c>
      <c r="B124" s="424" t="s">
        <v>543</v>
      </c>
      <c r="C124" s="424" t="s">
        <v>540</v>
      </c>
      <c r="D124" s="424" t="s">
        <v>574</v>
      </c>
      <c r="E124" s="424" t="s">
        <v>575</v>
      </c>
      <c r="F124" s="427">
        <v>4</v>
      </c>
      <c r="G124" s="427">
        <v>260</v>
      </c>
      <c r="H124" s="427">
        <v>1</v>
      </c>
      <c r="I124" s="427">
        <v>65</v>
      </c>
      <c r="J124" s="427">
        <v>4</v>
      </c>
      <c r="K124" s="427">
        <v>260</v>
      </c>
      <c r="L124" s="427">
        <v>1</v>
      </c>
      <c r="M124" s="427">
        <v>65</v>
      </c>
      <c r="N124" s="427">
        <v>7</v>
      </c>
      <c r="O124" s="427">
        <v>462</v>
      </c>
      <c r="P124" s="487">
        <v>1.7769230769230768</v>
      </c>
      <c r="Q124" s="428">
        <v>66</v>
      </c>
    </row>
    <row r="125" spans="1:17" ht="14.4" customHeight="1" x14ac:dyDescent="0.3">
      <c r="A125" s="423" t="s">
        <v>622</v>
      </c>
      <c r="B125" s="424" t="s">
        <v>543</v>
      </c>
      <c r="C125" s="424" t="s">
        <v>540</v>
      </c>
      <c r="D125" s="424" t="s">
        <v>576</v>
      </c>
      <c r="E125" s="424" t="s">
        <v>577</v>
      </c>
      <c r="F125" s="427">
        <v>1</v>
      </c>
      <c r="G125" s="427">
        <v>396</v>
      </c>
      <c r="H125" s="427">
        <v>1</v>
      </c>
      <c r="I125" s="427">
        <v>396</v>
      </c>
      <c r="J125" s="427">
        <v>1</v>
      </c>
      <c r="K125" s="427">
        <v>396</v>
      </c>
      <c r="L125" s="427">
        <v>1</v>
      </c>
      <c r="M125" s="427">
        <v>396</v>
      </c>
      <c r="N125" s="427"/>
      <c r="O125" s="427"/>
      <c r="P125" s="487"/>
      <c r="Q125" s="428"/>
    </row>
    <row r="126" spans="1:17" ht="14.4" customHeight="1" x14ac:dyDescent="0.3">
      <c r="A126" s="423" t="s">
        <v>622</v>
      </c>
      <c r="B126" s="424" t="s">
        <v>543</v>
      </c>
      <c r="C126" s="424" t="s">
        <v>540</v>
      </c>
      <c r="D126" s="424" t="s">
        <v>580</v>
      </c>
      <c r="E126" s="424" t="s">
        <v>581</v>
      </c>
      <c r="F126" s="427">
        <v>8</v>
      </c>
      <c r="G126" s="427">
        <v>4400</v>
      </c>
      <c r="H126" s="427">
        <v>1</v>
      </c>
      <c r="I126" s="427">
        <v>550</v>
      </c>
      <c r="J126" s="427">
        <v>17</v>
      </c>
      <c r="K126" s="427">
        <v>9350</v>
      </c>
      <c r="L126" s="427">
        <v>2.125</v>
      </c>
      <c r="M126" s="427">
        <v>550</v>
      </c>
      <c r="N126" s="427">
        <v>17</v>
      </c>
      <c r="O126" s="427">
        <v>9384</v>
      </c>
      <c r="P126" s="487">
        <v>2.1327272727272728</v>
      </c>
      <c r="Q126" s="428">
        <v>552</v>
      </c>
    </row>
    <row r="127" spans="1:17" ht="14.4" customHeight="1" x14ac:dyDescent="0.3">
      <c r="A127" s="423" t="s">
        <v>622</v>
      </c>
      <c r="B127" s="424" t="s">
        <v>543</v>
      </c>
      <c r="C127" s="424" t="s">
        <v>540</v>
      </c>
      <c r="D127" s="424" t="s">
        <v>593</v>
      </c>
      <c r="E127" s="424" t="s">
        <v>594</v>
      </c>
      <c r="F127" s="427"/>
      <c r="G127" s="427"/>
      <c r="H127" s="427"/>
      <c r="I127" s="427"/>
      <c r="J127" s="427">
        <v>1</v>
      </c>
      <c r="K127" s="427">
        <v>1607</v>
      </c>
      <c r="L127" s="427"/>
      <c r="M127" s="427">
        <v>1607</v>
      </c>
      <c r="N127" s="427">
        <v>2</v>
      </c>
      <c r="O127" s="427">
        <v>3230</v>
      </c>
      <c r="P127" s="487"/>
      <c r="Q127" s="428">
        <v>1615</v>
      </c>
    </row>
    <row r="128" spans="1:17" ht="14.4" customHeight="1" x14ac:dyDescent="0.3">
      <c r="A128" s="423" t="s">
        <v>623</v>
      </c>
      <c r="B128" s="424" t="s">
        <v>543</v>
      </c>
      <c r="C128" s="424" t="s">
        <v>540</v>
      </c>
      <c r="D128" s="424" t="s">
        <v>544</v>
      </c>
      <c r="E128" s="424" t="s">
        <v>545</v>
      </c>
      <c r="F128" s="427"/>
      <c r="G128" s="427"/>
      <c r="H128" s="427"/>
      <c r="I128" s="427"/>
      <c r="J128" s="427">
        <v>2</v>
      </c>
      <c r="K128" s="427">
        <v>252</v>
      </c>
      <c r="L128" s="427"/>
      <c r="M128" s="427">
        <v>126</v>
      </c>
      <c r="N128" s="427">
        <v>1</v>
      </c>
      <c r="O128" s="427">
        <v>128</v>
      </c>
      <c r="P128" s="487"/>
      <c r="Q128" s="428">
        <v>128</v>
      </c>
    </row>
    <row r="129" spans="1:17" ht="14.4" customHeight="1" x14ac:dyDescent="0.3">
      <c r="A129" s="423" t="s">
        <v>623</v>
      </c>
      <c r="B129" s="424" t="s">
        <v>543</v>
      </c>
      <c r="C129" s="424" t="s">
        <v>540</v>
      </c>
      <c r="D129" s="424" t="s">
        <v>552</v>
      </c>
      <c r="E129" s="424" t="s">
        <v>553</v>
      </c>
      <c r="F129" s="427">
        <v>4</v>
      </c>
      <c r="G129" s="427">
        <v>14792</v>
      </c>
      <c r="H129" s="427">
        <v>1</v>
      </c>
      <c r="I129" s="427">
        <v>3698</v>
      </c>
      <c r="J129" s="427">
        <v>6</v>
      </c>
      <c r="K129" s="427">
        <v>22188</v>
      </c>
      <c r="L129" s="427">
        <v>1.5</v>
      </c>
      <c r="M129" s="427">
        <v>3698</v>
      </c>
      <c r="N129" s="427"/>
      <c r="O129" s="427"/>
      <c r="P129" s="487"/>
      <c r="Q129" s="428"/>
    </row>
    <row r="130" spans="1:17" ht="14.4" customHeight="1" x14ac:dyDescent="0.3">
      <c r="A130" s="423" t="s">
        <v>623</v>
      </c>
      <c r="B130" s="424" t="s">
        <v>543</v>
      </c>
      <c r="C130" s="424" t="s">
        <v>540</v>
      </c>
      <c r="D130" s="424" t="s">
        <v>554</v>
      </c>
      <c r="E130" s="424" t="s">
        <v>555</v>
      </c>
      <c r="F130" s="427"/>
      <c r="G130" s="427"/>
      <c r="H130" s="427"/>
      <c r="I130" s="427"/>
      <c r="J130" s="427">
        <v>10</v>
      </c>
      <c r="K130" s="427">
        <v>4380</v>
      </c>
      <c r="L130" s="427"/>
      <c r="M130" s="427">
        <v>438</v>
      </c>
      <c r="N130" s="427"/>
      <c r="O130" s="427"/>
      <c r="P130" s="487"/>
      <c r="Q130" s="428"/>
    </row>
    <row r="131" spans="1:17" ht="14.4" customHeight="1" x14ac:dyDescent="0.3">
      <c r="A131" s="423" t="s">
        <v>623</v>
      </c>
      <c r="B131" s="424" t="s">
        <v>543</v>
      </c>
      <c r="C131" s="424" t="s">
        <v>540</v>
      </c>
      <c r="D131" s="424" t="s">
        <v>556</v>
      </c>
      <c r="E131" s="424" t="s">
        <v>557</v>
      </c>
      <c r="F131" s="427"/>
      <c r="G131" s="427"/>
      <c r="H131" s="427"/>
      <c r="I131" s="427"/>
      <c r="J131" s="427">
        <v>2</v>
      </c>
      <c r="K131" s="427">
        <v>1664</v>
      </c>
      <c r="L131" s="427"/>
      <c r="M131" s="427">
        <v>832</v>
      </c>
      <c r="N131" s="427"/>
      <c r="O131" s="427"/>
      <c r="P131" s="487"/>
      <c r="Q131" s="428"/>
    </row>
    <row r="132" spans="1:17" ht="14.4" customHeight="1" x14ac:dyDescent="0.3">
      <c r="A132" s="423" t="s">
        <v>623</v>
      </c>
      <c r="B132" s="424" t="s">
        <v>543</v>
      </c>
      <c r="C132" s="424" t="s">
        <v>540</v>
      </c>
      <c r="D132" s="424" t="s">
        <v>564</v>
      </c>
      <c r="E132" s="424" t="s">
        <v>565</v>
      </c>
      <c r="F132" s="427">
        <v>8</v>
      </c>
      <c r="G132" s="427">
        <v>11576</v>
      </c>
      <c r="H132" s="427">
        <v>1</v>
      </c>
      <c r="I132" s="427">
        <v>1447</v>
      </c>
      <c r="J132" s="427">
        <v>12</v>
      </c>
      <c r="K132" s="427">
        <v>17364</v>
      </c>
      <c r="L132" s="427">
        <v>1.5</v>
      </c>
      <c r="M132" s="427">
        <v>1447</v>
      </c>
      <c r="N132" s="427">
        <v>1</v>
      </c>
      <c r="O132" s="427">
        <v>1461</v>
      </c>
      <c r="P132" s="487">
        <v>0.126209398756047</v>
      </c>
      <c r="Q132" s="428">
        <v>1461</v>
      </c>
    </row>
    <row r="133" spans="1:17" ht="14.4" customHeight="1" x14ac:dyDescent="0.3">
      <c r="A133" s="423" t="s">
        <v>623</v>
      </c>
      <c r="B133" s="424" t="s">
        <v>543</v>
      </c>
      <c r="C133" s="424" t="s">
        <v>540</v>
      </c>
      <c r="D133" s="424" t="s">
        <v>568</v>
      </c>
      <c r="E133" s="424" t="s">
        <v>569</v>
      </c>
      <c r="F133" s="427">
        <v>1</v>
      </c>
      <c r="G133" s="427">
        <v>16</v>
      </c>
      <c r="H133" s="427">
        <v>1</v>
      </c>
      <c r="I133" s="427">
        <v>16</v>
      </c>
      <c r="J133" s="427">
        <v>3</v>
      </c>
      <c r="K133" s="427">
        <v>48</v>
      </c>
      <c r="L133" s="427">
        <v>3</v>
      </c>
      <c r="M133" s="427">
        <v>16</v>
      </c>
      <c r="N133" s="427">
        <v>1</v>
      </c>
      <c r="O133" s="427">
        <v>16</v>
      </c>
      <c r="P133" s="487">
        <v>1</v>
      </c>
      <c r="Q133" s="428">
        <v>16</v>
      </c>
    </row>
    <row r="134" spans="1:17" ht="14.4" customHeight="1" x14ac:dyDescent="0.3">
      <c r="A134" s="423" t="s">
        <v>623</v>
      </c>
      <c r="B134" s="424" t="s">
        <v>543</v>
      </c>
      <c r="C134" s="424" t="s">
        <v>540</v>
      </c>
      <c r="D134" s="424" t="s">
        <v>570</v>
      </c>
      <c r="E134" s="424" t="s">
        <v>555</v>
      </c>
      <c r="F134" s="427">
        <v>2</v>
      </c>
      <c r="G134" s="427">
        <v>1376</v>
      </c>
      <c r="H134" s="427">
        <v>1</v>
      </c>
      <c r="I134" s="427">
        <v>688</v>
      </c>
      <c r="J134" s="427">
        <v>7</v>
      </c>
      <c r="K134" s="427">
        <v>4816</v>
      </c>
      <c r="L134" s="427">
        <v>3.5</v>
      </c>
      <c r="M134" s="427">
        <v>688</v>
      </c>
      <c r="N134" s="427">
        <v>2</v>
      </c>
      <c r="O134" s="427">
        <v>1392</v>
      </c>
      <c r="P134" s="487">
        <v>1.0116279069767442</v>
      </c>
      <c r="Q134" s="428">
        <v>696</v>
      </c>
    </row>
    <row r="135" spans="1:17" ht="14.4" customHeight="1" x14ac:dyDescent="0.3">
      <c r="A135" s="423" t="s">
        <v>623</v>
      </c>
      <c r="B135" s="424" t="s">
        <v>543</v>
      </c>
      <c r="C135" s="424" t="s">
        <v>540</v>
      </c>
      <c r="D135" s="424" t="s">
        <v>571</v>
      </c>
      <c r="E135" s="424" t="s">
        <v>557</v>
      </c>
      <c r="F135" s="427">
        <v>8</v>
      </c>
      <c r="G135" s="427">
        <v>11000</v>
      </c>
      <c r="H135" s="427">
        <v>1</v>
      </c>
      <c r="I135" s="427">
        <v>1375</v>
      </c>
      <c r="J135" s="427">
        <v>8</v>
      </c>
      <c r="K135" s="427">
        <v>11000</v>
      </c>
      <c r="L135" s="427">
        <v>1</v>
      </c>
      <c r="M135" s="427">
        <v>1375</v>
      </c>
      <c r="N135" s="427">
        <v>2</v>
      </c>
      <c r="O135" s="427">
        <v>2774</v>
      </c>
      <c r="P135" s="487">
        <v>0.25218181818181817</v>
      </c>
      <c r="Q135" s="428">
        <v>1387</v>
      </c>
    </row>
    <row r="136" spans="1:17" ht="14.4" customHeight="1" x14ac:dyDescent="0.3">
      <c r="A136" s="423" t="s">
        <v>623</v>
      </c>
      <c r="B136" s="424" t="s">
        <v>543</v>
      </c>
      <c r="C136" s="424" t="s">
        <v>540</v>
      </c>
      <c r="D136" s="424" t="s">
        <v>572</v>
      </c>
      <c r="E136" s="424" t="s">
        <v>573</v>
      </c>
      <c r="F136" s="427">
        <v>4</v>
      </c>
      <c r="G136" s="427">
        <v>9276</v>
      </c>
      <c r="H136" s="427">
        <v>1</v>
      </c>
      <c r="I136" s="427">
        <v>2319</v>
      </c>
      <c r="J136" s="427">
        <v>4</v>
      </c>
      <c r="K136" s="427">
        <v>9276</v>
      </c>
      <c r="L136" s="427">
        <v>1</v>
      </c>
      <c r="M136" s="427">
        <v>2319</v>
      </c>
      <c r="N136" s="427">
        <v>1</v>
      </c>
      <c r="O136" s="427">
        <v>2341</v>
      </c>
      <c r="P136" s="487">
        <v>0.25237171194480379</v>
      </c>
      <c r="Q136" s="428">
        <v>2341</v>
      </c>
    </row>
    <row r="137" spans="1:17" ht="14.4" customHeight="1" x14ac:dyDescent="0.3">
      <c r="A137" s="423" t="s">
        <v>623</v>
      </c>
      <c r="B137" s="424" t="s">
        <v>543</v>
      </c>
      <c r="C137" s="424" t="s">
        <v>540</v>
      </c>
      <c r="D137" s="424" t="s">
        <v>574</v>
      </c>
      <c r="E137" s="424" t="s">
        <v>575</v>
      </c>
      <c r="F137" s="427">
        <v>2</v>
      </c>
      <c r="G137" s="427">
        <v>130</v>
      </c>
      <c r="H137" s="427">
        <v>1</v>
      </c>
      <c r="I137" s="427">
        <v>65</v>
      </c>
      <c r="J137" s="427">
        <v>7</v>
      </c>
      <c r="K137" s="427">
        <v>455</v>
      </c>
      <c r="L137" s="427">
        <v>3.5</v>
      </c>
      <c r="M137" s="427">
        <v>65</v>
      </c>
      <c r="N137" s="427">
        <v>2</v>
      </c>
      <c r="O137" s="427">
        <v>132</v>
      </c>
      <c r="P137" s="487">
        <v>1.0153846153846153</v>
      </c>
      <c r="Q137" s="428">
        <v>66</v>
      </c>
    </row>
    <row r="138" spans="1:17" ht="14.4" customHeight="1" x14ac:dyDescent="0.3">
      <c r="A138" s="423" t="s">
        <v>623</v>
      </c>
      <c r="B138" s="424" t="s">
        <v>543</v>
      </c>
      <c r="C138" s="424" t="s">
        <v>540</v>
      </c>
      <c r="D138" s="424" t="s">
        <v>576</v>
      </c>
      <c r="E138" s="424" t="s">
        <v>577</v>
      </c>
      <c r="F138" s="427">
        <v>8</v>
      </c>
      <c r="G138" s="427">
        <v>3168</v>
      </c>
      <c r="H138" s="427">
        <v>1</v>
      </c>
      <c r="I138" s="427">
        <v>396</v>
      </c>
      <c r="J138" s="427">
        <v>12</v>
      </c>
      <c r="K138" s="427">
        <v>4752</v>
      </c>
      <c r="L138" s="427">
        <v>1.5</v>
      </c>
      <c r="M138" s="427">
        <v>396</v>
      </c>
      <c r="N138" s="427">
        <v>1</v>
      </c>
      <c r="O138" s="427">
        <v>401</v>
      </c>
      <c r="P138" s="487">
        <v>0.12657828282828282</v>
      </c>
      <c r="Q138" s="428">
        <v>401</v>
      </c>
    </row>
    <row r="139" spans="1:17" ht="14.4" customHeight="1" x14ac:dyDescent="0.3">
      <c r="A139" s="423" t="s">
        <v>623</v>
      </c>
      <c r="B139" s="424" t="s">
        <v>543</v>
      </c>
      <c r="C139" s="424" t="s">
        <v>540</v>
      </c>
      <c r="D139" s="424" t="s">
        <v>578</v>
      </c>
      <c r="E139" s="424" t="s">
        <v>579</v>
      </c>
      <c r="F139" s="427"/>
      <c r="G139" s="427"/>
      <c r="H139" s="427"/>
      <c r="I139" s="427"/>
      <c r="J139" s="427">
        <v>2</v>
      </c>
      <c r="K139" s="427">
        <v>3202</v>
      </c>
      <c r="L139" s="427"/>
      <c r="M139" s="427">
        <v>1601</v>
      </c>
      <c r="N139" s="427"/>
      <c r="O139" s="427"/>
      <c r="P139" s="487"/>
      <c r="Q139" s="428"/>
    </row>
    <row r="140" spans="1:17" ht="14.4" customHeight="1" x14ac:dyDescent="0.3">
      <c r="A140" s="423" t="s">
        <v>623</v>
      </c>
      <c r="B140" s="424" t="s">
        <v>543</v>
      </c>
      <c r="C140" s="424" t="s">
        <v>540</v>
      </c>
      <c r="D140" s="424" t="s">
        <v>580</v>
      </c>
      <c r="E140" s="424" t="s">
        <v>581</v>
      </c>
      <c r="F140" s="427">
        <v>17</v>
      </c>
      <c r="G140" s="427">
        <v>9350</v>
      </c>
      <c r="H140" s="427">
        <v>1</v>
      </c>
      <c r="I140" s="427">
        <v>550</v>
      </c>
      <c r="J140" s="427">
        <v>34</v>
      </c>
      <c r="K140" s="427">
        <v>18700</v>
      </c>
      <c r="L140" s="427">
        <v>2</v>
      </c>
      <c r="M140" s="427">
        <v>550</v>
      </c>
      <c r="N140" s="427">
        <v>7</v>
      </c>
      <c r="O140" s="427">
        <v>3864</v>
      </c>
      <c r="P140" s="487">
        <v>0.4132620320855615</v>
      </c>
      <c r="Q140" s="428">
        <v>552</v>
      </c>
    </row>
    <row r="141" spans="1:17" ht="14.4" customHeight="1" x14ac:dyDescent="0.3">
      <c r="A141" s="423" t="s">
        <v>623</v>
      </c>
      <c r="B141" s="424" t="s">
        <v>543</v>
      </c>
      <c r="C141" s="424" t="s">
        <v>540</v>
      </c>
      <c r="D141" s="424" t="s">
        <v>586</v>
      </c>
      <c r="E141" s="424" t="s">
        <v>587</v>
      </c>
      <c r="F141" s="427"/>
      <c r="G141" s="427"/>
      <c r="H141" s="427"/>
      <c r="I141" s="427"/>
      <c r="J141" s="427">
        <v>1</v>
      </c>
      <c r="K141" s="427">
        <v>122</v>
      </c>
      <c r="L141" s="427"/>
      <c r="M141" s="427">
        <v>122</v>
      </c>
      <c r="N141" s="427"/>
      <c r="O141" s="427"/>
      <c r="P141" s="487"/>
      <c r="Q141" s="428"/>
    </row>
    <row r="142" spans="1:17" ht="14.4" customHeight="1" x14ac:dyDescent="0.3">
      <c r="A142" s="423" t="s">
        <v>623</v>
      </c>
      <c r="B142" s="424" t="s">
        <v>543</v>
      </c>
      <c r="C142" s="424" t="s">
        <v>540</v>
      </c>
      <c r="D142" s="424" t="s">
        <v>588</v>
      </c>
      <c r="E142" s="424" t="s">
        <v>589</v>
      </c>
      <c r="F142" s="427">
        <v>22</v>
      </c>
      <c r="G142" s="427">
        <v>9350</v>
      </c>
      <c r="H142" s="427">
        <v>1</v>
      </c>
      <c r="I142" s="427">
        <v>425</v>
      </c>
      <c r="J142" s="427">
        <v>20</v>
      </c>
      <c r="K142" s="427">
        <v>8500</v>
      </c>
      <c r="L142" s="427">
        <v>0.90909090909090906</v>
      </c>
      <c r="M142" s="427">
        <v>425</v>
      </c>
      <c r="N142" s="427">
        <v>9</v>
      </c>
      <c r="O142" s="427">
        <v>3834</v>
      </c>
      <c r="P142" s="487">
        <v>0.41005347593582886</v>
      </c>
      <c r="Q142" s="428">
        <v>426</v>
      </c>
    </row>
    <row r="143" spans="1:17" ht="14.4" customHeight="1" x14ac:dyDescent="0.3">
      <c r="A143" s="423" t="s">
        <v>623</v>
      </c>
      <c r="B143" s="424" t="s">
        <v>543</v>
      </c>
      <c r="C143" s="424" t="s">
        <v>540</v>
      </c>
      <c r="D143" s="424" t="s">
        <v>593</v>
      </c>
      <c r="E143" s="424" t="s">
        <v>594</v>
      </c>
      <c r="F143" s="427"/>
      <c r="G143" s="427"/>
      <c r="H143" s="427"/>
      <c r="I143" s="427"/>
      <c r="J143" s="427"/>
      <c r="K143" s="427"/>
      <c r="L143" s="427"/>
      <c r="M143" s="427"/>
      <c r="N143" s="427">
        <v>1</v>
      </c>
      <c r="O143" s="427">
        <v>1615</v>
      </c>
      <c r="P143" s="487"/>
      <c r="Q143" s="428">
        <v>1615</v>
      </c>
    </row>
    <row r="144" spans="1:17" ht="14.4" customHeight="1" x14ac:dyDescent="0.3">
      <c r="A144" s="423" t="s">
        <v>624</v>
      </c>
      <c r="B144" s="424" t="s">
        <v>543</v>
      </c>
      <c r="C144" s="424" t="s">
        <v>540</v>
      </c>
      <c r="D144" s="424" t="s">
        <v>548</v>
      </c>
      <c r="E144" s="424" t="s">
        <v>549</v>
      </c>
      <c r="F144" s="427">
        <v>2</v>
      </c>
      <c r="G144" s="427">
        <v>4426</v>
      </c>
      <c r="H144" s="427">
        <v>1</v>
      </c>
      <c r="I144" s="427">
        <v>2213</v>
      </c>
      <c r="J144" s="427"/>
      <c r="K144" s="427"/>
      <c r="L144" s="427"/>
      <c r="M144" s="427"/>
      <c r="N144" s="427"/>
      <c r="O144" s="427"/>
      <c r="P144" s="487"/>
      <c r="Q144" s="428"/>
    </row>
    <row r="145" spans="1:17" ht="14.4" customHeight="1" x14ac:dyDescent="0.3">
      <c r="A145" s="423" t="s">
        <v>624</v>
      </c>
      <c r="B145" s="424" t="s">
        <v>543</v>
      </c>
      <c r="C145" s="424" t="s">
        <v>540</v>
      </c>
      <c r="D145" s="424" t="s">
        <v>552</v>
      </c>
      <c r="E145" s="424" t="s">
        <v>553</v>
      </c>
      <c r="F145" s="427">
        <v>1</v>
      </c>
      <c r="G145" s="427">
        <v>3698</v>
      </c>
      <c r="H145" s="427">
        <v>1</v>
      </c>
      <c r="I145" s="427">
        <v>3698</v>
      </c>
      <c r="J145" s="427"/>
      <c r="K145" s="427"/>
      <c r="L145" s="427"/>
      <c r="M145" s="427"/>
      <c r="N145" s="427"/>
      <c r="O145" s="427"/>
      <c r="P145" s="487"/>
      <c r="Q145" s="428"/>
    </row>
    <row r="146" spans="1:17" ht="14.4" customHeight="1" x14ac:dyDescent="0.3">
      <c r="A146" s="423" t="s">
        <v>624</v>
      </c>
      <c r="B146" s="424" t="s">
        <v>543</v>
      </c>
      <c r="C146" s="424" t="s">
        <v>540</v>
      </c>
      <c r="D146" s="424" t="s">
        <v>564</v>
      </c>
      <c r="E146" s="424" t="s">
        <v>565</v>
      </c>
      <c r="F146" s="427">
        <v>2</v>
      </c>
      <c r="G146" s="427">
        <v>2894</v>
      </c>
      <c r="H146" s="427">
        <v>1</v>
      </c>
      <c r="I146" s="427">
        <v>1447</v>
      </c>
      <c r="J146" s="427"/>
      <c r="K146" s="427"/>
      <c r="L146" s="427"/>
      <c r="M146" s="427"/>
      <c r="N146" s="427"/>
      <c r="O146" s="427"/>
      <c r="P146" s="487"/>
      <c r="Q146" s="428"/>
    </row>
    <row r="147" spans="1:17" ht="14.4" customHeight="1" x14ac:dyDescent="0.3">
      <c r="A147" s="423" t="s">
        <v>624</v>
      </c>
      <c r="B147" s="424" t="s">
        <v>543</v>
      </c>
      <c r="C147" s="424" t="s">
        <v>540</v>
      </c>
      <c r="D147" s="424" t="s">
        <v>568</v>
      </c>
      <c r="E147" s="424" t="s">
        <v>569</v>
      </c>
      <c r="F147" s="427">
        <v>1</v>
      </c>
      <c r="G147" s="427">
        <v>16</v>
      </c>
      <c r="H147" s="427">
        <v>1</v>
      </c>
      <c r="I147" s="427">
        <v>16</v>
      </c>
      <c r="J147" s="427"/>
      <c r="K147" s="427"/>
      <c r="L147" s="427"/>
      <c r="M147" s="427"/>
      <c r="N147" s="427"/>
      <c r="O147" s="427"/>
      <c r="P147" s="487"/>
      <c r="Q147" s="428"/>
    </row>
    <row r="148" spans="1:17" ht="14.4" customHeight="1" x14ac:dyDescent="0.3">
      <c r="A148" s="423" t="s">
        <v>624</v>
      </c>
      <c r="B148" s="424" t="s">
        <v>543</v>
      </c>
      <c r="C148" s="424" t="s">
        <v>540</v>
      </c>
      <c r="D148" s="424" t="s">
        <v>570</v>
      </c>
      <c r="E148" s="424" t="s">
        <v>555</v>
      </c>
      <c r="F148" s="427">
        <v>2</v>
      </c>
      <c r="G148" s="427">
        <v>1376</v>
      </c>
      <c r="H148" s="427">
        <v>1</v>
      </c>
      <c r="I148" s="427">
        <v>688</v>
      </c>
      <c r="J148" s="427"/>
      <c r="K148" s="427"/>
      <c r="L148" s="427"/>
      <c r="M148" s="427"/>
      <c r="N148" s="427"/>
      <c r="O148" s="427"/>
      <c r="P148" s="487"/>
      <c r="Q148" s="428"/>
    </row>
    <row r="149" spans="1:17" ht="14.4" customHeight="1" x14ac:dyDescent="0.3">
      <c r="A149" s="423" t="s">
        <v>624</v>
      </c>
      <c r="B149" s="424" t="s">
        <v>543</v>
      </c>
      <c r="C149" s="424" t="s">
        <v>540</v>
      </c>
      <c r="D149" s="424" t="s">
        <v>571</v>
      </c>
      <c r="E149" s="424" t="s">
        <v>557</v>
      </c>
      <c r="F149" s="427">
        <v>1</v>
      </c>
      <c r="G149" s="427">
        <v>1375</v>
      </c>
      <c r="H149" s="427">
        <v>1</v>
      </c>
      <c r="I149" s="427">
        <v>1375</v>
      </c>
      <c r="J149" s="427"/>
      <c r="K149" s="427"/>
      <c r="L149" s="427"/>
      <c r="M149" s="427"/>
      <c r="N149" s="427"/>
      <c r="O149" s="427"/>
      <c r="P149" s="487"/>
      <c r="Q149" s="428"/>
    </row>
    <row r="150" spans="1:17" ht="14.4" customHeight="1" x14ac:dyDescent="0.3">
      <c r="A150" s="423" t="s">
        <v>624</v>
      </c>
      <c r="B150" s="424" t="s">
        <v>543</v>
      </c>
      <c r="C150" s="424" t="s">
        <v>540</v>
      </c>
      <c r="D150" s="424" t="s">
        <v>572</v>
      </c>
      <c r="E150" s="424" t="s">
        <v>573</v>
      </c>
      <c r="F150" s="427">
        <v>1</v>
      </c>
      <c r="G150" s="427">
        <v>2319</v>
      </c>
      <c r="H150" s="427">
        <v>1</v>
      </c>
      <c r="I150" s="427">
        <v>2319</v>
      </c>
      <c r="J150" s="427"/>
      <c r="K150" s="427"/>
      <c r="L150" s="427"/>
      <c r="M150" s="427"/>
      <c r="N150" s="427"/>
      <c r="O150" s="427"/>
      <c r="P150" s="487"/>
      <c r="Q150" s="428"/>
    </row>
    <row r="151" spans="1:17" ht="14.4" customHeight="1" x14ac:dyDescent="0.3">
      <c r="A151" s="423" t="s">
        <v>624</v>
      </c>
      <c r="B151" s="424" t="s">
        <v>543</v>
      </c>
      <c r="C151" s="424" t="s">
        <v>540</v>
      </c>
      <c r="D151" s="424" t="s">
        <v>574</v>
      </c>
      <c r="E151" s="424" t="s">
        <v>575</v>
      </c>
      <c r="F151" s="427">
        <v>2</v>
      </c>
      <c r="G151" s="427">
        <v>130</v>
      </c>
      <c r="H151" s="427">
        <v>1</v>
      </c>
      <c r="I151" s="427">
        <v>65</v>
      </c>
      <c r="J151" s="427"/>
      <c r="K151" s="427"/>
      <c r="L151" s="427"/>
      <c r="M151" s="427"/>
      <c r="N151" s="427"/>
      <c r="O151" s="427"/>
      <c r="P151" s="487"/>
      <c r="Q151" s="428"/>
    </row>
    <row r="152" spans="1:17" ht="14.4" customHeight="1" x14ac:dyDescent="0.3">
      <c r="A152" s="423" t="s">
        <v>624</v>
      </c>
      <c r="B152" s="424" t="s">
        <v>543</v>
      </c>
      <c r="C152" s="424" t="s">
        <v>540</v>
      </c>
      <c r="D152" s="424" t="s">
        <v>576</v>
      </c>
      <c r="E152" s="424" t="s">
        <v>577</v>
      </c>
      <c r="F152" s="427">
        <v>2</v>
      </c>
      <c r="G152" s="427">
        <v>792</v>
      </c>
      <c r="H152" s="427">
        <v>1</v>
      </c>
      <c r="I152" s="427">
        <v>396</v>
      </c>
      <c r="J152" s="427"/>
      <c r="K152" s="427"/>
      <c r="L152" s="427"/>
      <c r="M152" s="427"/>
      <c r="N152" s="427"/>
      <c r="O152" s="427"/>
      <c r="P152" s="487"/>
      <c r="Q152" s="428"/>
    </row>
    <row r="153" spans="1:17" ht="14.4" customHeight="1" x14ac:dyDescent="0.3">
      <c r="A153" s="423" t="s">
        <v>624</v>
      </c>
      <c r="B153" s="424" t="s">
        <v>543</v>
      </c>
      <c r="C153" s="424" t="s">
        <v>540</v>
      </c>
      <c r="D153" s="424" t="s">
        <v>580</v>
      </c>
      <c r="E153" s="424" t="s">
        <v>581</v>
      </c>
      <c r="F153" s="427">
        <v>5</v>
      </c>
      <c r="G153" s="427">
        <v>2750</v>
      </c>
      <c r="H153" s="427">
        <v>1</v>
      </c>
      <c r="I153" s="427">
        <v>550</v>
      </c>
      <c r="J153" s="427"/>
      <c r="K153" s="427"/>
      <c r="L153" s="427"/>
      <c r="M153" s="427"/>
      <c r="N153" s="427"/>
      <c r="O153" s="427"/>
      <c r="P153" s="487"/>
      <c r="Q153" s="428"/>
    </row>
    <row r="154" spans="1:17" ht="14.4" customHeight="1" x14ac:dyDescent="0.3">
      <c r="A154" s="423" t="s">
        <v>625</v>
      </c>
      <c r="B154" s="424" t="s">
        <v>539</v>
      </c>
      <c r="C154" s="424" t="s">
        <v>540</v>
      </c>
      <c r="D154" s="424" t="s">
        <v>541</v>
      </c>
      <c r="E154" s="424" t="s">
        <v>542</v>
      </c>
      <c r="F154" s="427"/>
      <c r="G154" s="427"/>
      <c r="H154" s="427"/>
      <c r="I154" s="427"/>
      <c r="J154" s="427"/>
      <c r="K154" s="427"/>
      <c r="L154" s="427"/>
      <c r="M154" s="427"/>
      <c r="N154" s="427">
        <v>1</v>
      </c>
      <c r="O154" s="427">
        <v>10725</v>
      </c>
      <c r="P154" s="487"/>
      <c r="Q154" s="428">
        <v>10725</v>
      </c>
    </row>
    <row r="155" spans="1:17" ht="14.4" customHeight="1" x14ac:dyDescent="0.3">
      <c r="A155" s="423" t="s">
        <v>625</v>
      </c>
      <c r="B155" s="424" t="s">
        <v>543</v>
      </c>
      <c r="C155" s="424" t="s">
        <v>540</v>
      </c>
      <c r="D155" s="424" t="s">
        <v>568</v>
      </c>
      <c r="E155" s="424" t="s">
        <v>569</v>
      </c>
      <c r="F155" s="427">
        <v>1</v>
      </c>
      <c r="G155" s="427">
        <v>16</v>
      </c>
      <c r="H155" s="427">
        <v>1</v>
      </c>
      <c r="I155" s="427">
        <v>16</v>
      </c>
      <c r="J155" s="427"/>
      <c r="K155" s="427"/>
      <c r="L155" s="427"/>
      <c r="M155" s="427"/>
      <c r="N155" s="427"/>
      <c r="O155" s="427"/>
      <c r="P155" s="487"/>
      <c r="Q155" s="428"/>
    </row>
    <row r="156" spans="1:17" ht="14.4" customHeight="1" x14ac:dyDescent="0.3">
      <c r="A156" s="423" t="s">
        <v>625</v>
      </c>
      <c r="B156" s="424" t="s">
        <v>543</v>
      </c>
      <c r="C156" s="424" t="s">
        <v>540</v>
      </c>
      <c r="D156" s="424" t="s">
        <v>570</v>
      </c>
      <c r="E156" s="424" t="s">
        <v>555</v>
      </c>
      <c r="F156" s="427">
        <v>2</v>
      </c>
      <c r="G156" s="427">
        <v>1376</v>
      </c>
      <c r="H156" s="427">
        <v>1</v>
      </c>
      <c r="I156" s="427">
        <v>688</v>
      </c>
      <c r="J156" s="427"/>
      <c r="K156" s="427"/>
      <c r="L156" s="427"/>
      <c r="M156" s="427"/>
      <c r="N156" s="427"/>
      <c r="O156" s="427"/>
      <c r="P156" s="487"/>
      <c r="Q156" s="428"/>
    </row>
    <row r="157" spans="1:17" ht="14.4" customHeight="1" x14ac:dyDescent="0.3">
      <c r="A157" s="423" t="s">
        <v>625</v>
      </c>
      <c r="B157" s="424" t="s">
        <v>543</v>
      </c>
      <c r="C157" s="424" t="s">
        <v>540</v>
      </c>
      <c r="D157" s="424" t="s">
        <v>574</v>
      </c>
      <c r="E157" s="424" t="s">
        <v>575</v>
      </c>
      <c r="F157" s="427">
        <v>2</v>
      </c>
      <c r="G157" s="427">
        <v>130</v>
      </c>
      <c r="H157" s="427">
        <v>1</v>
      </c>
      <c r="I157" s="427">
        <v>65</v>
      </c>
      <c r="J157" s="427"/>
      <c r="K157" s="427"/>
      <c r="L157" s="427"/>
      <c r="M157" s="427"/>
      <c r="N157" s="427"/>
      <c r="O157" s="427"/>
      <c r="P157" s="487"/>
      <c r="Q157" s="428"/>
    </row>
    <row r="158" spans="1:17" ht="14.4" customHeight="1" x14ac:dyDescent="0.3">
      <c r="A158" s="423" t="s">
        <v>625</v>
      </c>
      <c r="B158" s="424" t="s">
        <v>543</v>
      </c>
      <c r="C158" s="424" t="s">
        <v>540</v>
      </c>
      <c r="D158" s="424" t="s">
        <v>580</v>
      </c>
      <c r="E158" s="424" t="s">
        <v>581</v>
      </c>
      <c r="F158" s="427">
        <v>10</v>
      </c>
      <c r="G158" s="427">
        <v>5500</v>
      </c>
      <c r="H158" s="427">
        <v>1</v>
      </c>
      <c r="I158" s="427">
        <v>550</v>
      </c>
      <c r="J158" s="427"/>
      <c r="K158" s="427"/>
      <c r="L158" s="427"/>
      <c r="M158" s="427"/>
      <c r="N158" s="427"/>
      <c r="O158" s="427"/>
      <c r="P158" s="487"/>
      <c r="Q158" s="428"/>
    </row>
    <row r="159" spans="1:17" ht="14.4" customHeight="1" x14ac:dyDescent="0.3">
      <c r="A159" s="423" t="s">
        <v>626</v>
      </c>
      <c r="B159" s="424" t="s">
        <v>543</v>
      </c>
      <c r="C159" s="424" t="s">
        <v>540</v>
      </c>
      <c r="D159" s="424" t="s">
        <v>564</v>
      </c>
      <c r="E159" s="424" t="s">
        <v>565</v>
      </c>
      <c r="F159" s="427"/>
      <c r="G159" s="427"/>
      <c r="H159" s="427"/>
      <c r="I159" s="427"/>
      <c r="J159" s="427">
        <v>1</v>
      </c>
      <c r="K159" s="427">
        <v>1447</v>
      </c>
      <c r="L159" s="427"/>
      <c r="M159" s="427">
        <v>1447</v>
      </c>
      <c r="N159" s="427"/>
      <c r="O159" s="427"/>
      <c r="P159" s="487"/>
      <c r="Q159" s="428"/>
    </row>
    <row r="160" spans="1:17" ht="14.4" customHeight="1" x14ac:dyDescent="0.3">
      <c r="A160" s="423" t="s">
        <v>626</v>
      </c>
      <c r="B160" s="424" t="s">
        <v>543</v>
      </c>
      <c r="C160" s="424" t="s">
        <v>540</v>
      </c>
      <c r="D160" s="424" t="s">
        <v>576</v>
      </c>
      <c r="E160" s="424" t="s">
        <v>577</v>
      </c>
      <c r="F160" s="427"/>
      <c r="G160" s="427"/>
      <c r="H160" s="427"/>
      <c r="I160" s="427"/>
      <c r="J160" s="427">
        <v>1</v>
      </c>
      <c r="K160" s="427">
        <v>396</v>
      </c>
      <c r="L160" s="427"/>
      <c r="M160" s="427">
        <v>396</v>
      </c>
      <c r="N160" s="427"/>
      <c r="O160" s="427"/>
      <c r="P160" s="487"/>
      <c r="Q160" s="428"/>
    </row>
    <row r="161" spans="1:17" ht="14.4" customHeight="1" x14ac:dyDescent="0.3">
      <c r="A161" s="423" t="s">
        <v>626</v>
      </c>
      <c r="B161" s="424" t="s">
        <v>543</v>
      </c>
      <c r="C161" s="424" t="s">
        <v>540</v>
      </c>
      <c r="D161" s="424" t="s">
        <v>588</v>
      </c>
      <c r="E161" s="424" t="s">
        <v>589</v>
      </c>
      <c r="F161" s="427"/>
      <c r="G161" s="427"/>
      <c r="H161" s="427"/>
      <c r="I161" s="427"/>
      <c r="J161" s="427">
        <v>3</v>
      </c>
      <c r="K161" s="427">
        <v>1275</v>
      </c>
      <c r="L161" s="427"/>
      <c r="M161" s="427">
        <v>425</v>
      </c>
      <c r="N161" s="427"/>
      <c r="O161" s="427"/>
      <c r="P161" s="487"/>
      <c r="Q161" s="428"/>
    </row>
    <row r="162" spans="1:17" ht="14.4" customHeight="1" x14ac:dyDescent="0.3">
      <c r="A162" s="423" t="s">
        <v>627</v>
      </c>
      <c r="B162" s="424" t="s">
        <v>543</v>
      </c>
      <c r="C162" s="424" t="s">
        <v>540</v>
      </c>
      <c r="D162" s="424" t="s">
        <v>552</v>
      </c>
      <c r="E162" s="424" t="s">
        <v>553</v>
      </c>
      <c r="F162" s="427"/>
      <c r="G162" s="427"/>
      <c r="H162" s="427"/>
      <c r="I162" s="427"/>
      <c r="J162" s="427"/>
      <c r="K162" s="427"/>
      <c r="L162" s="427"/>
      <c r="M162" s="427"/>
      <c r="N162" s="427">
        <v>1</v>
      </c>
      <c r="O162" s="427">
        <v>3721</v>
      </c>
      <c r="P162" s="487"/>
      <c r="Q162" s="428">
        <v>3721</v>
      </c>
    </row>
    <row r="163" spans="1:17" ht="14.4" customHeight="1" x14ac:dyDescent="0.3">
      <c r="A163" s="423" t="s">
        <v>627</v>
      </c>
      <c r="B163" s="424" t="s">
        <v>543</v>
      </c>
      <c r="C163" s="424" t="s">
        <v>540</v>
      </c>
      <c r="D163" s="424" t="s">
        <v>572</v>
      </c>
      <c r="E163" s="424" t="s">
        <v>573</v>
      </c>
      <c r="F163" s="427"/>
      <c r="G163" s="427"/>
      <c r="H163" s="427"/>
      <c r="I163" s="427"/>
      <c r="J163" s="427"/>
      <c r="K163" s="427"/>
      <c r="L163" s="427"/>
      <c r="M163" s="427"/>
      <c r="N163" s="427">
        <v>1</v>
      </c>
      <c r="O163" s="427">
        <v>2341</v>
      </c>
      <c r="P163" s="487"/>
      <c r="Q163" s="428">
        <v>2341</v>
      </c>
    </row>
    <row r="164" spans="1:17" ht="14.4" customHeight="1" x14ac:dyDescent="0.3">
      <c r="A164" s="423" t="s">
        <v>627</v>
      </c>
      <c r="B164" s="424" t="s">
        <v>543</v>
      </c>
      <c r="C164" s="424" t="s">
        <v>540</v>
      </c>
      <c r="D164" s="424" t="s">
        <v>580</v>
      </c>
      <c r="E164" s="424" t="s">
        <v>581</v>
      </c>
      <c r="F164" s="427"/>
      <c r="G164" s="427"/>
      <c r="H164" s="427"/>
      <c r="I164" s="427"/>
      <c r="J164" s="427"/>
      <c r="K164" s="427"/>
      <c r="L164" s="427"/>
      <c r="M164" s="427"/>
      <c r="N164" s="427">
        <v>5</v>
      </c>
      <c r="O164" s="427">
        <v>2760</v>
      </c>
      <c r="P164" s="487"/>
      <c r="Q164" s="428">
        <v>552</v>
      </c>
    </row>
    <row r="165" spans="1:17" ht="14.4" customHeight="1" x14ac:dyDescent="0.3">
      <c r="A165" s="423" t="s">
        <v>627</v>
      </c>
      <c r="B165" s="424" t="s">
        <v>543</v>
      </c>
      <c r="C165" s="424" t="s">
        <v>540</v>
      </c>
      <c r="D165" s="424" t="s">
        <v>593</v>
      </c>
      <c r="E165" s="424" t="s">
        <v>594</v>
      </c>
      <c r="F165" s="427"/>
      <c r="G165" s="427"/>
      <c r="H165" s="427"/>
      <c r="I165" s="427"/>
      <c r="J165" s="427"/>
      <c r="K165" s="427"/>
      <c r="L165" s="427"/>
      <c r="M165" s="427"/>
      <c r="N165" s="427">
        <v>1</v>
      </c>
      <c r="O165" s="427">
        <v>1615</v>
      </c>
      <c r="P165" s="487"/>
      <c r="Q165" s="428">
        <v>1615</v>
      </c>
    </row>
    <row r="166" spans="1:17" ht="14.4" customHeight="1" x14ac:dyDescent="0.3">
      <c r="A166" s="423" t="s">
        <v>628</v>
      </c>
      <c r="B166" s="424" t="s">
        <v>539</v>
      </c>
      <c r="C166" s="424" t="s">
        <v>540</v>
      </c>
      <c r="D166" s="424" t="s">
        <v>541</v>
      </c>
      <c r="E166" s="424" t="s">
        <v>542</v>
      </c>
      <c r="F166" s="427"/>
      <c r="G166" s="427"/>
      <c r="H166" s="427"/>
      <c r="I166" s="427"/>
      <c r="J166" s="427">
        <v>1</v>
      </c>
      <c r="K166" s="427">
        <v>10595</v>
      </c>
      <c r="L166" s="427"/>
      <c r="M166" s="427">
        <v>10595</v>
      </c>
      <c r="N166" s="427">
        <v>1</v>
      </c>
      <c r="O166" s="427">
        <v>10725</v>
      </c>
      <c r="P166" s="487"/>
      <c r="Q166" s="428">
        <v>10725</v>
      </c>
    </row>
    <row r="167" spans="1:17" ht="14.4" customHeight="1" x14ac:dyDescent="0.3">
      <c r="A167" s="423" t="s">
        <v>628</v>
      </c>
      <c r="B167" s="424" t="s">
        <v>543</v>
      </c>
      <c r="C167" s="424" t="s">
        <v>540</v>
      </c>
      <c r="D167" s="424" t="s">
        <v>544</v>
      </c>
      <c r="E167" s="424" t="s">
        <v>545</v>
      </c>
      <c r="F167" s="427">
        <v>1</v>
      </c>
      <c r="G167" s="427">
        <v>126</v>
      </c>
      <c r="H167" s="427">
        <v>1</v>
      </c>
      <c r="I167" s="427">
        <v>126</v>
      </c>
      <c r="J167" s="427"/>
      <c r="K167" s="427"/>
      <c r="L167" s="427"/>
      <c r="M167" s="427"/>
      <c r="N167" s="427"/>
      <c r="O167" s="427"/>
      <c r="P167" s="487"/>
      <c r="Q167" s="428"/>
    </row>
    <row r="168" spans="1:17" ht="14.4" customHeight="1" x14ac:dyDescent="0.3">
      <c r="A168" s="423" t="s">
        <v>628</v>
      </c>
      <c r="B168" s="424" t="s">
        <v>543</v>
      </c>
      <c r="C168" s="424" t="s">
        <v>540</v>
      </c>
      <c r="D168" s="424" t="s">
        <v>554</v>
      </c>
      <c r="E168" s="424" t="s">
        <v>555</v>
      </c>
      <c r="F168" s="427">
        <v>1</v>
      </c>
      <c r="G168" s="427">
        <v>438</v>
      </c>
      <c r="H168" s="427">
        <v>1</v>
      </c>
      <c r="I168" s="427">
        <v>438</v>
      </c>
      <c r="J168" s="427"/>
      <c r="K168" s="427"/>
      <c r="L168" s="427"/>
      <c r="M168" s="427"/>
      <c r="N168" s="427"/>
      <c r="O168" s="427"/>
      <c r="P168" s="487"/>
      <c r="Q168" s="428"/>
    </row>
    <row r="169" spans="1:17" ht="14.4" customHeight="1" x14ac:dyDescent="0.3">
      <c r="A169" s="423" t="s">
        <v>628</v>
      </c>
      <c r="B169" s="424" t="s">
        <v>543</v>
      </c>
      <c r="C169" s="424" t="s">
        <v>540</v>
      </c>
      <c r="D169" s="424" t="s">
        <v>564</v>
      </c>
      <c r="E169" s="424" t="s">
        <v>565</v>
      </c>
      <c r="F169" s="427"/>
      <c r="G169" s="427"/>
      <c r="H169" s="427"/>
      <c r="I169" s="427"/>
      <c r="J169" s="427">
        <v>1</v>
      </c>
      <c r="K169" s="427">
        <v>1447</v>
      </c>
      <c r="L169" s="427"/>
      <c r="M169" s="427">
        <v>1447</v>
      </c>
      <c r="N169" s="427"/>
      <c r="O169" s="427"/>
      <c r="P169" s="487"/>
      <c r="Q169" s="428"/>
    </row>
    <row r="170" spans="1:17" ht="14.4" customHeight="1" x14ac:dyDescent="0.3">
      <c r="A170" s="423" t="s">
        <v>628</v>
      </c>
      <c r="B170" s="424" t="s">
        <v>543</v>
      </c>
      <c r="C170" s="424" t="s">
        <v>540</v>
      </c>
      <c r="D170" s="424" t="s">
        <v>568</v>
      </c>
      <c r="E170" s="424" t="s">
        <v>569</v>
      </c>
      <c r="F170" s="427">
        <v>2</v>
      </c>
      <c r="G170" s="427">
        <v>32</v>
      </c>
      <c r="H170" s="427">
        <v>1</v>
      </c>
      <c r="I170" s="427">
        <v>16</v>
      </c>
      <c r="J170" s="427"/>
      <c r="K170" s="427"/>
      <c r="L170" s="427"/>
      <c r="M170" s="427"/>
      <c r="N170" s="427"/>
      <c r="O170" s="427"/>
      <c r="P170" s="487"/>
      <c r="Q170" s="428"/>
    </row>
    <row r="171" spans="1:17" ht="14.4" customHeight="1" x14ac:dyDescent="0.3">
      <c r="A171" s="423" t="s">
        <v>628</v>
      </c>
      <c r="B171" s="424" t="s">
        <v>543</v>
      </c>
      <c r="C171" s="424" t="s">
        <v>540</v>
      </c>
      <c r="D171" s="424" t="s">
        <v>570</v>
      </c>
      <c r="E171" s="424" t="s">
        <v>555</v>
      </c>
      <c r="F171" s="427">
        <v>2</v>
      </c>
      <c r="G171" s="427">
        <v>1376</v>
      </c>
      <c r="H171" s="427">
        <v>1</v>
      </c>
      <c r="I171" s="427">
        <v>688</v>
      </c>
      <c r="J171" s="427"/>
      <c r="K171" s="427"/>
      <c r="L171" s="427"/>
      <c r="M171" s="427"/>
      <c r="N171" s="427"/>
      <c r="O171" s="427"/>
      <c r="P171" s="487"/>
      <c r="Q171" s="428"/>
    </row>
    <row r="172" spans="1:17" ht="14.4" customHeight="1" x14ac:dyDescent="0.3">
      <c r="A172" s="423" t="s">
        <v>628</v>
      </c>
      <c r="B172" s="424" t="s">
        <v>543</v>
      </c>
      <c r="C172" s="424" t="s">
        <v>540</v>
      </c>
      <c r="D172" s="424" t="s">
        <v>574</v>
      </c>
      <c r="E172" s="424" t="s">
        <v>575</v>
      </c>
      <c r="F172" s="427">
        <v>3</v>
      </c>
      <c r="G172" s="427">
        <v>195</v>
      </c>
      <c r="H172" s="427">
        <v>1</v>
      </c>
      <c r="I172" s="427">
        <v>65</v>
      </c>
      <c r="J172" s="427"/>
      <c r="K172" s="427"/>
      <c r="L172" s="427"/>
      <c r="M172" s="427"/>
      <c r="N172" s="427"/>
      <c r="O172" s="427"/>
      <c r="P172" s="487"/>
      <c r="Q172" s="428"/>
    </row>
    <row r="173" spans="1:17" ht="14.4" customHeight="1" x14ac:dyDescent="0.3">
      <c r="A173" s="423" t="s">
        <v>628</v>
      </c>
      <c r="B173" s="424" t="s">
        <v>543</v>
      </c>
      <c r="C173" s="424" t="s">
        <v>540</v>
      </c>
      <c r="D173" s="424" t="s">
        <v>576</v>
      </c>
      <c r="E173" s="424" t="s">
        <v>577</v>
      </c>
      <c r="F173" s="427"/>
      <c r="G173" s="427"/>
      <c r="H173" s="427"/>
      <c r="I173" s="427"/>
      <c r="J173" s="427">
        <v>1</v>
      </c>
      <c r="K173" s="427">
        <v>396</v>
      </c>
      <c r="L173" s="427"/>
      <c r="M173" s="427">
        <v>396</v>
      </c>
      <c r="N173" s="427"/>
      <c r="O173" s="427"/>
      <c r="P173" s="487"/>
      <c r="Q173" s="428"/>
    </row>
    <row r="174" spans="1:17" ht="14.4" customHeight="1" thickBot="1" x14ac:dyDescent="0.35">
      <c r="A174" s="429" t="s">
        <v>628</v>
      </c>
      <c r="B174" s="430" t="s">
        <v>543</v>
      </c>
      <c r="C174" s="430" t="s">
        <v>540</v>
      </c>
      <c r="D174" s="430" t="s">
        <v>580</v>
      </c>
      <c r="E174" s="430" t="s">
        <v>581</v>
      </c>
      <c r="F174" s="401">
        <v>10</v>
      </c>
      <c r="G174" s="401">
        <v>5500</v>
      </c>
      <c r="H174" s="401">
        <v>1</v>
      </c>
      <c r="I174" s="401">
        <v>550</v>
      </c>
      <c r="J174" s="401"/>
      <c r="K174" s="401"/>
      <c r="L174" s="401"/>
      <c r="M174" s="401"/>
      <c r="N174" s="401"/>
      <c r="O174" s="401"/>
      <c r="P174" s="402"/>
      <c r="Q174" s="411"/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2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24" bestFit="1" customWidth="1"/>
    <col min="2" max="2" width="11.6640625" style="124" hidden="1" customWidth="1"/>
    <col min="3" max="4" width="11" style="126" customWidth="1"/>
    <col min="5" max="5" width="11" style="127" customWidth="1"/>
    <col min="6" max="16384" width="8.88671875" style="124"/>
  </cols>
  <sheetData>
    <row r="1" spans="1:5" ht="18.600000000000001" thickBot="1" x14ac:dyDescent="0.4">
      <c r="A1" s="293" t="s">
        <v>101</v>
      </c>
      <c r="B1" s="293"/>
      <c r="C1" s="294"/>
      <c r="D1" s="294"/>
      <c r="E1" s="294"/>
    </row>
    <row r="2" spans="1:5" ht="14.4" customHeight="1" thickBot="1" x14ac:dyDescent="0.35">
      <c r="A2" s="203" t="s">
        <v>241</v>
      </c>
      <c r="B2" s="125"/>
    </row>
    <row r="3" spans="1:5" ht="14.4" customHeight="1" thickBot="1" x14ac:dyDescent="0.35">
      <c r="A3" s="128"/>
      <c r="C3" s="129" t="s">
        <v>90</v>
      </c>
      <c r="D3" s="130" t="s">
        <v>55</v>
      </c>
      <c r="E3" s="131" t="s">
        <v>57</v>
      </c>
    </row>
    <row r="4" spans="1:5" ht="14.4" customHeight="1" thickBot="1" x14ac:dyDescent="0.35">
      <c r="A4" s="132" t="str">
        <f>HYPERLINK("#HI!A1","NÁKLADY CELKEM (v tisících Kč)")</f>
        <v>NÁKLADY CELKEM (v tisících Kč)</v>
      </c>
      <c r="B4" s="133"/>
      <c r="C4" s="134">
        <f ca="1">IF(ISERROR(VLOOKUP("Náklady celkem",INDIRECT("HI!$A:$G"),6,0)),0,VLOOKUP("Náklady celkem",INDIRECT("HI!$A:$G"),6,0))</f>
        <v>3810.3573759918668</v>
      </c>
      <c r="D4" s="134">
        <f ca="1">IF(ISERROR(VLOOKUP("Náklady celkem",INDIRECT("HI!$A:$G"),5,0)),0,VLOOKUP("Náklady celkem",INDIRECT("HI!$A:$G"),5,0))</f>
        <v>3231.9742299999998</v>
      </c>
      <c r="E4" s="135">
        <f ca="1">IF(C4=0,0,D4/C4)</f>
        <v>0.84820763804568089</v>
      </c>
    </row>
    <row r="5" spans="1:5" ht="14.4" customHeight="1" x14ac:dyDescent="0.3">
      <c r="A5" s="136" t="s">
        <v>116</v>
      </c>
      <c r="B5" s="137"/>
      <c r="C5" s="138"/>
      <c r="D5" s="138"/>
      <c r="E5" s="139"/>
    </row>
    <row r="6" spans="1:5" ht="14.4" customHeight="1" x14ac:dyDescent="0.3">
      <c r="A6" s="140" t="s">
        <v>121</v>
      </c>
      <c r="B6" s="141"/>
      <c r="C6" s="142"/>
      <c r="D6" s="142"/>
      <c r="E6" s="139"/>
    </row>
    <row r="7" spans="1:5" ht="14.4" customHeight="1" x14ac:dyDescent="0.3">
      <c r="A7" s="143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41" t="s">
        <v>94</v>
      </c>
      <c r="C7" s="142">
        <f>IF(ISERROR(HI!F5),"",HI!F5)</f>
        <v>4.7826194014774996</v>
      </c>
      <c r="D7" s="142">
        <f>IF(ISERROR(HI!E5),"",HI!E5)</f>
        <v>0</v>
      </c>
      <c r="E7" s="139">
        <f t="shared" ref="E7:E12" si="0">IF(C7=0,0,D7/C7)</f>
        <v>0</v>
      </c>
    </row>
    <row r="8" spans="1:5" ht="14.4" customHeight="1" x14ac:dyDescent="0.3">
      <c r="A8" s="280" t="str">
        <f>HYPERLINK("#'LŽ Statim'!A1","% podíl statimových žádanek")</f>
        <v>% podíl statimových žádanek</v>
      </c>
      <c r="B8" s="278" t="s">
        <v>216</v>
      </c>
      <c r="C8" s="279">
        <v>0.3</v>
      </c>
      <c r="D8" s="279">
        <f>IF('LŽ Statim'!G3="",0,'LŽ Statim'!G3)</f>
        <v>0</v>
      </c>
      <c r="E8" s="139">
        <f>IF(C8=0,0,D8/C8)</f>
        <v>0</v>
      </c>
    </row>
    <row r="9" spans="1:5" ht="14.4" customHeight="1" x14ac:dyDescent="0.3">
      <c r="A9" s="145" t="s">
        <v>117</v>
      </c>
      <c r="B9" s="141"/>
      <c r="C9" s="142"/>
      <c r="D9" s="142"/>
      <c r="E9" s="139"/>
    </row>
    <row r="10" spans="1:5" ht="14.4" customHeight="1" x14ac:dyDescent="0.3">
      <c r="A10" s="145" t="s">
        <v>118</v>
      </c>
      <c r="B10" s="141"/>
      <c r="C10" s="142"/>
      <c r="D10" s="142"/>
      <c r="E10" s="139"/>
    </row>
    <row r="11" spans="1:5" ht="14.4" customHeight="1" x14ac:dyDescent="0.3">
      <c r="A11" s="146" t="s">
        <v>122</v>
      </c>
      <c r="B11" s="141"/>
      <c r="C11" s="138"/>
      <c r="D11" s="138"/>
      <c r="E11" s="139"/>
    </row>
    <row r="12" spans="1:5" ht="14.4" customHeight="1" x14ac:dyDescent="0.3">
      <c r="A12" s="147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2" s="141" t="s">
        <v>94</v>
      </c>
      <c r="C12" s="142">
        <f>IF(ISERROR(HI!F6),"",HI!F6)</f>
        <v>226.99999285005001</v>
      </c>
      <c r="D12" s="142">
        <f>IF(ISERROR(HI!E6),"",HI!E6)</f>
        <v>108.58093</v>
      </c>
      <c r="E12" s="139">
        <f t="shared" si="0"/>
        <v>0.47833010317196611</v>
      </c>
    </row>
    <row r="13" spans="1:5" ht="14.4" customHeight="1" thickBot="1" x14ac:dyDescent="0.35">
      <c r="A13" s="148" t="str">
        <f>HYPERLINK("#HI!A1","Osobní náklady")</f>
        <v>Osobní náklady</v>
      </c>
      <c r="B13" s="141"/>
      <c r="C13" s="138">
        <f ca="1">IF(ISERROR(VLOOKUP("Osobní náklady (Kč) *",INDIRECT("HI!$A:$G"),6,0)),0,VLOOKUP("Osobní náklady (Kč) *",INDIRECT("HI!$A:$G"),6,0))</f>
        <v>3179.3332331920333</v>
      </c>
      <c r="D13" s="138">
        <f ca="1">IF(ISERROR(VLOOKUP("Osobní náklady (Kč) *",INDIRECT("HI!$A:$G"),5,0)),0,VLOOKUP("Osobní náklady (Kč) *",INDIRECT("HI!$A:$G"),5,0))</f>
        <v>2752.0704500000002</v>
      </c>
      <c r="E13" s="139">
        <f ca="1">IF(C13=0,0,D13/C13)</f>
        <v>0.86561245649514262</v>
      </c>
    </row>
    <row r="14" spans="1:5" ht="14.4" customHeight="1" thickBot="1" x14ac:dyDescent="0.35">
      <c r="A14" s="152"/>
      <c r="B14" s="153"/>
      <c r="C14" s="154"/>
      <c r="D14" s="154"/>
      <c r="E14" s="155"/>
    </row>
    <row r="15" spans="1:5" ht="14.4" customHeight="1" thickBot="1" x14ac:dyDescent="0.35">
      <c r="A15" s="156" t="str">
        <f>HYPERLINK("#HI!A1","VÝNOSY CELKEM (v tisících)")</f>
        <v>VÝNOSY CELKEM (v tisících)</v>
      </c>
      <c r="B15" s="157"/>
      <c r="C15" s="158">
        <f ca="1">IF(ISERROR(VLOOKUP("Výnosy celkem",INDIRECT("HI!$A:$G"),6,0)),0,VLOOKUP("Výnosy celkem",INDIRECT("HI!$A:$G"),6,0))</f>
        <v>3029.8110000000001</v>
      </c>
      <c r="D15" s="158">
        <f ca="1">IF(ISERROR(VLOOKUP("Výnosy celkem",INDIRECT("HI!$A:$G"),5,0)),0,VLOOKUP("Výnosy celkem",INDIRECT("HI!$A:$G"),5,0))</f>
        <v>3265.8049999999998</v>
      </c>
      <c r="E15" s="159">
        <f t="shared" ref="E15:E18" ca="1" si="1">IF(C15=0,0,D15/C15)</f>
        <v>1.0778906671076181</v>
      </c>
    </row>
    <row r="16" spans="1:5" ht="14.4" customHeight="1" x14ac:dyDescent="0.3">
      <c r="A16" s="160" t="str">
        <f>HYPERLINK("#HI!A1","Ambulance (body za výkony + Kč za ZUM a ZULP)")</f>
        <v>Ambulance (body za výkony + Kč za ZUM a ZULP)</v>
      </c>
      <c r="B16" s="137"/>
      <c r="C16" s="138">
        <f ca="1">IF(ISERROR(VLOOKUP("Ambulance *",INDIRECT("HI!$A:$G"),6,0)),0,VLOOKUP("Ambulance *",INDIRECT("HI!$A:$G"),6,0))</f>
        <v>3029.8110000000001</v>
      </c>
      <c r="D16" s="138">
        <f ca="1">IF(ISERROR(VLOOKUP("Ambulance *",INDIRECT("HI!$A:$G"),5,0)),0,VLOOKUP("Ambulance *",INDIRECT("HI!$A:$G"),5,0))</f>
        <v>3265.8049999999998</v>
      </c>
      <c r="E16" s="139">
        <f t="shared" ca="1" si="1"/>
        <v>1.0778906671076181</v>
      </c>
    </row>
    <row r="17" spans="1:5" ht="14.4" customHeight="1" x14ac:dyDescent="0.3">
      <c r="A17" s="161" t="str">
        <f>HYPERLINK("#'ZV Vykáz.-A'!A1","Zdravotní výkony vykázané u ambulantních pacientů (min. 100 %)")</f>
        <v>Zdravotní výkony vykázané u ambulantních pacientů (min. 100 %)</v>
      </c>
      <c r="B17" s="124" t="s">
        <v>103</v>
      </c>
      <c r="C17" s="144">
        <v>1</v>
      </c>
      <c r="D17" s="144">
        <f>IF(ISERROR(VLOOKUP("Celkem:",'ZV Vykáz.-A'!$A:$S,7,0)),"",VLOOKUP("Celkem:",'ZV Vykáz.-A'!$A:$S,7,0))</f>
        <v>1.0778906671076183</v>
      </c>
      <c r="E17" s="139">
        <f t="shared" si="1"/>
        <v>1.0778906671076183</v>
      </c>
    </row>
    <row r="18" spans="1:5" ht="14.4" customHeight="1" x14ac:dyDescent="0.3">
      <c r="A18" s="161" t="str">
        <f>HYPERLINK("#'ZV Vykáz.-H'!A1","Zdravotní výkony vykázané u hospitalizovaných pacientů (max. 85 %)")</f>
        <v>Zdravotní výkony vykázané u hospitalizovaných pacientů (max. 85 %)</v>
      </c>
      <c r="B18" s="124" t="s">
        <v>105</v>
      </c>
      <c r="C18" s="144">
        <v>0.85</v>
      </c>
      <c r="D18" s="144">
        <f>IF(ISERROR(VLOOKUP("Celkem:",'ZV Vykáz.-H'!$A:$S,7,0)),"",VLOOKUP("Celkem:",'ZV Vykáz.-H'!$A:$S,7,0))</f>
        <v>0.68001229749030012</v>
      </c>
      <c r="E18" s="139">
        <f t="shared" si="1"/>
        <v>0.80001446763564721</v>
      </c>
    </row>
    <row r="19" spans="1:5" ht="14.4" customHeight="1" x14ac:dyDescent="0.3">
      <c r="A19" s="162" t="str">
        <f>HYPERLINK("#HI!A1","Hospitalizace (casemix * 30000)")</f>
        <v>Hospitalizace (casemix * 30000)</v>
      </c>
      <c r="B19" s="141"/>
      <c r="C19" s="138">
        <f ca="1">IF(ISERROR(VLOOKUP("Hospitalizace *",INDIRECT("HI!$A:$G"),6,0)),0,VLOOKUP("Hospitalizace *",INDIRECT("HI!$A:$G"),6,0))</f>
        <v>0</v>
      </c>
      <c r="D19" s="138">
        <f ca="1">IF(ISERROR(VLOOKUP("Hospitalizace *",INDIRECT("HI!$A:$G"),5,0)),0,VLOOKUP("Hospitalizace *",INDIRECT("HI!$A:$G"),5,0))</f>
        <v>0</v>
      </c>
      <c r="E19" s="139">
        <f ca="1">IF(C19=0,0,D19/C19)</f>
        <v>0</v>
      </c>
    </row>
    <row r="20" spans="1:5" ht="14.4" customHeight="1" thickBot="1" x14ac:dyDescent="0.35">
      <c r="A20" s="163" t="s">
        <v>119</v>
      </c>
      <c r="B20" s="149"/>
      <c r="C20" s="150"/>
      <c r="D20" s="150"/>
      <c r="E20" s="151"/>
    </row>
    <row r="21" spans="1:5" ht="14.4" customHeight="1" thickBot="1" x14ac:dyDescent="0.35">
      <c r="A21" s="164"/>
      <c r="B21" s="165"/>
      <c r="C21" s="166"/>
      <c r="D21" s="166"/>
      <c r="E21" s="167"/>
    </row>
    <row r="22" spans="1:5" ht="14.4" customHeight="1" thickBot="1" x14ac:dyDescent="0.35">
      <c r="A22" s="168" t="s">
        <v>120</v>
      </c>
      <c r="B22" s="169"/>
      <c r="C22" s="170"/>
      <c r="D22" s="170"/>
      <c r="E22" s="171"/>
    </row>
  </sheetData>
  <mergeCells count="1">
    <mergeCell ref="A1:E1"/>
  </mergeCells>
  <conditionalFormatting sqref="E5">
    <cfRule type="cellIs" dxfId="50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1">
    <cfRule type="cellIs" dxfId="49" priority="15" operator="greaterThan">
      <formula>1</formula>
    </cfRule>
    <cfRule type="iconSet" priority="16">
      <iconSet iconSet="3Symbols2" reverse="1">
        <cfvo type="percent" val="0"/>
        <cfvo type="num" val="1"/>
        <cfvo type="num" val="1"/>
      </iconSet>
    </cfRule>
  </conditionalFormatting>
  <conditionalFormatting sqref="E13">
    <cfRule type="cellIs" dxfId="48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47" priority="9" operator="lessThan">
      <formula>1</formula>
    </cfRule>
    <cfRule type="iconSet" priority="10">
      <iconSet iconSet="3Symbols2">
        <cfvo type="percent" val="0"/>
        <cfvo type="num" val="1"/>
        <cfvo type="num" val="1"/>
      </iconSet>
    </cfRule>
  </conditionalFormatting>
  <conditionalFormatting sqref="E19">
    <cfRule type="cellIs" dxfId="46" priority="7" operator="lessThan">
      <formula>1</formula>
    </cfRule>
    <cfRule type="iconSet" priority="8">
      <iconSet iconSet="3Symbols2">
        <cfvo type="percent" val="0"/>
        <cfvo type="num" val="1"/>
        <cfvo type="num" val="1"/>
      </iconSet>
    </cfRule>
  </conditionalFormatting>
  <conditionalFormatting sqref="E6">
    <cfRule type="cellIs" dxfId="45" priority="5" operator="greaterThan">
      <formula>1</formula>
    </cfRule>
    <cfRule type="iconSet" priority="6">
      <iconSet iconSet="3Symbols2" reverse="1">
        <cfvo type="percent" val="0"/>
        <cfvo type="num" val="1"/>
        <cfvo type="num" val="1"/>
      </iconSet>
    </cfRule>
  </conditionalFormatting>
  <conditionalFormatting sqref="E15 E17">
    <cfRule type="cellIs" dxfId="44" priority="20" operator="lessThan">
      <formula>1</formula>
    </cfRule>
  </conditionalFormatting>
  <conditionalFormatting sqref="E8">
    <cfRule type="cellIs" dxfId="43" priority="3" operator="greaterThan">
      <formula>1</formula>
    </cfRule>
    <cfRule type="iconSet" priority="4">
      <iconSet iconSet="3Symbols2" reverse="1">
        <cfvo type="percent" val="0"/>
        <cfvo type="num" val="1"/>
        <cfvo type="num" val="1"/>
      </iconSet>
    </cfRule>
  </conditionalFormatting>
  <conditionalFormatting sqref="E15 E17">
    <cfRule type="iconSet" priority="60">
      <iconSet iconSet="3Symbols2">
        <cfvo type="percent" val="0"/>
        <cfvo type="num" val="1"/>
        <cfvo type="num" val="1"/>
      </iconSet>
    </cfRule>
  </conditionalFormatting>
  <conditionalFormatting sqref="E4 E7 E12 E18">
    <cfRule type="cellIs" dxfId="42" priority="65" operator="greaterThan">
      <formula>1</formula>
    </cfRule>
    <cfRule type="iconSet" priority="66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H23"/>
  <sheetViews>
    <sheetView showGridLines="0" showRowColHeaders="0" zoomScaleNormal="100" workbookViewId="0">
      <selection sqref="A1:H1"/>
    </sheetView>
  </sheetViews>
  <sheetFormatPr defaultRowHeight="14.4" customHeight="1" x14ac:dyDescent="0.3"/>
  <cols>
    <col min="1" max="1" width="34.21875" style="105" bestFit="1" customWidth="1"/>
    <col min="2" max="3" width="9.5546875" style="105" customWidth="1"/>
    <col min="4" max="4" width="2.21875" style="105" customWidth="1"/>
    <col min="5" max="8" width="9.5546875" style="105" customWidth="1"/>
    <col min="9" max="16384" width="8.88671875" style="105"/>
  </cols>
  <sheetData>
    <row r="1" spans="1:8" ht="18.600000000000001" customHeight="1" thickBot="1" x14ac:dyDescent="0.4">
      <c r="A1" s="293" t="s">
        <v>110</v>
      </c>
      <c r="B1" s="293"/>
      <c r="C1" s="293"/>
      <c r="D1" s="293"/>
      <c r="E1" s="293"/>
      <c r="F1" s="293"/>
      <c r="G1" s="294"/>
      <c r="H1" s="294"/>
    </row>
    <row r="2" spans="1:8" ht="14.4" customHeight="1" thickBot="1" x14ac:dyDescent="0.35">
      <c r="A2" s="203" t="s">
        <v>241</v>
      </c>
      <c r="B2" s="86"/>
      <c r="C2" s="86"/>
      <c r="D2" s="86"/>
      <c r="E2" s="86"/>
      <c r="F2" s="86"/>
    </row>
    <row r="3" spans="1:8" ht="14.4" customHeight="1" x14ac:dyDescent="0.3">
      <c r="A3" s="295"/>
      <c r="B3" s="82">
        <v>2013</v>
      </c>
      <c r="C3" s="40">
        <v>2014</v>
      </c>
      <c r="D3" s="7"/>
      <c r="E3" s="299">
        <v>2015</v>
      </c>
      <c r="F3" s="300"/>
      <c r="G3" s="300"/>
      <c r="H3" s="301"/>
    </row>
    <row r="4" spans="1:8" ht="14.4" customHeight="1" thickBot="1" x14ac:dyDescent="0.35">
      <c r="A4" s="296"/>
      <c r="B4" s="297" t="s">
        <v>55</v>
      </c>
      <c r="C4" s="298"/>
      <c r="D4" s="7"/>
      <c r="E4" s="103" t="s">
        <v>55</v>
      </c>
      <c r="F4" s="84" t="s">
        <v>56</v>
      </c>
      <c r="G4" s="84" t="s">
        <v>50</v>
      </c>
      <c r="H4" s="85" t="s">
        <v>57</v>
      </c>
    </row>
    <row r="5" spans="1:8" ht="14.4" customHeight="1" x14ac:dyDescent="0.3">
      <c r="A5" s="87" t="str">
        <f>HYPERLINK("#'Léky Žádanky'!A1","Léky (Kč)")</f>
        <v>Léky (Kč)</v>
      </c>
      <c r="B5" s="27">
        <v>8.7170100000000001</v>
      </c>
      <c r="C5" s="29">
        <v>3.9143100000000004</v>
      </c>
      <c r="D5" s="8"/>
      <c r="E5" s="92">
        <v>0</v>
      </c>
      <c r="F5" s="28">
        <v>4.7826194014774996</v>
      </c>
      <c r="G5" s="91">
        <f>E5-F5</f>
        <v>-4.7826194014774996</v>
      </c>
      <c r="H5" s="97">
        <f>IF(F5&lt;0.00000001,"",E5/F5)</f>
        <v>0</v>
      </c>
    </row>
    <row r="6" spans="1:8" ht="14.4" customHeight="1" x14ac:dyDescent="0.3">
      <c r="A6" s="87" t="str">
        <f>HYPERLINK("#'Materiál Žádanky'!A1","Materiál - SZM (Kč)")</f>
        <v>Materiál - SZM (Kč)</v>
      </c>
      <c r="B6" s="10">
        <v>208.86500999999998</v>
      </c>
      <c r="C6" s="31">
        <v>216.92242000000101</v>
      </c>
      <c r="D6" s="8"/>
      <c r="E6" s="93">
        <v>108.58093</v>
      </c>
      <c r="F6" s="30">
        <v>226.99999285005001</v>
      </c>
      <c r="G6" s="94">
        <f>E6-F6</f>
        <v>-118.41906285005001</v>
      </c>
      <c r="H6" s="98">
        <f>IF(F6&lt;0.00000001,"",E6/F6)</f>
        <v>0.47833010317196611</v>
      </c>
    </row>
    <row r="7" spans="1:8" ht="14.4" customHeight="1" x14ac:dyDescent="0.3">
      <c r="A7" s="87" t="str">
        <f>HYPERLINK("#'Osobní náklady'!A1","Osobní náklady (Kč) *")</f>
        <v>Osobní náklady (Kč) *</v>
      </c>
      <c r="B7" s="10">
        <v>2459.4061499999998</v>
      </c>
      <c r="C7" s="31">
        <v>2684.8030400000098</v>
      </c>
      <c r="D7" s="8"/>
      <c r="E7" s="93">
        <v>2752.0704500000002</v>
      </c>
      <c r="F7" s="30">
        <v>3179.3332331920333</v>
      </c>
      <c r="G7" s="94">
        <f>E7-F7</f>
        <v>-427.26278319203311</v>
      </c>
      <c r="H7" s="98">
        <f>IF(F7&lt;0.00000001,"",E7/F7)</f>
        <v>0.86561245649514262</v>
      </c>
    </row>
    <row r="8" spans="1:8" ht="14.4" customHeight="1" thickBot="1" x14ac:dyDescent="0.35">
      <c r="A8" s="1" t="s">
        <v>58</v>
      </c>
      <c r="B8" s="11">
        <v>158.18556000000018</v>
      </c>
      <c r="C8" s="33">
        <v>390.53494999999918</v>
      </c>
      <c r="D8" s="8"/>
      <c r="E8" s="95">
        <v>371.32284999999968</v>
      </c>
      <c r="F8" s="32">
        <v>399.24153054830595</v>
      </c>
      <c r="G8" s="96">
        <f>E8-F8</f>
        <v>-27.91868054830627</v>
      </c>
      <c r="H8" s="99">
        <f>IF(F8&lt;0.00000001,"",E8/F8)</f>
        <v>0.9300707005356792</v>
      </c>
    </row>
    <row r="9" spans="1:8" ht="14.4" customHeight="1" thickBot="1" x14ac:dyDescent="0.35">
      <c r="A9" s="2" t="s">
        <v>59</v>
      </c>
      <c r="B9" s="3">
        <v>2835.17373</v>
      </c>
      <c r="C9" s="35">
        <v>3296.17472000001</v>
      </c>
      <c r="D9" s="8"/>
      <c r="E9" s="3">
        <v>3231.9742299999998</v>
      </c>
      <c r="F9" s="34">
        <v>3810.3573759918668</v>
      </c>
      <c r="G9" s="34">
        <f>E9-F9</f>
        <v>-578.38314599186697</v>
      </c>
      <c r="H9" s="100">
        <f>IF(F9&lt;0.00000001,"",E9/F9)</f>
        <v>0.84820763804568089</v>
      </c>
    </row>
    <row r="10" spans="1:8" ht="14.4" customHeight="1" thickBot="1" x14ac:dyDescent="0.35">
      <c r="A10" s="12"/>
      <c r="B10" s="12"/>
      <c r="C10" s="83"/>
      <c r="D10" s="8"/>
      <c r="E10" s="12"/>
      <c r="F10" s="13"/>
    </row>
    <row r="11" spans="1:8" ht="14.4" customHeight="1" x14ac:dyDescent="0.3">
      <c r="A11" s="108" t="str">
        <f>HYPERLINK("#'ZV Vykáz.-A'!A1","Ambulance *")</f>
        <v>Ambulance *</v>
      </c>
      <c r="B11" s="9">
        <f>IF(ISERROR(VLOOKUP("Celkem:",'ZV Vykáz.-A'!A:F,2,0)),0,VLOOKUP("Celkem:",'ZV Vykáz.-A'!A:F,2,0)/1000)</f>
        <v>3029.8110000000001</v>
      </c>
      <c r="C11" s="29">
        <f>IF(ISERROR(VLOOKUP("Celkem:",'ZV Vykáz.-A'!A:F,4,0)),0,VLOOKUP("Celkem:",'ZV Vykáz.-A'!A:F,4,0)/1000)</f>
        <v>2474.5650000000001</v>
      </c>
      <c r="D11" s="8"/>
      <c r="E11" s="92">
        <f>IF(ISERROR(VLOOKUP("Celkem:",'ZV Vykáz.-A'!A:F,6,0)),0,VLOOKUP("Celkem:",'ZV Vykáz.-A'!A:F,6,0)/1000)</f>
        <v>3265.8049999999998</v>
      </c>
      <c r="F11" s="28">
        <f>B11</f>
        <v>3029.8110000000001</v>
      </c>
      <c r="G11" s="91">
        <f>E11-F11</f>
        <v>235.99399999999969</v>
      </c>
      <c r="H11" s="97">
        <f>IF(F11&lt;0.00000001,"",E11/F11)</f>
        <v>1.0778906671076181</v>
      </c>
    </row>
    <row r="12" spans="1:8" ht="14.4" customHeight="1" thickBot="1" x14ac:dyDescent="0.35">
      <c r="A12" s="109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95">
        <f>IF(ISERROR(VLOOKUP("Celkem",#REF!,4,0)),0,VLOOKUP("Celkem",#REF!,4,0)*30)</f>
        <v>0</v>
      </c>
      <c r="F12" s="32">
        <f>B12</f>
        <v>0</v>
      </c>
      <c r="G12" s="96">
        <f>E12-F12</f>
        <v>0</v>
      </c>
      <c r="H12" s="99" t="str">
        <f>IF(F12&lt;0.00000001,"",E12/F12)</f>
        <v/>
      </c>
    </row>
    <row r="13" spans="1:8" ht="14.4" customHeight="1" thickBot="1" x14ac:dyDescent="0.35">
      <c r="A13" s="4" t="s">
        <v>62</v>
      </c>
      <c r="B13" s="5">
        <f>SUM(B11:B12)</f>
        <v>3029.8110000000001</v>
      </c>
      <c r="C13" s="37">
        <f>SUM(C11:C12)</f>
        <v>2474.5650000000001</v>
      </c>
      <c r="D13" s="8"/>
      <c r="E13" s="5">
        <f>SUM(E11:E12)</f>
        <v>3265.8049999999998</v>
      </c>
      <c r="F13" s="36">
        <f>SUM(F11:F12)</f>
        <v>3029.8110000000001</v>
      </c>
      <c r="G13" s="36">
        <f>E13-F13</f>
        <v>235.99399999999969</v>
      </c>
      <c r="H13" s="101">
        <f>IF(F13&lt;0.00000001,"",E13/F13)</f>
        <v>1.0778906671076181</v>
      </c>
    </row>
    <row r="14" spans="1:8" ht="14.4" customHeight="1" thickBot="1" x14ac:dyDescent="0.35">
      <c r="A14" s="12"/>
      <c r="B14" s="12"/>
      <c r="C14" s="83"/>
      <c r="D14" s="8"/>
      <c r="E14" s="12"/>
      <c r="F14" s="13"/>
    </row>
    <row r="15" spans="1:8" ht="14.4" customHeight="1" thickBot="1" x14ac:dyDescent="0.35">
      <c r="A15" s="110" t="str">
        <f>HYPERLINK("#'HI Graf'!A1","Hospodářský index (Výnosy / Náklady) *")</f>
        <v>Hospodářský index (Výnosy / Náklady) *</v>
      </c>
      <c r="B15" s="6">
        <f>IF(B9=0,"",B13/B9)</f>
        <v>1.0686509147360082</v>
      </c>
      <c r="C15" s="39">
        <f>IF(C9=0,"",C13/C9)</f>
        <v>0.7507384195944542</v>
      </c>
      <c r="D15" s="8"/>
      <c r="E15" s="6">
        <f>IF(E9=0,"",E13/E9)</f>
        <v>1.0104675246745392</v>
      </c>
      <c r="F15" s="38">
        <f>IF(F9=0,"",F13/F9)</f>
        <v>0.79515139946979796</v>
      </c>
      <c r="G15" s="38">
        <f>IF(ISERROR(F15-E15),"",E15-F15)</f>
        <v>0.21531612520474119</v>
      </c>
      <c r="H15" s="102">
        <f>IF(ISERROR(F15-E15),"",IF(F15&lt;0.00000001,"",E15/F15))</f>
        <v>1.270786324904053</v>
      </c>
    </row>
    <row r="17" spans="1:8" ht="14.4" customHeight="1" x14ac:dyDescent="0.3">
      <c r="A17" s="88" t="s">
        <v>124</v>
      </c>
    </row>
    <row r="18" spans="1:8" ht="14.4" customHeight="1" x14ac:dyDescent="0.3">
      <c r="A18" s="256" t="s">
        <v>163</v>
      </c>
      <c r="B18" s="257"/>
      <c r="C18" s="257"/>
      <c r="D18" s="257"/>
      <c r="E18" s="257"/>
      <c r="F18" s="257"/>
      <c r="G18" s="257"/>
      <c r="H18" s="257"/>
    </row>
    <row r="19" spans="1:8" x14ac:dyDescent="0.3">
      <c r="A19" s="255" t="s">
        <v>162</v>
      </c>
      <c r="B19" s="257"/>
      <c r="C19" s="257"/>
      <c r="D19" s="257"/>
      <c r="E19" s="257"/>
      <c r="F19" s="257"/>
      <c r="G19" s="257"/>
      <c r="H19" s="257"/>
    </row>
    <row r="20" spans="1:8" ht="14.4" customHeight="1" x14ac:dyDescent="0.3">
      <c r="A20" s="89" t="s">
        <v>217</v>
      </c>
    </row>
    <row r="21" spans="1:8" ht="14.4" customHeight="1" x14ac:dyDescent="0.3">
      <c r="A21" s="89" t="s">
        <v>125</v>
      </c>
    </row>
    <row r="22" spans="1:8" ht="14.4" customHeight="1" x14ac:dyDescent="0.3">
      <c r="A22" s="90" t="s">
        <v>126</v>
      </c>
    </row>
    <row r="23" spans="1:8" ht="14.4" customHeight="1" x14ac:dyDescent="0.3">
      <c r="A23" s="90" t="s">
        <v>127</v>
      </c>
    </row>
  </sheetData>
  <mergeCells count="4">
    <mergeCell ref="A3:A4"/>
    <mergeCell ref="B4:C4"/>
    <mergeCell ref="E3:H3"/>
    <mergeCell ref="A1:H1"/>
  </mergeCells>
  <conditionalFormatting sqref="F11:F12">
    <cfRule type="dataBar" priority="5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6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41" priority="4" operator="greaterThan">
      <formula>0</formula>
    </cfRule>
  </conditionalFormatting>
  <conditionalFormatting sqref="G11:G13 G15">
    <cfRule type="cellIs" dxfId="40" priority="3" operator="lessThan">
      <formula>0</formula>
    </cfRule>
  </conditionalFormatting>
  <conditionalFormatting sqref="H5:H9">
    <cfRule type="cellIs" dxfId="39" priority="2" operator="greaterThan">
      <formula>1</formula>
    </cfRule>
  </conditionalFormatting>
  <conditionalFormatting sqref="H11:H13 H15">
    <cfRule type="cellIs" dxfId="38" priority="1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05"/>
    <col min="2" max="13" width="8.88671875" style="105" customWidth="1"/>
    <col min="14" max="16384" width="8.88671875" style="105"/>
  </cols>
  <sheetData>
    <row r="1" spans="1:13" ht="18.600000000000001" customHeight="1" thickBot="1" x14ac:dyDescent="0.4">
      <c r="A1" s="293" t="s">
        <v>87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</row>
    <row r="2" spans="1:13" ht="14.4" customHeight="1" x14ac:dyDescent="0.3">
      <c r="A2" s="203" t="s">
        <v>241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</row>
    <row r="3" spans="1:13" ht="14.4" customHeight="1" x14ac:dyDescent="0.3">
      <c r="A3" s="172"/>
      <c r="B3" s="173" t="s">
        <v>64</v>
      </c>
      <c r="C3" s="174" t="s">
        <v>65</v>
      </c>
      <c r="D3" s="174" t="s">
        <v>66</v>
      </c>
      <c r="E3" s="173" t="s">
        <v>67</v>
      </c>
      <c r="F3" s="174" t="s">
        <v>68</v>
      </c>
      <c r="G3" s="174" t="s">
        <v>69</v>
      </c>
      <c r="H3" s="174" t="s">
        <v>70</v>
      </c>
      <c r="I3" s="174" t="s">
        <v>71</v>
      </c>
      <c r="J3" s="174" t="s">
        <v>72</v>
      </c>
      <c r="K3" s="174" t="s">
        <v>73</v>
      </c>
      <c r="L3" s="174" t="s">
        <v>74</v>
      </c>
      <c r="M3" s="174" t="s">
        <v>75</v>
      </c>
    </row>
    <row r="4" spans="1:13" ht="14.4" customHeight="1" x14ac:dyDescent="0.3">
      <c r="A4" s="172" t="s">
        <v>63</v>
      </c>
      <c r="B4" s="175">
        <f>(B10+B8)/B6</f>
        <v>1.0548521223889162</v>
      </c>
      <c r="C4" s="175">
        <f t="shared" ref="C4:M4" si="0">(C10+C8)/C6</f>
        <v>1.0104675246745392</v>
      </c>
      <c r="D4" s="175">
        <f t="shared" si="0"/>
        <v>1.0104675246745392</v>
      </c>
      <c r="E4" s="175">
        <f t="shared" si="0"/>
        <v>1.0104675246745392</v>
      </c>
      <c r="F4" s="175">
        <f t="shared" si="0"/>
        <v>1.0104675246745392</v>
      </c>
      <c r="G4" s="175">
        <f t="shared" si="0"/>
        <v>1.0104675246745392</v>
      </c>
      <c r="H4" s="175">
        <f t="shared" si="0"/>
        <v>1.0104675246745392</v>
      </c>
      <c r="I4" s="175">
        <f t="shared" si="0"/>
        <v>1.0104675246745392</v>
      </c>
      <c r="J4" s="175">
        <f t="shared" si="0"/>
        <v>1.0104675246745392</v>
      </c>
      <c r="K4" s="175">
        <f t="shared" si="0"/>
        <v>1.0104675246745392</v>
      </c>
      <c r="L4" s="175">
        <f t="shared" si="0"/>
        <v>1.0104675246745392</v>
      </c>
      <c r="M4" s="175">
        <f t="shared" si="0"/>
        <v>1.0104675246745392</v>
      </c>
    </row>
    <row r="5" spans="1:13" ht="14.4" customHeight="1" x14ac:dyDescent="0.3">
      <c r="A5" s="176" t="s">
        <v>35</v>
      </c>
      <c r="B5" s="175">
        <f>IF(ISERROR(VLOOKUP($A5,'Man Tab'!$A:$Q,COLUMN()+2,0)),0,VLOOKUP($A5,'Man Tab'!$A:$Q,COLUMN()+2,0))</f>
        <v>1638.5130799999999</v>
      </c>
      <c r="C5" s="175">
        <f>IF(ISERROR(VLOOKUP($A5,'Man Tab'!$A:$Q,COLUMN()+2,0)),0,VLOOKUP($A5,'Man Tab'!$A:$Q,COLUMN()+2,0))</f>
        <v>1593.4611500000001</v>
      </c>
      <c r="D5" s="175">
        <f>IF(ISERROR(VLOOKUP($A5,'Man Tab'!$A:$Q,COLUMN()+2,0)),0,VLOOKUP($A5,'Man Tab'!$A:$Q,COLUMN()+2,0))</f>
        <v>0</v>
      </c>
      <c r="E5" s="175">
        <f>IF(ISERROR(VLOOKUP($A5,'Man Tab'!$A:$Q,COLUMN()+2,0)),0,VLOOKUP($A5,'Man Tab'!$A:$Q,COLUMN()+2,0))</f>
        <v>0</v>
      </c>
      <c r="F5" s="175">
        <f>IF(ISERROR(VLOOKUP($A5,'Man Tab'!$A:$Q,COLUMN()+2,0)),0,VLOOKUP($A5,'Man Tab'!$A:$Q,COLUMN()+2,0))</f>
        <v>0</v>
      </c>
      <c r="G5" s="175">
        <f>IF(ISERROR(VLOOKUP($A5,'Man Tab'!$A:$Q,COLUMN()+2,0)),0,VLOOKUP($A5,'Man Tab'!$A:$Q,COLUMN()+2,0))</f>
        <v>0</v>
      </c>
      <c r="H5" s="175">
        <f>IF(ISERROR(VLOOKUP($A5,'Man Tab'!$A:$Q,COLUMN()+2,0)),0,VLOOKUP($A5,'Man Tab'!$A:$Q,COLUMN()+2,0))</f>
        <v>0</v>
      </c>
      <c r="I5" s="175">
        <f>IF(ISERROR(VLOOKUP($A5,'Man Tab'!$A:$Q,COLUMN()+2,0)),0,VLOOKUP($A5,'Man Tab'!$A:$Q,COLUMN()+2,0))</f>
        <v>0</v>
      </c>
      <c r="J5" s="175">
        <f>IF(ISERROR(VLOOKUP($A5,'Man Tab'!$A:$Q,COLUMN()+2,0)),0,VLOOKUP($A5,'Man Tab'!$A:$Q,COLUMN()+2,0))</f>
        <v>0</v>
      </c>
      <c r="K5" s="175">
        <f>IF(ISERROR(VLOOKUP($A5,'Man Tab'!$A:$Q,COLUMN()+2,0)),0,VLOOKUP($A5,'Man Tab'!$A:$Q,COLUMN()+2,0))</f>
        <v>0</v>
      </c>
      <c r="L5" s="175">
        <f>IF(ISERROR(VLOOKUP($A5,'Man Tab'!$A:$Q,COLUMN()+2,0)),0,VLOOKUP($A5,'Man Tab'!$A:$Q,COLUMN()+2,0))</f>
        <v>0</v>
      </c>
      <c r="M5" s="175">
        <f>IF(ISERROR(VLOOKUP($A5,'Man Tab'!$A:$Q,COLUMN()+2,0)),0,VLOOKUP($A5,'Man Tab'!$A:$Q,COLUMN()+2,0))</f>
        <v>0</v>
      </c>
    </row>
    <row r="6" spans="1:13" ht="14.4" customHeight="1" x14ac:dyDescent="0.3">
      <c r="A6" s="176" t="s">
        <v>59</v>
      </c>
      <c r="B6" s="177">
        <f>B5</f>
        <v>1638.5130799999999</v>
      </c>
      <c r="C6" s="177">
        <f t="shared" ref="C6:M6" si="1">C5+B6</f>
        <v>3231.9742299999998</v>
      </c>
      <c r="D6" s="177">
        <f t="shared" si="1"/>
        <v>3231.9742299999998</v>
      </c>
      <c r="E6" s="177">
        <f t="shared" si="1"/>
        <v>3231.9742299999998</v>
      </c>
      <c r="F6" s="177">
        <f t="shared" si="1"/>
        <v>3231.9742299999998</v>
      </c>
      <c r="G6" s="177">
        <f t="shared" si="1"/>
        <v>3231.9742299999998</v>
      </c>
      <c r="H6" s="177">
        <f t="shared" si="1"/>
        <v>3231.9742299999998</v>
      </c>
      <c r="I6" s="177">
        <f t="shared" si="1"/>
        <v>3231.9742299999998</v>
      </c>
      <c r="J6" s="177">
        <f t="shared" si="1"/>
        <v>3231.9742299999998</v>
      </c>
      <c r="K6" s="177">
        <f t="shared" si="1"/>
        <v>3231.9742299999998</v>
      </c>
      <c r="L6" s="177">
        <f t="shared" si="1"/>
        <v>3231.9742299999998</v>
      </c>
      <c r="M6" s="177">
        <f t="shared" si="1"/>
        <v>3231.9742299999998</v>
      </c>
    </row>
    <row r="7" spans="1:13" ht="14.4" customHeight="1" x14ac:dyDescent="0.3">
      <c r="A7" s="176" t="s">
        <v>85</v>
      </c>
      <c r="B7" s="176"/>
      <c r="C7" s="176"/>
      <c r="D7" s="176"/>
      <c r="E7" s="176"/>
      <c r="F7" s="176"/>
      <c r="G7" s="176"/>
      <c r="H7" s="176"/>
      <c r="I7" s="176"/>
      <c r="J7" s="176"/>
      <c r="K7" s="176"/>
      <c r="L7" s="176"/>
      <c r="M7" s="176"/>
    </row>
    <row r="8" spans="1:13" ht="14.4" customHeight="1" x14ac:dyDescent="0.3">
      <c r="A8" s="176" t="s">
        <v>60</v>
      </c>
      <c r="B8" s="177">
        <f>B7*30</f>
        <v>0</v>
      </c>
      <c r="C8" s="177">
        <f t="shared" ref="C8:M8" si="2">C7*30</f>
        <v>0</v>
      </c>
      <c r="D8" s="177">
        <f t="shared" si="2"/>
        <v>0</v>
      </c>
      <c r="E8" s="177">
        <f t="shared" si="2"/>
        <v>0</v>
      </c>
      <c r="F8" s="177">
        <f t="shared" si="2"/>
        <v>0</v>
      </c>
      <c r="G8" s="177">
        <f t="shared" si="2"/>
        <v>0</v>
      </c>
      <c r="H8" s="177">
        <f t="shared" si="2"/>
        <v>0</v>
      </c>
      <c r="I8" s="177">
        <f t="shared" si="2"/>
        <v>0</v>
      </c>
      <c r="J8" s="177">
        <f t="shared" si="2"/>
        <v>0</v>
      </c>
      <c r="K8" s="177">
        <f t="shared" si="2"/>
        <v>0</v>
      </c>
      <c r="L8" s="177">
        <f t="shared" si="2"/>
        <v>0</v>
      </c>
      <c r="M8" s="177">
        <f t="shared" si="2"/>
        <v>0</v>
      </c>
    </row>
    <row r="9" spans="1:13" ht="14.4" customHeight="1" x14ac:dyDescent="0.3">
      <c r="A9" s="176" t="s">
        <v>86</v>
      </c>
      <c r="B9" s="176">
        <v>1728389</v>
      </c>
      <c r="C9" s="176">
        <v>1537416</v>
      </c>
      <c r="D9" s="176">
        <v>0</v>
      </c>
      <c r="E9" s="176">
        <v>0</v>
      </c>
      <c r="F9" s="176">
        <v>0</v>
      </c>
      <c r="G9" s="176">
        <v>0</v>
      </c>
      <c r="H9" s="176">
        <v>0</v>
      </c>
      <c r="I9" s="176">
        <v>0</v>
      </c>
      <c r="J9" s="176">
        <v>0</v>
      </c>
      <c r="K9" s="176">
        <v>0</v>
      </c>
      <c r="L9" s="176">
        <v>0</v>
      </c>
      <c r="M9" s="176">
        <v>0</v>
      </c>
    </row>
    <row r="10" spans="1:13" ht="14.4" customHeight="1" x14ac:dyDescent="0.3">
      <c r="A10" s="176" t="s">
        <v>61</v>
      </c>
      <c r="B10" s="177">
        <f>B9/1000</f>
        <v>1728.3889999999999</v>
      </c>
      <c r="C10" s="177">
        <f t="shared" ref="C10:M10" si="3">C9/1000+B10</f>
        <v>3265.8049999999998</v>
      </c>
      <c r="D10" s="177">
        <f t="shared" si="3"/>
        <v>3265.8049999999998</v>
      </c>
      <c r="E10" s="177">
        <f t="shared" si="3"/>
        <v>3265.8049999999998</v>
      </c>
      <c r="F10" s="177">
        <f t="shared" si="3"/>
        <v>3265.8049999999998</v>
      </c>
      <c r="G10" s="177">
        <f t="shared" si="3"/>
        <v>3265.8049999999998</v>
      </c>
      <c r="H10" s="177">
        <f t="shared" si="3"/>
        <v>3265.8049999999998</v>
      </c>
      <c r="I10" s="177">
        <f t="shared" si="3"/>
        <v>3265.8049999999998</v>
      </c>
      <c r="J10" s="177">
        <f t="shared" si="3"/>
        <v>3265.8049999999998</v>
      </c>
      <c r="K10" s="177">
        <f t="shared" si="3"/>
        <v>3265.8049999999998</v>
      </c>
      <c r="L10" s="177">
        <f t="shared" si="3"/>
        <v>3265.8049999999998</v>
      </c>
      <c r="M10" s="177">
        <f t="shared" si="3"/>
        <v>3265.8049999999998</v>
      </c>
    </row>
    <row r="11" spans="1:13" ht="14.4" customHeight="1" x14ac:dyDescent="0.3">
      <c r="A11" s="172"/>
      <c r="B11" s="172" t="s">
        <v>76</v>
      </c>
      <c r="C11" s="172">
        <f ca="1">IF(MONTH(TODAY())=1,12,MONTH(TODAY())-1)</f>
        <v>2</v>
      </c>
      <c r="D11" s="172"/>
      <c r="E11" s="172"/>
      <c r="F11" s="172"/>
      <c r="G11" s="172"/>
      <c r="H11" s="172"/>
      <c r="I11" s="172"/>
      <c r="J11" s="172"/>
      <c r="K11" s="172"/>
      <c r="L11" s="172"/>
      <c r="M11" s="172"/>
    </row>
    <row r="12" spans="1:13" ht="14.4" customHeight="1" x14ac:dyDescent="0.3">
      <c r="A12" s="172">
        <v>0</v>
      </c>
      <c r="B12" s="175">
        <f>IF(ISERROR(HI!F15),#REF!,HI!F15)</f>
        <v>0.79515139946979796</v>
      </c>
      <c r="C12" s="172"/>
      <c r="D12" s="172"/>
      <c r="E12" s="172"/>
      <c r="F12" s="172"/>
      <c r="G12" s="172"/>
      <c r="H12" s="172"/>
      <c r="I12" s="172"/>
      <c r="J12" s="172"/>
      <c r="K12" s="172"/>
      <c r="L12" s="172"/>
      <c r="M12" s="172"/>
    </row>
    <row r="13" spans="1:13" ht="14.4" customHeight="1" x14ac:dyDescent="0.3">
      <c r="A13" s="172">
        <v>1</v>
      </c>
      <c r="B13" s="175">
        <f>IF(ISERROR(HI!F15),#REF!,HI!F15)</f>
        <v>0.79515139946979796</v>
      </c>
      <c r="C13" s="172"/>
      <c r="D13" s="172"/>
      <c r="E13" s="172"/>
      <c r="F13" s="172"/>
      <c r="G13" s="172"/>
      <c r="H13" s="172"/>
      <c r="I13" s="172"/>
      <c r="J13" s="172"/>
      <c r="K13" s="172"/>
      <c r="L13" s="172"/>
      <c r="M13" s="172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05" bestFit="1" customWidth="1"/>
    <col min="2" max="2" width="12.77734375" style="105" bestFit="1" customWidth="1"/>
    <col min="3" max="3" width="13.6640625" style="105" bestFit="1" customWidth="1"/>
    <col min="4" max="15" width="7.77734375" style="105" bestFit="1" customWidth="1"/>
    <col min="16" max="16" width="8.88671875" style="105" customWidth="1"/>
    <col min="17" max="17" width="6.6640625" style="105" bestFit="1" customWidth="1"/>
    <col min="18" max="16384" width="8.88671875" style="105"/>
  </cols>
  <sheetData>
    <row r="1" spans="1:17" s="178" customFormat="1" ht="18.600000000000001" customHeight="1" thickBot="1" x14ac:dyDescent="0.4">
      <c r="A1" s="302" t="s">
        <v>243</v>
      </c>
      <c r="B1" s="302"/>
      <c r="C1" s="302"/>
      <c r="D1" s="302"/>
      <c r="E1" s="302"/>
      <c r="F1" s="302"/>
      <c r="G1" s="302"/>
      <c r="H1" s="293"/>
      <c r="I1" s="293"/>
      <c r="J1" s="293"/>
      <c r="K1" s="293"/>
      <c r="L1" s="293"/>
      <c r="M1" s="293"/>
      <c r="N1" s="293"/>
      <c r="O1" s="293"/>
      <c r="P1" s="293"/>
      <c r="Q1" s="293"/>
    </row>
    <row r="2" spans="1:17" s="178" customFormat="1" ht="14.4" customHeight="1" thickBot="1" x14ac:dyDescent="0.3">
      <c r="A2" s="203" t="s">
        <v>241</v>
      </c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79"/>
      <c r="N2" s="179"/>
      <c r="O2" s="179"/>
      <c r="P2" s="179"/>
      <c r="Q2" s="179"/>
    </row>
    <row r="3" spans="1:17" ht="14.4" customHeight="1" x14ac:dyDescent="0.3">
      <c r="A3" s="60"/>
      <c r="B3" s="303" t="s">
        <v>11</v>
      </c>
      <c r="C3" s="304"/>
      <c r="D3" s="304"/>
      <c r="E3" s="304"/>
      <c r="F3" s="304"/>
      <c r="G3" s="304"/>
      <c r="H3" s="304"/>
      <c r="I3" s="304"/>
      <c r="J3" s="304"/>
      <c r="K3" s="304"/>
      <c r="L3" s="304"/>
      <c r="M3" s="304"/>
      <c r="N3" s="304"/>
      <c r="O3" s="304"/>
      <c r="P3" s="113"/>
      <c r="Q3" s="115"/>
    </row>
    <row r="4" spans="1:17" ht="14.4" customHeight="1" x14ac:dyDescent="0.3">
      <c r="A4" s="61"/>
      <c r="B4" s="20">
        <v>2015</v>
      </c>
      <c r="C4" s="114" t="s">
        <v>12</v>
      </c>
      <c r="D4" s="104" t="s">
        <v>220</v>
      </c>
      <c r="E4" s="104" t="s">
        <v>221</v>
      </c>
      <c r="F4" s="104" t="s">
        <v>222</v>
      </c>
      <c r="G4" s="104" t="s">
        <v>223</v>
      </c>
      <c r="H4" s="104" t="s">
        <v>224</v>
      </c>
      <c r="I4" s="104" t="s">
        <v>225</v>
      </c>
      <c r="J4" s="104" t="s">
        <v>226</v>
      </c>
      <c r="K4" s="104" t="s">
        <v>227</v>
      </c>
      <c r="L4" s="104" t="s">
        <v>228</v>
      </c>
      <c r="M4" s="104" t="s">
        <v>229</v>
      </c>
      <c r="N4" s="104" t="s">
        <v>230</v>
      </c>
      <c r="O4" s="104" t="s">
        <v>231</v>
      </c>
      <c r="P4" s="305" t="s">
        <v>3</v>
      </c>
      <c r="Q4" s="306"/>
    </row>
    <row r="5" spans="1:17" ht="14.4" customHeight="1" thickBot="1" x14ac:dyDescent="0.35">
      <c r="A5" s="62"/>
      <c r="B5" s="21" t="s">
        <v>13</v>
      </c>
      <c r="C5" s="22" t="s">
        <v>13</v>
      </c>
      <c r="D5" s="22" t="s">
        <v>14</v>
      </c>
      <c r="E5" s="22" t="s">
        <v>14</v>
      </c>
      <c r="F5" s="22" t="s">
        <v>14</v>
      </c>
      <c r="G5" s="22" t="s">
        <v>14</v>
      </c>
      <c r="H5" s="22" t="s">
        <v>14</v>
      </c>
      <c r="I5" s="22" t="s">
        <v>14</v>
      </c>
      <c r="J5" s="22" t="s">
        <v>14</v>
      </c>
      <c r="K5" s="22" t="s">
        <v>14</v>
      </c>
      <c r="L5" s="22" t="s">
        <v>14</v>
      </c>
      <c r="M5" s="22" t="s">
        <v>14</v>
      </c>
      <c r="N5" s="22" t="s">
        <v>14</v>
      </c>
      <c r="O5" s="22" t="s">
        <v>14</v>
      </c>
      <c r="P5" s="22" t="s">
        <v>14</v>
      </c>
      <c r="Q5" s="23" t="s">
        <v>15</v>
      </c>
    </row>
    <row r="6" spans="1:17" ht="14.4" customHeight="1" x14ac:dyDescent="0.3">
      <c r="A6" s="14" t="s">
        <v>16</v>
      </c>
      <c r="B6" s="43">
        <v>0</v>
      </c>
      <c r="C6" s="44">
        <v>0</v>
      </c>
      <c r="D6" s="44">
        <v>0</v>
      </c>
      <c r="E6" s="44">
        <v>0</v>
      </c>
      <c r="F6" s="44">
        <v>0</v>
      </c>
      <c r="G6" s="44">
        <v>0</v>
      </c>
      <c r="H6" s="44">
        <v>0</v>
      </c>
      <c r="I6" s="44">
        <v>0</v>
      </c>
      <c r="J6" s="44">
        <v>0</v>
      </c>
      <c r="K6" s="44">
        <v>0</v>
      </c>
      <c r="L6" s="44">
        <v>0</v>
      </c>
      <c r="M6" s="44">
        <v>0</v>
      </c>
      <c r="N6" s="44">
        <v>0</v>
      </c>
      <c r="O6" s="44">
        <v>0</v>
      </c>
      <c r="P6" s="45">
        <v>0</v>
      </c>
      <c r="Q6" s="70" t="s">
        <v>242</v>
      </c>
    </row>
    <row r="7" spans="1:17" ht="14.4" customHeight="1" x14ac:dyDescent="0.3">
      <c r="A7" s="15" t="s">
        <v>17</v>
      </c>
      <c r="B7" s="46">
        <v>28.695716408865</v>
      </c>
      <c r="C7" s="47">
        <v>2.3913097007380002</v>
      </c>
      <c r="D7" s="47">
        <v>0</v>
      </c>
      <c r="E7" s="47">
        <v>0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v>0</v>
      </c>
      <c r="O7" s="47">
        <v>0</v>
      </c>
      <c r="P7" s="48">
        <v>0</v>
      </c>
      <c r="Q7" s="71">
        <v>0</v>
      </c>
    </row>
    <row r="8" spans="1:17" ht="14.4" customHeight="1" x14ac:dyDescent="0.3">
      <c r="A8" s="15" t="s">
        <v>18</v>
      </c>
      <c r="B8" s="46">
        <v>0</v>
      </c>
      <c r="C8" s="47">
        <v>0</v>
      </c>
      <c r="D8" s="47">
        <v>0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v>0</v>
      </c>
      <c r="P8" s="48">
        <v>0</v>
      </c>
      <c r="Q8" s="71" t="s">
        <v>242</v>
      </c>
    </row>
    <row r="9" spans="1:17" ht="14.4" customHeight="1" x14ac:dyDescent="0.3">
      <c r="A9" s="15" t="s">
        <v>19</v>
      </c>
      <c r="B9" s="46">
        <v>1361.9999571003</v>
      </c>
      <c r="C9" s="47">
        <v>113.499996425025</v>
      </c>
      <c r="D9" s="47">
        <v>42.446179999999998</v>
      </c>
      <c r="E9" s="47">
        <v>66.134749999999997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v>0</v>
      </c>
      <c r="O9" s="47">
        <v>0</v>
      </c>
      <c r="P9" s="48">
        <v>108.58093</v>
      </c>
      <c r="Q9" s="71">
        <v>0.478330103171</v>
      </c>
    </row>
    <row r="10" spans="1:17" ht="14.4" customHeight="1" x14ac:dyDescent="0.3">
      <c r="A10" s="15" t="s">
        <v>20</v>
      </c>
      <c r="B10" s="46">
        <v>0</v>
      </c>
      <c r="C10" s="47">
        <v>0</v>
      </c>
      <c r="D10" s="47">
        <v>0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v>0</v>
      </c>
      <c r="P10" s="48">
        <v>0</v>
      </c>
      <c r="Q10" s="71" t="s">
        <v>242</v>
      </c>
    </row>
    <row r="11" spans="1:17" ht="14.4" customHeight="1" x14ac:dyDescent="0.3">
      <c r="A11" s="15" t="s">
        <v>21</v>
      </c>
      <c r="B11" s="46">
        <v>164.35015257124499</v>
      </c>
      <c r="C11" s="47">
        <v>13.695846047603</v>
      </c>
      <c r="D11" s="47">
        <v>9.1267399999999999</v>
      </c>
      <c r="E11" s="47">
        <v>14.944369999999999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v>0</v>
      </c>
      <c r="O11" s="47">
        <v>0</v>
      </c>
      <c r="P11" s="48">
        <v>24.071110000000001</v>
      </c>
      <c r="Q11" s="71">
        <v>0.87877411575499997</v>
      </c>
    </row>
    <row r="12" spans="1:17" ht="14.4" customHeight="1" x14ac:dyDescent="0.3">
      <c r="A12" s="15" t="s">
        <v>22</v>
      </c>
      <c r="B12" s="46">
        <v>47.826104368656999</v>
      </c>
      <c r="C12" s="47">
        <v>3.9855086973880001</v>
      </c>
      <c r="D12" s="47">
        <v>0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v>0</v>
      </c>
      <c r="O12" s="47">
        <v>0</v>
      </c>
      <c r="P12" s="48">
        <v>0</v>
      </c>
      <c r="Q12" s="71">
        <v>0</v>
      </c>
    </row>
    <row r="13" spans="1:17" ht="14.4" customHeight="1" x14ac:dyDescent="0.3">
      <c r="A13" s="15" t="s">
        <v>23</v>
      </c>
      <c r="B13" s="46">
        <v>29.999999055071999</v>
      </c>
      <c r="C13" s="47">
        <v>2.4999999212559998</v>
      </c>
      <c r="D13" s="47">
        <v>1.79796</v>
      </c>
      <c r="E13" s="47">
        <v>2.0101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v>0</v>
      </c>
      <c r="O13" s="47">
        <v>0</v>
      </c>
      <c r="P13" s="48">
        <v>3.8080599999999998</v>
      </c>
      <c r="Q13" s="71">
        <v>0.76161202398799999</v>
      </c>
    </row>
    <row r="14" spans="1:17" ht="14.4" customHeight="1" x14ac:dyDescent="0.3">
      <c r="A14" s="15" t="s">
        <v>24</v>
      </c>
      <c r="B14" s="46">
        <v>0</v>
      </c>
      <c r="C14" s="47">
        <v>0</v>
      </c>
      <c r="D14" s="47">
        <v>0</v>
      </c>
      <c r="E14" s="47">
        <v>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v>0</v>
      </c>
      <c r="O14" s="47">
        <v>0</v>
      </c>
      <c r="P14" s="48">
        <v>0</v>
      </c>
      <c r="Q14" s="71" t="s">
        <v>242</v>
      </c>
    </row>
    <row r="15" spans="1:17" ht="14.4" customHeight="1" x14ac:dyDescent="0.3">
      <c r="A15" s="15" t="s">
        <v>25</v>
      </c>
      <c r="B15" s="46">
        <v>0</v>
      </c>
      <c r="C15" s="47">
        <v>0</v>
      </c>
      <c r="D15" s="47">
        <v>0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v>0</v>
      </c>
      <c r="P15" s="48">
        <v>0</v>
      </c>
      <c r="Q15" s="71" t="s">
        <v>242</v>
      </c>
    </row>
    <row r="16" spans="1:17" ht="14.4" customHeight="1" x14ac:dyDescent="0.3">
      <c r="A16" s="15" t="s">
        <v>26</v>
      </c>
      <c r="B16" s="46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v>0</v>
      </c>
      <c r="P16" s="48">
        <v>0</v>
      </c>
      <c r="Q16" s="71" t="s">
        <v>242</v>
      </c>
    </row>
    <row r="17" spans="1:17" ht="14.4" customHeight="1" x14ac:dyDescent="0.3">
      <c r="A17" s="15" t="s">
        <v>27</v>
      </c>
      <c r="B17" s="46">
        <v>16.72504391647</v>
      </c>
      <c r="C17" s="47">
        <v>1.393753659705</v>
      </c>
      <c r="D17" s="47">
        <v>4.7786499999999998</v>
      </c>
      <c r="E17" s="47">
        <v>1.722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v>0</v>
      </c>
      <c r="O17" s="47">
        <v>0</v>
      </c>
      <c r="P17" s="48">
        <v>6.5006500000000003</v>
      </c>
      <c r="Q17" s="71">
        <v>2.3320656253449998</v>
      </c>
    </row>
    <row r="18" spans="1:17" ht="14.4" customHeight="1" x14ac:dyDescent="0.3">
      <c r="A18" s="15" t="s">
        <v>28</v>
      </c>
      <c r="B18" s="46">
        <v>0</v>
      </c>
      <c r="C18" s="47">
        <v>0</v>
      </c>
      <c r="D18" s="47">
        <v>0.51700000000000002</v>
      </c>
      <c r="E18" s="47">
        <v>1.59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v>0</v>
      </c>
      <c r="O18" s="47">
        <v>0</v>
      </c>
      <c r="P18" s="48">
        <v>2.1070000000000002</v>
      </c>
      <c r="Q18" s="71" t="s">
        <v>242</v>
      </c>
    </row>
    <row r="19" spans="1:17" ht="14.4" customHeight="1" x14ac:dyDescent="0.3">
      <c r="A19" s="15" t="s">
        <v>29</v>
      </c>
      <c r="B19" s="46">
        <v>448.54793654629202</v>
      </c>
      <c r="C19" s="47">
        <v>37.378994712191002</v>
      </c>
      <c r="D19" s="47">
        <v>29.98977</v>
      </c>
      <c r="E19" s="47">
        <v>9.7065999999999999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v>0</v>
      </c>
      <c r="O19" s="47">
        <v>0</v>
      </c>
      <c r="P19" s="48">
        <v>39.696370000000002</v>
      </c>
      <c r="Q19" s="71">
        <v>0.530998362926</v>
      </c>
    </row>
    <row r="20" spans="1:17" ht="14.4" customHeight="1" x14ac:dyDescent="0.3">
      <c r="A20" s="15" t="s">
        <v>30</v>
      </c>
      <c r="B20" s="46">
        <v>19075.999399152199</v>
      </c>
      <c r="C20" s="47">
        <v>1589.66661659602</v>
      </c>
      <c r="D20" s="47">
        <v>1401.27739</v>
      </c>
      <c r="E20" s="47">
        <v>1350.79306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v>0</v>
      </c>
      <c r="O20" s="47">
        <v>0</v>
      </c>
      <c r="P20" s="48">
        <v>2752.0704500000002</v>
      </c>
      <c r="Q20" s="71">
        <v>0.86561245649499996</v>
      </c>
    </row>
    <row r="21" spans="1:17" ht="14.4" customHeight="1" x14ac:dyDescent="0.3">
      <c r="A21" s="16" t="s">
        <v>31</v>
      </c>
      <c r="B21" s="46">
        <v>1687.99994683206</v>
      </c>
      <c r="C21" s="47">
        <v>140.66666223600501</v>
      </c>
      <c r="D21" s="47">
        <v>140.679</v>
      </c>
      <c r="E21" s="47">
        <v>140.679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v>0</v>
      </c>
      <c r="O21" s="47">
        <v>0</v>
      </c>
      <c r="P21" s="48">
        <v>281.358</v>
      </c>
      <c r="Q21" s="71">
        <v>1.000087709225</v>
      </c>
    </row>
    <row r="22" spans="1:17" ht="14.4" customHeight="1" x14ac:dyDescent="0.3">
      <c r="A22" s="15" t="s">
        <v>32</v>
      </c>
      <c r="B22" s="46">
        <v>0</v>
      </c>
      <c r="C22" s="47">
        <v>0</v>
      </c>
      <c r="D22" s="47">
        <v>0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v>0</v>
      </c>
      <c r="P22" s="48">
        <v>0</v>
      </c>
      <c r="Q22" s="71" t="s">
        <v>242</v>
      </c>
    </row>
    <row r="23" spans="1:17" ht="14.4" customHeight="1" x14ac:dyDescent="0.3">
      <c r="A23" s="16" t="s">
        <v>33</v>
      </c>
      <c r="B23" s="46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v>0</v>
      </c>
      <c r="P23" s="48">
        <v>0</v>
      </c>
      <c r="Q23" s="71" t="s">
        <v>242</v>
      </c>
    </row>
    <row r="24" spans="1:17" ht="14.4" customHeight="1" x14ac:dyDescent="0.3">
      <c r="A24" s="16" t="s">
        <v>34</v>
      </c>
      <c r="B24" s="46">
        <v>-3.6379788070917101E-12</v>
      </c>
      <c r="C24" s="47">
        <v>-2.2737367544323201E-13</v>
      </c>
      <c r="D24" s="47">
        <v>7.9003899999999998</v>
      </c>
      <c r="E24" s="47">
        <v>5.8812699999999998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v>0</v>
      </c>
      <c r="O24" s="47">
        <v>0</v>
      </c>
      <c r="P24" s="48">
        <v>13.78166</v>
      </c>
      <c r="Q24" s="71"/>
    </row>
    <row r="25" spans="1:17" ht="14.4" customHeight="1" x14ac:dyDescent="0.3">
      <c r="A25" s="17" t="s">
        <v>35</v>
      </c>
      <c r="B25" s="49">
        <v>22862.1442559512</v>
      </c>
      <c r="C25" s="50">
        <v>1905.17868799593</v>
      </c>
      <c r="D25" s="50">
        <v>1638.5130799999999</v>
      </c>
      <c r="E25" s="50">
        <v>1593.4611500000001</v>
      </c>
      <c r="F25" s="50">
        <v>0</v>
      </c>
      <c r="G25" s="50">
        <v>0</v>
      </c>
      <c r="H25" s="50">
        <v>0</v>
      </c>
      <c r="I25" s="50">
        <v>0</v>
      </c>
      <c r="J25" s="50">
        <v>0</v>
      </c>
      <c r="K25" s="50">
        <v>0</v>
      </c>
      <c r="L25" s="50">
        <v>0</v>
      </c>
      <c r="M25" s="50">
        <v>0</v>
      </c>
      <c r="N25" s="50">
        <v>0</v>
      </c>
      <c r="O25" s="50">
        <v>0</v>
      </c>
      <c r="P25" s="51">
        <v>3231.9742299999998</v>
      </c>
      <c r="Q25" s="72">
        <v>0.84820763804499999</v>
      </c>
    </row>
    <row r="26" spans="1:17" ht="14.4" customHeight="1" x14ac:dyDescent="0.3">
      <c r="A26" s="15" t="s">
        <v>36</v>
      </c>
      <c r="B26" s="46">
        <v>0</v>
      </c>
      <c r="C26" s="47">
        <v>0</v>
      </c>
      <c r="D26" s="47">
        <v>200.07755</v>
      </c>
      <c r="E26" s="47">
        <v>204.66768999999999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v>0</v>
      </c>
      <c r="O26" s="47">
        <v>0</v>
      </c>
      <c r="P26" s="48">
        <v>404.74524000000002</v>
      </c>
      <c r="Q26" s="71" t="s">
        <v>242</v>
      </c>
    </row>
    <row r="27" spans="1:17" ht="14.4" customHeight="1" x14ac:dyDescent="0.3">
      <c r="A27" s="18" t="s">
        <v>37</v>
      </c>
      <c r="B27" s="49">
        <v>22862.1442559512</v>
      </c>
      <c r="C27" s="50">
        <v>1905.17868799593</v>
      </c>
      <c r="D27" s="50">
        <v>1838.5906299999999</v>
      </c>
      <c r="E27" s="50">
        <v>1798.1288400000001</v>
      </c>
      <c r="F27" s="50">
        <v>0</v>
      </c>
      <c r="G27" s="50">
        <v>0</v>
      </c>
      <c r="H27" s="50">
        <v>0</v>
      </c>
      <c r="I27" s="50">
        <v>0</v>
      </c>
      <c r="J27" s="50">
        <v>0</v>
      </c>
      <c r="K27" s="50">
        <v>0</v>
      </c>
      <c r="L27" s="50">
        <v>0</v>
      </c>
      <c r="M27" s="50">
        <v>0</v>
      </c>
      <c r="N27" s="50">
        <v>0</v>
      </c>
      <c r="O27" s="50">
        <v>0</v>
      </c>
      <c r="P27" s="51">
        <v>3636.71947</v>
      </c>
      <c r="Q27" s="72">
        <v>0.954430020898</v>
      </c>
    </row>
    <row r="28" spans="1:17" ht="14.4" customHeight="1" x14ac:dyDescent="0.3">
      <c r="A28" s="16" t="s">
        <v>38</v>
      </c>
      <c r="B28" s="46">
        <v>880.93786163617995</v>
      </c>
      <c r="C28" s="47">
        <v>73.411488469681004</v>
      </c>
      <c r="D28" s="47">
        <v>79.867410000000007</v>
      </c>
      <c r="E28" s="47">
        <v>67.310019999999994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v>0</v>
      </c>
      <c r="O28" s="47">
        <v>0</v>
      </c>
      <c r="P28" s="48">
        <v>147.17742999999999</v>
      </c>
      <c r="Q28" s="71">
        <v>1.0024141525250001</v>
      </c>
    </row>
    <row r="29" spans="1:17" ht="14.4" customHeight="1" x14ac:dyDescent="0.3">
      <c r="A29" s="16" t="s">
        <v>39</v>
      </c>
      <c r="B29" s="46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v>0</v>
      </c>
      <c r="P29" s="48">
        <v>0</v>
      </c>
      <c r="Q29" s="71" t="s">
        <v>242</v>
      </c>
    </row>
    <row r="30" spans="1:17" ht="14.4" customHeight="1" x14ac:dyDescent="0.3">
      <c r="A30" s="16" t="s">
        <v>40</v>
      </c>
      <c r="B30" s="46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v>0</v>
      </c>
      <c r="P30" s="48">
        <v>0</v>
      </c>
      <c r="Q30" s="71">
        <v>0</v>
      </c>
    </row>
    <row r="31" spans="1:17" ht="14.4" customHeight="1" thickBot="1" x14ac:dyDescent="0.35">
      <c r="A31" s="19" t="s">
        <v>41</v>
      </c>
      <c r="B31" s="52">
        <v>0</v>
      </c>
      <c r="C31" s="53">
        <v>0</v>
      </c>
      <c r="D31" s="53">
        <v>0</v>
      </c>
      <c r="E31" s="53">
        <v>0</v>
      </c>
      <c r="F31" s="53">
        <v>0</v>
      </c>
      <c r="G31" s="53">
        <v>0</v>
      </c>
      <c r="H31" s="53">
        <v>0</v>
      </c>
      <c r="I31" s="53">
        <v>0</v>
      </c>
      <c r="J31" s="53">
        <v>0</v>
      </c>
      <c r="K31" s="53">
        <v>0</v>
      </c>
      <c r="L31" s="53">
        <v>0</v>
      </c>
      <c r="M31" s="53">
        <v>0</v>
      </c>
      <c r="N31" s="53">
        <v>0</v>
      </c>
      <c r="O31" s="53">
        <v>0</v>
      </c>
      <c r="P31" s="54">
        <v>0</v>
      </c>
      <c r="Q31" s="73" t="s">
        <v>242</v>
      </c>
    </row>
    <row r="32" spans="1:17" ht="14.4" customHeight="1" x14ac:dyDescent="0.3">
      <c r="B32" s="106"/>
      <c r="C32" s="106"/>
      <c r="D32" s="106"/>
      <c r="E32" s="106"/>
      <c r="F32" s="106"/>
      <c r="G32" s="106"/>
      <c r="H32" s="106"/>
      <c r="I32" s="106"/>
      <c r="J32" s="106"/>
      <c r="K32" s="106"/>
      <c r="L32" s="106"/>
      <c r="M32" s="106"/>
      <c r="N32" s="106"/>
      <c r="O32" s="106"/>
      <c r="P32" s="106"/>
      <c r="Q32" s="106"/>
    </row>
    <row r="33" spans="1:17" ht="14.4" customHeight="1" x14ac:dyDescent="0.3">
      <c r="A33" s="88" t="s">
        <v>124</v>
      </c>
      <c r="B33" s="107"/>
      <c r="C33" s="107"/>
      <c r="D33" s="107"/>
      <c r="E33" s="107"/>
      <c r="F33" s="107"/>
      <c r="G33" s="107"/>
      <c r="H33" s="107"/>
      <c r="I33" s="107"/>
      <c r="J33" s="107"/>
      <c r="K33" s="107"/>
      <c r="L33" s="107"/>
      <c r="M33" s="107"/>
      <c r="N33" s="107"/>
      <c r="O33" s="107"/>
      <c r="P33" s="107"/>
      <c r="Q33" s="107"/>
    </row>
    <row r="34" spans="1:17" ht="14.4" customHeight="1" x14ac:dyDescent="0.3">
      <c r="A34" s="111" t="s">
        <v>240</v>
      </c>
      <c r="B34" s="107"/>
      <c r="C34" s="107"/>
      <c r="D34" s="107"/>
      <c r="E34" s="107"/>
      <c r="F34" s="107"/>
      <c r="G34" s="107"/>
      <c r="H34" s="107"/>
      <c r="I34" s="107"/>
      <c r="J34" s="107"/>
      <c r="K34" s="107"/>
      <c r="L34" s="107"/>
      <c r="M34" s="107"/>
      <c r="N34" s="107"/>
      <c r="O34" s="107"/>
      <c r="P34" s="107"/>
      <c r="Q34" s="107"/>
    </row>
    <row r="35" spans="1:17" ht="14.4" customHeight="1" x14ac:dyDescent="0.3">
      <c r="A35" s="112" t="s">
        <v>42</v>
      </c>
      <c r="B35" s="107"/>
      <c r="C35" s="107"/>
      <c r="D35" s="107"/>
      <c r="E35" s="107"/>
      <c r="F35" s="107"/>
      <c r="G35" s="107"/>
      <c r="H35" s="107"/>
      <c r="I35" s="107"/>
      <c r="J35" s="107"/>
      <c r="K35" s="107"/>
      <c r="L35" s="107"/>
      <c r="M35" s="107"/>
      <c r="N35" s="107"/>
      <c r="O35" s="107"/>
      <c r="P35" s="107"/>
      <c r="Q35" s="107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178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05" customWidth="1"/>
    <col min="2" max="11" width="10" style="105" customWidth="1"/>
    <col min="12" max="16384" width="8.88671875" style="105"/>
  </cols>
  <sheetData>
    <row r="1" spans="1:11" s="55" customFormat="1" ht="18.600000000000001" customHeight="1" thickBot="1" x14ac:dyDescent="0.4">
      <c r="A1" s="302" t="s">
        <v>43</v>
      </c>
      <c r="B1" s="302"/>
      <c r="C1" s="302"/>
      <c r="D1" s="302"/>
      <c r="E1" s="302"/>
      <c r="F1" s="302"/>
      <c r="G1" s="302"/>
      <c r="H1" s="307"/>
      <c r="I1" s="307"/>
      <c r="J1" s="307"/>
      <c r="K1" s="307"/>
    </row>
    <row r="2" spans="1:11" s="55" customFormat="1" ht="14.4" customHeight="1" thickBot="1" x14ac:dyDescent="0.35">
      <c r="A2" s="203" t="s">
        <v>241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3" spans="1:11" ht="14.4" customHeight="1" x14ac:dyDescent="0.3">
      <c r="A3" s="60"/>
      <c r="B3" s="303" t="s">
        <v>44</v>
      </c>
      <c r="C3" s="304"/>
      <c r="D3" s="304"/>
      <c r="E3" s="304"/>
      <c r="F3" s="310" t="s">
        <v>45</v>
      </c>
      <c r="G3" s="304"/>
      <c r="H3" s="304"/>
      <c r="I3" s="304"/>
      <c r="J3" s="304"/>
      <c r="K3" s="311"/>
    </row>
    <row r="4" spans="1:11" ht="14.4" customHeight="1" x14ac:dyDescent="0.3">
      <c r="A4" s="61"/>
      <c r="B4" s="308"/>
      <c r="C4" s="309"/>
      <c r="D4" s="309"/>
      <c r="E4" s="309"/>
      <c r="F4" s="312" t="s">
        <v>236</v>
      </c>
      <c r="G4" s="314" t="s">
        <v>46</v>
      </c>
      <c r="H4" s="116" t="s">
        <v>114</v>
      </c>
      <c r="I4" s="312" t="s">
        <v>47</v>
      </c>
      <c r="J4" s="314" t="s">
        <v>238</v>
      </c>
      <c r="K4" s="315" t="s">
        <v>239</v>
      </c>
    </row>
    <row r="5" spans="1:11" ht="42" thickBot="1" x14ac:dyDescent="0.35">
      <c r="A5" s="62"/>
      <c r="B5" s="24" t="s">
        <v>232</v>
      </c>
      <c r="C5" s="25" t="s">
        <v>233</v>
      </c>
      <c r="D5" s="26" t="s">
        <v>234</v>
      </c>
      <c r="E5" s="26" t="s">
        <v>235</v>
      </c>
      <c r="F5" s="313"/>
      <c r="G5" s="313"/>
      <c r="H5" s="25" t="s">
        <v>237</v>
      </c>
      <c r="I5" s="313"/>
      <c r="J5" s="313"/>
      <c r="K5" s="316"/>
    </row>
    <row r="6" spans="1:11" ht="14.4" customHeight="1" thickBot="1" x14ac:dyDescent="0.35">
      <c r="A6" s="376" t="s">
        <v>244</v>
      </c>
      <c r="B6" s="358">
        <v>21039.490011993101</v>
      </c>
      <c r="C6" s="358">
        <v>20714.260040000001</v>
      </c>
      <c r="D6" s="359">
        <v>-325.22997199312903</v>
      </c>
      <c r="E6" s="360">
        <v>0.98454192702300003</v>
      </c>
      <c r="F6" s="358">
        <v>22862.1442559512</v>
      </c>
      <c r="G6" s="359">
        <v>3810.35737599187</v>
      </c>
      <c r="H6" s="361">
        <v>1593.4611500000001</v>
      </c>
      <c r="I6" s="358">
        <v>3231.9742299999998</v>
      </c>
      <c r="J6" s="359">
        <v>-578.38314599186197</v>
      </c>
      <c r="K6" s="362">
        <v>0.14136793967399999</v>
      </c>
    </row>
    <row r="7" spans="1:11" ht="14.4" customHeight="1" thickBot="1" x14ac:dyDescent="0.35">
      <c r="A7" s="377" t="s">
        <v>245</v>
      </c>
      <c r="B7" s="358">
        <v>1454.9377172125201</v>
      </c>
      <c r="C7" s="358">
        <v>1390.81574</v>
      </c>
      <c r="D7" s="359">
        <v>-64.121977212523007</v>
      </c>
      <c r="E7" s="360">
        <v>0.955928026022</v>
      </c>
      <c r="F7" s="358">
        <v>1632.8719295041401</v>
      </c>
      <c r="G7" s="359">
        <v>272.14532158402301</v>
      </c>
      <c r="H7" s="361">
        <v>83.089219999999997</v>
      </c>
      <c r="I7" s="358">
        <v>136.46048999999999</v>
      </c>
      <c r="J7" s="359">
        <v>-135.68483158402299</v>
      </c>
      <c r="K7" s="362">
        <v>8.3570846882000005E-2</v>
      </c>
    </row>
    <row r="8" spans="1:11" ht="14.4" customHeight="1" thickBot="1" x14ac:dyDescent="0.35">
      <c r="A8" s="378" t="s">
        <v>246</v>
      </c>
      <c r="B8" s="358">
        <v>1454.9377172125201</v>
      </c>
      <c r="C8" s="358">
        <v>1390.81574</v>
      </c>
      <c r="D8" s="359">
        <v>-64.121977212523007</v>
      </c>
      <c r="E8" s="360">
        <v>0.955928026022</v>
      </c>
      <c r="F8" s="358">
        <v>1632.8719295041401</v>
      </c>
      <c r="G8" s="359">
        <v>272.14532158402301</v>
      </c>
      <c r="H8" s="361">
        <v>83.089219999999997</v>
      </c>
      <c r="I8" s="358">
        <v>136.46048999999999</v>
      </c>
      <c r="J8" s="359">
        <v>-135.68483158402299</v>
      </c>
      <c r="K8" s="362">
        <v>8.3570846882000005E-2</v>
      </c>
    </row>
    <row r="9" spans="1:11" ht="14.4" customHeight="1" thickBot="1" x14ac:dyDescent="0.35">
      <c r="A9" s="379" t="s">
        <v>247</v>
      </c>
      <c r="B9" s="363">
        <v>0</v>
      </c>
      <c r="C9" s="363">
        <v>8.5999999999999998E-4</v>
      </c>
      <c r="D9" s="364">
        <v>8.5999999999999998E-4</v>
      </c>
      <c r="E9" s="365" t="s">
        <v>242</v>
      </c>
      <c r="F9" s="363">
        <v>0</v>
      </c>
      <c r="G9" s="364">
        <v>0</v>
      </c>
      <c r="H9" s="366">
        <v>0</v>
      </c>
      <c r="I9" s="363">
        <v>3.8999999999999999E-4</v>
      </c>
      <c r="J9" s="364">
        <v>3.8999999999999999E-4</v>
      </c>
      <c r="K9" s="367" t="s">
        <v>242</v>
      </c>
    </row>
    <row r="10" spans="1:11" ht="14.4" customHeight="1" thickBot="1" x14ac:dyDescent="0.35">
      <c r="A10" s="380" t="s">
        <v>248</v>
      </c>
      <c r="B10" s="358">
        <v>0</v>
      </c>
      <c r="C10" s="358">
        <v>8.5999999999999998E-4</v>
      </c>
      <c r="D10" s="359">
        <v>8.5999999999999998E-4</v>
      </c>
      <c r="E10" s="368" t="s">
        <v>242</v>
      </c>
      <c r="F10" s="358">
        <v>0</v>
      </c>
      <c r="G10" s="359">
        <v>0</v>
      </c>
      <c r="H10" s="361">
        <v>0</v>
      </c>
      <c r="I10" s="358">
        <v>3.8999999999999999E-4</v>
      </c>
      <c r="J10" s="359">
        <v>3.8999999999999999E-4</v>
      </c>
      <c r="K10" s="369" t="s">
        <v>242</v>
      </c>
    </row>
    <row r="11" spans="1:11" ht="14.4" customHeight="1" thickBot="1" x14ac:dyDescent="0.35">
      <c r="A11" s="379" t="s">
        <v>249</v>
      </c>
      <c r="B11" s="363">
        <v>40.857189455970001</v>
      </c>
      <c r="C11" s="363">
        <v>13.706060000000001</v>
      </c>
      <c r="D11" s="364">
        <v>-27.15112945597</v>
      </c>
      <c r="E11" s="370">
        <v>0.33546262438699997</v>
      </c>
      <c r="F11" s="363">
        <v>28.695716408865</v>
      </c>
      <c r="G11" s="364">
        <v>4.7826194014769996</v>
      </c>
      <c r="H11" s="366">
        <v>0</v>
      </c>
      <c r="I11" s="363">
        <v>0</v>
      </c>
      <c r="J11" s="364">
        <v>-4.7826194014769996</v>
      </c>
      <c r="K11" s="371">
        <v>0</v>
      </c>
    </row>
    <row r="12" spans="1:11" ht="14.4" customHeight="1" thickBot="1" x14ac:dyDescent="0.35">
      <c r="A12" s="380" t="s">
        <v>250</v>
      </c>
      <c r="B12" s="358">
        <v>39.970374267769998</v>
      </c>
      <c r="C12" s="358">
        <v>13.706060000000001</v>
      </c>
      <c r="D12" s="359">
        <v>-26.264314267770001</v>
      </c>
      <c r="E12" s="360">
        <v>0.34290547064100002</v>
      </c>
      <c r="F12" s="358">
        <v>28.695716408865</v>
      </c>
      <c r="G12" s="359">
        <v>4.7826194014769996</v>
      </c>
      <c r="H12" s="361">
        <v>0</v>
      </c>
      <c r="I12" s="358">
        <v>0</v>
      </c>
      <c r="J12" s="359">
        <v>-4.7826194014769996</v>
      </c>
      <c r="K12" s="362">
        <v>0</v>
      </c>
    </row>
    <row r="13" spans="1:11" ht="14.4" customHeight="1" thickBot="1" x14ac:dyDescent="0.35">
      <c r="A13" s="379" t="s">
        <v>251</v>
      </c>
      <c r="B13" s="363">
        <v>1190.4647263627801</v>
      </c>
      <c r="C13" s="363">
        <v>1157.5146500000001</v>
      </c>
      <c r="D13" s="364">
        <v>-32.950076362777999</v>
      </c>
      <c r="E13" s="370">
        <v>0.97232166931599995</v>
      </c>
      <c r="F13" s="363">
        <v>1361.9999571003</v>
      </c>
      <c r="G13" s="364">
        <v>226.99999285005001</v>
      </c>
      <c r="H13" s="366">
        <v>66.134749999999997</v>
      </c>
      <c r="I13" s="363">
        <v>108.58093</v>
      </c>
      <c r="J13" s="364">
        <v>-118.41906285005</v>
      </c>
      <c r="K13" s="371">
        <v>7.9721683860999995E-2</v>
      </c>
    </row>
    <row r="14" spans="1:11" ht="14.4" customHeight="1" thickBot="1" x14ac:dyDescent="0.35">
      <c r="A14" s="380" t="s">
        <v>252</v>
      </c>
      <c r="B14" s="358">
        <v>956.77569307812905</v>
      </c>
      <c r="C14" s="358">
        <v>859.67827</v>
      </c>
      <c r="D14" s="359">
        <v>-97.097423078128003</v>
      </c>
      <c r="E14" s="360">
        <v>0.89851600141900001</v>
      </c>
      <c r="F14" s="358">
        <v>1024.9999677149799</v>
      </c>
      <c r="G14" s="359">
        <v>170.833327952497</v>
      </c>
      <c r="H14" s="361">
        <v>45.887799999999999</v>
      </c>
      <c r="I14" s="358">
        <v>73.795249999999996</v>
      </c>
      <c r="J14" s="359">
        <v>-97.038077952497005</v>
      </c>
      <c r="K14" s="362">
        <v>7.1995368121000006E-2</v>
      </c>
    </row>
    <row r="15" spans="1:11" ht="14.4" customHeight="1" thickBot="1" x14ac:dyDescent="0.35">
      <c r="A15" s="380" t="s">
        <v>253</v>
      </c>
      <c r="B15" s="358">
        <v>34.001896546666998</v>
      </c>
      <c r="C15" s="358">
        <v>49.971359999999997</v>
      </c>
      <c r="D15" s="359">
        <v>15.969463453332001</v>
      </c>
      <c r="E15" s="360">
        <v>1.469663903347</v>
      </c>
      <c r="F15" s="358">
        <v>61.999998047150001</v>
      </c>
      <c r="G15" s="359">
        <v>10.333333007858</v>
      </c>
      <c r="H15" s="361">
        <v>0.27428000000000002</v>
      </c>
      <c r="I15" s="358">
        <v>5.4552800000000001</v>
      </c>
      <c r="J15" s="359">
        <v>-4.878053007858</v>
      </c>
      <c r="K15" s="362">
        <v>8.7988389868000005E-2</v>
      </c>
    </row>
    <row r="16" spans="1:11" ht="14.4" customHeight="1" thickBot="1" x14ac:dyDescent="0.35">
      <c r="A16" s="380" t="s">
        <v>254</v>
      </c>
      <c r="B16" s="358">
        <v>32.079515455878997</v>
      </c>
      <c r="C16" s="358">
        <v>36.336419999999997</v>
      </c>
      <c r="D16" s="359">
        <v>4.2569045441200002</v>
      </c>
      <c r="E16" s="360">
        <v>1.1326985300000001</v>
      </c>
      <c r="F16" s="358">
        <v>32.999998960580001</v>
      </c>
      <c r="G16" s="359">
        <v>5.4999998267630001</v>
      </c>
      <c r="H16" s="361">
        <v>2.6030000000000002</v>
      </c>
      <c r="I16" s="358">
        <v>3.9045000000000001</v>
      </c>
      <c r="J16" s="359">
        <v>-1.5954998267630001</v>
      </c>
      <c r="K16" s="362">
        <v>0.118318185544</v>
      </c>
    </row>
    <row r="17" spans="1:11" ht="14.4" customHeight="1" thickBot="1" x14ac:dyDescent="0.35">
      <c r="A17" s="380" t="s">
        <v>255</v>
      </c>
      <c r="B17" s="358">
        <v>125.807608756116</v>
      </c>
      <c r="C17" s="358">
        <v>165.39393999999999</v>
      </c>
      <c r="D17" s="359">
        <v>39.586331243883002</v>
      </c>
      <c r="E17" s="360">
        <v>1.314657687522</v>
      </c>
      <c r="F17" s="358">
        <v>199.99999370048499</v>
      </c>
      <c r="G17" s="359">
        <v>33.333332283414002</v>
      </c>
      <c r="H17" s="361">
        <v>14.11467</v>
      </c>
      <c r="I17" s="358">
        <v>19.341899999999999</v>
      </c>
      <c r="J17" s="359">
        <v>-13.991432283413999</v>
      </c>
      <c r="K17" s="362">
        <v>9.6709503045999998E-2</v>
      </c>
    </row>
    <row r="18" spans="1:11" ht="14.4" customHeight="1" thickBot="1" x14ac:dyDescent="0.35">
      <c r="A18" s="380" t="s">
        <v>256</v>
      </c>
      <c r="B18" s="358">
        <v>6.1548945922999997E-2</v>
      </c>
      <c r="C18" s="358">
        <v>0.64800000000000002</v>
      </c>
      <c r="D18" s="359">
        <v>0.58645105407599996</v>
      </c>
      <c r="E18" s="360">
        <v>10.528206296232</v>
      </c>
      <c r="F18" s="358">
        <v>0</v>
      </c>
      <c r="G18" s="359">
        <v>0</v>
      </c>
      <c r="H18" s="361">
        <v>0</v>
      </c>
      <c r="I18" s="358">
        <v>0</v>
      </c>
      <c r="J18" s="359">
        <v>0</v>
      </c>
      <c r="K18" s="369" t="s">
        <v>242</v>
      </c>
    </row>
    <row r="19" spans="1:11" ht="14.4" customHeight="1" thickBot="1" x14ac:dyDescent="0.35">
      <c r="A19" s="380" t="s">
        <v>257</v>
      </c>
      <c r="B19" s="358">
        <v>41.738463580062003</v>
      </c>
      <c r="C19" s="358">
        <v>45.486660000000001</v>
      </c>
      <c r="D19" s="359">
        <v>3.7481964199369999</v>
      </c>
      <c r="E19" s="360">
        <v>1.0898019739689999</v>
      </c>
      <c r="F19" s="358">
        <v>41.999998677100997</v>
      </c>
      <c r="G19" s="359">
        <v>6.9999997795160001</v>
      </c>
      <c r="H19" s="361">
        <v>3.2549999999999999</v>
      </c>
      <c r="I19" s="358">
        <v>6.0839999999999996</v>
      </c>
      <c r="J19" s="359">
        <v>-0.91599977951599998</v>
      </c>
      <c r="K19" s="362">
        <v>0.14485714741899999</v>
      </c>
    </row>
    <row r="20" spans="1:11" ht="14.4" customHeight="1" thickBot="1" x14ac:dyDescent="0.35">
      <c r="A20" s="379" t="s">
        <v>258</v>
      </c>
      <c r="B20" s="363">
        <v>0</v>
      </c>
      <c r="C20" s="363">
        <v>0.68396999999999997</v>
      </c>
      <c r="D20" s="364">
        <v>0.68396999999999997</v>
      </c>
      <c r="E20" s="365" t="s">
        <v>242</v>
      </c>
      <c r="F20" s="363">
        <v>0</v>
      </c>
      <c r="G20" s="364">
        <v>0</v>
      </c>
      <c r="H20" s="366">
        <v>0</v>
      </c>
      <c r="I20" s="363">
        <v>0</v>
      </c>
      <c r="J20" s="364">
        <v>0</v>
      </c>
      <c r="K20" s="367" t="s">
        <v>242</v>
      </c>
    </row>
    <row r="21" spans="1:11" ht="14.4" customHeight="1" thickBot="1" x14ac:dyDescent="0.35">
      <c r="A21" s="380" t="s">
        <v>259</v>
      </c>
      <c r="B21" s="358">
        <v>0</v>
      </c>
      <c r="C21" s="358">
        <v>0.68396999999999997</v>
      </c>
      <c r="D21" s="359">
        <v>0.68396999999999997</v>
      </c>
      <c r="E21" s="368" t="s">
        <v>242</v>
      </c>
      <c r="F21" s="358">
        <v>0</v>
      </c>
      <c r="G21" s="359">
        <v>0</v>
      </c>
      <c r="H21" s="361">
        <v>0</v>
      </c>
      <c r="I21" s="358">
        <v>0</v>
      </c>
      <c r="J21" s="359">
        <v>0</v>
      </c>
      <c r="K21" s="369" t="s">
        <v>242</v>
      </c>
    </row>
    <row r="22" spans="1:11" ht="14.4" customHeight="1" thickBot="1" x14ac:dyDescent="0.35">
      <c r="A22" s="379" t="s">
        <v>260</v>
      </c>
      <c r="B22" s="363">
        <v>170.601841284606</v>
      </c>
      <c r="C22" s="363">
        <v>164.52529999999999</v>
      </c>
      <c r="D22" s="364">
        <v>-6.0765412846049998</v>
      </c>
      <c r="E22" s="370">
        <v>0.96438173680299999</v>
      </c>
      <c r="F22" s="363">
        <v>164.35015257124499</v>
      </c>
      <c r="G22" s="364">
        <v>27.391692095206999</v>
      </c>
      <c r="H22" s="366">
        <v>14.944369999999999</v>
      </c>
      <c r="I22" s="363">
        <v>24.071110000000001</v>
      </c>
      <c r="J22" s="364">
        <v>-3.320582095207</v>
      </c>
      <c r="K22" s="371">
        <v>0.14646235262499999</v>
      </c>
    </row>
    <row r="23" spans="1:11" ht="14.4" customHeight="1" thickBot="1" x14ac:dyDescent="0.35">
      <c r="A23" s="380" t="s">
        <v>261</v>
      </c>
      <c r="B23" s="358">
        <v>2.8920952648710001</v>
      </c>
      <c r="C23" s="358">
        <v>0.91600000000000004</v>
      </c>
      <c r="D23" s="359">
        <v>-1.976095264871</v>
      </c>
      <c r="E23" s="360">
        <v>0.31672538976300002</v>
      </c>
      <c r="F23" s="358">
        <v>1.623618597786</v>
      </c>
      <c r="G23" s="359">
        <v>0.27060309963099999</v>
      </c>
      <c r="H23" s="361">
        <v>0</v>
      </c>
      <c r="I23" s="358">
        <v>0</v>
      </c>
      <c r="J23" s="359">
        <v>-0.27060309963099999</v>
      </c>
      <c r="K23" s="362">
        <v>0</v>
      </c>
    </row>
    <row r="24" spans="1:11" ht="14.4" customHeight="1" thickBot="1" x14ac:dyDescent="0.35">
      <c r="A24" s="380" t="s">
        <v>262</v>
      </c>
      <c r="B24" s="358">
        <v>13.696818428427999</v>
      </c>
      <c r="C24" s="358">
        <v>11.16095</v>
      </c>
      <c r="D24" s="359">
        <v>-2.535868428428</v>
      </c>
      <c r="E24" s="360">
        <v>0.81485711870300004</v>
      </c>
      <c r="F24" s="358">
        <v>8.9999997165209997</v>
      </c>
      <c r="G24" s="359">
        <v>1.4999999527529999</v>
      </c>
      <c r="H24" s="361">
        <v>0.57779999999999998</v>
      </c>
      <c r="I24" s="358">
        <v>0.92510999999999999</v>
      </c>
      <c r="J24" s="359">
        <v>-0.57488995275300003</v>
      </c>
      <c r="K24" s="362">
        <v>0.10279000323699999</v>
      </c>
    </row>
    <row r="25" spans="1:11" ht="14.4" customHeight="1" thickBot="1" x14ac:dyDescent="0.35">
      <c r="A25" s="380" t="s">
        <v>263</v>
      </c>
      <c r="B25" s="358">
        <v>25.309455717633998</v>
      </c>
      <c r="C25" s="358">
        <v>26.910019999999999</v>
      </c>
      <c r="D25" s="359">
        <v>1.6005642823649999</v>
      </c>
      <c r="E25" s="360">
        <v>1.0632397748969999</v>
      </c>
      <c r="F25" s="358">
        <v>34.704092678255002</v>
      </c>
      <c r="G25" s="359">
        <v>5.7840154463750002</v>
      </c>
      <c r="H25" s="361">
        <v>2.68547</v>
      </c>
      <c r="I25" s="358">
        <v>3.5820799999999999</v>
      </c>
      <c r="J25" s="359">
        <v>-2.2019354463749998</v>
      </c>
      <c r="K25" s="362">
        <v>0.103217797197</v>
      </c>
    </row>
    <row r="26" spans="1:11" ht="14.4" customHeight="1" thickBot="1" x14ac:dyDescent="0.35">
      <c r="A26" s="380" t="s">
        <v>264</v>
      </c>
      <c r="B26" s="358">
        <v>30.404511458742</v>
      </c>
      <c r="C26" s="358">
        <v>30.72007</v>
      </c>
      <c r="D26" s="359">
        <v>0.315558541257</v>
      </c>
      <c r="E26" s="360">
        <v>1.0103786749429999</v>
      </c>
      <c r="F26" s="358">
        <v>33.999998929081997</v>
      </c>
      <c r="G26" s="359">
        <v>5.6666664881799997</v>
      </c>
      <c r="H26" s="361">
        <v>1.5545800000000001</v>
      </c>
      <c r="I26" s="358">
        <v>4.7659399999999996</v>
      </c>
      <c r="J26" s="359">
        <v>-0.90072648818000001</v>
      </c>
      <c r="K26" s="362">
        <v>0.14017471029699999</v>
      </c>
    </row>
    <row r="27" spans="1:11" ht="14.4" customHeight="1" thickBot="1" x14ac:dyDescent="0.35">
      <c r="A27" s="380" t="s">
        <v>265</v>
      </c>
      <c r="B27" s="358">
        <v>2.7159437498179999</v>
      </c>
      <c r="C27" s="358">
        <v>2.3887999999999998</v>
      </c>
      <c r="D27" s="359">
        <v>-0.32714374981799998</v>
      </c>
      <c r="E27" s="360">
        <v>0.87954693471099998</v>
      </c>
      <c r="F27" s="358">
        <v>2.6688119404289998</v>
      </c>
      <c r="G27" s="359">
        <v>0.44480199007100002</v>
      </c>
      <c r="H27" s="361">
        <v>0</v>
      </c>
      <c r="I27" s="358">
        <v>1.4923999999999999</v>
      </c>
      <c r="J27" s="359">
        <v>1.047598009928</v>
      </c>
      <c r="K27" s="362">
        <v>0.55920013598200002</v>
      </c>
    </row>
    <row r="28" spans="1:11" ht="14.4" customHeight="1" thickBot="1" x14ac:dyDescent="0.35">
      <c r="A28" s="380" t="s">
        <v>266</v>
      </c>
      <c r="B28" s="358">
        <v>0</v>
      </c>
      <c r="C28" s="358">
        <v>0.11654</v>
      </c>
      <c r="D28" s="359">
        <v>0.11654</v>
      </c>
      <c r="E28" s="368" t="s">
        <v>267</v>
      </c>
      <c r="F28" s="358">
        <v>0.10178383586799999</v>
      </c>
      <c r="G28" s="359">
        <v>1.6963972644E-2</v>
      </c>
      <c r="H28" s="361">
        <v>0</v>
      </c>
      <c r="I28" s="358">
        <v>0</v>
      </c>
      <c r="J28" s="359">
        <v>-1.6963972644E-2</v>
      </c>
      <c r="K28" s="362">
        <v>0</v>
      </c>
    </row>
    <row r="29" spans="1:11" ht="14.4" customHeight="1" thickBot="1" x14ac:dyDescent="0.35">
      <c r="A29" s="380" t="s">
        <v>268</v>
      </c>
      <c r="B29" s="358">
        <v>27.550664638493</v>
      </c>
      <c r="C29" s="358">
        <v>21.056570000000001</v>
      </c>
      <c r="D29" s="359">
        <v>-6.4940946384930003</v>
      </c>
      <c r="E29" s="360">
        <v>0.76428537301300004</v>
      </c>
      <c r="F29" s="358">
        <v>22.251848763154999</v>
      </c>
      <c r="G29" s="359">
        <v>3.708641460525</v>
      </c>
      <c r="H29" s="361">
        <v>2.5990000000000002</v>
      </c>
      <c r="I29" s="358">
        <v>3.89371</v>
      </c>
      <c r="J29" s="359">
        <v>0.18506853947400001</v>
      </c>
      <c r="K29" s="362">
        <v>0.17498366276999999</v>
      </c>
    </row>
    <row r="30" spans="1:11" ht="14.4" customHeight="1" thickBot="1" x14ac:dyDescent="0.35">
      <c r="A30" s="380" t="s">
        <v>269</v>
      </c>
      <c r="B30" s="358">
        <v>32.282513973188003</v>
      </c>
      <c r="C30" s="358">
        <v>40.339640000000003</v>
      </c>
      <c r="D30" s="359">
        <v>8.0571260268109999</v>
      </c>
      <c r="E30" s="360">
        <v>1.2495817405509999</v>
      </c>
      <c r="F30" s="358">
        <v>47.999998488115999</v>
      </c>
      <c r="G30" s="359">
        <v>7.9999997480190004</v>
      </c>
      <c r="H30" s="361">
        <v>6.4869199999999996</v>
      </c>
      <c r="I30" s="358">
        <v>7.3306699999999996</v>
      </c>
      <c r="J30" s="359">
        <v>-0.66932974801900003</v>
      </c>
      <c r="K30" s="362">
        <v>0.152722296477</v>
      </c>
    </row>
    <row r="31" spans="1:11" ht="14.4" customHeight="1" thickBot="1" x14ac:dyDescent="0.35">
      <c r="A31" s="380" t="s">
        <v>270</v>
      </c>
      <c r="B31" s="358">
        <v>35.749838053428</v>
      </c>
      <c r="C31" s="358">
        <v>30.916709999999998</v>
      </c>
      <c r="D31" s="359">
        <v>-4.833128053427</v>
      </c>
      <c r="E31" s="360">
        <v>0.86480699447599996</v>
      </c>
      <c r="F31" s="358">
        <v>11.999999622029</v>
      </c>
      <c r="G31" s="359">
        <v>1.999999937004</v>
      </c>
      <c r="H31" s="361">
        <v>1.0406</v>
      </c>
      <c r="I31" s="358">
        <v>2.0811999999999999</v>
      </c>
      <c r="J31" s="359">
        <v>8.1200062995000002E-2</v>
      </c>
      <c r="K31" s="362">
        <v>0.17343333879600001</v>
      </c>
    </row>
    <row r="32" spans="1:11" ht="14.4" customHeight="1" thickBot="1" x14ac:dyDescent="0.35">
      <c r="A32" s="379" t="s">
        <v>271</v>
      </c>
      <c r="B32" s="363">
        <v>21.150116570289001</v>
      </c>
      <c r="C32" s="363">
        <v>29.311530000000001</v>
      </c>
      <c r="D32" s="364">
        <v>8.1614134297100005</v>
      </c>
      <c r="E32" s="370">
        <v>1.3858803048470001</v>
      </c>
      <c r="F32" s="363">
        <v>47.826104368656999</v>
      </c>
      <c r="G32" s="364">
        <v>7.9710173947760001</v>
      </c>
      <c r="H32" s="366">
        <v>0</v>
      </c>
      <c r="I32" s="363">
        <v>0</v>
      </c>
      <c r="J32" s="364">
        <v>-7.9710173947760001</v>
      </c>
      <c r="K32" s="371">
        <v>0</v>
      </c>
    </row>
    <row r="33" spans="1:11" ht="14.4" customHeight="1" thickBot="1" x14ac:dyDescent="0.35">
      <c r="A33" s="380" t="s">
        <v>272</v>
      </c>
      <c r="B33" s="358">
        <v>0.448994692822</v>
      </c>
      <c r="C33" s="358">
        <v>0.32064999999999999</v>
      </c>
      <c r="D33" s="359">
        <v>-0.12834469282200001</v>
      </c>
      <c r="E33" s="360">
        <v>0.71415098023500001</v>
      </c>
      <c r="F33" s="358">
        <v>0</v>
      </c>
      <c r="G33" s="359">
        <v>0</v>
      </c>
      <c r="H33" s="361">
        <v>0</v>
      </c>
      <c r="I33" s="358">
        <v>0</v>
      </c>
      <c r="J33" s="359">
        <v>0</v>
      </c>
      <c r="K33" s="369" t="s">
        <v>242</v>
      </c>
    </row>
    <row r="34" spans="1:11" ht="14.4" customHeight="1" thickBot="1" x14ac:dyDescent="0.35">
      <c r="A34" s="380" t="s">
        <v>273</v>
      </c>
      <c r="B34" s="358">
        <v>0</v>
      </c>
      <c r="C34" s="358">
        <v>28.381</v>
      </c>
      <c r="D34" s="359">
        <v>28.381</v>
      </c>
      <c r="E34" s="368" t="s">
        <v>267</v>
      </c>
      <c r="F34" s="358">
        <v>47.826104368656999</v>
      </c>
      <c r="G34" s="359">
        <v>7.9710173947760001</v>
      </c>
      <c r="H34" s="361">
        <v>0</v>
      </c>
      <c r="I34" s="358">
        <v>0</v>
      </c>
      <c r="J34" s="359">
        <v>-7.9710173947760001</v>
      </c>
      <c r="K34" s="362">
        <v>0</v>
      </c>
    </row>
    <row r="35" spans="1:11" ht="14.4" customHeight="1" thickBot="1" x14ac:dyDescent="0.35">
      <c r="A35" s="380" t="s">
        <v>274</v>
      </c>
      <c r="B35" s="358">
        <v>0</v>
      </c>
      <c r="C35" s="358">
        <v>0.60987999999999998</v>
      </c>
      <c r="D35" s="359">
        <v>0.60987999999999998</v>
      </c>
      <c r="E35" s="368" t="s">
        <v>267</v>
      </c>
      <c r="F35" s="358">
        <v>0</v>
      </c>
      <c r="G35" s="359">
        <v>0</v>
      </c>
      <c r="H35" s="361">
        <v>0</v>
      </c>
      <c r="I35" s="358">
        <v>0</v>
      </c>
      <c r="J35" s="359">
        <v>0</v>
      </c>
      <c r="K35" s="369" t="s">
        <v>242</v>
      </c>
    </row>
    <row r="36" spans="1:11" ht="14.4" customHeight="1" thickBot="1" x14ac:dyDescent="0.35">
      <c r="A36" s="379" t="s">
        <v>275</v>
      </c>
      <c r="B36" s="363">
        <v>31.863843538878999</v>
      </c>
      <c r="C36" s="363">
        <v>22.661370000000002</v>
      </c>
      <c r="D36" s="364">
        <v>-9.2024735388789995</v>
      </c>
      <c r="E36" s="370">
        <v>0.71119386373899995</v>
      </c>
      <c r="F36" s="363">
        <v>29.999999055071999</v>
      </c>
      <c r="G36" s="364">
        <v>4.9999998425119996</v>
      </c>
      <c r="H36" s="366">
        <v>2.0101</v>
      </c>
      <c r="I36" s="363">
        <v>3.8080599999999998</v>
      </c>
      <c r="J36" s="364">
        <v>-1.191939842512</v>
      </c>
      <c r="K36" s="371">
        <v>0.12693533733099999</v>
      </c>
    </row>
    <row r="37" spans="1:11" ht="14.4" customHeight="1" thickBot="1" x14ac:dyDescent="0.35">
      <c r="A37" s="380" t="s">
        <v>276</v>
      </c>
      <c r="B37" s="358">
        <v>20.863713821836001</v>
      </c>
      <c r="C37" s="358">
        <v>10.74751</v>
      </c>
      <c r="D37" s="359">
        <v>-10.116203821836001</v>
      </c>
      <c r="E37" s="360">
        <v>0.51512928579100004</v>
      </c>
      <c r="F37" s="358">
        <v>14.999999527536</v>
      </c>
      <c r="G37" s="359">
        <v>2.4999999212559998</v>
      </c>
      <c r="H37" s="361">
        <v>1.083</v>
      </c>
      <c r="I37" s="358">
        <v>2.12967</v>
      </c>
      <c r="J37" s="359">
        <v>-0.37032992125600001</v>
      </c>
      <c r="K37" s="362">
        <v>0.14197800447100001</v>
      </c>
    </row>
    <row r="38" spans="1:11" ht="14.4" customHeight="1" thickBot="1" x14ac:dyDescent="0.35">
      <c r="A38" s="380" t="s">
        <v>277</v>
      </c>
      <c r="B38" s="358">
        <v>0</v>
      </c>
      <c r="C38" s="358">
        <v>0</v>
      </c>
      <c r="D38" s="359">
        <v>0</v>
      </c>
      <c r="E38" s="368" t="s">
        <v>242</v>
      </c>
      <c r="F38" s="358">
        <v>0</v>
      </c>
      <c r="G38" s="359">
        <v>0</v>
      </c>
      <c r="H38" s="361">
        <v>0.45523000000000002</v>
      </c>
      <c r="I38" s="358">
        <v>0.45523000000000002</v>
      </c>
      <c r="J38" s="359">
        <v>0.45523000000000002</v>
      </c>
      <c r="K38" s="369" t="s">
        <v>267</v>
      </c>
    </row>
    <row r="39" spans="1:11" ht="14.4" customHeight="1" thickBot="1" x14ac:dyDescent="0.35">
      <c r="A39" s="380" t="s">
        <v>278</v>
      </c>
      <c r="B39" s="358">
        <v>7.0006733584010004</v>
      </c>
      <c r="C39" s="358">
        <v>7.9622000000000002</v>
      </c>
      <c r="D39" s="359">
        <v>0.96152664159800005</v>
      </c>
      <c r="E39" s="360">
        <v>1.1373477367630001</v>
      </c>
      <c r="F39" s="358">
        <v>9.9999996850239992</v>
      </c>
      <c r="G39" s="359">
        <v>1.6666666141699999</v>
      </c>
      <c r="H39" s="361">
        <v>0.47187000000000001</v>
      </c>
      <c r="I39" s="358">
        <v>0.78515999999999997</v>
      </c>
      <c r="J39" s="359">
        <v>-0.88150661416999998</v>
      </c>
      <c r="K39" s="362">
        <v>7.8516002473000002E-2</v>
      </c>
    </row>
    <row r="40" spans="1:11" ht="14.4" customHeight="1" thickBot="1" x14ac:dyDescent="0.35">
      <c r="A40" s="380" t="s">
        <v>279</v>
      </c>
      <c r="B40" s="358">
        <v>3.999456358642</v>
      </c>
      <c r="C40" s="358">
        <v>3.95166</v>
      </c>
      <c r="D40" s="359">
        <v>-4.7796358641999999E-2</v>
      </c>
      <c r="E40" s="360">
        <v>0.98804928611300002</v>
      </c>
      <c r="F40" s="358">
        <v>4.9999998425119996</v>
      </c>
      <c r="G40" s="359">
        <v>0.83333330708499997</v>
      </c>
      <c r="H40" s="361">
        <v>0</v>
      </c>
      <c r="I40" s="358">
        <v>0.438</v>
      </c>
      <c r="J40" s="359">
        <v>-0.39533330708499997</v>
      </c>
      <c r="K40" s="362">
        <v>8.7600002758999998E-2</v>
      </c>
    </row>
    <row r="41" spans="1:11" ht="14.4" customHeight="1" thickBot="1" x14ac:dyDescent="0.35">
      <c r="A41" s="379" t="s">
        <v>280</v>
      </c>
      <c r="B41" s="363">
        <v>0</v>
      </c>
      <c r="C41" s="363">
        <v>2.4119999999999999</v>
      </c>
      <c r="D41" s="364">
        <v>2.4119999999999999</v>
      </c>
      <c r="E41" s="365" t="s">
        <v>242</v>
      </c>
      <c r="F41" s="363">
        <v>0</v>
      </c>
      <c r="G41" s="364">
        <v>0</v>
      </c>
      <c r="H41" s="366">
        <v>0</v>
      </c>
      <c r="I41" s="363">
        <v>0</v>
      </c>
      <c r="J41" s="364">
        <v>0</v>
      </c>
      <c r="K41" s="367" t="s">
        <v>242</v>
      </c>
    </row>
    <row r="42" spans="1:11" ht="14.4" customHeight="1" thickBot="1" x14ac:dyDescent="0.35">
      <c r="A42" s="380" t="s">
        <v>281</v>
      </c>
      <c r="B42" s="358">
        <v>0</v>
      </c>
      <c r="C42" s="358">
        <v>2.4119999999999999</v>
      </c>
      <c r="D42" s="359">
        <v>2.4119999999999999</v>
      </c>
      <c r="E42" s="368" t="s">
        <v>267</v>
      </c>
      <c r="F42" s="358">
        <v>0</v>
      </c>
      <c r="G42" s="359">
        <v>0</v>
      </c>
      <c r="H42" s="361">
        <v>0</v>
      </c>
      <c r="I42" s="358">
        <v>0</v>
      </c>
      <c r="J42" s="359">
        <v>0</v>
      </c>
      <c r="K42" s="369" t="s">
        <v>242</v>
      </c>
    </row>
    <row r="43" spans="1:11" ht="14.4" customHeight="1" thickBot="1" x14ac:dyDescent="0.35">
      <c r="A43" s="381" t="s">
        <v>282</v>
      </c>
      <c r="B43" s="363">
        <v>576.59639128680999</v>
      </c>
      <c r="C43" s="363">
        <v>399.73052999999999</v>
      </c>
      <c r="D43" s="364">
        <v>-176.86586128680901</v>
      </c>
      <c r="E43" s="370">
        <v>0.69325881333999995</v>
      </c>
      <c r="F43" s="363">
        <v>465.27298046276201</v>
      </c>
      <c r="G43" s="364">
        <v>77.545496743792995</v>
      </c>
      <c r="H43" s="366">
        <v>13.018599999999999</v>
      </c>
      <c r="I43" s="363">
        <v>48.304020000000001</v>
      </c>
      <c r="J43" s="364">
        <v>-29.241476743793001</v>
      </c>
      <c r="K43" s="371">
        <v>0.103818665661</v>
      </c>
    </row>
    <row r="44" spans="1:11" ht="14.4" customHeight="1" thickBot="1" x14ac:dyDescent="0.35">
      <c r="A44" s="378" t="s">
        <v>27</v>
      </c>
      <c r="B44" s="358">
        <v>145.40613290015901</v>
      </c>
      <c r="C44" s="358">
        <v>16.396650000000001</v>
      </c>
      <c r="D44" s="359">
        <v>-129.00948290015901</v>
      </c>
      <c r="E44" s="360">
        <v>0.11276450087000001</v>
      </c>
      <c r="F44" s="358">
        <v>16.72504391647</v>
      </c>
      <c r="G44" s="359">
        <v>2.7875073194110001</v>
      </c>
      <c r="H44" s="361">
        <v>1.722</v>
      </c>
      <c r="I44" s="358">
        <v>6.5006500000000003</v>
      </c>
      <c r="J44" s="359">
        <v>3.7131426805880001</v>
      </c>
      <c r="K44" s="362">
        <v>0.388677604224</v>
      </c>
    </row>
    <row r="45" spans="1:11" ht="14.4" customHeight="1" thickBot="1" x14ac:dyDescent="0.35">
      <c r="A45" s="382" t="s">
        <v>283</v>
      </c>
      <c r="B45" s="358">
        <v>145.40613290015901</v>
      </c>
      <c r="C45" s="358">
        <v>16.396650000000001</v>
      </c>
      <c r="D45" s="359">
        <v>-129.00948290015901</v>
      </c>
      <c r="E45" s="360">
        <v>0.11276450087000001</v>
      </c>
      <c r="F45" s="358">
        <v>16.72504391647</v>
      </c>
      <c r="G45" s="359">
        <v>2.7875073194110001</v>
      </c>
      <c r="H45" s="361">
        <v>1.722</v>
      </c>
      <c r="I45" s="358">
        <v>6.5006500000000003</v>
      </c>
      <c r="J45" s="359">
        <v>3.7131426805880001</v>
      </c>
      <c r="K45" s="362">
        <v>0.388677604224</v>
      </c>
    </row>
    <row r="46" spans="1:11" ht="14.4" customHeight="1" thickBot="1" x14ac:dyDescent="0.35">
      <c r="A46" s="380" t="s">
        <v>284</v>
      </c>
      <c r="B46" s="358">
        <v>83.879879755079003</v>
      </c>
      <c r="C46" s="358">
        <v>15.96515</v>
      </c>
      <c r="D46" s="359">
        <v>-67.914729755078994</v>
      </c>
      <c r="E46" s="360">
        <v>0.19033348696499999</v>
      </c>
      <c r="F46" s="358">
        <v>16.318299009777999</v>
      </c>
      <c r="G46" s="359">
        <v>2.7197165016290001</v>
      </c>
      <c r="H46" s="361">
        <v>0.872</v>
      </c>
      <c r="I46" s="358">
        <v>0.872</v>
      </c>
      <c r="J46" s="359">
        <v>-1.847716501629</v>
      </c>
      <c r="K46" s="362">
        <v>5.3436942139E-2</v>
      </c>
    </row>
    <row r="47" spans="1:11" ht="14.4" customHeight="1" thickBot="1" x14ac:dyDescent="0.35">
      <c r="A47" s="380" t="s">
        <v>285</v>
      </c>
      <c r="B47" s="358">
        <v>55.834531247377001</v>
      </c>
      <c r="C47" s="358">
        <v>0.43149999999999999</v>
      </c>
      <c r="D47" s="359">
        <v>-55.403031247377001</v>
      </c>
      <c r="E47" s="360">
        <v>7.7281923989999998E-3</v>
      </c>
      <c r="F47" s="358">
        <v>0.406744906691</v>
      </c>
      <c r="G47" s="359">
        <v>6.7790817781000004E-2</v>
      </c>
      <c r="H47" s="361">
        <v>0.85</v>
      </c>
      <c r="I47" s="358">
        <v>0.85</v>
      </c>
      <c r="J47" s="359">
        <v>0.78220918221799995</v>
      </c>
      <c r="K47" s="362">
        <v>2.089761877815</v>
      </c>
    </row>
    <row r="48" spans="1:11" ht="14.4" customHeight="1" thickBot="1" x14ac:dyDescent="0.35">
      <c r="A48" s="380" t="s">
        <v>286</v>
      </c>
      <c r="B48" s="358">
        <v>5.6917218977020001</v>
      </c>
      <c r="C48" s="358">
        <v>0</v>
      </c>
      <c r="D48" s="359">
        <v>-5.6917218977020001</v>
      </c>
      <c r="E48" s="360">
        <v>0</v>
      </c>
      <c r="F48" s="358">
        <v>0</v>
      </c>
      <c r="G48" s="359">
        <v>0</v>
      </c>
      <c r="H48" s="361">
        <v>0</v>
      </c>
      <c r="I48" s="358">
        <v>4.7786499999999998</v>
      </c>
      <c r="J48" s="359">
        <v>4.7786499999999998</v>
      </c>
      <c r="K48" s="369" t="s">
        <v>267</v>
      </c>
    </row>
    <row r="49" spans="1:11" ht="14.4" customHeight="1" thickBot="1" x14ac:dyDescent="0.35">
      <c r="A49" s="383" t="s">
        <v>28</v>
      </c>
      <c r="B49" s="363">
        <v>0</v>
      </c>
      <c r="C49" s="363">
        <v>30.241</v>
      </c>
      <c r="D49" s="364">
        <v>30.241</v>
      </c>
      <c r="E49" s="365" t="s">
        <v>242</v>
      </c>
      <c r="F49" s="363">
        <v>0</v>
      </c>
      <c r="G49" s="364">
        <v>0</v>
      </c>
      <c r="H49" s="366">
        <v>1.59</v>
      </c>
      <c r="I49" s="363">
        <v>2.1070000000000002</v>
      </c>
      <c r="J49" s="364">
        <v>2.1070000000000002</v>
      </c>
      <c r="K49" s="367" t="s">
        <v>242</v>
      </c>
    </row>
    <row r="50" spans="1:11" ht="14.4" customHeight="1" thickBot="1" x14ac:dyDescent="0.35">
      <c r="A50" s="379" t="s">
        <v>287</v>
      </c>
      <c r="B50" s="363">
        <v>0</v>
      </c>
      <c r="C50" s="363">
        <v>21.204000000000001</v>
      </c>
      <c r="D50" s="364">
        <v>21.204000000000001</v>
      </c>
      <c r="E50" s="365" t="s">
        <v>242</v>
      </c>
      <c r="F50" s="363">
        <v>0</v>
      </c>
      <c r="G50" s="364">
        <v>0</v>
      </c>
      <c r="H50" s="366">
        <v>1.59</v>
      </c>
      <c r="I50" s="363">
        <v>2.1070000000000002</v>
      </c>
      <c r="J50" s="364">
        <v>2.1070000000000002</v>
      </c>
      <c r="K50" s="367" t="s">
        <v>242</v>
      </c>
    </row>
    <row r="51" spans="1:11" ht="14.4" customHeight="1" thickBot="1" x14ac:dyDescent="0.35">
      <c r="A51" s="380" t="s">
        <v>288</v>
      </c>
      <c r="B51" s="358">
        <v>0</v>
      </c>
      <c r="C51" s="358">
        <v>21.204000000000001</v>
      </c>
      <c r="D51" s="359">
        <v>21.204000000000001</v>
      </c>
      <c r="E51" s="368" t="s">
        <v>242</v>
      </c>
      <c r="F51" s="358">
        <v>0</v>
      </c>
      <c r="G51" s="359">
        <v>0</v>
      </c>
      <c r="H51" s="361">
        <v>1.59</v>
      </c>
      <c r="I51" s="358">
        <v>2.1070000000000002</v>
      </c>
      <c r="J51" s="359">
        <v>2.1070000000000002</v>
      </c>
      <c r="K51" s="369" t="s">
        <v>242</v>
      </c>
    </row>
    <row r="52" spans="1:11" ht="14.4" customHeight="1" thickBot="1" x14ac:dyDescent="0.35">
      <c r="A52" s="379" t="s">
        <v>289</v>
      </c>
      <c r="B52" s="363">
        <v>0</v>
      </c>
      <c r="C52" s="363">
        <v>9.0370000000000008</v>
      </c>
      <c r="D52" s="364">
        <v>9.0370000000000008</v>
      </c>
      <c r="E52" s="365" t="s">
        <v>242</v>
      </c>
      <c r="F52" s="363">
        <v>0</v>
      </c>
      <c r="G52" s="364">
        <v>0</v>
      </c>
      <c r="H52" s="366">
        <v>0</v>
      </c>
      <c r="I52" s="363">
        <v>0</v>
      </c>
      <c r="J52" s="364">
        <v>0</v>
      </c>
      <c r="K52" s="371">
        <v>0</v>
      </c>
    </row>
    <row r="53" spans="1:11" ht="14.4" customHeight="1" thickBot="1" x14ac:dyDescent="0.35">
      <c r="A53" s="380" t="s">
        <v>290</v>
      </c>
      <c r="B53" s="358">
        <v>0</v>
      </c>
      <c r="C53" s="358">
        <v>9.0370000000000008</v>
      </c>
      <c r="D53" s="359">
        <v>9.0370000000000008</v>
      </c>
      <c r="E53" s="368" t="s">
        <v>242</v>
      </c>
      <c r="F53" s="358">
        <v>0</v>
      </c>
      <c r="G53" s="359">
        <v>0</v>
      </c>
      <c r="H53" s="361">
        <v>0</v>
      </c>
      <c r="I53" s="358">
        <v>0</v>
      </c>
      <c r="J53" s="359">
        <v>0</v>
      </c>
      <c r="K53" s="362">
        <v>0</v>
      </c>
    </row>
    <row r="54" spans="1:11" ht="14.4" customHeight="1" thickBot="1" x14ac:dyDescent="0.35">
      <c r="A54" s="378" t="s">
        <v>29</v>
      </c>
      <c r="B54" s="358">
        <v>431.19025838665101</v>
      </c>
      <c r="C54" s="358">
        <v>353.09287999999998</v>
      </c>
      <c r="D54" s="359">
        <v>-78.097378386650007</v>
      </c>
      <c r="E54" s="360">
        <v>0.81887953897900001</v>
      </c>
      <c r="F54" s="358">
        <v>448.54793654629202</v>
      </c>
      <c r="G54" s="359">
        <v>74.757989424380995</v>
      </c>
      <c r="H54" s="361">
        <v>9.7065999999999999</v>
      </c>
      <c r="I54" s="358">
        <v>39.696370000000002</v>
      </c>
      <c r="J54" s="359">
        <v>-35.061619424381</v>
      </c>
      <c r="K54" s="362">
        <v>8.8499727153999994E-2</v>
      </c>
    </row>
    <row r="55" spans="1:11" ht="14.4" customHeight="1" thickBot="1" x14ac:dyDescent="0.35">
      <c r="A55" s="379" t="s">
        <v>291</v>
      </c>
      <c r="B55" s="363">
        <v>2.0781818738269999</v>
      </c>
      <c r="C55" s="363">
        <v>6.9817999999999998</v>
      </c>
      <c r="D55" s="364">
        <v>4.9036181261719998</v>
      </c>
      <c r="E55" s="370">
        <v>3.3595712136309999</v>
      </c>
      <c r="F55" s="363">
        <v>6.9999997795160001</v>
      </c>
      <c r="G55" s="364">
        <v>1.1666666299190001</v>
      </c>
      <c r="H55" s="366">
        <v>0</v>
      </c>
      <c r="I55" s="363">
        <v>0</v>
      </c>
      <c r="J55" s="364">
        <v>-1.1666666299190001</v>
      </c>
      <c r="K55" s="371">
        <v>0</v>
      </c>
    </row>
    <row r="56" spans="1:11" ht="14.4" customHeight="1" thickBot="1" x14ac:dyDescent="0.35">
      <c r="A56" s="380" t="s">
        <v>292</v>
      </c>
      <c r="B56" s="358">
        <v>2.0781818738269999</v>
      </c>
      <c r="C56" s="358">
        <v>6.9817999999999998</v>
      </c>
      <c r="D56" s="359">
        <v>4.9036181261719998</v>
      </c>
      <c r="E56" s="360">
        <v>3.3595712136309999</v>
      </c>
      <c r="F56" s="358">
        <v>6.9999997795160001</v>
      </c>
      <c r="G56" s="359">
        <v>1.1666666299190001</v>
      </c>
      <c r="H56" s="361">
        <v>0</v>
      </c>
      <c r="I56" s="358">
        <v>0</v>
      </c>
      <c r="J56" s="359">
        <v>-1.1666666299190001</v>
      </c>
      <c r="K56" s="362">
        <v>0</v>
      </c>
    </row>
    <row r="57" spans="1:11" ht="14.4" customHeight="1" thickBot="1" x14ac:dyDescent="0.35">
      <c r="A57" s="379" t="s">
        <v>293</v>
      </c>
      <c r="B57" s="363">
        <v>44.350146169155003</v>
      </c>
      <c r="C57" s="363">
        <v>38.335239999999999</v>
      </c>
      <c r="D57" s="364">
        <v>-6.0149061691550001</v>
      </c>
      <c r="E57" s="370">
        <v>0.86437685805499997</v>
      </c>
      <c r="F57" s="363">
        <v>33.198399692080002</v>
      </c>
      <c r="G57" s="364">
        <v>5.5330666153459998</v>
      </c>
      <c r="H57" s="366">
        <v>0.2893</v>
      </c>
      <c r="I57" s="363">
        <v>0.1928</v>
      </c>
      <c r="J57" s="364">
        <v>-5.3402666153459997</v>
      </c>
      <c r="K57" s="371">
        <v>5.8075088489999999E-3</v>
      </c>
    </row>
    <row r="58" spans="1:11" ht="14.4" customHeight="1" thickBot="1" x14ac:dyDescent="0.35">
      <c r="A58" s="380" t="s">
        <v>294</v>
      </c>
      <c r="B58" s="358">
        <v>0.43988407792799999</v>
      </c>
      <c r="C58" s="358">
        <v>1.9E-2</v>
      </c>
      <c r="D58" s="359">
        <v>-0.42088407792799998</v>
      </c>
      <c r="E58" s="360">
        <v>4.3193197829000003E-2</v>
      </c>
      <c r="F58" s="358">
        <v>1.8464225194000001E-2</v>
      </c>
      <c r="G58" s="359">
        <v>3.0773708649999999E-3</v>
      </c>
      <c r="H58" s="361">
        <v>0</v>
      </c>
      <c r="I58" s="358">
        <v>0</v>
      </c>
      <c r="J58" s="359">
        <v>-3.0773708649999999E-3</v>
      </c>
      <c r="K58" s="362">
        <v>0</v>
      </c>
    </row>
    <row r="59" spans="1:11" ht="14.4" customHeight="1" thickBot="1" x14ac:dyDescent="0.35">
      <c r="A59" s="380" t="s">
        <v>295</v>
      </c>
      <c r="B59" s="358">
        <v>39.989183536014998</v>
      </c>
      <c r="C59" s="358">
        <v>33.273000000000003</v>
      </c>
      <c r="D59" s="359">
        <v>-6.7161835360150004</v>
      </c>
      <c r="E59" s="360">
        <v>0.83204999596999996</v>
      </c>
      <c r="F59" s="358">
        <v>27.434868072655998</v>
      </c>
      <c r="G59" s="359">
        <v>4.5724780121090003</v>
      </c>
      <c r="H59" s="361">
        <v>0</v>
      </c>
      <c r="I59" s="358">
        <v>0</v>
      </c>
      <c r="J59" s="359">
        <v>-4.5724780121090003</v>
      </c>
      <c r="K59" s="362">
        <v>0</v>
      </c>
    </row>
    <row r="60" spans="1:11" ht="14.4" customHeight="1" thickBot="1" x14ac:dyDescent="0.35">
      <c r="A60" s="380" t="s">
        <v>296</v>
      </c>
      <c r="B60" s="358">
        <v>3.921078555212</v>
      </c>
      <c r="C60" s="358">
        <v>5.0432399999999999</v>
      </c>
      <c r="D60" s="359">
        <v>1.1221614447870001</v>
      </c>
      <c r="E60" s="360">
        <v>1.2861869327490001</v>
      </c>
      <c r="F60" s="358">
        <v>5.7450673942280002</v>
      </c>
      <c r="G60" s="359">
        <v>0.957511232371</v>
      </c>
      <c r="H60" s="361">
        <v>0.2893</v>
      </c>
      <c r="I60" s="358">
        <v>0.1928</v>
      </c>
      <c r="J60" s="359">
        <v>-0.76471123237100003</v>
      </c>
      <c r="K60" s="362">
        <v>3.3559223377E-2</v>
      </c>
    </row>
    <row r="61" spans="1:11" ht="14.4" customHeight="1" thickBot="1" x14ac:dyDescent="0.35">
      <c r="A61" s="379" t="s">
        <v>297</v>
      </c>
      <c r="B61" s="363">
        <v>13.441202956276999</v>
      </c>
      <c r="C61" s="363">
        <v>14.5502</v>
      </c>
      <c r="D61" s="364">
        <v>1.108997043722</v>
      </c>
      <c r="E61" s="370">
        <v>1.082507276121</v>
      </c>
      <c r="F61" s="363">
        <v>16.99999946454</v>
      </c>
      <c r="G61" s="364">
        <v>2.8333332440899999</v>
      </c>
      <c r="H61" s="366">
        <v>0.88427</v>
      </c>
      <c r="I61" s="363">
        <v>2.2682899999999999</v>
      </c>
      <c r="J61" s="364">
        <v>-0.56504324408999995</v>
      </c>
      <c r="K61" s="371">
        <v>0.13342882773199999</v>
      </c>
    </row>
    <row r="62" spans="1:11" ht="14.4" customHeight="1" thickBot="1" x14ac:dyDescent="0.35">
      <c r="A62" s="380" t="s">
        <v>298</v>
      </c>
      <c r="B62" s="358">
        <v>1.6780130766300001</v>
      </c>
      <c r="C62" s="358">
        <v>1.62</v>
      </c>
      <c r="D62" s="359">
        <v>-5.801307663E-2</v>
      </c>
      <c r="E62" s="360">
        <v>0.96542751815299999</v>
      </c>
      <c r="F62" s="358">
        <v>1.999999937004</v>
      </c>
      <c r="G62" s="359">
        <v>0.33333332283400002</v>
      </c>
      <c r="H62" s="361">
        <v>0</v>
      </c>
      <c r="I62" s="358">
        <v>0.40500000000000003</v>
      </c>
      <c r="J62" s="359">
        <v>7.1666677164999998E-2</v>
      </c>
      <c r="K62" s="362">
        <v>0.202500006378</v>
      </c>
    </row>
    <row r="63" spans="1:11" ht="14.4" customHeight="1" thickBot="1" x14ac:dyDescent="0.35">
      <c r="A63" s="380" t="s">
        <v>299</v>
      </c>
      <c r="B63" s="358">
        <v>11.763189879645999</v>
      </c>
      <c r="C63" s="358">
        <v>12.930199999999999</v>
      </c>
      <c r="D63" s="359">
        <v>1.1670101203529999</v>
      </c>
      <c r="E63" s="360">
        <v>1.099208644278</v>
      </c>
      <c r="F63" s="358">
        <v>14.999999527536</v>
      </c>
      <c r="G63" s="359">
        <v>2.4999999212559998</v>
      </c>
      <c r="H63" s="361">
        <v>0.88427</v>
      </c>
      <c r="I63" s="358">
        <v>1.8632899999999999</v>
      </c>
      <c r="J63" s="359">
        <v>-0.63670992125600001</v>
      </c>
      <c r="K63" s="362">
        <v>0.12421933724500001</v>
      </c>
    </row>
    <row r="64" spans="1:11" ht="14.4" customHeight="1" thickBot="1" x14ac:dyDescent="0.35">
      <c r="A64" s="379" t="s">
        <v>300</v>
      </c>
      <c r="B64" s="363">
        <v>55.319776613099002</v>
      </c>
      <c r="C64" s="363">
        <v>46.090060000000001</v>
      </c>
      <c r="D64" s="364">
        <v>-9.2297166130980006</v>
      </c>
      <c r="E64" s="370">
        <v>0.83315701584099999</v>
      </c>
      <c r="F64" s="363">
        <v>45.985110726770998</v>
      </c>
      <c r="G64" s="364">
        <v>7.6641851211279999</v>
      </c>
      <c r="H64" s="366">
        <v>3.9260299999999999</v>
      </c>
      <c r="I64" s="363">
        <v>8.0117999999999991</v>
      </c>
      <c r="J64" s="364">
        <v>0.34761487887100001</v>
      </c>
      <c r="K64" s="371">
        <v>0.17422595865000001</v>
      </c>
    </row>
    <row r="65" spans="1:11" ht="14.4" customHeight="1" thickBot="1" x14ac:dyDescent="0.35">
      <c r="A65" s="380" t="s">
        <v>301</v>
      </c>
      <c r="B65" s="358">
        <v>43.296030800247003</v>
      </c>
      <c r="C65" s="358">
        <v>45.718060000000001</v>
      </c>
      <c r="D65" s="359">
        <v>2.422029199752</v>
      </c>
      <c r="E65" s="360">
        <v>1.055941137212</v>
      </c>
      <c r="F65" s="358">
        <v>45.682370026051998</v>
      </c>
      <c r="G65" s="359">
        <v>7.613728337675</v>
      </c>
      <c r="H65" s="361">
        <v>3.9260299999999999</v>
      </c>
      <c r="I65" s="358">
        <v>8.0117999999999991</v>
      </c>
      <c r="J65" s="359">
        <v>0.39807166232399999</v>
      </c>
      <c r="K65" s="362">
        <v>0.175380567939</v>
      </c>
    </row>
    <row r="66" spans="1:11" ht="14.4" customHeight="1" thickBot="1" x14ac:dyDescent="0.35">
      <c r="A66" s="380" t="s">
        <v>302</v>
      </c>
      <c r="B66" s="358">
        <v>0</v>
      </c>
      <c r="C66" s="358">
        <v>0.372</v>
      </c>
      <c r="D66" s="359">
        <v>0.372</v>
      </c>
      <c r="E66" s="368" t="s">
        <v>242</v>
      </c>
      <c r="F66" s="358">
        <v>0.302740700719</v>
      </c>
      <c r="G66" s="359">
        <v>5.0456783452999997E-2</v>
      </c>
      <c r="H66" s="361">
        <v>0</v>
      </c>
      <c r="I66" s="358">
        <v>0</v>
      </c>
      <c r="J66" s="359">
        <v>-5.0456783452999997E-2</v>
      </c>
      <c r="K66" s="362">
        <v>0</v>
      </c>
    </row>
    <row r="67" spans="1:11" ht="14.4" customHeight="1" thickBot="1" x14ac:dyDescent="0.35">
      <c r="A67" s="379" t="s">
        <v>303</v>
      </c>
      <c r="B67" s="363">
        <v>236.00095077429299</v>
      </c>
      <c r="C67" s="363">
        <v>208.16094000000001</v>
      </c>
      <c r="D67" s="364">
        <v>-27.840010774292001</v>
      </c>
      <c r="E67" s="370">
        <v>0.88203432790000003</v>
      </c>
      <c r="F67" s="363">
        <v>230.364430505603</v>
      </c>
      <c r="G67" s="364">
        <v>38.394071750933001</v>
      </c>
      <c r="H67" s="366">
        <v>0</v>
      </c>
      <c r="I67" s="363">
        <v>15.44928</v>
      </c>
      <c r="J67" s="364">
        <v>-22.944791750933</v>
      </c>
      <c r="K67" s="371">
        <v>6.7064520185999996E-2</v>
      </c>
    </row>
    <row r="68" spans="1:11" ht="14.4" customHeight="1" thickBot="1" x14ac:dyDescent="0.35">
      <c r="A68" s="380" t="s">
        <v>304</v>
      </c>
      <c r="B68" s="358">
        <v>139.686553552552</v>
      </c>
      <c r="C68" s="358">
        <v>115.10892</v>
      </c>
      <c r="D68" s="359">
        <v>-24.577633552550999</v>
      </c>
      <c r="E68" s="360">
        <v>0.82405154306200001</v>
      </c>
      <c r="F68" s="358">
        <v>116.885885911087</v>
      </c>
      <c r="G68" s="359">
        <v>19.480980985180999</v>
      </c>
      <c r="H68" s="361">
        <v>0</v>
      </c>
      <c r="I68" s="358">
        <v>15.44928</v>
      </c>
      <c r="J68" s="359">
        <v>-4.0317009851809997</v>
      </c>
      <c r="K68" s="362">
        <v>0.13217404205399999</v>
      </c>
    </row>
    <row r="69" spans="1:11" ht="14.4" customHeight="1" thickBot="1" x14ac:dyDescent="0.35">
      <c r="A69" s="380" t="s">
        <v>305</v>
      </c>
      <c r="B69" s="358">
        <v>96.314397221739995</v>
      </c>
      <c r="C69" s="358">
        <v>93.052019999999999</v>
      </c>
      <c r="D69" s="359">
        <v>-3.26237722174</v>
      </c>
      <c r="E69" s="360">
        <v>0.966127834302</v>
      </c>
      <c r="F69" s="358">
        <v>113.47854459451599</v>
      </c>
      <c r="G69" s="359">
        <v>18.913090765751999</v>
      </c>
      <c r="H69" s="361">
        <v>0</v>
      </c>
      <c r="I69" s="358">
        <v>0</v>
      </c>
      <c r="J69" s="359">
        <v>-18.913090765751999</v>
      </c>
      <c r="K69" s="362">
        <v>0</v>
      </c>
    </row>
    <row r="70" spans="1:11" ht="14.4" customHeight="1" thickBot="1" x14ac:dyDescent="0.35">
      <c r="A70" s="379" t="s">
        <v>306</v>
      </c>
      <c r="B70" s="363">
        <v>79.999999999997996</v>
      </c>
      <c r="C70" s="363">
        <v>38.974640000000001</v>
      </c>
      <c r="D70" s="364">
        <v>-41.025359999998003</v>
      </c>
      <c r="E70" s="370">
        <v>0.48718299999999998</v>
      </c>
      <c r="F70" s="363">
        <v>114.999996377779</v>
      </c>
      <c r="G70" s="364">
        <v>19.166666062962999</v>
      </c>
      <c r="H70" s="366">
        <v>4.6070000000000002</v>
      </c>
      <c r="I70" s="363">
        <v>13.7742</v>
      </c>
      <c r="J70" s="364">
        <v>-5.3924660629629999</v>
      </c>
      <c r="K70" s="371">
        <v>0.119775655946</v>
      </c>
    </row>
    <row r="71" spans="1:11" ht="14.4" customHeight="1" thickBot="1" x14ac:dyDescent="0.35">
      <c r="A71" s="380" t="s">
        <v>307</v>
      </c>
      <c r="B71" s="358">
        <v>0</v>
      </c>
      <c r="C71" s="358">
        <v>4.4089999999999998</v>
      </c>
      <c r="D71" s="359">
        <v>4.4089999999999998</v>
      </c>
      <c r="E71" s="368" t="s">
        <v>242</v>
      </c>
      <c r="F71" s="358">
        <v>0</v>
      </c>
      <c r="G71" s="359">
        <v>0</v>
      </c>
      <c r="H71" s="361">
        <v>0</v>
      </c>
      <c r="I71" s="358">
        <v>0</v>
      </c>
      <c r="J71" s="359">
        <v>0</v>
      </c>
      <c r="K71" s="369" t="s">
        <v>242</v>
      </c>
    </row>
    <row r="72" spans="1:11" ht="14.4" customHeight="1" thickBot="1" x14ac:dyDescent="0.35">
      <c r="A72" s="380" t="s">
        <v>308</v>
      </c>
      <c r="B72" s="358">
        <v>29.999999999999002</v>
      </c>
      <c r="C72" s="358">
        <v>34.565640000000002</v>
      </c>
      <c r="D72" s="359">
        <v>4.5656400000000001</v>
      </c>
      <c r="E72" s="360">
        <v>1.152188</v>
      </c>
      <c r="F72" s="358">
        <v>39.999998740095997</v>
      </c>
      <c r="G72" s="359">
        <v>6.666666456682</v>
      </c>
      <c r="H72" s="361">
        <v>0.372</v>
      </c>
      <c r="I72" s="358">
        <v>9.5391999999999992</v>
      </c>
      <c r="J72" s="359">
        <v>2.8725335433170001</v>
      </c>
      <c r="K72" s="362">
        <v>0.23848000751099999</v>
      </c>
    </row>
    <row r="73" spans="1:11" ht="14.4" customHeight="1" thickBot="1" x14ac:dyDescent="0.35">
      <c r="A73" s="380" t="s">
        <v>309</v>
      </c>
      <c r="B73" s="358">
        <v>49.999999999998998</v>
      </c>
      <c r="C73" s="358">
        <v>0</v>
      </c>
      <c r="D73" s="359">
        <v>-49.999999999998998</v>
      </c>
      <c r="E73" s="360">
        <v>0</v>
      </c>
      <c r="F73" s="358">
        <v>74.999997637681005</v>
      </c>
      <c r="G73" s="359">
        <v>12.499999606279999</v>
      </c>
      <c r="H73" s="361">
        <v>4.2350000000000003</v>
      </c>
      <c r="I73" s="358">
        <v>4.2350000000000003</v>
      </c>
      <c r="J73" s="359">
        <v>-8.26499960628</v>
      </c>
      <c r="K73" s="362">
        <v>5.6466668445E-2</v>
      </c>
    </row>
    <row r="74" spans="1:11" ht="14.4" customHeight="1" thickBot="1" x14ac:dyDescent="0.35">
      <c r="A74" s="377" t="s">
        <v>30</v>
      </c>
      <c r="B74" s="358">
        <v>17309.079657865099</v>
      </c>
      <c r="C74" s="358">
        <v>17122.328819999999</v>
      </c>
      <c r="D74" s="359">
        <v>-186.75083786504501</v>
      </c>
      <c r="E74" s="360">
        <v>0.98921081642899999</v>
      </c>
      <c r="F74" s="358">
        <v>19075.999399152199</v>
      </c>
      <c r="G74" s="359">
        <v>3179.3332331920401</v>
      </c>
      <c r="H74" s="361">
        <v>1350.79306</v>
      </c>
      <c r="I74" s="358">
        <v>2752.0704500000002</v>
      </c>
      <c r="J74" s="359">
        <v>-427.26278319203601</v>
      </c>
      <c r="K74" s="362">
        <v>0.14426874274900001</v>
      </c>
    </row>
    <row r="75" spans="1:11" ht="14.4" customHeight="1" thickBot="1" x14ac:dyDescent="0.35">
      <c r="A75" s="383" t="s">
        <v>310</v>
      </c>
      <c r="B75" s="363">
        <v>13142.9999999998</v>
      </c>
      <c r="C75" s="363">
        <v>12737.364</v>
      </c>
      <c r="D75" s="364">
        <v>-405.63599999975099</v>
      </c>
      <c r="E75" s="370">
        <v>0.96913672677399998</v>
      </c>
      <c r="F75" s="363">
        <v>14490.9995435686</v>
      </c>
      <c r="G75" s="364">
        <v>2415.1665905947698</v>
      </c>
      <c r="H75" s="366">
        <v>1003.885</v>
      </c>
      <c r="I75" s="363">
        <v>2045.2449999999999</v>
      </c>
      <c r="J75" s="364">
        <v>-369.92159059476802</v>
      </c>
      <c r="K75" s="371">
        <v>0.141138987262</v>
      </c>
    </row>
    <row r="76" spans="1:11" ht="14.4" customHeight="1" thickBot="1" x14ac:dyDescent="0.35">
      <c r="A76" s="379" t="s">
        <v>311</v>
      </c>
      <c r="B76" s="363">
        <v>11903.9999999998</v>
      </c>
      <c r="C76" s="363">
        <v>11379.76</v>
      </c>
      <c r="D76" s="364">
        <v>-524.23999999977605</v>
      </c>
      <c r="E76" s="370">
        <v>0.95596102150499995</v>
      </c>
      <c r="F76" s="363">
        <v>13099.999587381801</v>
      </c>
      <c r="G76" s="364">
        <v>2183.3332645636301</v>
      </c>
      <c r="H76" s="366">
        <v>898.61500000000206</v>
      </c>
      <c r="I76" s="363">
        <v>1824.5350000000001</v>
      </c>
      <c r="J76" s="364">
        <v>-358.79826456362298</v>
      </c>
      <c r="K76" s="371">
        <v>0.13927748530199999</v>
      </c>
    </row>
    <row r="77" spans="1:11" ht="14.4" customHeight="1" thickBot="1" x14ac:dyDescent="0.35">
      <c r="A77" s="380" t="s">
        <v>312</v>
      </c>
      <c r="B77" s="358">
        <v>11903.9999999998</v>
      </c>
      <c r="C77" s="358">
        <v>11379.76</v>
      </c>
      <c r="D77" s="359">
        <v>-524.23999999977605</v>
      </c>
      <c r="E77" s="360">
        <v>0.95596102150499995</v>
      </c>
      <c r="F77" s="358">
        <v>13099.999587381801</v>
      </c>
      <c r="G77" s="359">
        <v>2183.3332645636301</v>
      </c>
      <c r="H77" s="361">
        <v>898.61500000000206</v>
      </c>
      <c r="I77" s="358">
        <v>1824.5350000000001</v>
      </c>
      <c r="J77" s="359">
        <v>-358.79826456362298</v>
      </c>
      <c r="K77" s="362">
        <v>0.13927748530199999</v>
      </c>
    </row>
    <row r="78" spans="1:11" ht="14.4" customHeight="1" thickBot="1" x14ac:dyDescent="0.35">
      <c r="A78" s="379" t="s">
        <v>313</v>
      </c>
      <c r="B78" s="363">
        <v>1201.99999999998</v>
      </c>
      <c r="C78" s="363">
        <v>1303.2</v>
      </c>
      <c r="D78" s="364">
        <v>101.200000000023</v>
      </c>
      <c r="E78" s="370">
        <v>1.084193011647</v>
      </c>
      <c r="F78" s="363">
        <v>1349.9999574782701</v>
      </c>
      <c r="G78" s="364">
        <v>224.99999291304499</v>
      </c>
      <c r="H78" s="366">
        <v>105.27</v>
      </c>
      <c r="I78" s="363">
        <v>220.71</v>
      </c>
      <c r="J78" s="364">
        <v>-4.2899929130450003</v>
      </c>
      <c r="K78" s="371">
        <v>0.16348889403799999</v>
      </c>
    </row>
    <row r="79" spans="1:11" ht="14.4" customHeight="1" thickBot="1" x14ac:dyDescent="0.35">
      <c r="A79" s="380" t="s">
        <v>314</v>
      </c>
      <c r="B79" s="358">
        <v>1201.99999999998</v>
      </c>
      <c r="C79" s="358">
        <v>1303.2</v>
      </c>
      <c r="D79" s="359">
        <v>101.200000000023</v>
      </c>
      <c r="E79" s="360">
        <v>1.084193011647</v>
      </c>
      <c r="F79" s="358">
        <v>1349.9999574782701</v>
      </c>
      <c r="G79" s="359">
        <v>224.99999291304499</v>
      </c>
      <c r="H79" s="361">
        <v>105.27</v>
      </c>
      <c r="I79" s="358">
        <v>220.71</v>
      </c>
      <c r="J79" s="359">
        <v>-4.2899929130450003</v>
      </c>
      <c r="K79" s="362">
        <v>0.16348889403799999</v>
      </c>
    </row>
    <row r="80" spans="1:11" ht="14.4" customHeight="1" thickBot="1" x14ac:dyDescent="0.35">
      <c r="A80" s="379" t="s">
        <v>315</v>
      </c>
      <c r="B80" s="363">
        <v>0</v>
      </c>
      <c r="C80" s="363">
        <v>43.265999999999998</v>
      </c>
      <c r="D80" s="364">
        <v>43.265999999999998</v>
      </c>
      <c r="E80" s="365" t="s">
        <v>267</v>
      </c>
      <c r="F80" s="363">
        <v>0</v>
      </c>
      <c r="G80" s="364">
        <v>0</v>
      </c>
      <c r="H80" s="366">
        <v>0</v>
      </c>
      <c r="I80" s="363">
        <v>0</v>
      </c>
      <c r="J80" s="364">
        <v>0</v>
      </c>
      <c r="K80" s="367" t="s">
        <v>242</v>
      </c>
    </row>
    <row r="81" spans="1:11" ht="14.4" customHeight="1" thickBot="1" x14ac:dyDescent="0.35">
      <c r="A81" s="380" t="s">
        <v>316</v>
      </c>
      <c r="B81" s="358">
        <v>0</v>
      </c>
      <c r="C81" s="358">
        <v>43.265999999999998</v>
      </c>
      <c r="D81" s="359">
        <v>43.265999999999998</v>
      </c>
      <c r="E81" s="368" t="s">
        <v>267</v>
      </c>
      <c r="F81" s="358">
        <v>0</v>
      </c>
      <c r="G81" s="359">
        <v>0</v>
      </c>
      <c r="H81" s="361">
        <v>0</v>
      </c>
      <c r="I81" s="358">
        <v>0</v>
      </c>
      <c r="J81" s="359">
        <v>0</v>
      </c>
      <c r="K81" s="369" t="s">
        <v>242</v>
      </c>
    </row>
    <row r="82" spans="1:11" ht="14.4" customHeight="1" thickBot="1" x14ac:dyDescent="0.35">
      <c r="A82" s="379" t="s">
        <v>317</v>
      </c>
      <c r="B82" s="363">
        <v>36.999999999998998</v>
      </c>
      <c r="C82" s="363">
        <v>11.138</v>
      </c>
      <c r="D82" s="364">
        <v>-25.861999999999</v>
      </c>
      <c r="E82" s="370">
        <v>0.30102702702700002</v>
      </c>
      <c r="F82" s="363">
        <v>40.999998708599001</v>
      </c>
      <c r="G82" s="364">
        <v>6.8333331180989996</v>
      </c>
      <c r="H82" s="366">
        <v>0</v>
      </c>
      <c r="I82" s="363">
        <v>0</v>
      </c>
      <c r="J82" s="364">
        <v>-6.8333331180989996</v>
      </c>
      <c r="K82" s="371">
        <v>0</v>
      </c>
    </row>
    <row r="83" spans="1:11" ht="14.4" customHeight="1" thickBot="1" x14ac:dyDescent="0.35">
      <c r="A83" s="380" t="s">
        <v>318</v>
      </c>
      <c r="B83" s="358">
        <v>36.999999999998998</v>
      </c>
      <c r="C83" s="358">
        <v>11.138</v>
      </c>
      <c r="D83" s="359">
        <v>-25.861999999999</v>
      </c>
      <c r="E83" s="360">
        <v>0.30102702702700002</v>
      </c>
      <c r="F83" s="358">
        <v>40.999998708599001</v>
      </c>
      <c r="G83" s="359">
        <v>6.8333331180989996</v>
      </c>
      <c r="H83" s="361">
        <v>0</v>
      </c>
      <c r="I83" s="358">
        <v>0</v>
      </c>
      <c r="J83" s="359">
        <v>-6.8333331180989996</v>
      </c>
      <c r="K83" s="362">
        <v>0</v>
      </c>
    </row>
    <row r="84" spans="1:11" ht="14.4" customHeight="1" thickBot="1" x14ac:dyDescent="0.35">
      <c r="A84" s="378" t="s">
        <v>319</v>
      </c>
      <c r="B84" s="358">
        <v>4047.0796578652999</v>
      </c>
      <c r="C84" s="358">
        <v>4271.0008399999997</v>
      </c>
      <c r="D84" s="359">
        <v>223.92118213470101</v>
      </c>
      <c r="E84" s="360">
        <v>1.055329077029</v>
      </c>
      <c r="F84" s="358">
        <v>4453.9998597097901</v>
      </c>
      <c r="G84" s="359">
        <v>742.33330995163203</v>
      </c>
      <c r="H84" s="361">
        <v>337.92133000000098</v>
      </c>
      <c r="I84" s="358">
        <v>688.58005000000105</v>
      </c>
      <c r="J84" s="359">
        <v>-53.753259951631001</v>
      </c>
      <c r="K84" s="362">
        <v>0.15459813015000001</v>
      </c>
    </row>
    <row r="85" spans="1:11" ht="14.4" customHeight="1" thickBot="1" x14ac:dyDescent="0.35">
      <c r="A85" s="379" t="s">
        <v>320</v>
      </c>
      <c r="B85" s="363">
        <v>1071.0796578653601</v>
      </c>
      <c r="C85" s="363">
        <v>1130.2608</v>
      </c>
      <c r="D85" s="364">
        <v>59.181142134639998</v>
      </c>
      <c r="E85" s="370">
        <v>1.055253726181</v>
      </c>
      <c r="F85" s="363">
        <v>1178.99996286436</v>
      </c>
      <c r="G85" s="364">
        <v>196.49999381072601</v>
      </c>
      <c r="H85" s="366">
        <v>89.450069999999997</v>
      </c>
      <c r="I85" s="363">
        <v>182.26877999999999</v>
      </c>
      <c r="J85" s="364">
        <v>-14.231213810726</v>
      </c>
      <c r="K85" s="371">
        <v>0.15459608629400001</v>
      </c>
    </row>
    <row r="86" spans="1:11" ht="14.4" customHeight="1" thickBot="1" x14ac:dyDescent="0.35">
      <c r="A86" s="380" t="s">
        <v>321</v>
      </c>
      <c r="B86" s="358">
        <v>1071.0796578653601</v>
      </c>
      <c r="C86" s="358">
        <v>1130.2608</v>
      </c>
      <c r="D86" s="359">
        <v>59.181142134639998</v>
      </c>
      <c r="E86" s="360">
        <v>1.055253726181</v>
      </c>
      <c r="F86" s="358">
        <v>1178.99996286436</v>
      </c>
      <c r="G86" s="359">
        <v>196.49999381072601</v>
      </c>
      <c r="H86" s="361">
        <v>89.450069999999997</v>
      </c>
      <c r="I86" s="358">
        <v>182.26877999999999</v>
      </c>
      <c r="J86" s="359">
        <v>-14.231213810726</v>
      </c>
      <c r="K86" s="362">
        <v>0.15459608629400001</v>
      </c>
    </row>
    <row r="87" spans="1:11" ht="14.4" customHeight="1" thickBot="1" x14ac:dyDescent="0.35">
      <c r="A87" s="379" t="s">
        <v>322</v>
      </c>
      <c r="B87" s="363">
        <v>2975.99999999994</v>
      </c>
      <c r="C87" s="363">
        <v>3140.7400400000001</v>
      </c>
      <c r="D87" s="364">
        <v>164.74004000006099</v>
      </c>
      <c r="E87" s="370">
        <v>1.0553561962360001</v>
      </c>
      <c r="F87" s="363">
        <v>3274.9998968454402</v>
      </c>
      <c r="G87" s="364">
        <v>545.83331614090605</v>
      </c>
      <c r="H87" s="366">
        <v>248.471260000001</v>
      </c>
      <c r="I87" s="363">
        <v>506.31126999999998</v>
      </c>
      <c r="J87" s="364">
        <v>-39.522046140904997</v>
      </c>
      <c r="K87" s="371">
        <v>0.15459886593800001</v>
      </c>
    </row>
    <row r="88" spans="1:11" ht="14.4" customHeight="1" thickBot="1" x14ac:dyDescent="0.35">
      <c r="A88" s="380" t="s">
        <v>323</v>
      </c>
      <c r="B88" s="358">
        <v>2975.99999999994</v>
      </c>
      <c r="C88" s="358">
        <v>3140.7400400000001</v>
      </c>
      <c r="D88" s="359">
        <v>164.74004000006099</v>
      </c>
      <c r="E88" s="360">
        <v>1.0553561962360001</v>
      </c>
      <c r="F88" s="358">
        <v>3274.9998968454402</v>
      </c>
      <c r="G88" s="359">
        <v>545.83331614090605</v>
      </c>
      <c r="H88" s="361">
        <v>248.471260000001</v>
      </c>
      <c r="I88" s="358">
        <v>506.31126999999998</v>
      </c>
      <c r="J88" s="359">
        <v>-39.522046140904997</v>
      </c>
      <c r="K88" s="362">
        <v>0.15459886593800001</v>
      </c>
    </row>
    <row r="89" spans="1:11" ht="14.4" customHeight="1" thickBot="1" x14ac:dyDescent="0.35">
      <c r="A89" s="378" t="s">
        <v>324</v>
      </c>
      <c r="B89" s="358">
        <v>118.999999999998</v>
      </c>
      <c r="C89" s="358">
        <v>113.96398000000001</v>
      </c>
      <c r="D89" s="359">
        <v>-5.0360199999970003</v>
      </c>
      <c r="E89" s="360">
        <v>0.95768050420100004</v>
      </c>
      <c r="F89" s="358">
        <v>130.999995873817</v>
      </c>
      <c r="G89" s="359">
        <v>21.833332645635998</v>
      </c>
      <c r="H89" s="361">
        <v>8.9867299999999997</v>
      </c>
      <c r="I89" s="358">
        <v>18.2454</v>
      </c>
      <c r="J89" s="359">
        <v>-3.5879326456360001</v>
      </c>
      <c r="K89" s="362">
        <v>0.13927786698200001</v>
      </c>
    </row>
    <row r="90" spans="1:11" ht="14.4" customHeight="1" thickBot="1" x14ac:dyDescent="0.35">
      <c r="A90" s="379" t="s">
        <v>325</v>
      </c>
      <c r="B90" s="363">
        <v>118.999999999998</v>
      </c>
      <c r="C90" s="363">
        <v>113.96398000000001</v>
      </c>
      <c r="D90" s="364">
        <v>-5.0360199999970003</v>
      </c>
      <c r="E90" s="370">
        <v>0.95768050420100004</v>
      </c>
      <c r="F90" s="363">
        <v>130.999995873817</v>
      </c>
      <c r="G90" s="364">
        <v>21.833332645635998</v>
      </c>
      <c r="H90" s="366">
        <v>8.9867299999999997</v>
      </c>
      <c r="I90" s="363">
        <v>18.2454</v>
      </c>
      <c r="J90" s="364">
        <v>-3.5879326456360001</v>
      </c>
      <c r="K90" s="371">
        <v>0.13927786698200001</v>
      </c>
    </row>
    <row r="91" spans="1:11" ht="14.4" customHeight="1" thickBot="1" x14ac:dyDescent="0.35">
      <c r="A91" s="380" t="s">
        <v>326</v>
      </c>
      <c r="B91" s="358">
        <v>118.999999999998</v>
      </c>
      <c r="C91" s="358">
        <v>113.96398000000001</v>
      </c>
      <c r="D91" s="359">
        <v>-5.0360199999970003</v>
      </c>
      <c r="E91" s="360">
        <v>0.95768050420100004</v>
      </c>
      <c r="F91" s="358">
        <v>130.999995873817</v>
      </c>
      <c r="G91" s="359">
        <v>21.833332645635998</v>
      </c>
      <c r="H91" s="361">
        <v>8.9867299999999997</v>
      </c>
      <c r="I91" s="358">
        <v>18.2454</v>
      </c>
      <c r="J91" s="359">
        <v>-3.5879326456360001</v>
      </c>
      <c r="K91" s="362">
        <v>0.13927786698200001</v>
      </c>
    </row>
    <row r="92" spans="1:11" ht="14.4" customHeight="1" thickBot="1" x14ac:dyDescent="0.35">
      <c r="A92" s="377" t="s">
        <v>327</v>
      </c>
      <c r="B92" s="358">
        <v>34.876325088338</v>
      </c>
      <c r="C92" s="358">
        <v>76.518749999999997</v>
      </c>
      <c r="D92" s="359">
        <v>41.642424911661003</v>
      </c>
      <c r="E92" s="360">
        <v>2.1940026595740001</v>
      </c>
      <c r="F92" s="358">
        <v>0</v>
      </c>
      <c r="G92" s="359">
        <v>0</v>
      </c>
      <c r="H92" s="361">
        <v>5.8</v>
      </c>
      <c r="I92" s="358">
        <v>13.7</v>
      </c>
      <c r="J92" s="359">
        <v>13.7</v>
      </c>
      <c r="K92" s="369" t="s">
        <v>242</v>
      </c>
    </row>
    <row r="93" spans="1:11" ht="14.4" customHeight="1" thickBot="1" x14ac:dyDescent="0.35">
      <c r="A93" s="378" t="s">
        <v>328</v>
      </c>
      <c r="B93" s="358">
        <v>34.876325088338</v>
      </c>
      <c r="C93" s="358">
        <v>76.518749999999997</v>
      </c>
      <c r="D93" s="359">
        <v>41.642424911661003</v>
      </c>
      <c r="E93" s="360">
        <v>2.1940026595740001</v>
      </c>
      <c r="F93" s="358">
        <v>0</v>
      </c>
      <c r="G93" s="359">
        <v>0</v>
      </c>
      <c r="H93" s="361">
        <v>5.8</v>
      </c>
      <c r="I93" s="358">
        <v>13.7</v>
      </c>
      <c r="J93" s="359">
        <v>13.7</v>
      </c>
      <c r="K93" s="369" t="s">
        <v>242</v>
      </c>
    </row>
    <row r="94" spans="1:11" ht="14.4" customHeight="1" thickBot="1" x14ac:dyDescent="0.35">
      <c r="A94" s="379" t="s">
        <v>329</v>
      </c>
      <c r="B94" s="363">
        <v>0</v>
      </c>
      <c r="C94" s="363">
        <v>21.818000000000001</v>
      </c>
      <c r="D94" s="364">
        <v>21.818000000000001</v>
      </c>
      <c r="E94" s="365" t="s">
        <v>242</v>
      </c>
      <c r="F94" s="363">
        <v>0</v>
      </c>
      <c r="G94" s="364">
        <v>0</v>
      </c>
      <c r="H94" s="366">
        <v>0</v>
      </c>
      <c r="I94" s="363">
        <v>5</v>
      </c>
      <c r="J94" s="364">
        <v>5</v>
      </c>
      <c r="K94" s="367" t="s">
        <v>242</v>
      </c>
    </row>
    <row r="95" spans="1:11" ht="14.4" customHeight="1" thickBot="1" x14ac:dyDescent="0.35">
      <c r="A95" s="380" t="s">
        <v>330</v>
      </c>
      <c r="B95" s="358">
        <v>0</v>
      </c>
      <c r="C95" s="358">
        <v>-3.2919999999999998</v>
      </c>
      <c r="D95" s="359">
        <v>-3.2919999999999998</v>
      </c>
      <c r="E95" s="368" t="s">
        <v>267</v>
      </c>
      <c r="F95" s="358">
        <v>0</v>
      </c>
      <c r="G95" s="359">
        <v>0</v>
      </c>
      <c r="H95" s="361">
        <v>0</v>
      </c>
      <c r="I95" s="358">
        <v>0</v>
      </c>
      <c r="J95" s="359">
        <v>0</v>
      </c>
      <c r="K95" s="369" t="s">
        <v>242</v>
      </c>
    </row>
    <row r="96" spans="1:11" ht="14.4" customHeight="1" thickBot="1" x14ac:dyDescent="0.35">
      <c r="A96" s="380" t="s">
        <v>331</v>
      </c>
      <c r="B96" s="358">
        <v>0</v>
      </c>
      <c r="C96" s="358">
        <v>0</v>
      </c>
      <c r="D96" s="359">
        <v>0</v>
      </c>
      <c r="E96" s="360">
        <v>1</v>
      </c>
      <c r="F96" s="358">
        <v>0</v>
      </c>
      <c r="G96" s="359">
        <v>0</v>
      </c>
      <c r="H96" s="361">
        <v>0</v>
      </c>
      <c r="I96" s="358">
        <v>5</v>
      </c>
      <c r="J96" s="359">
        <v>5</v>
      </c>
      <c r="K96" s="369" t="s">
        <v>267</v>
      </c>
    </row>
    <row r="97" spans="1:11" ht="14.4" customHeight="1" thickBot="1" x14ac:dyDescent="0.35">
      <c r="A97" s="380" t="s">
        <v>332</v>
      </c>
      <c r="B97" s="358">
        <v>0</v>
      </c>
      <c r="C97" s="358">
        <v>23.6</v>
      </c>
      <c r="D97" s="359">
        <v>23.6</v>
      </c>
      <c r="E97" s="368" t="s">
        <v>242</v>
      </c>
      <c r="F97" s="358">
        <v>0</v>
      </c>
      <c r="G97" s="359">
        <v>0</v>
      </c>
      <c r="H97" s="361">
        <v>0</v>
      </c>
      <c r="I97" s="358">
        <v>0</v>
      </c>
      <c r="J97" s="359">
        <v>0</v>
      </c>
      <c r="K97" s="369" t="s">
        <v>242</v>
      </c>
    </row>
    <row r="98" spans="1:11" ht="14.4" customHeight="1" thickBot="1" x14ac:dyDescent="0.35">
      <c r="A98" s="380" t="s">
        <v>333</v>
      </c>
      <c r="B98" s="358">
        <v>0</v>
      </c>
      <c r="C98" s="358">
        <v>1.51</v>
      </c>
      <c r="D98" s="359">
        <v>1.51</v>
      </c>
      <c r="E98" s="368" t="s">
        <v>242</v>
      </c>
      <c r="F98" s="358">
        <v>0</v>
      </c>
      <c r="G98" s="359">
        <v>0</v>
      </c>
      <c r="H98" s="361">
        <v>0</v>
      </c>
      <c r="I98" s="358">
        <v>0</v>
      </c>
      <c r="J98" s="359">
        <v>0</v>
      </c>
      <c r="K98" s="369" t="s">
        <v>242</v>
      </c>
    </row>
    <row r="99" spans="1:11" ht="14.4" customHeight="1" thickBot="1" x14ac:dyDescent="0.35">
      <c r="A99" s="379" t="s">
        <v>334</v>
      </c>
      <c r="B99" s="363">
        <v>34.876325088338</v>
      </c>
      <c r="C99" s="363">
        <v>39</v>
      </c>
      <c r="D99" s="364">
        <v>4.1236749116610003</v>
      </c>
      <c r="E99" s="370">
        <v>1.1182370820659999</v>
      </c>
      <c r="F99" s="363">
        <v>0</v>
      </c>
      <c r="G99" s="364">
        <v>0</v>
      </c>
      <c r="H99" s="366">
        <v>5.8</v>
      </c>
      <c r="I99" s="363">
        <v>5.8</v>
      </c>
      <c r="J99" s="364">
        <v>5.8</v>
      </c>
      <c r="K99" s="367" t="s">
        <v>242</v>
      </c>
    </row>
    <row r="100" spans="1:11" ht="14.4" customHeight="1" thickBot="1" x14ac:dyDescent="0.35">
      <c r="A100" s="380" t="s">
        <v>335</v>
      </c>
      <c r="B100" s="358">
        <v>34.876325088338</v>
      </c>
      <c r="C100" s="358">
        <v>39</v>
      </c>
      <c r="D100" s="359">
        <v>4.1236749116610003</v>
      </c>
      <c r="E100" s="360">
        <v>1.1182370820659999</v>
      </c>
      <c r="F100" s="358">
        <v>0</v>
      </c>
      <c r="G100" s="359">
        <v>0</v>
      </c>
      <c r="H100" s="361">
        <v>5.8</v>
      </c>
      <c r="I100" s="358">
        <v>5.8</v>
      </c>
      <c r="J100" s="359">
        <v>5.8</v>
      </c>
      <c r="K100" s="369" t="s">
        <v>242</v>
      </c>
    </row>
    <row r="101" spans="1:11" ht="14.4" customHeight="1" thickBot="1" x14ac:dyDescent="0.35">
      <c r="A101" s="379" t="s">
        <v>336</v>
      </c>
      <c r="B101" s="363">
        <v>0</v>
      </c>
      <c r="C101" s="363">
        <v>0.4</v>
      </c>
      <c r="D101" s="364">
        <v>0.4</v>
      </c>
      <c r="E101" s="365" t="s">
        <v>242</v>
      </c>
      <c r="F101" s="363">
        <v>0</v>
      </c>
      <c r="G101" s="364">
        <v>0</v>
      </c>
      <c r="H101" s="366">
        <v>0</v>
      </c>
      <c r="I101" s="363">
        <v>0</v>
      </c>
      <c r="J101" s="364">
        <v>0</v>
      </c>
      <c r="K101" s="371">
        <v>0</v>
      </c>
    </row>
    <row r="102" spans="1:11" ht="14.4" customHeight="1" thickBot="1" x14ac:dyDescent="0.35">
      <c r="A102" s="380" t="s">
        <v>337</v>
      </c>
      <c r="B102" s="358">
        <v>0</v>
      </c>
      <c r="C102" s="358">
        <v>0.4</v>
      </c>
      <c r="D102" s="359">
        <v>0.4</v>
      </c>
      <c r="E102" s="368" t="s">
        <v>242</v>
      </c>
      <c r="F102" s="358">
        <v>0</v>
      </c>
      <c r="G102" s="359">
        <v>0</v>
      </c>
      <c r="H102" s="361">
        <v>0</v>
      </c>
      <c r="I102" s="358">
        <v>0</v>
      </c>
      <c r="J102" s="359">
        <v>0</v>
      </c>
      <c r="K102" s="362">
        <v>0</v>
      </c>
    </row>
    <row r="103" spans="1:11" ht="14.4" customHeight="1" thickBot="1" x14ac:dyDescent="0.35">
      <c r="A103" s="382" t="s">
        <v>338</v>
      </c>
      <c r="B103" s="358">
        <v>0</v>
      </c>
      <c r="C103" s="358">
        <v>5.9630000000000001</v>
      </c>
      <c r="D103" s="359">
        <v>5.9630000000000001</v>
      </c>
      <c r="E103" s="368" t="s">
        <v>242</v>
      </c>
      <c r="F103" s="358">
        <v>0</v>
      </c>
      <c r="G103" s="359">
        <v>0</v>
      </c>
      <c r="H103" s="361">
        <v>0</v>
      </c>
      <c r="I103" s="358">
        <v>0</v>
      </c>
      <c r="J103" s="359">
        <v>0</v>
      </c>
      <c r="K103" s="369" t="s">
        <v>242</v>
      </c>
    </row>
    <row r="104" spans="1:11" ht="14.4" customHeight="1" thickBot="1" x14ac:dyDescent="0.35">
      <c r="A104" s="380" t="s">
        <v>339</v>
      </c>
      <c r="B104" s="358">
        <v>0</v>
      </c>
      <c r="C104" s="358">
        <v>5.9630000000000001</v>
      </c>
      <c r="D104" s="359">
        <v>5.9630000000000001</v>
      </c>
      <c r="E104" s="368" t="s">
        <v>242</v>
      </c>
      <c r="F104" s="358">
        <v>0</v>
      </c>
      <c r="G104" s="359">
        <v>0</v>
      </c>
      <c r="H104" s="361">
        <v>0</v>
      </c>
      <c r="I104" s="358">
        <v>0</v>
      </c>
      <c r="J104" s="359">
        <v>0</v>
      </c>
      <c r="K104" s="369" t="s">
        <v>242</v>
      </c>
    </row>
    <row r="105" spans="1:11" ht="14.4" customHeight="1" thickBot="1" x14ac:dyDescent="0.35">
      <c r="A105" s="379" t="s">
        <v>340</v>
      </c>
      <c r="B105" s="363">
        <v>0</v>
      </c>
      <c r="C105" s="363">
        <v>1.33775</v>
      </c>
      <c r="D105" s="364">
        <v>1.33775</v>
      </c>
      <c r="E105" s="365" t="s">
        <v>267</v>
      </c>
      <c r="F105" s="363">
        <v>0</v>
      </c>
      <c r="G105" s="364">
        <v>0</v>
      </c>
      <c r="H105" s="366">
        <v>0</v>
      </c>
      <c r="I105" s="363">
        <v>0</v>
      </c>
      <c r="J105" s="364">
        <v>0</v>
      </c>
      <c r="K105" s="367" t="s">
        <v>242</v>
      </c>
    </row>
    <row r="106" spans="1:11" ht="14.4" customHeight="1" thickBot="1" x14ac:dyDescent="0.35">
      <c r="A106" s="380" t="s">
        <v>341</v>
      </c>
      <c r="B106" s="358">
        <v>0</v>
      </c>
      <c r="C106" s="358">
        <v>1.33775</v>
      </c>
      <c r="D106" s="359">
        <v>1.33775</v>
      </c>
      <c r="E106" s="368" t="s">
        <v>267</v>
      </c>
      <c r="F106" s="358">
        <v>0</v>
      </c>
      <c r="G106" s="359">
        <v>0</v>
      </c>
      <c r="H106" s="361">
        <v>0</v>
      </c>
      <c r="I106" s="358">
        <v>0</v>
      </c>
      <c r="J106" s="359">
        <v>0</v>
      </c>
      <c r="K106" s="369" t="s">
        <v>242</v>
      </c>
    </row>
    <row r="107" spans="1:11" ht="14.4" customHeight="1" thickBot="1" x14ac:dyDescent="0.35">
      <c r="A107" s="382" t="s">
        <v>342</v>
      </c>
      <c r="B107" s="358">
        <v>0</v>
      </c>
      <c r="C107" s="358">
        <v>2</v>
      </c>
      <c r="D107" s="359">
        <v>2</v>
      </c>
      <c r="E107" s="368" t="s">
        <v>242</v>
      </c>
      <c r="F107" s="358">
        <v>0</v>
      </c>
      <c r="G107" s="359">
        <v>0</v>
      </c>
      <c r="H107" s="361">
        <v>0</v>
      </c>
      <c r="I107" s="358">
        <v>2.9</v>
      </c>
      <c r="J107" s="359">
        <v>2.9</v>
      </c>
      <c r="K107" s="369" t="s">
        <v>242</v>
      </c>
    </row>
    <row r="108" spans="1:11" ht="14.4" customHeight="1" thickBot="1" x14ac:dyDescent="0.35">
      <c r="A108" s="380" t="s">
        <v>343</v>
      </c>
      <c r="B108" s="358">
        <v>0</v>
      </c>
      <c r="C108" s="358">
        <v>2</v>
      </c>
      <c r="D108" s="359">
        <v>2</v>
      </c>
      <c r="E108" s="368" t="s">
        <v>242</v>
      </c>
      <c r="F108" s="358">
        <v>0</v>
      </c>
      <c r="G108" s="359">
        <v>0</v>
      </c>
      <c r="H108" s="361">
        <v>0</v>
      </c>
      <c r="I108" s="358">
        <v>2.9</v>
      </c>
      <c r="J108" s="359">
        <v>2.9</v>
      </c>
      <c r="K108" s="369" t="s">
        <v>242</v>
      </c>
    </row>
    <row r="109" spans="1:11" ht="14.4" customHeight="1" thickBot="1" x14ac:dyDescent="0.35">
      <c r="A109" s="382" t="s">
        <v>344</v>
      </c>
      <c r="B109" s="358">
        <v>0</v>
      </c>
      <c r="C109" s="358">
        <v>6</v>
      </c>
      <c r="D109" s="359">
        <v>6</v>
      </c>
      <c r="E109" s="368" t="s">
        <v>242</v>
      </c>
      <c r="F109" s="358">
        <v>0</v>
      </c>
      <c r="G109" s="359">
        <v>0</v>
      </c>
      <c r="H109" s="361">
        <v>0</v>
      </c>
      <c r="I109" s="358">
        <v>0</v>
      </c>
      <c r="J109" s="359">
        <v>0</v>
      </c>
      <c r="K109" s="369" t="s">
        <v>242</v>
      </c>
    </row>
    <row r="110" spans="1:11" ht="14.4" customHeight="1" thickBot="1" x14ac:dyDescent="0.35">
      <c r="A110" s="380" t="s">
        <v>345</v>
      </c>
      <c r="B110" s="358">
        <v>0</v>
      </c>
      <c r="C110" s="358">
        <v>6</v>
      </c>
      <c r="D110" s="359">
        <v>6</v>
      </c>
      <c r="E110" s="368" t="s">
        <v>242</v>
      </c>
      <c r="F110" s="358">
        <v>0</v>
      </c>
      <c r="G110" s="359">
        <v>0</v>
      </c>
      <c r="H110" s="361">
        <v>0</v>
      </c>
      <c r="I110" s="358">
        <v>0</v>
      </c>
      <c r="J110" s="359">
        <v>0</v>
      </c>
      <c r="K110" s="369" t="s">
        <v>242</v>
      </c>
    </row>
    <row r="111" spans="1:11" ht="14.4" customHeight="1" thickBot="1" x14ac:dyDescent="0.35">
      <c r="A111" s="377" t="s">
        <v>346</v>
      </c>
      <c r="B111" s="358">
        <v>1663.9999205404099</v>
      </c>
      <c r="C111" s="358">
        <v>1724.6339499999999</v>
      </c>
      <c r="D111" s="359">
        <v>60.634029459588</v>
      </c>
      <c r="E111" s="360">
        <v>1.0364387213670001</v>
      </c>
      <c r="F111" s="358">
        <v>1687.99994683206</v>
      </c>
      <c r="G111" s="359">
        <v>281.33332447201002</v>
      </c>
      <c r="H111" s="361">
        <v>140.679</v>
      </c>
      <c r="I111" s="358">
        <v>281.358</v>
      </c>
      <c r="J111" s="359">
        <v>2.4675527990000001E-2</v>
      </c>
      <c r="K111" s="362">
        <v>0.16668128487</v>
      </c>
    </row>
    <row r="112" spans="1:11" ht="14.4" customHeight="1" thickBot="1" x14ac:dyDescent="0.35">
      <c r="A112" s="378" t="s">
        <v>347</v>
      </c>
      <c r="B112" s="358">
        <v>1663.9999205404099</v>
      </c>
      <c r="C112" s="358">
        <v>1715.617</v>
      </c>
      <c r="D112" s="359">
        <v>51.617079459587998</v>
      </c>
      <c r="E112" s="360">
        <v>1.0310198809640001</v>
      </c>
      <c r="F112" s="358">
        <v>1687.99994683206</v>
      </c>
      <c r="G112" s="359">
        <v>281.33332447201002</v>
      </c>
      <c r="H112" s="361">
        <v>140.679</v>
      </c>
      <c r="I112" s="358">
        <v>281.358</v>
      </c>
      <c r="J112" s="359">
        <v>2.4675527990000001E-2</v>
      </c>
      <c r="K112" s="362">
        <v>0.16668128487</v>
      </c>
    </row>
    <row r="113" spans="1:11" ht="14.4" customHeight="1" thickBot="1" x14ac:dyDescent="0.35">
      <c r="A113" s="379" t="s">
        <v>348</v>
      </c>
      <c r="B113" s="363">
        <v>1663.9999205404099</v>
      </c>
      <c r="C113" s="363">
        <v>1715.617</v>
      </c>
      <c r="D113" s="364">
        <v>51.617079459587998</v>
      </c>
      <c r="E113" s="370">
        <v>1.0310198809640001</v>
      </c>
      <c r="F113" s="363">
        <v>1687.99994683206</v>
      </c>
      <c r="G113" s="364">
        <v>281.33332447201002</v>
      </c>
      <c r="H113" s="366">
        <v>140.679</v>
      </c>
      <c r="I113" s="363">
        <v>281.358</v>
      </c>
      <c r="J113" s="364">
        <v>2.4675527990000001E-2</v>
      </c>
      <c r="K113" s="371">
        <v>0.16668128487</v>
      </c>
    </row>
    <row r="114" spans="1:11" ht="14.4" customHeight="1" thickBot="1" x14ac:dyDescent="0.35">
      <c r="A114" s="380" t="s">
        <v>349</v>
      </c>
      <c r="B114" s="358">
        <v>1.999920540443</v>
      </c>
      <c r="C114" s="358">
        <v>1.728</v>
      </c>
      <c r="D114" s="359">
        <v>-0.27192054044300001</v>
      </c>
      <c r="E114" s="360">
        <v>0.86403432789199996</v>
      </c>
      <c r="F114" s="358">
        <v>1.999999937004</v>
      </c>
      <c r="G114" s="359">
        <v>0.33333332283400002</v>
      </c>
      <c r="H114" s="361">
        <v>0.14399999999999999</v>
      </c>
      <c r="I114" s="358">
        <v>0.28799999999999998</v>
      </c>
      <c r="J114" s="359">
        <v>-4.5333322834000003E-2</v>
      </c>
      <c r="K114" s="362">
        <v>0.144000004535</v>
      </c>
    </row>
    <row r="115" spans="1:11" ht="14.4" customHeight="1" thickBot="1" x14ac:dyDescent="0.35">
      <c r="A115" s="380" t="s">
        <v>350</v>
      </c>
      <c r="B115" s="358">
        <v>1661.99999999997</v>
      </c>
      <c r="C115" s="358">
        <v>1713.577</v>
      </c>
      <c r="D115" s="359">
        <v>51.577000000030999</v>
      </c>
      <c r="E115" s="360">
        <v>1.0310330926589999</v>
      </c>
      <c r="F115" s="358">
        <v>1685.99994689505</v>
      </c>
      <c r="G115" s="359">
        <v>280.99999114917603</v>
      </c>
      <c r="H115" s="361">
        <v>140.50899999999999</v>
      </c>
      <c r="I115" s="358">
        <v>281.01799999999997</v>
      </c>
      <c r="J115" s="359">
        <v>1.8008850824E-2</v>
      </c>
      <c r="K115" s="362">
        <v>0.166677348073</v>
      </c>
    </row>
    <row r="116" spans="1:11" ht="14.4" customHeight="1" thickBot="1" x14ac:dyDescent="0.35">
      <c r="A116" s="380" t="s">
        <v>351</v>
      </c>
      <c r="B116" s="358">
        <v>0</v>
      </c>
      <c r="C116" s="358">
        <v>0.312</v>
      </c>
      <c r="D116" s="359">
        <v>0.312</v>
      </c>
      <c r="E116" s="368" t="s">
        <v>242</v>
      </c>
      <c r="F116" s="358">
        <v>0</v>
      </c>
      <c r="G116" s="359">
        <v>0</v>
      </c>
      <c r="H116" s="361">
        <v>2.5999999999999999E-2</v>
      </c>
      <c r="I116" s="358">
        <v>5.1999999999999998E-2</v>
      </c>
      <c r="J116" s="359">
        <v>5.1999999999999998E-2</v>
      </c>
      <c r="K116" s="369" t="s">
        <v>242</v>
      </c>
    </row>
    <row r="117" spans="1:11" ht="14.4" customHeight="1" thickBot="1" x14ac:dyDescent="0.35">
      <c r="A117" s="378" t="s">
        <v>352</v>
      </c>
      <c r="B117" s="358">
        <v>0</v>
      </c>
      <c r="C117" s="358">
        <v>9.0169499999999996</v>
      </c>
      <c r="D117" s="359">
        <v>9.0169499999999996</v>
      </c>
      <c r="E117" s="368" t="s">
        <v>242</v>
      </c>
      <c r="F117" s="358">
        <v>0</v>
      </c>
      <c r="G117" s="359">
        <v>0</v>
      </c>
      <c r="H117" s="361">
        <v>0</v>
      </c>
      <c r="I117" s="358">
        <v>0</v>
      </c>
      <c r="J117" s="359">
        <v>0</v>
      </c>
      <c r="K117" s="369" t="s">
        <v>242</v>
      </c>
    </row>
    <row r="118" spans="1:11" ht="14.4" customHeight="1" thickBot="1" x14ac:dyDescent="0.35">
      <c r="A118" s="379" t="s">
        <v>353</v>
      </c>
      <c r="B118" s="363">
        <v>0</v>
      </c>
      <c r="C118" s="363">
        <v>9.0169499999999996</v>
      </c>
      <c r="D118" s="364">
        <v>9.0169499999999996</v>
      </c>
      <c r="E118" s="365" t="s">
        <v>267</v>
      </c>
      <c r="F118" s="363">
        <v>0</v>
      </c>
      <c r="G118" s="364">
        <v>0</v>
      </c>
      <c r="H118" s="366">
        <v>0</v>
      </c>
      <c r="I118" s="363">
        <v>0</v>
      </c>
      <c r="J118" s="364">
        <v>0</v>
      </c>
      <c r="K118" s="367" t="s">
        <v>242</v>
      </c>
    </row>
    <row r="119" spans="1:11" ht="14.4" customHeight="1" thickBot="1" x14ac:dyDescent="0.35">
      <c r="A119" s="380" t="s">
        <v>354</v>
      </c>
      <c r="B119" s="358">
        <v>0</v>
      </c>
      <c r="C119" s="358">
        <v>9.0169499999999996</v>
      </c>
      <c r="D119" s="359">
        <v>9.0169499999999996</v>
      </c>
      <c r="E119" s="368" t="s">
        <v>267</v>
      </c>
      <c r="F119" s="358">
        <v>0</v>
      </c>
      <c r="G119" s="359">
        <v>0</v>
      </c>
      <c r="H119" s="361">
        <v>0</v>
      </c>
      <c r="I119" s="358">
        <v>0</v>
      </c>
      <c r="J119" s="359">
        <v>0</v>
      </c>
      <c r="K119" s="369" t="s">
        <v>242</v>
      </c>
    </row>
    <row r="120" spans="1:11" ht="14.4" customHeight="1" thickBot="1" x14ac:dyDescent="0.35">
      <c r="A120" s="377" t="s">
        <v>355</v>
      </c>
      <c r="B120" s="358">
        <v>0</v>
      </c>
      <c r="C120" s="358">
        <v>0.23225000000000001</v>
      </c>
      <c r="D120" s="359">
        <v>0.23225000000000001</v>
      </c>
      <c r="E120" s="368" t="s">
        <v>242</v>
      </c>
      <c r="F120" s="358">
        <v>0</v>
      </c>
      <c r="G120" s="359">
        <v>0</v>
      </c>
      <c r="H120" s="361">
        <v>8.1269999999999995E-2</v>
      </c>
      <c r="I120" s="358">
        <v>8.1269999999999995E-2</v>
      </c>
      <c r="J120" s="359">
        <v>8.1269999999999995E-2</v>
      </c>
      <c r="K120" s="369" t="s">
        <v>267</v>
      </c>
    </row>
    <row r="121" spans="1:11" ht="14.4" customHeight="1" thickBot="1" x14ac:dyDescent="0.35">
      <c r="A121" s="378" t="s">
        <v>356</v>
      </c>
      <c r="B121" s="358">
        <v>0</v>
      </c>
      <c r="C121" s="358">
        <v>0.23225000000000001</v>
      </c>
      <c r="D121" s="359">
        <v>0.23225000000000001</v>
      </c>
      <c r="E121" s="368" t="s">
        <v>242</v>
      </c>
      <c r="F121" s="358">
        <v>0</v>
      </c>
      <c r="G121" s="359">
        <v>0</v>
      </c>
      <c r="H121" s="361">
        <v>8.1269999999999995E-2</v>
      </c>
      <c r="I121" s="358">
        <v>8.1269999999999995E-2</v>
      </c>
      <c r="J121" s="359">
        <v>8.1269999999999995E-2</v>
      </c>
      <c r="K121" s="369" t="s">
        <v>267</v>
      </c>
    </row>
    <row r="122" spans="1:11" ht="14.4" customHeight="1" thickBot="1" x14ac:dyDescent="0.35">
      <c r="A122" s="379" t="s">
        <v>357</v>
      </c>
      <c r="B122" s="363">
        <v>0</v>
      </c>
      <c r="C122" s="363">
        <v>0.23225000000000001</v>
      </c>
      <c r="D122" s="364">
        <v>0.23225000000000001</v>
      </c>
      <c r="E122" s="365" t="s">
        <v>242</v>
      </c>
      <c r="F122" s="363">
        <v>0</v>
      </c>
      <c r="G122" s="364">
        <v>0</v>
      </c>
      <c r="H122" s="366">
        <v>8.1269999999999995E-2</v>
      </c>
      <c r="I122" s="363">
        <v>8.1269999999999995E-2</v>
      </c>
      <c r="J122" s="364">
        <v>8.1269999999999995E-2</v>
      </c>
      <c r="K122" s="367" t="s">
        <v>267</v>
      </c>
    </row>
    <row r="123" spans="1:11" ht="14.4" customHeight="1" thickBot="1" x14ac:dyDescent="0.35">
      <c r="A123" s="380" t="s">
        <v>358</v>
      </c>
      <c r="B123" s="358">
        <v>0</v>
      </c>
      <c r="C123" s="358">
        <v>0.23225000000000001</v>
      </c>
      <c r="D123" s="359">
        <v>0.23225000000000001</v>
      </c>
      <c r="E123" s="368" t="s">
        <v>242</v>
      </c>
      <c r="F123" s="358">
        <v>0</v>
      </c>
      <c r="G123" s="359">
        <v>0</v>
      </c>
      <c r="H123" s="361">
        <v>8.1269999999999995E-2</v>
      </c>
      <c r="I123" s="358">
        <v>8.1269999999999995E-2</v>
      </c>
      <c r="J123" s="359">
        <v>8.1269999999999995E-2</v>
      </c>
      <c r="K123" s="369" t="s">
        <v>267</v>
      </c>
    </row>
    <row r="124" spans="1:11" ht="14.4" customHeight="1" thickBot="1" x14ac:dyDescent="0.35">
      <c r="A124" s="376" t="s">
        <v>359</v>
      </c>
      <c r="B124" s="358">
        <v>21713.570643185602</v>
      </c>
      <c r="C124" s="358">
        <v>23264.147499999999</v>
      </c>
      <c r="D124" s="359">
        <v>1550.5768568143999</v>
      </c>
      <c r="E124" s="360">
        <v>1.0714104963340001</v>
      </c>
      <c r="F124" s="358">
        <v>23275.8821712391</v>
      </c>
      <c r="G124" s="359">
        <v>3879.3136952065202</v>
      </c>
      <c r="H124" s="361">
        <v>2371.31801</v>
      </c>
      <c r="I124" s="358">
        <v>4719.8786499999997</v>
      </c>
      <c r="J124" s="359">
        <v>840.56495479348098</v>
      </c>
      <c r="K124" s="362">
        <v>0.20277979649799999</v>
      </c>
    </row>
    <row r="125" spans="1:11" ht="14.4" customHeight="1" thickBot="1" x14ac:dyDescent="0.35">
      <c r="A125" s="377" t="s">
        <v>360</v>
      </c>
      <c r="B125" s="358">
        <v>21608.098796025901</v>
      </c>
      <c r="C125" s="358">
        <v>23163.267589999999</v>
      </c>
      <c r="D125" s="359">
        <v>1555.16879397408</v>
      </c>
      <c r="E125" s="360">
        <v>1.071971569949</v>
      </c>
      <c r="F125" s="358">
        <v>23214.3826175465</v>
      </c>
      <c r="G125" s="359">
        <v>3869.06376959109</v>
      </c>
      <c r="H125" s="361">
        <v>2371.1647899999998</v>
      </c>
      <c r="I125" s="358">
        <v>4719.6484</v>
      </c>
      <c r="J125" s="359">
        <v>850.58463040891195</v>
      </c>
      <c r="K125" s="362">
        <v>0.203307082413</v>
      </c>
    </row>
    <row r="126" spans="1:11" ht="14.4" customHeight="1" thickBot="1" x14ac:dyDescent="0.35">
      <c r="A126" s="378" t="s">
        <v>361</v>
      </c>
      <c r="B126" s="358">
        <v>20103.0239707742</v>
      </c>
      <c r="C126" s="358">
        <v>21406.2336</v>
      </c>
      <c r="D126" s="359">
        <v>1303.20962922581</v>
      </c>
      <c r="E126" s="360">
        <v>1.0648265470460001</v>
      </c>
      <c r="F126" s="358">
        <v>21464.9378616416</v>
      </c>
      <c r="G126" s="359">
        <v>3577.4896436069298</v>
      </c>
      <c r="H126" s="361">
        <v>2123.5564199999999</v>
      </c>
      <c r="I126" s="358">
        <v>4262.9242299999996</v>
      </c>
      <c r="J126" s="359">
        <v>685.434586393073</v>
      </c>
      <c r="K126" s="362">
        <v>0.198599420947</v>
      </c>
    </row>
    <row r="127" spans="1:11" ht="14.4" customHeight="1" thickBot="1" x14ac:dyDescent="0.35">
      <c r="A127" s="379" t="s">
        <v>362</v>
      </c>
      <c r="B127" s="363">
        <v>1007.04727849767</v>
      </c>
      <c r="C127" s="363">
        <v>988.81303000000003</v>
      </c>
      <c r="D127" s="364">
        <v>-18.234248497673999</v>
      </c>
      <c r="E127" s="370">
        <v>0.98189335407800005</v>
      </c>
      <c r="F127" s="363">
        <v>880.93786163617995</v>
      </c>
      <c r="G127" s="364">
        <v>146.822976939363</v>
      </c>
      <c r="H127" s="366">
        <v>67.310019999999994</v>
      </c>
      <c r="I127" s="363">
        <v>147.17742999999999</v>
      </c>
      <c r="J127" s="364">
        <v>0.35445306063600002</v>
      </c>
      <c r="K127" s="371">
        <v>0.16706902541999999</v>
      </c>
    </row>
    <row r="128" spans="1:11" ht="14.4" customHeight="1" thickBot="1" x14ac:dyDescent="0.35">
      <c r="A128" s="380" t="s">
        <v>363</v>
      </c>
      <c r="B128" s="358">
        <v>149.59395146692299</v>
      </c>
      <c r="C128" s="358">
        <v>102.9</v>
      </c>
      <c r="D128" s="359">
        <v>-46.693951466922002</v>
      </c>
      <c r="E128" s="360">
        <v>0.68786203580299998</v>
      </c>
      <c r="F128" s="358">
        <v>103</v>
      </c>
      <c r="G128" s="359">
        <v>17.166666666666</v>
      </c>
      <c r="H128" s="361">
        <v>0.23139999999999999</v>
      </c>
      <c r="I128" s="358">
        <v>0.23139999999999999</v>
      </c>
      <c r="J128" s="359">
        <v>-16.935266666665999</v>
      </c>
      <c r="K128" s="362">
        <v>2.2466019410000001E-3</v>
      </c>
    </row>
    <row r="129" spans="1:11" ht="14.4" customHeight="1" thickBot="1" x14ac:dyDescent="0.35">
      <c r="A129" s="380" t="s">
        <v>364</v>
      </c>
      <c r="B129" s="358">
        <v>243.49522280917</v>
      </c>
      <c r="C129" s="358">
        <v>210.32809</v>
      </c>
      <c r="D129" s="359">
        <v>-33.167132809168997</v>
      </c>
      <c r="E129" s="360">
        <v>0.86378733665999996</v>
      </c>
      <c r="F129" s="358">
        <v>168</v>
      </c>
      <c r="G129" s="359">
        <v>28</v>
      </c>
      <c r="H129" s="361">
        <v>19.833500000000001</v>
      </c>
      <c r="I129" s="358">
        <v>39.162309999999998</v>
      </c>
      <c r="J129" s="359">
        <v>11.16231</v>
      </c>
      <c r="K129" s="362">
        <v>0.233108988095</v>
      </c>
    </row>
    <row r="130" spans="1:11" ht="14.4" customHeight="1" thickBot="1" x14ac:dyDescent="0.35">
      <c r="A130" s="380" t="s">
        <v>365</v>
      </c>
      <c r="B130" s="358">
        <v>34.753447247171003</v>
      </c>
      <c r="C130" s="358">
        <v>58.447180000000003</v>
      </c>
      <c r="D130" s="359">
        <v>23.693732752828002</v>
      </c>
      <c r="E130" s="360">
        <v>1.6817664038989999</v>
      </c>
      <c r="F130" s="358">
        <v>58</v>
      </c>
      <c r="G130" s="359">
        <v>9.6666666666659999</v>
      </c>
      <c r="H130" s="361">
        <v>5.5736999999999997</v>
      </c>
      <c r="I130" s="358">
        <v>14.698600000000001</v>
      </c>
      <c r="J130" s="359">
        <v>5.0319333333329999</v>
      </c>
      <c r="K130" s="362">
        <v>0.25342413793099999</v>
      </c>
    </row>
    <row r="131" spans="1:11" ht="14.4" customHeight="1" thickBot="1" x14ac:dyDescent="0.35">
      <c r="A131" s="380" t="s">
        <v>366</v>
      </c>
      <c r="B131" s="358">
        <v>574.017188301342</v>
      </c>
      <c r="C131" s="358">
        <v>617.13775999999996</v>
      </c>
      <c r="D131" s="359">
        <v>43.120571698657997</v>
      </c>
      <c r="E131" s="360">
        <v>1.075120697737</v>
      </c>
      <c r="F131" s="358">
        <v>551.93786163617995</v>
      </c>
      <c r="G131" s="359">
        <v>91.98964360603</v>
      </c>
      <c r="H131" s="361">
        <v>41.671419999999998</v>
      </c>
      <c r="I131" s="358">
        <v>93.085120000000003</v>
      </c>
      <c r="J131" s="359">
        <v>1.0954763939700001</v>
      </c>
      <c r="K131" s="362">
        <v>0.168651448777</v>
      </c>
    </row>
    <row r="132" spans="1:11" ht="14.4" customHeight="1" thickBot="1" x14ac:dyDescent="0.35">
      <c r="A132" s="379" t="s">
        <v>367</v>
      </c>
      <c r="B132" s="363">
        <v>0</v>
      </c>
      <c r="C132" s="363">
        <v>26.450869999999998</v>
      </c>
      <c r="D132" s="364">
        <v>26.450869999999998</v>
      </c>
      <c r="E132" s="365" t="s">
        <v>242</v>
      </c>
      <c r="F132" s="363">
        <v>25.000000000006001</v>
      </c>
      <c r="G132" s="364">
        <v>4.166666666667</v>
      </c>
      <c r="H132" s="366">
        <v>12.907360000000001</v>
      </c>
      <c r="I132" s="363">
        <v>12.907360000000001</v>
      </c>
      <c r="J132" s="364">
        <v>8.7406933333320005</v>
      </c>
      <c r="K132" s="371">
        <v>0.51629439999899995</v>
      </c>
    </row>
    <row r="133" spans="1:11" ht="14.4" customHeight="1" thickBot="1" x14ac:dyDescent="0.35">
      <c r="A133" s="380" t="s">
        <v>368</v>
      </c>
      <c r="B133" s="358">
        <v>0</v>
      </c>
      <c r="C133" s="358">
        <v>26.450869999999998</v>
      </c>
      <c r="D133" s="359">
        <v>26.450869999999998</v>
      </c>
      <c r="E133" s="368" t="s">
        <v>242</v>
      </c>
      <c r="F133" s="358">
        <v>25.000000000006001</v>
      </c>
      <c r="G133" s="359">
        <v>4.166666666667</v>
      </c>
      <c r="H133" s="361">
        <v>12.907360000000001</v>
      </c>
      <c r="I133" s="358">
        <v>12.907360000000001</v>
      </c>
      <c r="J133" s="359">
        <v>8.7406933333320005</v>
      </c>
      <c r="K133" s="362">
        <v>0.51629439999899995</v>
      </c>
    </row>
    <row r="134" spans="1:11" ht="14.4" customHeight="1" thickBot="1" x14ac:dyDescent="0.35">
      <c r="A134" s="379" t="s">
        <v>369</v>
      </c>
      <c r="B134" s="363">
        <v>3489.9766922765102</v>
      </c>
      <c r="C134" s="363">
        <v>822.91917000000001</v>
      </c>
      <c r="D134" s="364">
        <v>-2667.0575222765101</v>
      </c>
      <c r="E134" s="370">
        <v>0.23579503319299999</v>
      </c>
      <c r="F134" s="363">
        <v>1327.0000000003499</v>
      </c>
      <c r="G134" s="364">
        <v>221.16666666672401</v>
      </c>
      <c r="H134" s="366">
        <v>65.510000000000005</v>
      </c>
      <c r="I134" s="363">
        <v>79.484999999999999</v>
      </c>
      <c r="J134" s="364">
        <v>-141.681666666724</v>
      </c>
      <c r="K134" s="371">
        <v>5.9898266766999997E-2</v>
      </c>
    </row>
    <row r="135" spans="1:11" ht="14.4" customHeight="1" thickBot="1" x14ac:dyDescent="0.35">
      <c r="A135" s="380" t="s">
        <v>370</v>
      </c>
      <c r="B135" s="358">
        <v>3489.9766922765102</v>
      </c>
      <c r="C135" s="358">
        <v>794.59875</v>
      </c>
      <c r="D135" s="359">
        <v>-2695.3779422765101</v>
      </c>
      <c r="E135" s="360">
        <v>0.22768024547499999</v>
      </c>
      <c r="F135" s="358">
        <v>1282.0000000003299</v>
      </c>
      <c r="G135" s="359">
        <v>213.66666666672199</v>
      </c>
      <c r="H135" s="361">
        <v>65.510000000000005</v>
      </c>
      <c r="I135" s="358">
        <v>92.32</v>
      </c>
      <c r="J135" s="359">
        <v>-121.346666666722</v>
      </c>
      <c r="K135" s="362">
        <v>7.2012480498999998E-2</v>
      </c>
    </row>
    <row r="136" spans="1:11" ht="14.4" customHeight="1" thickBot="1" x14ac:dyDescent="0.35">
      <c r="A136" s="380" t="s">
        <v>371</v>
      </c>
      <c r="B136" s="358">
        <v>0</v>
      </c>
      <c r="C136" s="358">
        <v>28.320419999999999</v>
      </c>
      <c r="D136" s="359">
        <v>28.320419999999999</v>
      </c>
      <c r="E136" s="368" t="s">
        <v>242</v>
      </c>
      <c r="F136" s="358">
        <v>45.000000000010999</v>
      </c>
      <c r="G136" s="359">
        <v>7.5000000000010001</v>
      </c>
      <c r="H136" s="361">
        <v>0</v>
      </c>
      <c r="I136" s="358">
        <v>-12.835000000000001</v>
      </c>
      <c r="J136" s="359">
        <v>-20.335000000002001</v>
      </c>
      <c r="K136" s="362">
        <v>-0.285222222222</v>
      </c>
    </row>
    <row r="137" spans="1:11" ht="14.4" customHeight="1" thickBot="1" x14ac:dyDescent="0.35">
      <c r="A137" s="379" t="s">
        <v>372</v>
      </c>
      <c r="B137" s="363">
        <v>15606</v>
      </c>
      <c r="C137" s="363">
        <v>18747.842479999999</v>
      </c>
      <c r="D137" s="364">
        <v>3141.8424799999998</v>
      </c>
      <c r="E137" s="370">
        <v>1.2013227271560001</v>
      </c>
      <c r="F137" s="363">
        <v>19232.000000004999</v>
      </c>
      <c r="G137" s="364">
        <v>3205.3333333341702</v>
      </c>
      <c r="H137" s="366">
        <v>1977.8290400000001</v>
      </c>
      <c r="I137" s="363">
        <v>4029.4521500000001</v>
      </c>
      <c r="J137" s="364">
        <v>824.11881666582894</v>
      </c>
      <c r="K137" s="371">
        <v>0.20951810264099999</v>
      </c>
    </row>
    <row r="138" spans="1:11" ht="14.4" customHeight="1" thickBot="1" x14ac:dyDescent="0.35">
      <c r="A138" s="380" t="s">
        <v>373</v>
      </c>
      <c r="B138" s="358">
        <v>11965</v>
      </c>
      <c r="C138" s="358">
        <v>10773.172560000001</v>
      </c>
      <c r="D138" s="359">
        <v>-1191.82744</v>
      </c>
      <c r="E138" s="360">
        <v>0.90039051901300005</v>
      </c>
      <c r="F138" s="358">
        <v>12011.0000000031</v>
      </c>
      <c r="G138" s="359">
        <v>2001.8333333338601</v>
      </c>
      <c r="H138" s="361">
        <v>1182.3134399999999</v>
      </c>
      <c r="I138" s="358">
        <v>2418.58113</v>
      </c>
      <c r="J138" s="359">
        <v>416.74779666614398</v>
      </c>
      <c r="K138" s="362">
        <v>0.20136384397599999</v>
      </c>
    </row>
    <row r="139" spans="1:11" ht="14.4" customHeight="1" thickBot="1" x14ac:dyDescent="0.35">
      <c r="A139" s="380" t="s">
        <v>374</v>
      </c>
      <c r="B139" s="358">
        <v>3641</v>
      </c>
      <c r="C139" s="358">
        <v>7974.6699200000003</v>
      </c>
      <c r="D139" s="359">
        <v>4333.6699200000003</v>
      </c>
      <c r="E139" s="360">
        <v>2.1902416698699998</v>
      </c>
      <c r="F139" s="358">
        <v>7221.0000000018899</v>
      </c>
      <c r="G139" s="359">
        <v>1203.5000000003099</v>
      </c>
      <c r="H139" s="361">
        <v>795.51559999999995</v>
      </c>
      <c r="I139" s="358">
        <v>1610.87102</v>
      </c>
      <c r="J139" s="359">
        <v>407.37101999968502</v>
      </c>
      <c r="K139" s="362">
        <v>0.22308143193400001</v>
      </c>
    </row>
    <row r="140" spans="1:11" ht="14.4" customHeight="1" thickBot="1" x14ac:dyDescent="0.35">
      <c r="A140" s="379" t="s">
        <v>375</v>
      </c>
      <c r="B140" s="363">
        <v>0</v>
      </c>
      <c r="C140" s="363">
        <v>820.20804999999996</v>
      </c>
      <c r="D140" s="364">
        <v>820.20804999999996</v>
      </c>
      <c r="E140" s="365" t="s">
        <v>242</v>
      </c>
      <c r="F140" s="363">
        <v>0</v>
      </c>
      <c r="G140" s="364">
        <v>0</v>
      </c>
      <c r="H140" s="366">
        <v>0</v>
      </c>
      <c r="I140" s="363">
        <v>-6.0977100000000002</v>
      </c>
      <c r="J140" s="364">
        <v>-6.0977100000000002</v>
      </c>
      <c r="K140" s="367" t="s">
        <v>242</v>
      </c>
    </row>
    <row r="141" spans="1:11" ht="14.4" customHeight="1" thickBot="1" x14ac:dyDescent="0.35">
      <c r="A141" s="380" t="s">
        <v>376</v>
      </c>
      <c r="B141" s="358">
        <v>0</v>
      </c>
      <c r="C141" s="358">
        <v>85.117689999999996</v>
      </c>
      <c r="D141" s="359">
        <v>85.117689999999996</v>
      </c>
      <c r="E141" s="368" t="s">
        <v>242</v>
      </c>
      <c r="F141" s="358">
        <v>0</v>
      </c>
      <c r="G141" s="359">
        <v>0</v>
      </c>
      <c r="H141" s="361">
        <v>0</v>
      </c>
      <c r="I141" s="358">
        <v>0</v>
      </c>
      <c r="J141" s="359">
        <v>0</v>
      </c>
      <c r="K141" s="369" t="s">
        <v>242</v>
      </c>
    </row>
    <row r="142" spans="1:11" ht="14.4" customHeight="1" thickBot="1" x14ac:dyDescent="0.35">
      <c r="A142" s="380" t="s">
        <v>377</v>
      </c>
      <c r="B142" s="358">
        <v>0</v>
      </c>
      <c r="C142" s="358">
        <v>735.09036000000003</v>
      </c>
      <c r="D142" s="359">
        <v>735.09036000000003</v>
      </c>
      <c r="E142" s="368" t="s">
        <v>242</v>
      </c>
      <c r="F142" s="358">
        <v>0</v>
      </c>
      <c r="G142" s="359">
        <v>0</v>
      </c>
      <c r="H142" s="361">
        <v>0</v>
      </c>
      <c r="I142" s="358">
        <v>-6.0977100000000002</v>
      </c>
      <c r="J142" s="359">
        <v>-6.0977100000000002</v>
      </c>
      <c r="K142" s="369" t="s">
        <v>242</v>
      </c>
    </row>
    <row r="143" spans="1:11" ht="14.4" customHeight="1" thickBot="1" x14ac:dyDescent="0.35">
      <c r="A143" s="383" t="s">
        <v>378</v>
      </c>
      <c r="B143" s="363">
        <v>1505.0748252517301</v>
      </c>
      <c r="C143" s="363">
        <v>1757.0339899999999</v>
      </c>
      <c r="D143" s="364">
        <v>251.95916474826601</v>
      </c>
      <c r="E143" s="370">
        <v>1.1674064043329999</v>
      </c>
      <c r="F143" s="363">
        <v>1749.4447559049599</v>
      </c>
      <c r="G143" s="364">
        <v>291.57412598416101</v>
      </c>
      <c r="H143" s="366">
        <v>247.60837000000001</v>
      </c>
      <c r="I143" s="363">
        <v>456.72417000000002</v>
      </c>
      <c r="J143" s="364">
        <v>165.150044015839</v>
      </c>
      <c r="K143" s="371">
        <v>0.261068072288</v>
      </c>
    </row>
    <row r="144" spans="1:11" ht="14.4" customHeight="1" thickBot="1" x14ac:dyDescent="0.35">
      <c r="A144" s="379" t="s">
        <v>379</v>
      </c>
      <c r="B144" s="363">
        <v>1505.0748252517301</v>
      </c>
      <c r="C144" s="363">
        <v>1757.0339899999999</v>
      </c>
      <c r="D144" s="364">
        <v>251.95916474826601</v>
      </c>
      <c r="E144" s="370">
        <v>1.1674064043329999</v>
      </c>
      <c r="F144" s="363">
        <v>1749.4447559049599</v>
      </c>
      <c r="G144" s="364">
        <v>291.57412598416101</v>
      </c>
      <c r="H144" s="366">
        <v>247.60837000000001</v>
      </c>
      <c r="I144" s="363">
        <v>456.72417000000002</v>
      </c>
      <c r="J144" s="364">
        <v>165.150044015839</v>
      </c>
      <c r="K144" s="371">
        <v>0.261068072288</v>
      </c>
    </row>
    <row r="145" spans="1:11" ht="14.4" customHeight="1" thickBot="1" x14ac:dyDescent="0.35">
      <c r="A145" s="380" t="s">
        <v>380</v>
      </c>
      <c r="B145" s="358">
        <v>1505.0748252517301</v>
      </c>
      <c r="C145" s="358">
        <v>1757.0339899999999</v>
      </c>
      <c r="D145" s="359">
        <v>251.95916474826601</v>
      </c>
      <c r="E145" s="360">
        <v>1.1674064043329999</v>
      </c>
      <c r="F145" s="358">
        <v>1749.4447559049599</v>
      </c>
      <c r="G145" s="359">
        <v>291.57412598416101</v>
      </c>
      <c r="H145" s="361">
        <v>247.60837000000001</v>
      </c>
      <c r="I145" s="358">
        <v>456.72417000000002</v>
      </c>
      <c r="J145" s="359">
        <v>165.150044015839</v>
      </c>
      <c r="K145" s="362">
        <v>0.261068072288</v>
      </c>
    </row>
    <row r="146" spans="1:11" ht="14.4" customHeight="1" thickBot="1" x14ac:dyDescent="0.35">
      <c r="A146" s="377" t="s">
        <v>381</v>
      </c>
      <c r="B146" s="358">
        <v>105.47184715968601</v>
      </c>
      <c r="C146" s="358">
        <v>100.87991</v>
      </c>
      <c r="D146" s="359">
        <v>-4.591937159685</v>
      </c>
      <c r="E146" s="360">
        <v>0.95646291135100003</v>
      </c>
      <c r="F146" s="358">
        <v>61.499553692581998</v>
      </c>
      <c r="G146" s="359">
        <v>10.24992561543</v>
      </c>
      <c r="H146" s="361">
        <v>0.15322</v>
      </c>
      <c r="I146" s="358">
        <v>0.23025000000000001</v>
      </c>
      <c r="J146" s="359">
        <v>-10.01967561543</v>
      </c>
      <c r="K146" s="362">
        <v>3.7439296080000002E-3</v>
      </c>
    </row>
    <row r="147" spans="1:11" ht="14.4" customHeight="1" thickBot="1" x14ac:dyDescent="0.35">
      <c r="A147" s="378" t="s">
        <v>382</v>
      </c>
      <c r="B147" s="358">
        <v>0</v>
      </c>
      <c r="C147" s="358">
        <v>0.05</v>
      </c>
      <c r="D147" s="359">
        <v>0.05</v>
      </c>
      <c r="E147" s="368" t="s">
        <v>267</v>
      </c>
      <c r="F147" s="358">
        <v>0</v>
      </c>
      <c r="G147" s="359">
        <v>0</v>
      </c>
      <c r="H147" s="361">
        <v>0</v>
      </c>
      <c r="I147" s="358">
        <v>0</v>
      </c>
      <c r="J147" s="359">
        <v>0</v>
      </c>
      <c r="K147" s="369" t="s">
        <v>242</v>
      </c>
    </row>
    <row r="148" spans="1:11" ht="14.4" customHeight="1" thickBot="1" x14ac:dyDescent="0.35">
      <c r="A148" s="379" t="s">
        <v>383</v>
      </c>
      <c r="B148" s="363">
        <v>0</v>
      </c>
      <c r="C148" s="363">
        <v>0.05</v>
      </c>
      <c r="D148" s="364">
        <v>0.05</v>
      </c>
      <c r="E148" s="365" t="s">
        <v>267</v>
      </c>
      <c r="F148" s="363">
        <v>0</v>
      </c>
      <c r="G148" s="364">
        <v>0</v>
      </c>
      <c r="H148" s="366">
        <v>0</v>
      </c>
      <c r="I148" s="363">
        <v>0</v>
      </c>
      <c r="J148" s="364">
        <v>0</v>
      </c>
      <c r="K148" s="367" t="s">
        <v>242</v>
      </c>
    </row>
    <row r="149" spans="1:11" ht="14.4" customHeight="1" thickBot="1" x14ac:dyDescent="0.35">
      <c r="A149" s="380" t="s">
        <v>384</v>
      </c>
      <c r="B149" s="358">
        <v>0</v>
      </c>
      <c r="C149" s="358">
        <v>0.05</v>
      </c>
      <c r="D149" s="359">
        <v>0.05</v>
      </c>
      <c r="E149" s="368" t="s">
        <v>267</v>
      </c>
      <c r="F149" s="358">
        <v>0</v>
      </c>
      <c r="G149" s="359">
        <v>0</v>
      </c>
      <c r="H149" s="361">
        <v>0</v>
      </c>
      <c r="I149" s="358">
        <v>0</v>
      </c>
      <c r="J149" s="359">
        <v>0</v>
      </c>
      <c r="K149" s="369" t="s">
        <v>242</v>
      </c>
    </row>
    <row r="150" spans="1:11" ht="14.4" customHeight="1" thickBot="1" x14ac:dyDescent="0.35">
      <c r="A150" s="378" t="s">
        <v>385</v>
      </c>
      <c r="B150" s="358">
        <v>0</v>
      </c>
      <c r="C150" s="358">
        <v>11.42895</v>
      </c>
      <c r="D150" s="359">
        <v>11.42895</v>
      </c>
      <c r="E150" s="368" t="s">
        <v>242</v>
      </c>
      <c r="F150" s="358">
        <v>0</v>
      </c>
      <c r="G150" s="359">
        <v>0</v>
      </c>
      <c r="H150" s="361">
        <v>0</v>
      </c>
      <c r="I150" s="358">
        <v>0</v>
      </c>
      <c r="J150" s="359">
        <v>0</v>
      </c>
      <c r="K150" s="369" t="s">
        <v>242</v>
      </c>
    </row>
    <row r="151" spans="1:11" ht="14.4" customHeight="1" thickBot="1" x14ac:dyDescent="0.35">
      <c r="A151" s="379" t="s">
        <v>386</v>
      </c>
      <c r="B151" s="363">
        <v>0</v>
      </c>
      <c r="C151" s="363">
        <v>11.42895</v>
      </c>
      <c r="D151" s="364">
        <v>11.42895</v>
      </c>
      <c r="E151" s="365" t="s">
        <v>267</v>
      </c>
      <c r="F151" s="363">
        <v>0</v>
      </c>
      <c r="G151" s="364">
        <v>0</v>
      </c>
      <c r="H151" s="366">
        <v>0</v>
      </c>
      <c r="I151" s="363">
        <v>0</v>
      </c>
      <c r="J151" s="364">
        <v>0</v>
      </c>
      <c r="K151" s="367" t="s">
        <v>242</v>
      </c>
    </row>
    <row r="152" spans="1:11" ht="14.4" customHeight="1" thickBot="1" x14ac:dyDescent="0.35">
      <c r="A152" s="380" t="s">
        <v>387</v>
      </c>
      <c r="B152" s="358">
        <v>0</v>
      </c>
      <c r="C152" s="358">
        <v>11.42895</v>
      </c>
      <c r="D152" s="359">
        <v>11.42895</v>
      </c>
      <c r="E152" s="368" t="s">
        <v>267</v>
      </c>
      <c r="F152" s="358">
        <v>0</v>
      </c>
      <c r="G152" s="359">
        <v>0</v>
      </c>
      <c r="H152" s="361">
        <v>0</v>
      </c>
      <c r="I152" s="358">
        <v>0</v>
      </c>
      <c r="J152" s="359">
        <v>0</v>
      </c>
      <c r="K152" s="369" t="s">
        <v>242</v>
      </c>
    </row>
    <row r="153" spans="1:11" ht="14.4" customHeight="1" thickBot="1" x14ac:dyDescent="0.35">
      <c r="A153" s="383" t="s">
        <v>388</v>
      </c>
      <c r="B153" s="363">
        <v>105.47184715968601</v>
      </c>
      <c r="C153" s="363">
        <v>89.400959999999998</v>
      </c>
      <c r="D153" s="364">
        <v>-16.070887159685</v>
      </c>
      <c r="E153" s="370">
        <v>0.84762865548900002</v>
      </c>
      <c r="F153" s="363">
        <v>61.499553692581998</v>
      </c>
      <c r="G153" s="364">
        <v>10.24992561543</v>
      </c>
      <c r="H153" s="366">
        <v>0.15322</v>
      </c>
      <c r="I153" s="363">
        <v>0.23025000000000001</v>
      </c>
      <c r="J153" s="364">
        <v>-10.01967561543</v>
      </c>
      <c r="K153" s="371">
        <v>3.7439296080000002E-3</v>
      </c>
    </row>
    <row r="154" spans="1:11" ht="14.4" customHeight="1" thickBot="1" x14ac:dyDescent="0.35">
      <c r="A154" s="379" t="s">
        <v>389</v>
      </c>
      <c r="B154" s="363">
        <v>0</v>
      </c>
      <c r="C154" s="363">
        <v>21.28351</v>
      </c>
      <c r="D154" s="364">
        <v>21.28351</v>
      </c>
      <c r="E154" s="365" t="s">
        <v>242</v>
      </c>
      <c r="F154" s="363">
        <v>0</v>
      </c>
      <c r="G154" s="364">
        <v>0</v>
      </c>
      <c r="H154" s="366">
        <v>1.7219999999999999E-2</v>
      </c>
      <c r="I154" s="363">
        <v>3.6249999999999998E-2</v>
      </c>
      <c r="J154" s="364">
        <v>3.6249999999999998E-2</v>
      </c>
      <c r="K154" s="367" t="s">
        <v>242</v>
      </c>
    </row>
    <row r="155" spans="1:11" ht="14.4" customHeight="1" thickBot="1" x14ac:dyDescent="0.35">
      <c r="A155" s="380" t="s">
        <v>390</v>
      </c>
      <c r="B155" s="358">
        <v>0</v>
      </c>
      <c r="C155" s="358">
        <v>0.20071</v>
      </c>
      <c r="D155" s="359">
        <v>0.20071</v>
      </c>
      <c r="E155" s="368" t="s">
        <v>242</v>
      </c>
      <c r="F155" s="358">
        <v>0</v>
      </c>
      <c r="G155" s="359">
        <v>0</v>
      </c>
      <c r="H155" s="361">
        <v>1.7219999999999999E-2</v>
      </c>
      <c r="I155" s="358">
        <v>3.6249999999999998E-2</v>
      </c>
      <c r="J155" s="359">
        <v>3.6249999999999998E-2</v>
      </c>
      <c r="K155" s="369" t="s">
        <v>242</v>
      </c>
    </row>
    <row r="156" spans="1:11" ht="14.4" customHeight="1" thickBot="1" x14ac:dyDescent="0.35">
      <c r="A156" s="380" t="s">
        <v>391</v>
      </c>
      <c r="B156" s="358">
        <v>0</v>
      </c>
      <c r="C156" s="358">
        <v>14.719799999999999</v>
      </c>
      <c r="D156" s="359">
        <v>14.719799999999999</v>
      </c>
      <c r="E156" s="368" t="s">
        <v>267</v>
      </c>
      <c r="F156" s="358">
        <v>0</v>
      </c>
      <c r="G156" s="359">
        <v>0</v>
      </c>
      <c r="H156" s="361">
        <v>0</v>
      </c>
      <c r="I156" s="358">
        <v>0</v>
      </c>
      <c r="J156" s="359">
        <v>0</v>
      </c>
      <c r="K156" s="369" t="s">
        <v>242</v>
      </c>
    </row>
    <row r="157" spans="1:11" ht="14.4" customHeight="1" thickBot="1" x14ac:dyDescent="0.35">
      <c r="A157" s="380" t="s">
        <v>392</v>
      </c>
      <c r="B157" s="358">
        <v>0</v>
      </c>
      <c r="C157" s="358">
        <v>6.3630000000000004</v>
      </c>
      <c r="D157" s="359">
        <v>6.3630000000000004</v>
      </c>
      <c r="E157" s="368" t="s">
        <v>242</v>
      </c>
      <c r="F157" s="358">
        <v>0</v>
      </c>
      <c r="G157" s="359">
        <v>0</v>
      </c>
      <c r="H157" s="361">
        <v>0</v>
      </c>
      <c r="I157" s="358">
        <v>0</v>
      </c>
      <c r="J157" s="359">
        <v>0</v>
      </c>
      <c r="K157" s="362">
        <v>0</v>
      </c>
    </row>
    <row r="158" spans="1:11" ht="14.4" customHeight="1" thickBot="1" x14ac:dyDescent="0.35">
      <c r="A158" s="379" t="s">
        <v>393</v>
      </c>
      <c r="B158" s="363">
        <v>105.47184715968601</v>
      </c>
      <c r="C158" s="363">
        <v>68.117450000000005</v>
      </c>
      <c r="D158" s="364">
        <v>-37.354397159685</v>
      </c>
      <c r="E158" s="370">
        <v>0.64583537535699997</v>
      </c>
      <c r="F158" s="363">
        <v>61.499553692581998</v>
      </c>
      <c r="G158" s="364">
        <v>10.24992561543</v>
      </c>
      <c r="H158" s="366">
        <v>0.13600000000000001</v>
      </c>
      <c r="I158" s="363">
        <v>0.19400000000000001</v>
      </c>
      <c r="J158" s="364">
        <v>-10.055925615430001</v>
      </c>
      <c r="K158" s="371">
        <v>3.1544944359999999E-3</v>
      </c>
    </row>
    <row r="159" spans="1:11" ht="14.4" customHeight="1" thickBot="1" x14ac:dyDescent="0.35">
      <c r="A159" s="380" t="s">
        <v>394</v>
      </c>
      <c r="B159" s="358">
        <v>80.845345025952</v>
      </c>
      <c r="C159" s="358">
        <v>22.42088</v>
      </c>
      <c r="D159" s="359">
        <v>-58.424465025952003</v>
      </c>
      <c r="E159" s="360">
        <v>0.27733050051000002</v>
      </c>
      <c r="F159" s="358">
        <v>19</v>
      </c>
      <c r="G159" s="359">
        <v>3.1666666666659999</v>
      </c>
      <c r="H159" s="361">
        <v>0</v>
      </c>
      <c r="I159" s="358">
        <v>0</v>
      </c>
      <c r="J159" s="359">
        <v>-3.1666666666659999</v>
      </c>
      <c r="K159" s="362">
        <v>0</v>
      </c>
    </row>
    <row r="160" spans="1:11" ht="14.4" customHeight="1" thickBot="1" x14ac:dyDescent="0.35">
      <c r="A160" s="380" t="s">
        <v>395</v>
      </c>
      <c r="B160" s="358">
        <v>18.193902871321999</v>
      </c>
      <c r="C160" s="358">
        <v>2.3490000000000002</v>
      </c>
      <c r="D160" s="359">
        <v>-15.844902871322001</v>
      </c>
      <c r="E160" s="360">
        <v>0.12910918655600001</v>
      </c>
      <c r="F160" s="358">
        <v>5.4995536925820003</v>
      </c>
      <c r="G160" s="359">
        <v>0.91659228209700006</v>
      </c>
      <c r="H160" s="361">
        <v>0.13600000000000001</v>
      </c>
      <c r="I160" s="358">
        <v>0.19400000000000001</v>
      </c>
      <c r="J160" s="359">
        <v>-0.72259228209699999</v>
      </c>
      <c r="K160" s="362">
        <v>3.5275589773999999E-2</v>
      </c>
    </row>
    <row r="161" spans="1:11" ht="14.4" customHeight="1" thickBot="1" x14ac:dyDescent="0.35">
      <c r="A161" s="380" t="s">
        <v>396</v>
      </c>
      <c r="B161" s="358">
        <v>6.4325992624110002</v>
      </c>
      <c r="C161" s="358">
        <v>43.347569999999997</v>
      </c>
      <c r="D161" s="359">
        <v>36.914970737588</v>
      </c>
      <c r="E161" s="360">
        <v>6.7387331670570001</v>
      </c>
      <c r="F161" s="358">
        <v>37</v>
      </c>
      <c r="G161" s="359">
        <v>6.1666666666659999</v>
      </c>
      <c r="H161" s="361">
        <v>0</v>
      </c>
      <c r="I161" s="358">
        <v>0</v>
      </c>
      <c r="J161" s="359">
        <v>-6.1666666666659999</v>
      </c>
      <c r="K161" s="362">
        <v>0</v>
      </c>
    </row>
    <row r="162" spans="1:11" ht="14.4" customHeight="1" thickBot="1" x14ac:dyDescent="0.35">
      <c r="A162" s="376" t="s">
        <v>397</v>
      </c>
      <c r="B162" s="358">
        <v>2523.0019846895402</v>
      </c>
      <c r="C162" s="358">
        <v>2535.97208</v>
      </c>
      <c r="D162" s="359">
        <v>12.970095310463</v>
      </c>
      <c r="E162" s="360">
        <v>1.005140739242</v>
      </c>
      <c r="F162" s="358">
        <v>0</v>
      </c>
      <c r="G162" s="359">
        <v>0</v>
      </c>
      <c r="H162" s="361">
        <v>204.66768999999999</v>
      </c>
      <c r="I162" s="358">
        <v>404.74524000000002</v>
      </c>
      <c r="J162" s="359">
        <v>404.74524000000002</v>
      </c>
      <c r="K162" s="369" t="s">
        <v>242</v>
      </c>
    </row>
    <row r="163" spans="1:11" ht="14.4" customHeight="1" thickBot="1" x14ac:dyDescent="0.35">
      <c r="A163" s="381" t="s">
        <v>398</v>
      </c>
      <c r="B163" s="363">
        <v>2523.0019846895402</v>
      </c>
      <c r="C163" s="363">
        <v>2535.97208</v>
      </c>
      <c r="D163" s="364">
        <v>12.970095310463</v>
      </c>
      <c r="E163" s="370">
        <v>1.005140739242</v>
      </c>
      <c r="F163" s="363">
        <v>0</v>
      </c>
      <c r="G163" s="364">
        <v>0</v>
      </c>
      <c r="H163" s="366">
        <v>204.66768999999999</v>
      </c>
      <c r="I163" s="363">
        <v>404.74524000000002</v>
      </c>
      <c r="J163" s="364">
        <v>404.74524000000002</v>
      </c>
      <c r="K163" s="367" t="s">
        <v>242</v>
      </c>
    </row>
    <row r="164" spans="1:11" ht="14.4" customHeight="1" thickBot="1" x14ac:dyDescent="0.35">
      <c r="A164" s="383" t="s">
        <v>36</v>
      </c>
      <c r="B164" s="363">
        <v>2523.0019846895402</v>
      </c>
      <c r="C164" s="363">
        <v>2535.97208</v>
      </c>
      <c r="D164" s="364">
        <v>12.970095310463</v>
      </c>
      <c r="E164" s="370">
        <v>1.005140739242</v>
      </c>
      <c r="F164" s="363">
        <v>0</v>
      </c>
      <c r="G164" s="364">
        <v>0</v>
      </c>
      <c r="H164" s="366">
        <v>204.66768999999999</v>
      </c>
      <c r="I164" s="363">
        <v>404.74524000000002</v>
      </c>
      <c r="J164" s="364">
        <v>404.74524000000002</v>
      </c>
      <c r="K164" s="367" t="s">
        <v>242</v>
      </c>
    </row>
    <row r="165" spans="1:11" ht="14.4" customHeight="1" thickBot="1" x14ac:dyDescent="0.35">
      <c r="A165" s="379" t="s">
        <v>399</v>
      </c>
      <c r="B165" s="363">
        <v>14.001984689537</v>
      </c>
      <c r="C165" s="363">
        <v>6.61972</v>
      </c>
      <c r="D165" s="364">
        <v>-7.3822646895370001</v>
      </c>
      <c r="E165" s="370">
        <v>0.47277012129099999</v>
      </c>
      <c r="F165" s="363">
        <v>0</v>
      </c>
      <c r="G165" s="364">
        <v>0</v>
      </c>
      <c r="H165" s="366">
        <v>0.51202000000000003</v>
      </c>
      <c r="I165" s="363">
        <v>0.80601999999999996</v>
      </c>
      <c r="J165" s="364">
        <v>0.80601999999999996</v>
      </c>
      <c r="K165" s="367" t="s">
        <v>242</v>
      </c>
    </row>
    <row r="166" spans="1:11" ht="14.4" customHeight="1" thickBot="1" x14ac:dyDescent="0.35">
      <c r="A166" s="380" t="s">
        <v>400</v>
      </c>
      <c r="B166" s="358">
        <v>14.001984689537</v>
      </c>
      <c r="C166" s="358">
        <v>6.61972</v>
      </c>
      <c r="D166" s="359">
        <v>-7.3822646895370001</v>
      </c>
      <c r="E166" s="360">
        <v>0.47277012129099999</v>
      </c>
      <c r="F166" s="358">
        <v>0</v>
      </c>
      <c r="G166" s="359">
        <v>0</v>
      </c>
      <c r="H166" s="361">
        <v>0.51202000000000003</v>
      </c>
      <c r="I166" s="358">
        <v>0.80601999999999996</v>
      </c>
      <c r="J166" s="359">
        <v>0.80601999999999996</v>
      </c>
      <c r="K166" s="369" t="s">
        <v>242</v>
      </c>
    </row>
    <row r="167" spans="1:11" ht="14.4" customHeight="1" thickBot="1" x14ac:dyDescent="0.35">
      <c r="A167" s="379" t="s">
        <v>401</v>
      </c>
      <c r="B167" s="363">
        <v>118</v>
      </c>
      <c r="C167" s="363">
        <v>70.005070000000003</v>
      </c>
      <c r="D167" s="364">
        <v>-47.994929999999997</v>
      </c>
      <c r="E167" s="370">
        <v>0.59326330508400005</v>
      </c>
      <c r="F167" s="363">
        <v>0</v>
      </c>
      <c r="G167" s="364">
        <v>0</v>
      </c>
      <c r="H167" s="366">
        <v>5.7222900000000001</v>
      </c>
      <c r="I167" s="363">
        <v>10.83379</v>
      </c>
      <c r="J167" s="364">
        <v>10.83379</v>
      </c>
      <c r="K167" s="367" t="s">
        <v>242</v>
      </c>
    </row>
    <row r="168" spans="1:11" ht="14.4" customHeight="1" thickBot="1" x14ac:dyDescent="0.35">
      <c r="A168" s="380" t="s">
        <v>402</v>
      </c>
      <c r="B168" s="358">
        <v>118</v>
      </c>
      <c r="C168" s="358">
        <v>70.005070000000003</v>
      </c>
      <c r="D168" s="359">
        <v>-47.994929999999997</v>
      </c>
      <c r="E168" s="360">
        <v>0.59326330508400005</v>
      </c>
      <c r="F168" s="358">
        <v>0</v>
      </c>
      <c r="G168" s="359">
        <v>0</v>
      </c>
      <c r="H168" s="361">
        <v>5.7222900000000001</v>
      </c>
      <c r="I168" s="358">
        <v>10.83379</v>
      </c>
      <c r="J168" s="359">
        <v>10.83379</v>
      </c>
      <c r="K168" s="369" t="s">
        <v>242</v>
      </c>
    </row>
    <row r="169" spans="1:11" ht="14.4" customHeight="1" thickBot="1" x14ac:dyDescent="0.35">
      <c r="A169" s="379" t="s">
        <v>403</v>
      </c>
      <c r="B169" s="363">
        <v>0</v>
      </c>
      <c r="C169" s="363">
        <v>1.76</v>
      </c>
      <c r="D169" s="364">
        <v>1.76</v>
      </c>
      <c r="E169" s="365" t="s">
        <v>267</v>
      </c>
      <c r="F169" s="363">
        <v>0</v>
      </c>
      <c r="G169" s="364">
        <v>0</v>
      </c>
      <c r="H169" s="366">
        <v>1.1200000000000001</v>
      </c>
      <c r="I169" s="363">
        <v>1.1200000000000001</v>
      </c>
      <c r="J169" s="364">
        <v>1.1200000000000001</v>
      </c>
      <c r="K169" s="367" t="s">
        <v>242</v>
      </c>
    </row>
    <row r="170" spans="1:11" ht="14.4" customHeight="1" thickBot="1" x14ac:dyDescent="0.35">
      <c r="A170" s="380" t="s">
        <v>404</v>
      </c>
      <c r="B170" s="358">
        <v>0</v>
      </c>
      <c r="C170" s="358">
        <v>1.76</v>
      </c>
      <c r="D170" s="359">
        <v>1.76</v>
      </c>
      <c r="E170" s="368" t="s">
        <v>267</v>
      </c>
      <c r="F170" s="358">
        <v>0</v>
      </c>
      <c r="G170" s="359">
        <v>0</v>
      </c>
      <c r="H170" s="361">
        <v>1.1200000000000001</v>
      </c>
      <c r="I170" s="358">
        <v>1.1200000000000001</v>
      </c>
      <c r="J170" s="359">
        <v>1.1200000000000001</v>
      </c>
      <c r="K170" s="369" t="s">
        <v>242</v>
      </c>
    </row>
    <row r="171" spans="1:11" ht="14.4" customHeight="1" thickBot="1" x14ac:dyDescent="0.35">
      <c r="A171" s="379" t="s">
        <v>405</v>
      </c>
      <c r="B171" s="363">
        <v>569</v>
      </c>
      <c r="C171" s="363">
        <v>499.34</v>
      </c>
      <c r="D171" s="364">
        <v>-69.66</v>
      </c>
      <c r="E171" s="370">
        <v>0.87757469244200004</v>
      </c>
      <c r="F171" s="363">
        <v>0</v>
      </c>
      <c r="G171" s="364">
        <v>0</v>
      </c>
      <c r="H171" s="366">
        <v>40.006729999999997</v>
      </c>
      <c r="I171" s="363">
        <v>101.02256</v>
      </c>
      <c r="J171" s="364">
        <v>101.02256</v>
      </c>
      <c r="K171" s="367" t="s">
        <v>242</v>
      </c>
    </row>
    <row r="172" spans="1:11" ht="14.4" customHeight="1" thickBot="1" x14ac:dyDescent="0.35">
      <c r="A172" s="380" t="s">
        <v>406</v>
      </c>
      <c r="B172" s="358">
        <v>569</v>
      </c>
      <c r="C172" s="358">
        <v>499.34</v>
      </c>
      <c r="D172" s="359">
        <v>-69.66</v>
      </c>
      <c r="E172" s="360">
        <v>0.87757469244200004</v>
      </c>
      <c r="F172" s="358">
        <v>0</v>
      </c>
      <c r="G172" s="359">
        <v>0</v>
      </c>
      <c r="H172" s="361">
        <v>40.006729999999997</v>
      </c>
      <c r="I172" s="358">
        <v>101.02256</v>
      </c>
      <c r="J172" s="359">
        <v>101.02256</v>
      </c>
      <c r="K172" s="369" t="s">
        <v>242</v>
      </c>
    </row>
    <row r="173" spans="1:11" ht="14.4" customHeight="1" thickBot="1" x14ac:dyDescent="0.35">
      <c r="A173" s="379" t="s">
        <v>407</v>
      </c>
      <c r="B173" s="363">
        <v>0</v>
      </c>
      <c r="C173" s="363">
        <v>0.221</v>
      </c>
      <c r="D173" s="364">
        <v>0.221</v>
      </c>
      <c r="E173" s="365" t="s">
        <v>267</v>
      </c>
      <c r="F173" s="363">
        <v>0</v>
      </c>
      <c r="G173" s="364">
        <v>0</v>
      </c>
      <c r="H173" s="366">
        <v>0</v>
      </c>
      <c r="I173" s="363">
        <v>0.84899999999999998</v>
      </c>
      <c r="J173" s="364">
        <v>0.84899999999999998</v>
      </c>
      <c r="K173" s="367" t="s">
        <v>267</v>
      </c>
    </row>
    <row r="174" spans="1:11" ht="14.4" customHeight="1" thickBot="1" x14ac:dyDescent="0.35">
      <c r="A174" s="380" t="s">
        <v>408</v>
      </c>
      <c r="B174" s="358">
        <v>0</v>
      </c>
      <c r="C174" s="358">
        <v>0.221</v>
      </c>
      <c r="D174" s="359">
        <v>0.221</v>
      </c>
      <c r="E174" s="368" t="s">
        <v>267</v>
      </c>
      <c r="F174" s="358">
        <v>0</v>
      </c>
      <c r="G174" s="359">
        <v>0</v>
      </c>
      <c r="H174" s="361">
        <v>0</v>
      </c>
      <c r="I174" s="358">
        <v>0.84899999999999998</v>
      </c>
      <c r="J174" s="359">
        <v>0.84899999999999998</v>
      </c>
      <c r="K174" s="369" t="s">
        <v>267</v>
      </c>
    </row>
    <row r="175" spans="1:11" ht="14.4" customHeight="1" thickBot="1" x14ac:dyDescent="0.35">
      <c r="A175" s="379" t="s">
        <v>409</v>
      </c>
      <c r="B175" s="363">
        <v>1822</v>
      </c>
      <c r="C175" s="363">
        <v>1958.02629</v>
      </c>
      <c r="D175" s="364">
        <v>136.02629000000101</v>
      </c>
      <c r="E175" s="370">
        <v>1.0746576783749999</v>
      </c>
      <c r="F175" s="363">
        <v>0</v>
      </c>
      <c r="G175" s="364">
        <v>0</v>
      </c>
      <c r="H175" s="366">
        <v>157.30664999999999</v>
      </c>
      <c r="I175" s="363">
        <v>290.11387000000002</v>
      </c>
      <c r="J175" s="364">
        <v>290.11387000000002</v>
      </c>
      <c r="K175" s="367" t="s">
        <v>242</v>
      </c>
    </row>
    <row r="176" spans="1:11" ht="14.4" customHeight="1" thickBot="1" x14ac:dyDescent="0.35">
      <c r="A176" s="380" t="s">
        <v>410</v>
      </c>
      <c r="B176" s="358">
        <v>1822</v>
      </c>
      <c r="C176" s="358">
        <v>1958.02629</v>
      </c>
      <c r="D176" s="359">
        <v>136.02629000000101</v>
      </c>
      <c r="E176" s="360">
        <v>1.0746576783749999</v>
      </c>
      <c r="F176" s="358">
        <v>0</v>
      </c>
      <c r="G176" s="359">
        <v>0</v>
      </c>
      <c r="H176" s="361">
        <v>157.30664999999999</v>
      </c>
      <c r="I176" s="358">
        <v>290.11387000000002</v>
      </c>
      <c r="J176" s="359">
        <v>290.11387000000002</v>
      </c>
      <c r="K176" s="369" t="s">
        <v>242</v>
      </c>
    </row>
    <row r="177" spans="1:11" ht="14.4" customHeight="1" thickBot="1" x14ac:dyDescent="0.35">
      <c r="A177" s="384"/>
      <c r="B177" s="358">
        <v>-1848.92135349707</v>
      </c>
      <c r="C177" s="358">
        <v>13.915379999994</v>
      </c>
      <c r="D177" s="359">
        <v>1862.8367334970701</v>
      </c>
      <c r="E177" s="360">
        <v>-7.5262152029999998E-3</v>
      </c>
      <c r="F177" s="358">
        <v>413.73791528791099</v>
      </c>
      <c r="G177" s="359">
        <v>68.956319214651003</v>
      </c>
      <c r="H177" s="361">
        <v>573.18916999999601</v>
      </c>
      <c r="I177" s="358">
        <v>1083.1591800000001</v>
      </c>
      <c r="J177" s="359">
        <v>1014.20286078534</v>
      </c>
      <c r="K177" s="362">
        <v>2.6179838491380001</v>
      </c>
    </row>
    <row r="178" spans="1:11" ht="14.4" customHeight="1" thickBot="1" x14ac:dyDescent="0.35">
      <c r="A178" s="385" t="s">
        <v>48</v>
      </c>
      <c r="B178" s="372">
        <v>-1848.92135349707</v>
      </c>
      <c r="C178" s="372">
        <v>13.915379999994</v>
      </c>
      <c r="D178" s="373">
        <v>1862.8367334970701</v>
      </c>
      <c r="E178" s="374">
        <v>-0.91827216993100003</v>
      </c>
      <c r="F178" s="372">
        <v>413.73791528791099</v>
      </c>
      <c r="G178" s="373">
        <v>68.956319214651998</v>
      </c>
      <c r="H178" s="372">
        <v>573.18916999999601</v>
      </c>
      <c r="I178" s="372">
        <v>1083.1591800000001</v>
      </c>
      <c r="J178" s="373">
        <v>1014.20286078534</v>
      </c>
      <c r="K178" s="375">
        <v>2.6179838491380001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20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182" customWidth="1"/>
    <col min="2" max="2" width="61.109375" style="182" customWidth="1"/>
    <col min="3" max="3" width="9.5546875" style="105" customWidth="1"/>
    <col min="4" max="4" width="9.5546875" style="183" customWidth="1"/>
    <col min="5" max="5" width="2.21875" style="183" customWidth="1"/>
    <col min="6" max="6" width="9.5546875" style="184" customWidth="1"/>
    <col min="7" max="7" width="9.5546875" style="181" customWidth="1"/>
    <col min="8" max="9" width="9.5546875" style="105" customWidth="1"/>
    <col min="10" max="10" width="0" style="105" hidden="1" customWidth="1"/>
    <col min="11" max="16384" width="8.88671875" style="105"/>
  </cols>
  <sheetData>
    <row r="1" spans="1:10" ht="18.600000000000001" customHeight="1" thickBot="1" x14ac:dyDescent="0.4">
      <c r="A1" s="322" t="s">
        <v>111</v>
      </c>
      <c r="B1" s="323"/>
      <c r="C1" s="323"/>
      <c r="D1" s="323"/>
      <c r="E1" s="323"/>
      <c r="F1" s="323"/>
      <c r="G1" s="294"/>
      <c r="H1" s="324"/>
      <c r="I1" s="324"/>
    </row>
    <row r="2" spans="1:10" ht="14.4" customHeight="1" thickBot="1" x14ac:dyDescent="0.35">
      <c r="A2" s="203" t="s">
        <v>241</v>
      </c>
      <c r="B2" s="180"/>
      <c r="C2" s="180"/>
      <c r="D2" s="180"/>
      <c r="E2" s="180"/>
      <c r="F2" s="180"/>
    </row>
    <row r="3" spans="1:10" ht="14.4" customHeight="1" thickBot="1" x14ac:dyDescent="0.35">
      <c r="A3" s="203"/>
      <c r="B3" s="180"/>
      <c r="C3" s="261">
        <v>2013</v>
      </c>
      <c r="D3" s="262">
        <v>2014</v>
      </c>
      <c r="E3" s="7"/>
      <c r="F3" s="317">
        <v>2015</v>
      </c>
      <c r="G3" s="318"/>
      <c r="H3" s="318"/>
      <c r="I3" s="319"/>
    </row>
    <row r="4" spans="1:10" ht="14.4" customHeight="1" thickBot="1" x14ac:dyDescent="0.35">
      <c r="A4" s="266" t="s">
        <v>0</v>
      </c>
      <c r="B4" s="267" t="s">
        <v>205</v>
      </c>
      <c r="C4" s="320" t="s">
        <v>55</v>
      </c>
      <c r="D4" s="321"/>
      <c r="E4" s="268"/>
      <c r="F4" s="263" t="s">
        <v>55</v>
      </c>
      <c r="G4" s="264" t="s">
        <v>56</v>
      </c>
      <c r="H4" s="264" t="s">
        <v>50</v>
      </c>
      <c r="I4" s="265" t="s">
        <v>57</v>
      </c>
    </row>
    <row r="5" spans="1:10" ht="14.4" customHeight="1" x14ac:dyDescent="0.3">
      <c r="A5" s="386" t="s">
        <v>411</v>
      </c>
      <c r="B5" s="387" t="s">
        <v>412</v>
      </c>
      <c r="C5" s="388" t="s">
        <v>413</v>
      </c>
      <c r="D5" s="388" t="s">
        <v>413</v>
      </c>
      <c r="E5" s="388"/>
      <c r="F5" s="388" t="s">
        <v>413</v>
      </c>
      <c r="G5" s="388" t="s">
        <v>413</v>
      </c>
      <c r="H5" s="388" t="s">
        <v>413</v>
      </c>
      <c r="I5" s="389" t="s">
        <v>413</v>
      </c>
      <c r="J5" s="390" t="s">
        <v>51</v>
      </c>
    </row>
    <row r="6" spans="1:10" ht="14.4" customHeight="1" x14ac:dyDescent="0.3">
      <c r="A6" s="386" t="s">
        <v>411</v>
      </c>
      <c r="B6" s="387" t="s">
        <v>250</v>
      </c>
      <c r="C6" s="388">
        <v>8.2068899999999996</v>
      </c>
      <c r="D6" s="388">
        <v>3.9143100000000004</v>
      </c>
      <c r="E6" s="388"/>
      <c r="F6" s="388">
        <v>0</v>
      </c>
      <c r="G6" s="388">
        <v>4.7826194014774996</v>
      </c>
      <c r="H6" s="388">
        <v>-4.7826194014774996</v>
      </c>
      <c r="I6" s="389">
        <v>0</v>
      </c>
      <c r="J6" s="390" t="s">
        <v>1</v>
      </c>
    </row>
    <row r="7" spans="1:10" ht="14.4" customHeight="1" x14ac:dyDescent="0.3">
      <c r="A7" s="386" t="s">
        <v>411</v>
      </c>
      <c r="B7" s="387" t="s">
        <v>414</v>
      </c>
      <c r="C7" s="388">
        <v>7.2099999999999997E-2</v>
      </c>
      <c r="D7" s="388">
        <v>0</v>
      </c>
      <c r="E7" s="388"/>
      <c r="F7" s="388" t="s">
        <v>413</v>
      </c>
      <c r="G7" s="388" t="s">
        <v>413</v>
      </c>
      <c r="H7" s="388" t="s">
        <v>413</v>
      </c>
      <c r="I7" s="389" t="s">
        <v>413</v>
      </c>
      <c r="J7" s="390" t="s">
        <v>1</v>
      </c>
    </row>
    <row r="8" spans="1:10" ht="14.4" customHeight="1" x14ac:dyDescent="0.3">
      <c r="A8" s="386" t="s">
        <v>411</v>
      </c>
      <c r="B8" s="387" t="s">
        <v>415</v>
      </c>
      <c r="C8" s="388">
        <v>0</v>
      </c>
      <c r="D8" s="388">
        <v>0</v>
      </c>
      <c r="E8" s="388"/>
      <c r="F8" s="388" t="s">
        <v>413</v>
      </c>
      <c r="G8" s="388" t="s">
        <v>413</v>
      </c>
      <c r="H8" s="388" t="s">
        <v>413</v>
      </c>
      <c r="I8" s="389" t="s">
        <v>413</v>
      </c>
      <c r="J8" s="390" t="s">
        <v>1</v>
      </c>
    </row>
    <row r="9" spans="1:10" ht="14.4" customHeight="1" x14ac:dyDescent="0.3">
      <c r="A9" s="386" t="s">
        <v>411</v>
      </c>
      <c r="B9" s="387" t="s">
        <v>416</v>
      </c>
      <c r="C9" s="388">
        <v>0.43802000000000002</v>
      </c>
      <c r="D9" s="388">
        <v>0</v>
      </c>
      <c r="E9" s="388"/>
      <c r="F9" s="388" t="s">
        <v>413</v>
      </c>
      <c r="G9" s="388" t="s">
        <v>413</v>
      </c>
      <c r="H9" s="388" t="s">
        <v>413</v>
      </c>
      <c r="I9" s="389" t="s">
        <v>413</v>
      </c>
      <c r="J9" s="390" t="s">
        <v>1</v>
      </c>
    </row>
    <row r="10" spans="1:10" ht="14.4" customHeight="1" x14ac:dyDescent="0.3">
      <c r="A10" s="386" t="s">
        <v>411</v>
      </c>
      <c r="B10" s="387" t="s">
        <v>417</v>
      </c>
      <c r="C10" s="388">
        <v>8.7170100000000001</v>
      </c>
      <c r="D10" s="388">
        <v>3.9143100000000004</v>
      </c>
      <c r="E10" s="388"/>
      <c r="F10" s="388">
        <v>0</v>
      </c>
      <c r="G10" s="388">
        <v>4.7826194014774996</v>
      </c>
      <c r="H10" s="388">
        <v>-4.7826194014774996</v>
      </c>
      <c r="I10" s="389">
        <v>0</v>
      </c>
      <c r="J10" s="390" t="s">
        <v>418</v>
      </c>
    </row>
    <row r="12" spans="1:10" ht="14.4" customHeight="1" x14ac:dyDescent="0.3">
      <c r="A12" s="386" t="s">
        <v>411</v>
      </c>
      <c r="B12" s="387" t="s">
        <v>412</v>
      </c>
      <c r="C12" s="388" t="s">
        <v>413</v>
      </c>
      <c r="D12" s="388" t="s">
        <v>413</v>
      </c>
      <c r="E12" s="388"/>
      <c r="F12" s="388" t="s">
        <v>413</v>
      </c>
      <c r="G12" s="388" t="s">
        <v>413</v>
      </c>
      <c r="H12" s="388" t="s">
        <v>413</v>
      </c>
      <c r="I12" s="389" t="s">
        <v>413</v>
      </c>
      <c r="J12" s="390" t="s">
        <v>51</v>
      </c>
    </row>
    <row r="13" spans="1:10" ht="14.4" customHeight="1" x14ac:dyDescent="0.3">
      <c r="A13" s="386" t="s">
        <v>419</v>
      </c>
      <c r="B13" s="387" t="s">
        <v>420</v>
      </c>
      <c r="C13" s="388" t="s">
        <v>413</v>
      </c>
      <c r="D13" s="388" t="s">
        <v>413</v>
      </c>
      <c r="E13" s="388"/>
      <c r="F13" s="388" t="s">
        <v>413</v>
      </c>
      <c r="G13" s="388" t="s">
        <v>413</v>
      </c>
      <c r="H13" s="388" t="s">
        <v>413</v>
      </c>
      <c r="I13" s="389" t="s">
        <v>413</v>
      </c>
      <c r="J13" s="390" t="s">
        <v>0</v>
      </c>
    </row>
    <row r="14" spans="1:10" ht="14.4" customHeight="1" x14ac:dyDescent="0.3">
      <c r="A14" s="386" t="s">
        <v>419</v>
      </c>
      <c r="B14" s="387" t="s">
        <v>250</v>
      </c>
      <c r="C14" s="388">
        <v>8.2068899999999996</v>
      </c>
      <c r="D14" s="388">
        <v>3.9143100000000004</v>
      </c>
      <c r="E14" s="388"/>
      <c r="F14" s="388">
        <v>0</v>
      </c>
      <c r="G14" s="388">
        <v>4.7826194014774996</v>
      </c>
      <c r="H14" s="388">
        <v>-4.7826194014774996</v>
      </c>
      <c r="I14" s="389">
        <v>0</v>
      </c>
      <c r="J14" s="390" t="s">
        <v>1</v>
      </c>
    </row>
    <row r="15" spans="1:10" ht="14.4" customHeight="1" x14ac:dyDescent="0.3">
      <c r="A15" s="386" t="s">
        <v>419</v>
      </c>
      <c r="B15" s="387" t="s">
        <v>414</v>
      </c>
      <c r="C15" s="388">
        <v>7.2099999999999997E-2</v>
      </c>
      <c r="D15" s="388">
        <v>0</v>
      </c>
      <c r="E15" s="388"/>
      <c r="F15" s="388" t="s">
        <v>413</v>
      </c>
      <c r="G15" s="388" t="s">
        <v>413</v>
      </c>
      <c r="H15" s="388" t="s">
        <v>413</v>
      </c>
      <c r="I15" s="389" t="s">
        <v>413</v>
      </c>
      <c r="J15" s="390" t="s">
        <v>1</v>
      </c>
    </row>
    <row r="16" spans="1:10" ht="14.4" customHeight="1" x14ac:dyDescent="0.3">
      <c r="A16" s="386" t="s">
        <v>419</v>
      </c>
      <c r="B16" s="387" t="s">
        <v>415</v>
      </c>
      <c r="C16" s="388">
        <v>0</v>
      </c>
      <c r="D16" s="388">
        <v>0</v>
      </c>
      <c r="E16" s="388"/>
      <c r="F16" s="388" t="s">
        <v>413</v>
      </c>
      <c r="G16" s="388" t="s">
        <v>413</v>
      </c>
      <c r="H16" s="388" t="s">
        <v>413</v>
      </c>
      <c r="I16" s="389" t="s">
        <v>413</v>
      </c>
      <c r="J16" s="390" t="s">
        <v>1</v>
      </c>
    </row>
    <row r="17" spans="1:10" ht="14.4" customHeight="1" x14ac:dyDescent="0.3">
      <c r="A17" s="386" t="s">
        <v>419</v>
      </c>
      <c r="B17" s="387" t="s">
        <v>416</v>
      </c>
      <c r="C17" s="388">
        <v>0.43802000000000002</v>
      </c>
      <c r="D17" s="388">
        <v>0</v>
      </c>
      <c r="E17" s="388"/>
      <c r="F17" s="388" t="s">
        <v>413</v>
      </c>
      <c r="G17" s="388" t="s">
        <v>413</v>
      </c>
      <c r="H17" s="388" t="s">
        <v>413</v>
      </c>
      <c r="I17" s="389" t="s">
        <v>413</v>
      </c>
      <c r="J17" s="390" t="s">
        <v>1</v>
      </c>
    </row>
    <row r="18" spans="1:10" ht="14.4" customHeight="1" x14ac:dyDescent="0.3">
      <c r="A18" s="386" t="s">
        <v>419</v>
      </c>
      <c r="B18" s="387" t="s">
        <v>421</v>
      </c>
      <c r="C18" s="388">
        <v>8.7170100000000001</v>
      </c>
      <c r="D18" s="388">
        <v>3.9143100000000004</v>
      </c>
      <c r="E18" s="388"/>
      <c r="F18" s="388">
        <v>0</v>
      </c>
      <c r="G18" s="388">
        <v>4.7826194014774996</v>
      </c>
      <c r="H18" s="388">
        <v>-4.7826194014774996</v>
      </c>
      <c r="I18" s="389">
        <v>0</v>
      </c>
      <c r="J18" s="390" t="s">
        <v>422</v>
      </c>
    </row>
    <row r="19" spans="1:10" ht="14.4" customHeight="1" x14ac:dyDescent="0.3">
      <c r="A19" s="386" t="s">
        <v>413</v>
      </c>
      <c r="B19" s="387" t="s">
        <v>413</v>
      </c>
      <c r="C19" s="388" t="s">
        <v>413</v>
      </c>
      <c r="D19" s="388" t="s">
        <v>413</v>
      </c>
      <c r="E19" s="388"/>
      <c r="F19" s="388" t="s">
        <v>413</v>
      </c>
      <c r="G19" s="388" t="s">
        <v>413</v>
      </c>
      <c r="H19" s="388" t="s">
        <v>413</v>
      </c>
      <c r="I19" s="389" t="s">
        <v>413</v>
      </c>
      <c r="J19" s="390" t="s">
        <v>423</v>
      </c>
    </row>
    <row r="20" spans="1:10" ht="14.4" customHeight="1" x14ac:dyDescent="0.3">
      <c r="A20" s="386" t="s">
        <v>411</v>
      </c>
      <c r="B20" s="387" t="s">
        <v>417</v>
      </c>
      <c r="C20" s="388">
        <v>8.7170100000000001</v>
      </c>
      <c r="D20" s="388">
        <v>3.9143100000000004</v>
      </c>
      <c r="E20" s="388"/>
      <c r="F20" s="388">
        <v>0</v>
      </c>
      <c r="G20" s="388">
        <v>4.7826194014774996</v>
      </c>
      <c r="H20" s="388">
        <v>-4.7826194014774996</v>
      </c>
      <c r="I20" s="389">
        <v>0</v>
      </c>
      <c r="J20" s="390" t="s">
        <v>418</v>
      </c>
    </row>
  </sheetData>
  <mergeCells count="3">
    <mergeCell ref="F3:I3"/>
    <mergeCell ref="C4:D4"/>
    <mergeCell ref="A1:I1"/>
  </mergeCells>
  <conditionalFormatting sqref="F11 F21:F65537">
    <cfRule type="cellIs" dxfId="37" priority="18" stopIfTrue="1" operator="greaterThan">
      <formula>1</formula>
    </cfRule>
  </conditionalFormatting>
  <conditionalFormatting sqref="H5:H10">
    <cfRule type="expression" dxfId="36" priority="14">
      <formula>$H5&gt;0</formula>
    </cfRule>
  </conditionalFormatting>
  <conditionalFormatting sqref="I5:I10">
    <cfRule type="expression" dxfId="35" priority="15">
      <formula>$I5&gt;1</formula>
    </cfRule>
  </conditionalFormatting>
  <conditionalFormatting sqref="B5:B10">
    <cfRule type="expression" dxfId="34" priority="11">
      <formula>OR($J5="NS",$J5="SumaNS",$J5="Účet")</formula>
    </cfRule>
  </conditionalFormatting>
  <conditionalFormatting sqref="B5:D10 F5:I10">
    <cfRule type="expression" dxfId="33" priority="17">
      <formula>AND($J5&lt;&gt;"",$J5&lt;&gt;"mezeraKL")</formula>
    </cfRule>
  </conditionalFormatting>
  <conditionalFormatting sqref="B5:D10 F5:I10">
    <cfRule type="expression" dxfId="32" priority="12">
      <formula>OR($J5="KL",$J5="SumaKL")</formula>
    </cfRule>
    <cfRule type="expression" priority="16" stopIfTrue="1">
      <formula>OR($J5="mezeraNS",$J5="mezeraKL")</formula>
    </cfRule>
  </conditionalFormatting>
  <conditionalFormatting sqref="F5:I10 B5:D10">
    <cfRule type="expression" dxfId="31" priority="13">
      <formula>OR($J5="SumaNS",$J5="NS")</formula>
    </cfRule>
  </conditionalFormatting>
  <conditionalFormatting sqref="A5:A10">
    <cfRule type="expression" dxfId="30" priority="9">
      <formula>AND($J5&lt;&gt;"mezeraKL",$J5&lt;&gt;"")</formula>
    </cfRule>
  </conditionalFormatting>
  <conditionalFormatting sqref="A5:A10">
    <cfRule type="expression" dxfId="29" priority="10">
      <formula>AND($J5&lt;&gt;"",$J5&lt;&gt;"mezeraKL")</formula>
    </cfRule>
  </conditionalFormatting>
  <conditionalFormatting sqref="H12:H20">
    <cfRule type="expression" dxfId="28" priority="5">
      <formula>$H12&gt;0</formula>
    </cfRule>
  </conditionalFormatting>
  <conditionalFormatting sqref="A12:A20">
    <cfRule type="expression" dxfId="27" priority="2">
      <formula>AND($J12&lt;&gt;"mezeraKL",$J12&lt;&gt;"")</formula>
    </cfRule>
  </conditionalFormatting>
  <conditionalFormatting sqref="I12:I20">
    <cfRule type="expression" dxfId="26" priority="6">
      <formula>$I12&gt;1</formula>
    </cfRule>
  </conditionalFormatting>
  <conditionalFormatting sqref="B12:B20">
    <cfRule type="expression" dxfId="25" priority="1">
      <formula>OR($J12="NS",$J12="SumaNS",$J12="Účet")</formula>
    </cfRule>
  </conditionalFormatting>
  <conditionalFormatting sqref="A12:D20 F12:I20">
    <cfRule type="expression" dxfId="24" priority="8">
      <formula>AND($J12&lt;&gt;"",$J12&lt;&gt;"mezeraKL")</formula>
    </cfRule>
  </conditionalFormatting>
  <conditionalFormatting sqref="B12:D20 F12:I20">
    <cfRule type="expression" dxfId="23" priority="3">
      <formula>OR($J12="KL",$J12="SumaKL")</formula>
    </cfRule>
    <cfRule type="expression" priority="7" stopIfTrue="1">
      <formula>OR($J12="mezeraNS",$J12="mezeraKL")</formula>
    </cfRule>
  </conditionalFormatting>
  <conditionalFormatting sqref="B12:D20 F12:I20">
    <cfRule type="expression" dxfId="22" priority="4">
      <formula>OR($J12="SumaNS",$J12="NS")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7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281" customWidth="1"/>
    <col min="2" max="2" width="5.44140625" style="181" bestFit="1" customWidth="1"/>
    <col min="3" max="3" width="6.109375" style="181" bestFit="1" customWidth="1"/>
    <col min="4" max="4" width="7.44140625" style="181" bestFit="1" customWidth="1"/>
    <col min="5" max="5" width="6.21875" style="181" bestFit="1" customWidth="1"/>
    <col min="6" max="6" width="6.33203125" style="184" bestFit="1" customWidth="1"/>
    <col min="7" max="7" width="6.109375" style="184" bestFit="1" customWidth="1"/>
    <col min="8" max="8" width="7.44140625" style="184" bestFit="1" customWidth="1"/>
    <col min="9" max="9" width="6.21875" style="184" bestFit="1" customWidth="1"/>
    <col min="10" max="10" width="5.44140625" style="181" bestFit="1" customWidth="1"/>
    <col min="11" max="11" width="6.109375" style="181" bestFit="1" customWidth="1"/>
    <col min="12" max="12" width="7.44140625" style="181" bestFit="1" customWidth="1"/>
    <col min="13" max="13" width="6.21875" style="181" bestFit="1" customWidth="1"/>
    <col min="14" max="14" width="5.33203125" style="184" bestFit="1" customWidth="1"/>
    <col min="15" max="15" width="6.109375" style="184" bestFit="1" customWidth="1"/>
    <col min="16" max="16" width="7.44140625" style="184" bestFit="1" customWidth="1"/>
    <col min="17" max="17" width="6.21875" style="184" bestFit="1" customWidth="1"/>
    <col min="18" max="16384" width="8.88671875" style="105"/>
  </cols>
  <sheetData>
    <row r="1" spans="1:17" ht="18.600000000000001" customHeight="1" thickBot="1" x14ac:dyDescent="0.4">
      <c r="A1" s="328" t="s">
        <v>206</v>
      </c>
      <c r="B1" s="328"/>
      <c r="C1" s="328"/>
      <c r="D1" s="328"/>
      <c r="E1" s="328"/>
      <c r="F1" s="294"/>
      <c r="G1" s="294"/>
      <c r="H1" s="294"/>
      <c r="I1" s="294"/>
      <c r="J1" s="324"/>
      <c r="K1" s="324"/>
      <c r="L1" s="324"/>
      <c r="M1" s="324"/>
      <c r="N1" s="324"/>
      <c r="O1" s="324"/>
      <c r="P1" s="324"/>
      <c r="Q1" s="324"/>
    </row>
    <row r="2" spans="1:17" ht="14.4" customHeight="1" thickBot="1" x14ac:dyDescent="0.35">
      <c r="A2" s="203" t="s">
        <v>241</v>
      </c>
      <c r="B2" s="188"/>
      <c r="C2" s="188"/>
      <c r="D2" s="188"/>
      <c r="E2" s="188"/>
    </row>
    <row r="3" spans="1:17" ht="14.4" customHeight="1" thickBot="1" x14ac:dyDescent="0.35">
      <c r="A3" s="270" t="s">
        <v>3</v>
      </c>
      <c r="B3" s="274">
        <f>SUM(B6:B1048576)</f>
        <v>4</v>
      </c>
      <c r="C3" s="275">
        <f>SUM(C6:C1048576)</f>
        <v>0</v>
      </c>
      <c r="D3" s="275">
        <f>SUM(D6:D1048576)</f>
        <v>0</v>
      </c>
      <c r="E3" s="276">
        <f>SUM(E6:E1048576)</f>
        <v>0</v>
      </c>
      <c r="F3" s="273">
        <f>IF(SUM($B3:$E3)=0,"",B3/SUM($B3:$E3))</f>
        <v>1</v>
      </c>
      <c r="G3" s="271">
        <f t="shared" ref="G3:I3" si="0">IF(SUM($B3:$E3)=0,"",C3/SUM($B3:$E3))</f>
        <v>0</v>
      </c>
      <c r="H3" s="271">
        <f t="shared" si="0"/>
        <v>0</v>
      </c>
      <c r="I3" s="272">
        <f t="shared" si="0"/>
        <v>0</v>
      </c>
      <c r="J3" s="275">
        <f>SUM(J6:J1048576)</f>
        <v>2</v>
      </c>
      <c r="K3" s="275">
        <f>SUM(K6:K1048576)</f>
        <v>0</v>
      </c>
      <c r="L3" s="275">
        <f>SUM(L6:L1048576)</f>
        <v>0</v>
      </c>
      <c r="M3" s="276">
        <f>SUM(M6:M1048576)</f>
        <v>0</v>
      </c>
      <c r="N3" s="273">
        <f>IF(SUM($J3:$M3)=0,"",J3/SUM($J3:$M3))</f>
        <v>1</v>
      </c>
      <c r="O3" s="271">
        <f t="shared" ref="O3:Q3" si="1">IF(SUM($J3:$M3)=0,"",K3/SUM($J3:$M3))</f>
        <v>0</v>
      </c>
      <c r="P3" s="271">
        <f t="shared" si="1"/>
        <v>0</v>
      </c>
      <c r="Q3" s="272">
        <f t="shared" si="1"/>
        <v>0</v>
      </c>
    </row>
    <row r="4" spans="1:17" ht="14.4" customHeight="1" thickBot="1" x14ac:dyDescent="0.35">
      <c r="A4" s="269"/>
      <c r="B4" s="332" t="s">
        <v>208</v>
      </c>
      <c r="C4" s="333"/>
      <c r="D4" s="333"/>
      <c r="E4" s="334"/>
      <c r="F4" s="329" t="s">
        <v>213</v>
      </c>
      <c r="G4" s="330"/>
      <c r="H4" s="330"/>
      <c r="I4" s="331"/>
      <c r="J4" s="332" t="s">
        <v>214</v>
      </c>
      <c r="K4" s="333"/>
      <c r="L4" s="333"/>
      <c r="M4" s="334"/>
      <c r="N4" s="329" t="s">
        <v>215</v>
      </c>
      <c r="O4" s="330"/>
      <c r="P4" s="330"/>
      <c r="Q4" s="331"/>
    </row>
    <row r="5" spans="1:17" ht="14.4" customHeight="1" thickBot="1" x14ac:dyDescent="0.35">
      <c r="A5" s="391" t="s">
        <v>207</v>
      </c>
      <c r="B5" s="392" t="s">
        <v>209</v>
      </c>
      <c r="C5" s="392" t="s">
        <v>210</v>
      </c>
      <c r="D5" s="392" t="s">
        <v>211</v>
      </c>
      <c r="E5" s="393" t="s">
        <v>212</v>
      </c>
      <c r="F5" s="394" t="s">
        <v>209</v>
      </c>
      <c r="G5" s="395" t="s">
        <v>210</v>
      </c>
      <c r="H5" s="395" t="s">
        <v>211</v>
      </c>
      <c r="I5" s="396" t="s">
        <v>212</v>
      </c>
      <c r="J5" s="392" t="s">
        <v>209</v>
      </c>
      <c r="K5" s="392" t="s">
        <v>210</v>
      </c>
      <c r="L5" s="392" t="s">
        <v>211</v>
      </c>
      <c r="M5" s="393" t="s">
        <v>212</v>
      </c>
      <c r="N5" s="394" t="s">
        <v>209</v>
      </c>
      <c r="O5" s="395" t="s">
        <v>210</v>
      </c>
      <c r="P5" s="395" t="s">
        <v>211</v>
      </c>
      <c r="Q5" s="396" t="s">
        <v>212</v>
      </c>
    </row>
    <row r="6" spans="1:17" ht="14.4" customHeight="1" x14ac:dyDescent="0.3">
      <c r="A6" s="404" t="s">
        <v>424</v>
      </c>
      <c r="B6" s="408"/>
      <c r="C6" s="398"/>
      <c r="D6" s="398"/>
      <c r="E6" s="410"/>
      <c r="F6" s="406"/>
      <c r="G6" s="399"/>
      <c r="H6" s="399"/>
      <c r="I6" s="412"/>
      <c r="J6" s="408"/>
      <c r="K6" s="398"/>
      <c r="L6" s="398"/>
      <c r="M6" s="410"/>
      <c r="N6" s="406"/>
      <c r="O6" s="399"/>
      <c r="P6" s="399"/>
      <c r="Q6" s="400"/>
    </row>
    <row r="7" spans="1:17" ht="14.4" customHeight="1" thickBot="1" x14ac:dyDescent="0.35">
      <c r="A7" s="405" t="s">
        <v>425</v>
      </c>
      <c r="B7" s="409">
        <v>4</v>
      </c>
      <c r="C7" s="401"/>
      <c r="D7" s="401"/>
      <c r="E7" s="411"/>
      <c r="F7" s="407">
        <v>1</v>
      </c>
      <c r="G7" s="402">
        <v>0</v>
      </c>
      <c r="H7" s="402">
        <v>0</v>
      </c>
      <c r="I7" s="413">
        <v>0</v>
      </c>
      <c r="J7" s="409">
        <v>2</v>
      </c>
      <c r="K7" s="401"/>
      <c r="L7" s="401"/>
      <c r="M7" s="411"/>
      <c r="N7" s="407">
        <v>1</v>
      </c>
      <c r="O7" s="402">
        <v>0</v>
      </c>
      <c r="P7" s="402">
        <v>0</v>
      </c>
      <c r="Q7" s="403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21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24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182" customWidth="1"/>
    <col min="2" max="2" width="61.109375" style="182" customWidth="1"/>
    <col min="3" max="3" width="9.5546875" style="105" customWidth="1"/>
    <col min="4" max="4" width="9.5546875" style="183" customWidth="1"/>
    <col min="5" max="5" width="2.21875" style="183" customWidth="1"/>
    <col min="6" max="6" width="9.5546875" style="184" customWidth="1"/>
    <col min="7" max="7" width="9.5546875" style="181" customWidth="1"/>
    <col min="8" max="9" width="9.5546875" style="105" customWidth="1"/>
    <col min="10" max="10" width="0" style="105" hidden="1" customWidth="1"/>
    <col min="11" max="16384" width="8.88671875" style="105"/>
  </cols>
  <sheetData>
    <row r="1" spans="1:10" ht="18.600000000000001" customHeight="1" thickBot="1" x14ac:dyDescent="0.4">
      <c r="A1" s="322" t="s">
        <v>112</v>
      </c>
      <c r="B1" s="323"/>
      <c r="C1" s="323"/>
      <c r="D1" s="323"/>
      <c r="E1" s="323"/>
      <c r="F1" s="323"/>
      <c r="G1" s="294"/>
      <c r="H1" s="324"/>
      <c r="I1" s="324"/>
    </row>
    <row r="2" spans="1:10" ht="14.4" customHeight="1" thickBot="1" x14ac:dyDescent="0.35">
      <c r="A2" s="203" t="s">
        <v>241</v>
      </c>
      <c r="B2" s="180"/>
      <c r="C2" s="180"/>
      <c r="D2" s="180"/>
      <c r="E2" s="180"/>
      <c r="F2" s="180"/>
    </row>
    <row r="3" spans="1:10" ht="14.4" customHeight="1" thickBot="1" x14ac:dyDescent="0.35">
      <c r="A3" s="203"/>
      <c r="B3" s="180"/>
      <c r="C3" s="261">
        <v>2013</v>
      </c>
      <c r="D3" s="262">
        <v>2014</v>
      </c>
      <c r="E3" s="7"/>
      <c r="F3" s="317">
        <v>2015</v>
      </c>
      <c r="G3" s="318"/>
      <c r="H3" s="318"/>
      <c r="I3" s="319"/>
    </row>
    <row r="4" spans="1:10" ht="14.4" customHeight="1" thickBot="1" x14ac:dyDescent="0.35">
      <c r="A4" s="266" t="s">
        <v>0</v>
      </c>
      <c r="B4" s="267" t="s">
        <v>205</v>
      </c>
      <c r="C4" s="320" t="s">
        <v>55</v>
      </c>
      <c r="D4" s="321"/>
      <c r="E4" s="268"/>
      <c r="F4" s="263" t="s">
        <v>55</v>
      </c>
      <c r="G4" s="264" t="s">
        <v>56</v>
      </c>
      <c r="H4" s="264" t="s">
        <v>50</v>
      </c>
      <c r="I4" s="265" t="s">
        <v>57</v>
      </c>
    </row>
    <row r="5" spans="1:10" ht="14.4" customHeight="1" x14ac:dyDescent="0.3">
      <c r="A5" s="386" t="s">
        <v>411</v>
      </c>
      <c r="B5" s="387" t="s">
        <v>412</v>
      </c>
      <c r="C5" s="388" t="s">
        <v>413</v>
      </c>
      <c r="D5" s="388" t="s">
        <v>413</v>
      </c>
      <c r="E5" s="388"/>
      <c r="F5" s="388" t="s">
        <v>413</v>
      </c>
      <c r="G5" s="388" t="s">
        <v>413</v>
      </c>
      <c r="H5" s="388" t="s">
        <v>413</v>
      </c>
      <c r="I5" s="389" t="s">
        <v>413</v>
      </c>
      <c r="J5" s="390" t="s">
        <v>51</v>
      </c>
    </row>
    <row r="6" spans="1:10" ht="14.4" customHeight="1" x14ac:dyDescent="0.3">
      <c r="A6" s="386" t="s">
        <v>411</v>
      </c>
      <c r="B6" s="387" t="s">
        <v>252</v>
      </c>
      <c r="C6" s="388">
        <v>176.94123999999999</v>
      </c>
      <c r="D6" s="388">
        <v>181.56914999999998</v>
      </c>
      <c r="E6" s="388"/>
      <c r="F6" s="388">
        <v>73.795249999999996</v>
      </c>
      <c r="G6" s="388">
        <v>170.83332795249666</v>
      </c>
      <c r="H6" s="388">
        <v>-97.038077952496664</v>
      </c>
      <c r="I6" s="389">
        <v>0.4319722087280306</v>
      </c>
      <c r="J6" s="390" t="s">
        <v>1</v>
      </c>
    </row>
    <row r="7" spans="1:10" ht="14.4" customHeight="1" x14ac:dyDescent="0.3">
      <c r="A7" s="386" t="s">
        <v>411</v>
      </c>
      <c r="B7" s="387" t="s">
        <v>253</v>
      </c>
      <c r="C7" s="388">
        <v>3.3337000000000003</v>
      </c>
      <c r="D7" s="388">
        <v>3.4063699999999999</v>
      </c>
      <c r="E7" s="388"/>
      <c r="F7" s="388">
        <v>5.4552800000000001</v>
      </c>
      <c r="G7" s="388">
        <v>10.333333007858334</v>
      </c>
      <c r="H7" s="388">
        <v>-4.878053007858334</v>
      </c>
      <c r="I7" s="389">
        <v>0.52793033920917354</v>
      </c>
      <c r="J7" s="390" t="s">
        <v>1</v>
      </c>
    </row>
    <row r="8" spans="1:10" ht="14.4" customHeight="1" x14ac:dyDescent="0.3">
      <c r="A8" s="386" t="s">
        <v>411</v>
      </c>
      <c r="B8" s="387" t="s">
        <v>254</v>
      </c>
      <c r="C8" s="388">
        <v>4.2747000000000002</v>
      </c>
      <c r="D8" s="388">
        <v>5.7552500000000002</v>
      </c>
      <c r="E8" s="388"/>
      <c r="F8" s="388">
        <v>3.9045000000000005</v>
      </c>
      <c r="G8" s="388">
        <v>5.4999998267633332</v>
      </c>
      <c r="H8" s="388">
        <v>-1.5954998267633327</v>
      </c>
      <c r="I8" s="389">
        <v>0.70990911326950712</v>
      </c>
      <c r="J8" s="390" t="s">
        <v>1</v>
      </c>
    </row>
    <row r="9" spans="1:10" ht="14.4" customHeight="1" x14ac:dyDescent="0.3">
      <c r="A9" s="386" t="s">
        <v>411</v>
      </c>
      <c r="B9" s="387" t="s">
        <v>255</v>
      </c>
      <c r="C9" s="388">
        <v>17.884869999999999</v>
      </c>
      <c r="D9" s="388">
        <v>18.087350000000001</v>
      </c>
      <c r="E9" s="388"/>
      <c r="F9" s="388">
        <v>19.341899999999999</v>
      </c>
      <c r="G9" s="388">
        <v>33.333332283414165</v>
      </c>
      <c r="H9" s="388">
        <v>-13.991432283414166</v>
      </c>
      <c r="I9" s="389">
        <v>0.58025701827668896</v>
      </c>
      <c r="J9" s="390" t="s">
        <v>1</v>
      </c>
    </row>
    <row r="10" spans="1:10" ht="14.4" customHeight="1" x14ac:dyDescent="0.3">
      <c r="A10" s="386" t="s">
        <v>411</v>
      </c>
      <c r="B10" s="387" t="s">
        <v>256</v>
      </c>
      <c r="C10" s="388">
        <v>0</v>
      </c>
      <c r="D10" s="388">
        <v>0.41299999999999998</v>
      </c>
      <c r="E10" s="388"/>
      <c r="F10" s="388" t="s">
        <v>413</v>
      </c>
      <c r="G10" s="388" t="s">
        <v>413</v>
      </c>
      <c r="H10" s="388" t="s">
        <v>413</v>
      </c>
      <c r="I10" s="389" t="s">
        <v>413</v>
      </c>
      <c r="J10" s="390" t="s">
        <v>1</v>
      </c>
    </row>
    <row r="11" spans="1:10" ht="14.4" customHeight="1" x14ac:dyDescent="0.3">
      <c r="A11" s="386" t="s">
        <v>411</v>
      </c>
      <c r="B11" s="387" t="s">
        <v>257</v>
      </c>
      <c r="C11" s="388">
        <v>6.4305000000000003</v>
      </c>
      <c r="D11" s="388">
        <v>7.6913</v>
      </c>
      <c r="E11" s="388"/>
      <c r="F11" s="388">
        <v>6.0839999999999996</v>
      </c>
      <c r="G11" s="388">
        <v>6.9999997795168332</v>
      </c>
      <c r="H11" s="388">
        <v>-0.91599977951683353</v>
      </c>
      <c r="I11" s="389">
        <v>0.86914288451876787</v>
      </c>
      <c r="J11" s="390" t="s">
        <v>1</v>
      </c>
    </row>
    <row r="12" spans="1:10" ht="14.4" customHeight="1" x14ac:dyDescent="0.3">
      <c r="A12" s="386" t="s">
        <v>411</v>
      </c>
      <c r="B12" s="387" t="s">
        <v>417</v>
      </c>
      <c r="C12" s="388">
        <v>208.86500999999998</v>
      </c>
      <c r="D12" s="388">
        <v>216.92241999999999</v>
      </c>
      <c r="E12" s="388"/>
      <c r="F12" s="388">
        <v>108.58093</v>
      </c>
      <c r="G12" s="388">
        <v>226.99999285004932</v>
      </c>
      <c r="H12" s="388">
        <v>-118.41906285004933</v>
      </c>
      <c r="I12" s="389">
        <v>0.47833010317196756</v>
      </c>
      <c r="J12" s="390" t="s">
        <v>418</v>
      </c>
    </row>
    <row r="14" spans="1:10" ht="14.4" customHeight="1" x14ac:dyDescent="0.3">
      <c r="A14" s="386" t="s">
        <v>411</v>
      </c>
      <c r="B14" s="387" t="s">
        <v>412</v>
      </c>
      <c r="C14" s="388" t="s">
        <v>413</v>
      </c>
      <c r="D14" s="388" t="s">
        <v>413</v>
      </c>
      <c r="E14" s="388"/>
      <c r="F14" s="388" t="s">
        <v>413</v>
      </c>
      <c r="G14" s="388" t="s">
        <v>413</v>
      </c>
      <c r="H14" s="388" t="s">
        <v>413</v>
      </c>
      <c r="I14" s="389" t="s">
        <v>413</v>
      </c>
      <c r="J14" s="390" t="s">
        <v>51</v>
      </c>
    </row>
    <row r="15" spans="1:10" ht="14.4" customHeight="1" x14ac:dyDescent="0.3">
      <c r="A15" s="386" t="s">
        <v>419</v>
      </c>
      <c r="B15" s="387" t="s">
        <v>420</v>
      </c>
      <c r="C15" s="388" t="s">
        <v>413</v>
      </c>
      <c r="D15" s="388" t="s">
        <v>413</v>
      </c>
      <c r="E15" s="388"/>
      <c r="F15" s="388" t="s">
        <v>413</v>
      </c>
      <c r="G15" s="388" t="s">
        <v>413</v>
      </c>
      <c r="H15" s="388" t="s">
        <v>413</v>
      </c>
      <c r="I15" s="389" t="s">
        <v>413</v>
      </c>
      <c r="J15" s="390" t="s">
        <v>0</v>
      </c>
    </row>
    <row r="16" spans="1:10" ht="14.4" customHeight="1" x14ac:dyDescent="0.3">
      <c r="A16" s="386" t="s">
        <v>419</v>
      </c>
      <c r="B16" s="387" t="s">
        <v>252</v>
      </c>
      <c r="C16" s="388">
        <v>176.94123999999999</v>
      </c>
      <c r="D16" s="388">
        <v>181.56914999999998</v>
      </c>
      <c r="E16" s="388"/>
      <c r="F16" s="388">
        <v>73.795249999999996</v>
      </c>
      <c r="G16" s="388">
        <v>170.83332795249666</v>
      </c>
      <c r="H16" s="388">
        <v>-97.038077952496664</v>
      </c>
      <c r="I16" s="389">
        <v>0.4319722087280306</v>
      </c>
      <c r="J16" s="390" t="s">
        <v>1</v>
      </c>
    </row>
    <row r="17" spans="1:10" ht="14.4" customHeight="1" x14ac:dyDescent="0.3">
      <c r="A17" s="386" t="s">
        <v>419</v>
      </c>
      <c r="B17" s="387" t="s">
        <v>253</v>
      </c>
      <c r="C17" s="388">
        <v>3.3337000000000003</v>
      </c>
      <c r="D17" s="388">
        <v>3.4063699999999999</v>
      </c>
      <c r="E17" s="388"/>
      <c r="F17" s="388">
        <v>5.4552800000000001</v>
      </c>
      <c r="G17" s="388">
        <v>10.333333007858334</v>
      </c>
      <c r="H17" s="388">
        <v>-4.878053007858334</v>
      </c>
      <c r="I17" s="389">
        <v>0.52793033920917354</v>
      </c>
      <c r="J17" s="390" t="s">
        <v>1</v>
      </c>
    </row>
    <row r="18" spans="1:10" ht="14.4" customHeight="1" x14ac:dyDescent="0.3">
      <c r="A18" s="386" t="s">
        <v>419</v>
      </c>
      <c r="B18" s="387" t="s">
        <v>254</v>
      </c>
      <c r="C18" s="388">
        <v>4.2747000000000002</v>
      </c>
      <c r="D18" s="388">
        <v>5.7552500000000002</v>
      </c>
      <c r="E18" s="388"/>
      <c r="F18" s="388">
        <v>3.9045000000000005</v>
      </c>
      <c r="G18" s="388">
        <v>5.4999998267633332</v>
      </c>
      <c r="H18" s="388">
        <v>-1.5954998267633327</v>
      </c>
      <c r="I18" s="389">
        <v>0.70990911326950712</v>
      </c>
      <c r="J18" s="390" t="s">
        <v>1</v>
      </c>
    </row>
    <row r="19" spans="1:10" ht="14.4" customHeight="1" x14ac:dyDescent="0.3">
      <c r="A19" s="386" t="s">
        <v>419</v>
      </c>
      <c r="B19" s="387" t="s">
        <v>255</v>
      </c>
      <c r="C19" s="388">
        <v>17.884869999999999</v>
      </c>
      <c r="D19" s="388">
        <v>18.087350000000001</v>
      </c>
      <c r="E19" s="388"/>
      <c r="F19" s="388">
        <v>19.341899999999999</v>
      </c>
      <c r="G19" s="388">
        <v>33.333332283414165</v>
      </c>
      <c r="H19" s="388">
        <v>-13.991432283414166</v>
      </c>
      <c r="I19" s="389">
        <v>0.58025701827668896</v>
      </c>
      <c r="J19" s="390" t="s">
        <v>1</v>
      </c>
    </row>
    <row r="20" spans="1:10" ht="14.4" customHeight="1" x14ac:dyDescent="0.3">
      <c r="A20" s="386" t="s">
        <v>419</v>
      </c>
      <c r="B20" s="387" t="s">
        <v>256</v>
      </c>
      <c r="C20" s="388">
        <v>0</v>
      </c>
      <c r="D20" s="388">
        <v>0.41299999999999998</v>
      </c>
      <c r="E20" s="388"/>
      <c r="F20" s="388" t="s">
        <v>413</v>
      </c>
      <c r="G20" s="388" t="s">
        <v>413</v>
      </c>
      <c r="H20" s="388" t="s">
        <v>413</v>
      </c>
      <c r="I20" s="389" t="s">
        <v>413</v>
      </c>
      <c r="J20" s="390" t="s">
        <v>1</v>
      </c>
    </row>
    <row r="21" spans="1:10" ht="14.4" customHeight="1" x14ac:dyDescent="0.3">
      <c r="A21" s="386" t="s">
        <v>419</v>
      </c>
      <c r="B21" s="387" t="s">
        <v>257</v>
      </c>
      <c r="C21" s="388">
        <v>6.4305000000000003</v>
      </c>
      <c r="D21" s="388">
        <v>7.6913</v>
      </c>
      <c r="E21" s="388"/>
      <c r="F21" s="388">
        <v>6.0839999999999996</v>
      </c>
      <c r="G21" s="388">
        <v>6.9999997795168332</v>
      </c>
      <c r="H21" s="388">
        <v>-0.91599977951683353</v>
      </c>
      <c r="I21" s="389">
        <v>0.86914288451876787</v>
      </c>
      <c r="J21" s="390" t="s">
        <v>1</v>
      </c>
    </row>
    <row r="22" spans="1:10" ht="14.4" customHeight="1" x14ac:dyDescent="0.3">
      <c r="A22" s="386" t="s">
        <v>419</v>
      </c>
      <c r="B22" s="387" t="s">
        <v>421</v>
      </c>
      <c r="C22" s="388">
        <v>208.86500999999998</v>
      </c>
      <c r="D22" s="388">
        <v>216.92241999999999</v>
      </c>
      <c r="E22" s="388"/>
      <c r="F22" s="388">
        <v>108.58093</v>
      </c>
      <c r="G22" s="388">
        <v>226.99999285004932</v>
      </c>
      <c r="H22" s="388">
        <v>-118.41906285004933</v>
      </c>
      <c r="I22" s="389">
        <v>0.47833010317196756</v>
      </c>
      <c r="J22" s="390" t="s">
        <v>422</v>
      </c>
    </row>
    <row r="23" spans="1:10" ht="14.4" customHeight="1" x14ac:dyDescent="0.3">
      <c r="A23" s="386" t="s">
        <v>413</v>
      </c>
      <c r="B23" s="387" t="s">
        <v>413</v>
      </c>
      <c r="C23" s="388" t="s">
        <v>413</v>
      </c>
      <c r="D23" s="388" t="s">
        <v>413</v>
      </c>
      <c r="E23" s="388"/>
      <c r="F23" s="388" t="s">
        <v>413</v>
      </c>
      <c r="G23" s="388" t="s">
        <v>413</v>
      </c>
      <c r="H23" s="388" t="s">
        <v>413</v>
      </c>
      <c r="I23" s="389" t="s">
        <v>413</v>
      </c>
      <c r="J23" s="390" t="s">
        <v>423</v>
      </c>
    </row>
    <row r="24" spans="1:10" ht="14.4" customHeight="1" x14ac:dyDescent="0.3">
      <c r="A24" s="386" t="s">
        <v>411</v>
      </c>
      <c r="B24" s="387" t="s">
        <v>417</v>
      </c>
      <c r="C24" s="388">
        <v>208.86500999999998</v>
      </c>
      <c r="D24" s="388">
        <v>216.92241999999999</v>
      </c>
      <c r="E24" s="388"/>
      <c r="F24" s="388">
        <v>108.58093</v>
      </c>
      <c r="G24" s="388">
        <v>226.99999285004932</v>
      </c>
      <c r="H24" s="388">
        <v>-118.41906285004933</v>
      </c>
      <c r="I24" s="389">
        <v>0.47833010317196756</v>
      </c>
      <c r="J24" s="390" t="s">
        <v>418</v>
      </c>
    </row>
  </sheetData>
  <mergeCells count="3">
    <mergeCell ref="A1:I1"/>
    <mergeCell ref="F3:I3"/>
    <mergeCell ref="C4:D4"/>
  </mergeCells>
  <conditionalFormatting sqref="F13 F25:F65537">
    <cfRule type="cellIs" dxfId="20" priority="18" stopIfTrue="1" operator="greaterThan">
      <formula>1</formula>
    </cfRule>
  </conditionalFormatting>
  <conditionalFormatting sqref="H5:H12">
    <cfRule type="expression" dxfId="19" priority="14">
      <formula>$H5&gt;0</formula>
    </cfRule>
  </conditionalFormatting>
  <conditionalFormatting sqref="I5:I12">
    <cfRule type="expression" dxfId="18" priority="15">
      <formula>$I5&gt;1</formula>
    </cfRule>
  </conditionalFormatting>
  <conditionalFormatting sqref="B5:B12">
    <cfRule type="expression" dxfId="17" priority="11">
      <formula>OR($J5="NS",$J5="SumaNS",$J5="Účet")</formula>
    </cfRule>
  </conditionalFormatting>
  <conditionalFormatting sqref="F5:I12 B5:D12">
    <cfRule type="expression" dxfId="16" priority="17">
      <formula>AND($J5&lt;&gt;"",$J5&lt;&gt;"mezeraKL")</formula>
    </cfRule>
  </conditionalFormatting>
  <conditionalFormatting sqref="B5:D12 F5:I12">
    <cfRule type="expression" dxfId="15" priority="12">
      <formula>OR($J5="KL",$J5="SumaKL")</formula>
    </cfRule>
    <cfRule type="expression" priority="16" stopIfTrue="1">
      <formula>OR($J5="mezeraNS",$J5="mezeraKL")</formula>
    </cfRule>
  </conditionalFormatting>
  <conditionalFormatting sqref="B5:D12 F5:I12">
    <cfRule type="expression" dxfId="14" priority="13">
      <formula>OR($J5="SumaNS",$J5="NS")</formula>
    </cfRule>
  </conditionalFormatting>
  <conditionalFormatting sqref="A5:A12">
    <cfRule type="expression" dxfId="13" priority="9">
      <formula>AND($J5&lt;&gt;"mezeraKL",$J5&lt;&gt;"")</formula>
    </cfRule>
  </conditionalFormatting>
  <conditionalFormatting sqref="A5:A12">
    <cfRule type="expression" dxfId="12" priority="10">
      <formula>AND($J5&lt;&gt;"",$J5&lt;&gt;"mezeraKL")</formula>
    </cfRule>
  </conditionalFormatting>
  <conditionalFormatting sqref="H14:H24">
    <cfRule type="expression" dxfId="11" priority="5">
      <formula>$H14&gt;0</formula>
    </cfRule>
  </conditionalFormatting>
  <conditionalFormatting sqref="A14:A24">
    <cfRule type="expression" dxfId="10" priority="2">
      <formula>AND($J14&lt;&gt;"mezeraKL",$J14&lt;&gt;"")</formula>
    </cfRule>
  </conditionalFormatting>
  <conditionalFormatting sqref="I14:I24">
    <cfRule type="expression" dxfId="9" priority="6">
      <formula>$I14&gt;1</formula>
    </cfRule>
  </conditionalFormatting>
  <conditionalFormatting sqref="B14:B24">
    <cfRule type="expression" dxfId="8" priority="1">
      <formula>OR($J14="NS",$J14="SumaNS",$J14="Účet")</formula>
    </cfRule>
  </conditionalFormatting>
  <conditionalFormatting sqref="A14:D24 F14:I24">
    <cfRule type="expression" dxfId="7" priority="8">
      <formula>AND($J14&lt;&gt;"",$J14&lt;&gt;"mezeraKL")</formula>
    </cfRule>
  </conditionalFormatting>
  <conditionalFormatting sqref="B14:D24 F14:I24">
    <cfRule type="expression" dxfId="6" priority="3">
      <formula>OR($J14="KL",$J14="SumaKL")</formula>
    </cfRule>
    <cfRule type="expression" priority="7" stopIfTrue="1">
      <formula>OR($J14="mezeraNS",$J14="mezeraKL")</formula>
    </cfRule>
  </conditionalFormatting>
  <conditionalFormatting sqref="B14:D24 F14:I24">
    <cfRule type="expression" dxfId="5" priority="4">
      <formula>OR($J14="SumaNS",$J14="NS")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17</vt:i4>
      </vt:variant>
      <vt:variant>
        <vt:lpstr>Pojmenované oblasti</vt:lpstr>
      </vt:variant>
      <vt:variant>
        <vt:i4>1</vt:i4>
      </vt:variant>
    </vt:vector>
  </HeadingPairs>
  <TitlesOfParts>
    <vt:vector size="18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Statim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Vykáz.-H</vt:lpstr>
      <vt:lpstr>ZV Vykáz.-H Detail</vt:lpstr>
      <vt:lpstr>doměsíce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62361</cp:lastModifiedBy>
  <cp:lastPrinted>2014-08-21T08:13:26Z</cp:lastPrinted>
  <dcterms:created xsi:type="dcterms:W3CDTF">2013-04-17T20:15:29Z</dcterms:created>
  <dcterms:modified xsi:type="dcterms:W3CDTF">2015-03-21T00:22:02Z</dcterms:modified>
</cp:coreProperties>
</file>