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  <sheet name="ZV Vykáz.-A" sheetId="344" r:id="rId13"/>
    <sheet name="ZV Vykáz.-A Lékaři" sheetId="429" r:id="rId14"/>
    <sheet name="ZV Vykáz.-A Detail" sheetId="345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Statim'!$A$5:$I$5</definedName>
    <definedName name="_xlnm._FilterDatabase" localSheetId="4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_xlnm._FilterDatabase" localSheetId="14" hidden="1">'ZV Vykáz.-A Detail'!$A$5:$P$5</definedName>
    <definedName name="_xlnm._FilterDatabase" localSheetId="13" hidden="1">'ZV Vykáz.-A Lékaři'!$A$4:$A$5</definedName>
    <definedName name="_xlnm._FilterDatabase" localSheetId="16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I21" i="419" l="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I16" i="419"/>
  <c r="AI18" i="419" s="1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V18" i="419" s="1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K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AI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AI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19" i="383"/>
  <c r="G3" i="429"/>
  <c r="F3" i="429"/>
  <c r="E3" i="429"/>
  <c r="D3" i="429"/>
  <c r="C3" i="429"/>
  <c r="B3" i="429"/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3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Q6" i="419"/>
  <c r="I6" i="419"/>
  <c r="AI6" i="419"/>
  <c r="AF6" i="419"/>
  <c r="AB6" i="419"/>
  <c r="X6" i="419"/>
  <c r="T6" i="419"/>
  <c r="P6" i="419"/>
  <c r="L6" i="419"/>
  <c r="H6" i="419"/>
  <c r="AH6" i="419"/>
  <c r="AA6" i="419"/>
  <c r="S6" i="419"/>
  <c r="AE6" i="419"/>
  <c r="W6" i="419"/>
  <c r="K6" i="419"/>
  <c r="AD6" i="419"/>
  <c r="Z6" i="419"/>
  <c r="V6" i="419"/>
  <c r="R6" i="419"/>
  <c r="N6" i="419"/>
  <c r="J6" i="419"/>
  <c r="AC6" i="419"/>
  <c r="U6" i="419"/>
  <c r="M6" i="419"/>
  <c r="O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7" i="414" s="1"/>
  <c r="C11" i="339"/>
  <c r="H11" i="339" l="1"/>
  <c r="G11" i="339"/>
  <c r="A18" i="414"/>
  <c r="A17" i="414"/>
  <c r="A12" i="414"/>
  <c r="A7" i="414"/>
  <c r="A13" i="414"/>
  <c r="A4" i="414"/>
  <c r="A6" i="339" l="1"/>
  <c r="A5" i="339"/>
  <c r="D4" i="414"/>
  <c r="D13" i="414"/>
  <c r="C13" i="414"/>
  <c r="C16" i="414"/>
  <c r="D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J3" i="345"/>
  <c r="I3" i="345"/>
  <c r="F3" i="345"/>
  <c r="O3" i="345" s="1"/>
  <c r="E3" i="345"/>
  <c r="C19" i="414"/>
  <c r="D19" i="414"/>
  <c r="P3" i="345" l="1"/>
  <c r="F13" i="339"/>
  <c r="E13" i="339"/>
  <c r="E15" i="339" s="1"/>
  <c r="H12" i="339"/>
  <c r="G12" i="339"/>
  <c r="A4" i="383"/>
  <c r="A22" i="383"/>
  <c r="A21" i="383"/>
  <c r="A20" i="383"/>
  <c r="A18" i="383"/>
  <c r="A15" i="383"/>
  <c r="A14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5" i="414"/>
  <c r="C4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<sst xmlns="http://schemas.openxmlformats.org/spreadsheetml/2006/main" count="2425" uniqueCount="660">
  <si>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</si>
  <si>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</si>
  <si>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</si>
  <si>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</si>
  <si>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</si>
  <si>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</si>
  <si>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</si>
  <si>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</si>
  <si>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</si>
  <si>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</si>
  <si>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</si>
  <si>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</si>
  <si>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</si>
  <si>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</si>
  <si>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</si>
  <si>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</si>
  <si>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</si>
  <si>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</si>
  <si>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</si>
  <si>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</si>
  <si>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</si>
  <si>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</si>
  <si>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</si>
  <si>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</si>
  <si>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</si>
  <si>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</si>
  <si>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</si>
  <si>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</si>
  <si>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</si>
  <si>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</si>
  <si>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</si>
  <si>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</si>
  <si>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</si>
  <si>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</si>
  <si>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</si>
  <si>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</si>
  <si>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</si>
  <si>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</si>
  <si>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</si>
  <si>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</si>
  <si>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</si>
  <si>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</si>
  <si>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</si>
  <si>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</si>
  <si>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</si>
  <si>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</si>
  <si>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</si>
  <si>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</si>
  <si>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</si>
  <si>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</si>
  <si>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</si>
  <si>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</si>
  <si>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</si>
  <si>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</si>
  <si>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</si>
  <si>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</si>
  <si>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</si>
  <si>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</si>
  <si>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</si>
  <si>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</si>
  <si>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</si>
  <si>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</si>
  <si>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</si>
  <si>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</si>
  <si>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</si>
  <si>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</si>
  <si>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</si>
  <si>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</si>
  <si>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</si>
  <si>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</si>
  <si>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</si>
  <si>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</si>
  <si>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</si>
  <si>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</si>
  <si>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</si>
  <si>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</si>
  <si>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</si>
  <si>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</si>
  <si>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</si>
  <si>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</si>
  <si>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</si>
  <si>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</si>
  <si>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</si>
  <si>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</si>
  <si>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</si>
  <si>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</si>
  <si>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</si>
  <si>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</si>
  <si>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</si>
  <si>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</si>
  <si>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</si>
  <si>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</si>
  <si>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</si>
  <si>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</si>
  <si>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</si>
  <si>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</si>
  <si>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</si>
  <si>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</si>
  <si>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</si>
  <si>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</si>
  <si>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</si>
  <si>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</si>
  <si>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</si>
  <si>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</si>
  <si>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</si>
  <si>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</si>
  <si>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</si>
  <si>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</si>
  <si>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</si>
  <si>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</si>
  <si>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</si>
  <si>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</si>
  <si>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</si>
  <si>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</si>
  <si>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</si>
  <si>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</si>
  <si>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</si>
  <si>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</si>
  <si>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</si>
  <si>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</si>
  <si>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</si>
  <si>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</si>
  <si>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</si>
  <si>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</si>
  <si>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</si>
  <si>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</si>
  <si>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</si>
  <si>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</si>
  <si>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</si>
  <si>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</si>
  <si>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</si>
  <si>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</si>
  <si>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</si>
  <si>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</si>
  <si>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</si>
  <si>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</si>
  <si>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</si>
  <si>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</si>
  <si>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</si>
  <si>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</si>
  <si>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</si>
  <si>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</si>
  <si>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</si>
  <si>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</si>
  <si>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</si>
  <si>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</si>
  <si>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</si>
  <si>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</si>
  <si>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</si>
  <si>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</si>
  <si>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</si>
  <si>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</si>
  <si>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</si>
  <si>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</si>
  <si>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</si>
  <si>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</si>
  <si>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</si>
  <si>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</si>
  <si>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</si>
  <si>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</si>
  <si>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</si>
  <si>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</si>
  <si>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</si>
  <si>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</si>
  <si>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</si>
  <si>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</si>
  <si>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</si>
  <si>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</si>
  <si>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</si>
  <si>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</si>
  <si>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</si>
  <si>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</si>
  <si>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</si>
  <si>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</si>
  <si>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</si>
  <si>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</si>
  <si>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</si>
  <si>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</si>
  <si>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</si>
  <si>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</si>
  <si>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</si>
  <si>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</si>
  <si>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</si>
  <si>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</si>
  <si>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</si>
  <si>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</si>
  <si>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</si>
  <si>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</si>
  <si>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</si>
  <si>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</si>
  <si>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</si>
  <si>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</si>
  <si>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</si>
  <si>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</si>
  <si>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</si>
  <si>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</si>
  <si>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</si>
  <si>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</si>
  <si>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</si>
  <si>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</si>
  <si>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</si>
  <si>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</si>
  <si>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</si>
  <si>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</si>
  <si>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</si>
  <si>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</si>
  <si>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</si>
  <si>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</si>
  <si>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</si>
  <si>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</si>
  <si>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</si>
  <si>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</si>
  <si>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</si>
  <si>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</si>
  <si>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</si>
  <si>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</si>
  <si>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</si>
  <si>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</si>
  <si>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</si>
  <si>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</si>
  <si>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</si>
  <si>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</si>
  <si>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</si>
  <si>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</si>
  <si>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</si>
  <si>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</si>
  <si>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</si>
  <si>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</si>
  <si>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</si>
  <si>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</si>
  <si>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</si>
  <si>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</si>
  <si>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</si>
  <si>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</si>
  <si>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</si>
  <si>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</si>
  <si>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</si>
  <si>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</si>
  <si>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</si>
  <si>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</si>
  <si>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</si>
  <si>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</si>
  <si>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</si>
  <si>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</si>
  <si>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</si>
  <si>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</si>
  <si>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</si>
  <si>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</si>
  <si>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</si>
  <si>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</si>
  <si>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</si>
  <si>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</si>
  <si>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</si>
  <si>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50113014     léky (paušál) - antimykotika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</si>
  <si>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</si>
  <si>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</si>
  <si>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</si>
  <si>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</si>
  <si>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</si>
  <si>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</si>
  <si>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</si>
  <si>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</si>
  <si>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</si>
  <si>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</si>
  <si>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</si>
  <si>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</si>
  <si>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</si>
  <si>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</si>
  <si>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</si>
  <si>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50117007     údržbový materiál ostatní - sklady (sk.T17)</t>
  </si>
  <si>
    <t>50117009     spotřební materiál k ZPr. (sk.V21)</t>
  </si>
  <si>
    <t>--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</si>
  <si>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</si>
  <si>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</si>
  <si>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</si>
  <si>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</si>
  <si>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</si>
  <si>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</si>
  <si>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</si>
  <si>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</si>
  <si>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</si>
  <si>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</si>
  <si>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</si>
  <si>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</si>
  <si>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</si>
  <si>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</si>
  <si>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</si>
  <si>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</si>
  <si>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</si>
  <si>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</si>
  <si>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</si>
  <si>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</si>
  <si>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</si>
  <si>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</si>
  <si>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</si>
  <si>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</si>
  <si>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</si>
  <si>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</si>
  <si>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</si>
  <si>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</si>
  <si>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</si>
  <si>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</si>
  <si>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</si>
  <si>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</si>
  <si>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</si>
  <si>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</si>
  <si>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</si>
  <si>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</si>
  <si>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</si>
  <si>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</si>
  <si>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</si>
  <si>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</si>
  <si>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</si>
  <si>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51874003     znalecké posudky, odměny z klinických hodnocení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</si>
  <si>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</si>
  <si>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</si>
  <si>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</si>
  <si>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</si>
  <si>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</si>
  <si>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</si>
  <si>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</si>
  <si>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</si>
  <si>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</si>
  <si>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</si>
  <si>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</si>
  <si>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</si>
  <si>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</si>
  <si>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</si>
  <si>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</si>
  <si>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</si>
  <si>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</si>
  <si>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</si>
  <si>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</si>
  <si>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</si>
  <si>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</si>
  <si>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</si>
  <si>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</si>
  <si>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</si>
  <si>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</si>
  <si>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</si>
  <si>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</si>
  <si>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</si>
  <si>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</si>
  <si>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</si>
  <si>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</si>
  <si>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</si>
  <si>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</si>
  <si>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</si>
  <si>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</si>
  <si>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</si>
  <si>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</si>
  <si>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</si>
  <si>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</si>
  <si>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</si>
  <si>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</si>
  <si>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</si>
  <si>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</si>
  <si>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</si>
  <si>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</si>
  <si>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55806     DDHM ostatní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</si>
  <si>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</si>
  <si>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</si>
  <si>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</si>
  <si>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</si>
  <si>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</si>
  <si>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</si>
  <si>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</si>
  <si>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</si>
  <si>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</si>
  <si>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</si>
  <si>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</si>
  <si>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</si>
  <si>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</si>
  <si>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</si>
  <si>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</si>
  <si>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</si>
  <si>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</si>
  <si>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</si>
  <si>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</si>
  <si>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</si>
  <si>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</si>
  <si>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</si>
  <si>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</si>
  <si>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</si>
  <si>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</si>
  <si>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</si>
  <si>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</si>
  <si>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</si>
  <si>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</si>
  <si>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641     Smluvní pokuty a úroky z prodlení</t>
  </si>
  <si>
    <t>64100     Smluvní pokuty a úroky z prodlení</t>
  </si>
  <si>
    <t>64100052     úrok z prodlení - soudní rozh.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</si>
  <si>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</si>
  <si>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</si>
  <si>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</si>
  <si>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</si>
  <si>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</si>
  <si>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</si>
  <si>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</si>
  <si>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</si>
  <si>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</si>
  <si>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</si>
  <si>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</si>
  <si>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</si>
  <si>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</si>
  <si>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</si>
  <si>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</si>
  <si>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</si>
  <si>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</si>
  <si>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</si>
  <si>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</si>
  <si>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</si>
  <si>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</si>
  <si>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</si>
  <si>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</si>
  <si>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</si>
  <si>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</si>
  <si>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</si>
  <si>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38</t>
  </si>
  <si>
    <t>Ústav soudního lékařství a medicínského práva</t>
  </si>
  <si>
    <t/>
  </si>
  <si>
    <t>Ústav soudního lékařství a medicínského práva Celkem</t>
  </si>
  <si>
    <t>SumaKL</t>
  </si>
  <si>
    <t>3841</t>
  </si>
  <si>
    <t>soudní lékařství - laboratoř</t>
  </si>
  <si>
    <t>soudní lékařství - laboratoř Celkem</t>
  </si>
  <si>
    <t>SumaNS</t>
  </si>
  <si>
    <t>mezeraNS</t>
  </si>
  <si>
    <t>38 - Ústav soudního lékařství a medicínského práva</t>
  </si>
  <si>
    <t>3841 - soudní lékařství - laboratoř</t>
  </si>
  <si>
    <t>ZA090</t>
  </si>
  <si>
    <t>Vata buničitá přířezy 37 x 57 cm 2730152</t>
  </si>
  <si>
    <t>ZA751</t>
  </si>
  <si>
    <t>Papír filtrační archy 50 x 50 cm bal. 12,5 kg 624890805050</t>
  </si>
  <si>
    <t>ZA817</t>
  </si>
  <si>
    <t>Zkumavka PS 10 ml sterilní 400914</t>
  </si>
  <si>
    <t>ZB756</t>
  </si>
  <si>
    <t>Zkumavka 3 ml K3 edta fialová 454086</t>
  </si>
  <si>
    <t>ZE159</t>
  </si>
  <si>
    <t>Nádoba na kontaminovaný odpad 2 l 15-0003</t>
  </si>
  <si>
    <t>ZE173</t>
  </si>
  <si>
    <t>Nádoba na histologický mat. 200 ml 333000041002</t>
  </si>
  <si>
    <t>ZF192</t>
  </si>
  <si>
    <t>Nádoba na kontaminovaný odpad 4 l 15-0004</t>
  </si>
  <si>
    <t>ZH614</t>
  </si>
  <si>
    <t>Zátka butyl šedá 20 mm á 100 ks 635220100290</t>
  </si>
  <si>
    <t>ZH615</t>
  </si>
  <si>
    <t>Uzávěr Al krimplovací 20 mm á 1000 ks 635220010408</t>
  </si>
  <si>
    <t>ZC019</t>
  </si>
  <si>
    <t>Fólie plastická silikag. 20 x 20 cm bal. á 25 ks TLC 1.057350.001</t>
  </si>
  <si>
    <t>ZF174</t>
  </si>
  <si>
    <t>Nádoba na histologický mat. 400 ml 333000041012</t>
  </si>
  <si>
    <t>ZB973</t>
  </si>
  <si>
    <t>Fólie hliniková 20 x 20 cm bal. á 25 ks HPTLC 1.055480.001</t>
  </si>
  <si>
    <t>ZB426</t>
  </si>
  <si>
    <t>Mikrozkumavka eppendorf 1,5 ml BSA 0220</t>
  </si>
  <si>
    <t>ZC036</t>
  </si>
  <si>
    <t>Baňka erlenmeyera širokohrdlá 250 ml 632417106250</t>
  </si>
  <si>
    <t>ZC080</t>
  </si>
  <si>
    <t>Sklo krycí 24 x 24 mm, á 1000 ks BD2424</t>
  </si>
  <si>
    <t>ZD437</t>
  </si>
  <si>
    <t>Nálevka dělící 250 ml s teflonovým kohoutem 636014920204</t>
  </si>
  <si>
    <t>ZG467</t>
  </si>
  <si>
    <t>Baňka widmarkova 100 ml 632445101100</t>
  </si>
  <si>
    <t>ZL142</t>
  </si>
  <si>
    <t>Střička s PE lahví šroub.uzáv. a PE tryskou širokohrdlá 250 ml modrá 2105.4101</t>
  </si>
  <si>
    <t>ZM004</t>
  </si>
  <si>
    <t>Baňka odměrná s NZ a skl.dutou zátkou objem 500 ml 636013023408</t>
  </si>
  <si>
    <t>ZM046</t>
  </si>
  <si>
    <t>Baňka odměrná se zábrusem a PE zátkou objem 1000 ml přesnost +/- 0,4 ml 636013020209</t>
  </si>
  <si>
    <t>ZL143</t>
  </si>
  <si>
    <t>Střička s PE lahví šroub.uzáv. a PE tryskou širokohrdlá 250 ml červená 2105.4103</t>
  </si>
  <si>
    <t>ZK476</t>
  </si>
  <si>
    <t>Rukavice operační latexové s pudrem ansell medigrip plus vel. 7,5 303505 (302925)</t>
  </si>
  <si>
    <t>ZK477</t>
  </si>
  <si>
    <t>Rukavice operační latexové s pudrem ansell medigrip plus vel. 8,0 303506(303366)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</si>
  <si>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</si>
  <si>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</si>
  <si>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</si>
  <si>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</si>
  <si>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</si>
  <si>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</si>
  <si>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DG145</t>
  </si>
  <si>
    <t>kyselina CHLOROVOD.35% P.A.</t>
  </si>
  <si>
    <t>DF571</t>
  </si>
  <si>
    <t>Formaldehyd 36-38% p.a., 5 L</t>
  </si>
  <si>
    <t>DG184</t>
  </si>
  <si>
    <t>SIRAN SODNY BEZV.,P.A.</t>
  </si>
  <si>
    <t>DG393</t>
  </si>
  <si>
    <t>Ethanol 96%</t>
  </si>
  <si>
    <t>DB310</t>
  </si>
  <si>
    <t>Ethanolum benzino den. 4kg</t>
  </si>
  <si>
    <t>DC236</t>
  </si>
  <si>
    <t>DIETHYLETER P.A. NESTAB.</t>
  </si>
  <si>
    <t>DA964</t>
  </si>
  <si>
    <t>Paraffinum solidum pecky</t>
  </si>
  <si>
    <t>DG179</t>
  </si>
  <si>
    <t>SIRAN AMONNY P.A.</t>
  </si>
  <si>
    <t>DB257</t>
  </si>
  <si>
    <t>CHLOROFORM P.A. - stab. methanolem</t>
  </si>
  <si>
    <t>DF908</t>
  </si>
  <si>
    <t>MTD(methadone) test na záchyt drog v moči</t>
  </si>
  <si>
    <t>DC342</t>
  </si>
  <si>
    <t>ACETON P.A.</t>
  </si>
  <si>
    <t>DG226</t>
  </si>
  <si>
    <t>ETHYLESTER KYS.OCTOVE P.A.</t>
  </si>
  <si>
    <t>DB557</t>
  </si>
  <si>
    <t>STANDARDNI ROZTOK ETHANOLU</t>
  </si>
  <si>
    <t>DF907</t>
  </si>
  <si>
    <t>BUP (buprenorfin)  test na záchyt drog v moči</t>
  </si>
  <si>
    <t>DA368</t>
  </si>
  <si>
    <t>Fencyklidin PCP - rychlý test na záchyt drog</t>
  </si>
  <si>
    <t>DD079</t>
  </si>
  <si>
    <t>AMONIAK VODNY ROZTOK 25%</t>
  </si>
  <si>
    <t>DC332</t>
  </si>
  <si>
    <t>JODID DRASELNY P.A.</t>
  </si>
  <si>
    <t>DA886</t>
  </si>
  <si>
    <t>METHANOL LC-MS CHROMASOLV</t>
  </si>
  <si>
    <t>DA885</t>
  </si>
  <si>
    <t>ACETONITRILE LC-MS CHROMASOLV 4x2,5l</t>
  </si>
  <si>
    <t>DG784</t>
  </si>
  <si>
    <t>DRI Primary control Set</t>
  </si>
  <si>
    <t>DG766</t>
  </si>
  <si>
    <t>DRI Cannabinoids</t>
  </si>
  <si>
    <t>DG773</t>
  </si>
  <si>
    <t>DRI Multi-Drug Calibrator 1</t>
  </si>
  <si>
    <t>DG774</t>
  </si>
  <si>
    <t>DRI Multi-Drug Calibrator 2</t>
  </si>
  <si>
    <t>DG776</t>
  </si>
  <si>
    <t>DRI Multi-Drug Calibrator 4</t>
  </si>
  <si>
    <t>DG775</t>
  </si>
  <si>
    <t>DRI Multi-Drug Calibrator 3</t>
  </si>
  <si>
    <t>DG152</t>
  </si>
  <si>
    <t>DITHIONIČITAN SODNY P.A.</t>
  </si>
  <si>
    <t>DG791</t>
  </si>
  <si>
    <t>PAR TDM Level 1</t>
  </si>
  <si>
    <t>DG792</t>
  </si>
  <si>
    <t>PAR TDM Level 2</t>
  </si>
  <si>
    <t>DG793</t>
  </si>
  <si>
    <t>PAR TDM Level 3</t>
  </si>
  <si>
    <t>DD081</t>
  </si>
  <si>
    <t>HEXAN P.A.</t>
  </si>
  <si>
    <t>DH208</t>
  </si>
  <si>
    <t>DIETHYLETER P.A. NESTAB. 5000ml</t>
  </si>
  <si>
    <t>DG228</t>
  </si>
  <si>
    <t>TOLUEN P.A.</t>
  </si>
  <si>
    <t>DH211</t>
  </si>
  <si>
    <t>Irbesartan</t>
  </si>
  <si>
    <t>SOUD, soudní lékařství - laboratoř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</si>
  <si>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</si>
  <si>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</si>
  <si>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</si>
  <si>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</si>
  <si>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</si>
  <si>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</si>
  <si>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</si>
  <si>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</si>
  <si>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</si>
  <si>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</si>
  <si>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</si>
  <si>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</si>
  <si>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808 - Pracoviště soudního lékařství</t>
  </si>
  <si>
    <t>814 - Laboratoř toxikologická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</si>
  <si>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</si>
  <si>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</si>
  <si>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</si>
  <si>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</si>
  <si>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</si>
  <si>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Zdravotní výkony vykázané na pracovišti v rámci ambulantní péče dle lékařů *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</si>
  <si>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</si>
  <si>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</si>
  <si>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</si>
  <si>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</si>
  <si>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</si>
  <si>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</si>
  <si>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</si>
  <si>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</si>
  <si>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</si>
  <si>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</si>
  <si>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</si>
  <si>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</si>
  <si>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</si>
  <si>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</si>
  <si>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</si>
  <si>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</si>
  <si>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</si>
  <si>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</si>
  <si>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</si>
  <si>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</si>
  <si>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</si>
  <si>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</si>
  <si>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</si>
  <si>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</si>
  <si>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</si>
  <si>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</si>
  <si>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</si>
  <si>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</si>
  <si>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</si>
  <si>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</si>
  <si>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</si>
  <si>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</si>
  <si>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</si>
  <si>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</si>
  <si>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</si>
  <si>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</si>
  <si>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</si>
  <si>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</si>
  <si>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</si>
  <si>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</si>
  <si>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</si>
  <si>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</si>
  <si>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</si>
  <si>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</si>
  <si>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</si>
  <si>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</si>
  <si>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</si>
  <si>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</si>
  <si>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</si>
  <si>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</si>
  <si>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</si>
  <si>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</si>
  <si>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</si>
  <si>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</si>
  <si>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</si>
  <si>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</si>
  <si>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</si>
  <si>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</si>
  <si>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</si>
  <si>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</si>
  <si>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</si>
  <si>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</si>
  <si>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</si>
  <si>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</si>
  <si>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</si>
  <si>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</si>
  <si>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</si>
  <si>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</si>
  <si>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</si>
  <si>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25 - Klinika ústní,čelistní a obličejové chirurgie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</si>
  <si>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</si>
  <si>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</si>
  <si>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</si>
  <si>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</si>
  <si>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</si>
  <si>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</si>
  <si>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</si>
  <si>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06</t>
  </si>
  <si>
    <t>07</t>
  </si>
  <si>
    <t>08</t>
  </si>
  <si>
    <t>09</t>
  </si>
  <si>
    <t>10</t>
  </si>
  <si>
    <t>16</t>
  </si>
  <si>
    <t>17</t>
  </si>
  <si>
    <t>18</t>
  </si>
  <si>
    <t>25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</si>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</sst>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6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9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2" fillId="8" borderId="60" xfId="0" applyNumberFormat="1" applyFont="1" applyFill="1" applyBorder="1"/>
    <xf numFmtId="3" fontId="52" fillId="8" borderId="59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4" fillId="2" borderId="66" xfId="0" applyNumberFormat="1" applyFont="1" applyFill="1" applyBorder="1" applyAlignment="1">
      <alignment horizontal="center" vertical="center" wrapText="1"/>
    </xf>
    <xf numFmtId="0" fontId="54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4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3" fontId="32" fillId="0" borderId="64" xfId="0" applyNumberFormat="1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3" fontId="32" fillId="0" borderId="67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4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1.0492922033921146</c:v>
                </c:pt>
                <c:pt idx="1">
                  <c:v>1.0501667892321036</c:v>
                </c:pt>
                <c:pt idx="2">
                  <c:v>0.94083661526969342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644456"/>
        <c:axId val="15326456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0.8715311992143232</c:v>
                </c:pt>
                <c:pt idx="1">
                  <c:v>0.8715311992143232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2645240"/>
        <c:axId val="1532646416"/>
      </c:scatterChart>
      <c:catAx>
        <c:axId val="153264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3264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2645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32644456"/>
        <c:crosses val="autoZero"/>
        <c:crossBetween val="between"/>
      </c:valAx>
      <c:valAx>
        <c:axId val="15326452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32646416"/>
        <c:crosses val="max"/>
        <c:crossBetween val="midCat"/>
      </c:valAx>
      <c:valAx>
        <c:axId val="15326464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26452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91</v>
      </c>
      <c r="B1" s="293"/>
    </row>
    <row r="2" spans="1:3" ht="14.4" customHeight="1" thickBot="1" x14ac:dyDescent="0.35">
      <c r="A2" s="203" t="s">
        <v>242</v>
      </c>
      <c r="B2" s="41"/>
    </row>
    <row r="3" spans="1:3" ht="14.4" customHeight="1" thickBot="1" x14ac:dyDescent="0.35">
      <c r="A3" s="289" t="s">
        <v>113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101</v>
      </c>
      <c r="C4" s="42" t="s">
        <v>102</v>
      </c>
    </row>
    <row r="5" spans="1:3" ht="14.4" customHeight="1" x14ac:dyDescent="0.3">
      <c r="A5" s="119" t="str">
        <f t="shared" si="0"/>
        <v>HI</v>
      </c>
      <c r="B5" s="65" t="s">
        <v>110</v>
      </c>
      <c r="C5" s="42" t="s">
        <v>94</v>
      </c>
    </row>
    <row r="6" spans="1:3" ht="14.4" customHeight="1" x14ac:dyDescent="0.3">
      <c r="A6" s="120" t="str">
        <f t="shared" si="0"/>
        <v>HI Graf</v>
      </c>
      <c r="B6" s="66" t="s">
        <v>87</v>
      </c>
      <c r="C6" s="42" t="s">
        <v>95</v>
      </c>
    </row>
    <row r="7" spans="1:3" ht="14.4" customHeight="1" x14ac:dyDescent="0.3">
      <c r="A7" s="120" t="str">
        <f t="shared" si="0"/>
        <v>Man Tab</v>
      </c>
      <c r="B7" s="66" t="s">
        <v>244</v>
      </c>
      <c r="C7" s="42" t="s">
        <v>96</v>
      </c>
    </row>
    <row r="8" spans="1:3" ht="14.4" customHeight="1" thickBot="1" x14ac:dyDescent="0.35">
      <c r="A8" s="121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92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111</v>
      </c>
      <c r="C11" s="42" t="s">
        <v>97</v>
      </c>
    </row>
    <row r="12" spans="1:3" ht="14.4" customHeight="1" x14ac:dyDescent="0.3">
      <c r="A12" s="120" t="str">
        <f t="shared" ref="A12:A15" si="2">HYPERLINK("#'"&amp;C12&amp;"'!A1",C12)</f>
        <v>LŽ Statim</v>
      </c>
      <c r="B12" s="277" t="s">
        <v>206</v>
      </c>
      <c r="C12" s="42" t="s">
        <v>216</v>
      </c>
    </row>
    <row r="13" spans="1:3" ht="14.4" customHeight="1" x14ac:dyDescent="0.3">
      <c r="A13" s="122" t="str">
        <f t="shared" ref="A13" si="3">HYPERLINK("#'"&amp;C13&amp;"'!A1",C13)</f>
        <v>Materiál Žádanky</v>
      </c>
      <c r="B13" s="66" t="s">
        <v>112</v>
      </c>
      <c r="C13" s="42" t="s">
        <v>98</v>
      </c>
    </row>
    <row r="14" spans="1:3" ht="14.4" customHeight="1" x14ac:dyDescent="0.3">
      <c r="A14" s="120" t="str">
        <f t="shared" si="2"/>
        <v>MŽ Detail</v>
      </c>
      <c r="B14" s="66" t="s">
        <v>559</v>
      </c>
      <c r="C14" s="42" t="s">
        <v>99</v>
      </c>
    </row>
    <row r="15" spans="1:3" ht="14.4" customHeight="1" thickBot="1" x14ac:dyDescent="0.35">
      <c r="A15" s="122" t="str">
        <f t="shared" si="2"/>
        <v>Osobní náklady</v>
      </c>
      <c r="B15" s="66" t="s">
        <v>89</v>
      </c>
      <c r="C15" s="42" t="s">
        <v>100</v>
      </c>
    </row>
    <row r="16" spans="1:3" ht="14.4" customHeight="1" thickBot="1" x14ac:dyDescent="0.35">
      <c r="A16" s="69"/>
      <c r="B16" s="69"/>
    </row>
    <row r="17" spans="1:3" ht="14.4" customHeight="1" thickBot="1" x14ac:dyDescent="0.35">
      <c r="A17" s="292" t="s">
        <v>93</v>
      </c>
      <c r="B17" s="290"/>
    </row>
    <row r="18" spans="1:3" ht="14.4" customHeight="1" x14ac:dyDescent="0.3">
      <c r="A18" s="123" t="str">
        <f t="shared" ref="A18:A22" si="4">HYPERLINK("#'"&amp;C18&amp;"'!A1",C18)</f>
        <v>ZV Vykáz.-A</v>
      </c>
      <c r="B18" s="65" t="s">
        <v>566</v>
      </c>
      <c r="C18" s="42" t="s">
        <v>103</v>
      </c>
    </row>
    <row r="19" spans="1:3" ht="14.4" customHeight="1" x14ac:dyDescent="0.3">
      <c r="A19" s="120" t="str">
        <f t="shared" ref="A19" si="5">HYPERLINK("#'"&amp;C19&amp;"'!A1",C19)</f>
        <v>ZV Vykáz.-A Lékaři</v>
      </c>
      <c r="B19" s="66" t="s">
        <v>568</v>
      </c>
      <c r="C19" s="42" t="s">
        <v>219</v>
      </c>
    </row>
    <row r="20" spans="1:3" ht="14.4" customHeight="1" x14ac:dyDescent="0.3">
      <c r="A20" s="120" t="str">
        <f t="shared" si="4"/>
        <v>ZV Vykáz.-A Detail</v>
      </c>
      <c r="B20" s="66" t="s">
        <v>626</v>
      </c>
      <c r="C20" s="42" t="s">
        <v>104</v>
      </c>
    </row>
    <row r="21" spans="1:3" ht="14.4" customHeight="1" x14ac:dyDescent="0.3">
      <c r="A21" s="120" t="str">
        <f t="shared" si="4"/>
        <v>ZV Vykáz.-H</v>
      </c>
      <c r="B21" s="66" t="s">
        <v>107</v>
      </c>
      <c r="C21" s="42" t="s">
        <v>105</v>
      </c>
    </row>
    <row r="22" spans="1:3" ht="14.4" customHeight="1" x14ac:dyDescent="0.3">
      <c r="A22" s="120" t="str">
        <f t="shared" si="4"/>
        <v>ZV Vykáz.-H Detail</v>
      </c>
      <c r="B22" s="66" t="s">
        <v>659</v>
      </c>
      <c r="C22" s="42" t="s">
        <v>106</v>
      </c>
    </row>
  </sheetData>
  <mergeCells count="4">
    <mergeCell ref="A3:B3"/>
    <mergeCell ref="A10:B10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12.44140625" style="183" hidden="1" customWidth="1" outlineLevel="1"/>
    <col min="8" max="8" width="25.77734375" style="183" customWidth="1" collapsed="1"/>
    <col min="9" max="9" width="7.77734375" style="181" customWidth="1"/>
    <col min="10" max="10" width="10" style="181" customWidth="1"/>
    <col min="11" max="11" width="11.109375" style="181" customWidth="1"/>
    <col min="12" max="16384" width="8.88671875" style="105"/>
  </cols>
  <sheetData>
    <row r="1" spans="1:11" ht="18.600000000000001" customHeight="1" thickBot="1" x14ac:dyDescent="0.4">
      <c r="A1" s="327" t="s">
        <v>559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3" t="s">
        <v>242</v>
      </c>
      <c r="B2" s="57"/>
      <c r="C2" s="185"/>
      <c r="D2" s="185"/>
      <c r="E2" s="185"/>
      <c r="F2" s="185"/>
      <c r="G2" s="185"/>
      <c r="H2" s="185"/>
      <c r="I2" s="186"/>
      <c r="J2" s="186"/>
      <c r="K2" s="186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108</v>
      </c>
      <c r="I3" s="74">
        <f>IF(J3&lt;&gt;0,K3/J3,0)</f>
        <v>4.687576060355938</v>
      </c>
      <c r="J3" s="74">
        <f>SUBTOTAL(9,J5:J1048576)</f>
        <v>34528.5</v>
      </c>
      <c r="K3" s="75">
        <f>SUBTOTAL(9,K5:K1048576)</f>
        <v>161854.97</v>
      </c>
    </row>
    <row r="4" spans="1:11" s="182" customFormat="1" ht="14.4" customHeight="1" thickBot="1" x14ac:dyDescent="0.35">
      <c r="A4" s="414" t="s">
        <v>4</v>
      </c>
      <c r="B4" s="415" t="s">
        <v>5</v>
      </c>
      <c r="C4" s="415" t="s">
        <v>0</v>
      </c>
      <c r="D4" s="415" t="s">
        <v>6</v>
      </c>
      <c r="E4" s="415" t="s">
        <v>7</v>
      </c>
      <c r="F4" s="415" t="s">
        <v>1</v>
      </c>
      <c r="G4" s="415" t="s">
        <v>53</v>
      </c>
      <c r="H4" s="416" t="s">
        <v>8</v>
      </c>
      <c r="I4" s="417" t="s">
        <v>115</v>
      </c>
      <c r="J4" s="417" t="s">
        <v>9</v>
      </c>
      <c r="K4" s="418" t="s">
        <v>123</v>
      </c>
    </row>
    <row r="5" spans="1:11" ht="14.4" customHeight="1" x14ac:dyDescent="0.3">
      <c r="A5" s="419" t="s">
        <v>418</v>
      </c>
      <c r="B5" s="420" t="s">
        <v>419</v>
      </c>
      <c r="C5" s="421" t="s">
        <v>423</v>
      </c>
      <c r="D5" s="422" t="s">
        <v>548</v>
      </c>
      <c r="E5" s="421" t="s">
        <v>549</v>
      </c>
      <c r="F5" s="422" t="s">
        <v>550</v>
      </c>
      <c r="G5" s="421" t="s">
        <v>430</v>
      </c>
      <c r="H5" s="421" t="s">
        <v>431</v>
      </c>
      <c r="I5" s="398">
        <v>260.3</v>
      </c>
      <c r="J5" s="398">
        <v>23</v>
      </c>
      <c r="K5" s="410">
        <v>5986.9</v>
      </c>
    </row>
    <row r="6" spans="1:11" ht="14.4" customHeight="1" x14ac:dyDescent="0.3">
      <c r="A6" s="423" t="s">
        <v>418</v>
      </c>
      <c r="B6" s="424" t="s">
        <v>419</v>
      </c>
      <c r="C6" s="425" t="s">
        <v>423</v>
      </c>
      <c r="D6" s="426" t="s">
        <v>548</v>
      </c>
      <c r="E6" s="425" t="s">
        <v>551</v>
      </c>
      <c r="F6" s="426" t="s">
        <v>552</v>
      </c>
      <c r="G6" s="425" t="s">
        <v>432</v>
      </c>
      <c r="H6" s="425" t="s">
        <v>433</v>
      </c>
      <c r="I6" s="427">
        <v>108.41</v>
      </c>
      <c r="J6" s="427">
        <v>12.5</v>
      </c>
      <c r="K6" s="428">
        <v>1355.15</v>
      </c>
    </row>
    <row r="7" spans="1:11" ht="14.4" customHeight="1" x14ac:dyDescent="0.3">
      <c r="A7" s="423" t="s">
        <v>418</v>
      </c>
      <c r="B7" s="424" t="s">
        <v>419</v>
      </c>
      <c r="C7" s="425" t="s">
        <v>423</v>
      </c>
      <c r="D7" s="426" t="s">
        <v>548</v>
      </c>
      <c r="E7" s="425" t="s">
        <v>551</v>
      </c>
      <c r="F7" s="426" t="s">
        <v>552</v>
      </c>
      <c r="G7" s="425" t="s">
        <v>434</v>
      </c>
      <c r="H7" s="425" t="s">
        <v>435</v>
      </c>
      <c r="I7" s="427">
        <v>1.865</v>
      </c>
      <c r="J7" s="427">
        <v>700</v>
      </c>
      <c r="K7" s="428">
        <v>1305.25</v>
      </c>
    </row>
    <row r="8" spans="1:11" ht="14.4" customHeight="1" x14ac:dyDescent="0.3">
      <c r="A8" s="423" t="s">
        <v>418</v>
      </c>
      <c r="B8" s="424" t="s">
        <v>419</v>
      </c>
      <c r="C8" s="425" t="s">
        <v>423</v>
      </c>
      <c r="D8" s="426" t="s">
        <v>548</v>
      </c>
      <c r="E8" s="425" t="s">
        <v>551</v>
      </c>
      <c r="F8" s="426" t="s">
        <v>552</v>
      </c>
      <c r="G8" s="425" t="s">
        <v>436</v>
      </c>
      <c r="H8" s="425" t="s">
        <v>437</v>
      </c>
      <c r="I8" s="427">
        <v>1.98</v>
      </c>
      <c r="J8" s="427">
        <v>50</v>
      </c>
      <c r="K8" s="428">
        <v>99</v>
      </c>
    </row>
    <row r="9" spans="1:11" ht="14.4" customHeight="1" x14ac:dyDescent="0.3">
      <c r="A9" s="423" t="s">
        <v>418</v>
      </c>
      <c r="B9" s="424" t="s">
        <v>419</v>
      </c>
      <c r="C9" s="425" t="s">
        <v>423</v>
      </c>
      <c r="D9" s="426" t="s">
        <v>548</v>
      </c>
      <c r="E9" s="425" t="s">
        <v>551</v>
      </c>
      <c r="F9" s="426" t="s">
        <v>552</v>
      </c>
      <c r="G9" s="425" t="s">
        <v>438</v>
      </c>
      <c r="H9" s="425" t="s">
        <v>439</v>
      </c>
      <c r="I9" s="427">
        <v>15</v>
      </c>
      <c r="J9" s="427">
        <v>6</v>
      </c>
      <c r="K9" s="428">
        <v>90</v>
      </c>
    </row>
    <row r="10" spans="1:11" ht="14.4" customHeight="1" x14ac:dyDescent="0.3">
      <c r="A10" s="423" t="s">
        <v>418</v>
      </c>
      <c r="B10" s="424" t="s">
        <v>419</v>
      </c>
      <c r="C10" s="425" t="s">
        <v>423</v>
      </c>
      <c r="D10" s="426" t="s">
        <v>548</v>
      </c>
      <c r="E10" s="425" t="s">
        <v>551</v>
      </c>
      <c r="F10" s="426" t="s">
        <v>552</v>
      </c>
      <c r="G10" s="425" t="s">
        <v>440</v>
      </c>
      <c r="H10" s="425" t="s">
        <v>441</v>
      </c>
      <c r="I10" s="427">
        <v>4.84</v>
      </c>
      <c r="J10" s="427">
        <v>50</v>
      </c>
      <c r="K10" s="428">
        <v>242</v>
      </c>
    </row>
    <row r="11" spans="1:11" ht="14.4" customHeight="1" x14ac:dyDescent="0.3">
      <c r="A11" s="423" t="s">
        <v>418</v>
      </c>
      <c r="B11" s="424" t="s">
        <v>419</v>
      </c>
      <c r="C11" s="425" t="s">
        <v>423</v>
      </c>
      <c r="D11" s="426" t="s">
        <v>548</v>
      </c>
      <c r="E11" s="425" t="s">
        <v>551</v>
      </c>
      <c r="F11" s="426" t="s">
        <v>552</v>
      </c>
      <c r="G11" s="425" t="s">
        <v>442</v>
      </c>
      <c r="H11" s="425" t="s">
        <v>443</v>
      </c>
      <c r="I11" s="427">
        <v>25.53</v>
      </c>
      <c r="J11" s="427">
        <v>10</v>
      </c>
      <c r="K11" s="428">
        <v>255.3</v>
      </c>
    </row>
    <row r="12" spans="1:11" ht="14.4" customHeight="1" x14ac:dyDescent="0.3">
      <c r="A12" s="423" t="s">
        <v>418</v>
      </c>
      <c r="B12" s="424" t="s">
        <v>419</v>
      </c>
      <c r="C12" s="425" t="s">
        <v>423</v>
      </c>
      <c r="D12" s="426" t="s">
        <v>548</v>
      </c>
      <c r="E12" s="425" t="s">
        <v>551</v>
      </c>
      <c r="F12" s="426" t="s">
        <v>552</v>
      </c>
      <c r="G12" s="425" t="s">
        <v>444</v>
      </c>
      <c r="H12" s="425" t="s">
        <v>445</v>
      </c>
      <c r="I12" s="427">
        <v>1.89</v>
      </c>
      <c r="J12" s="427">
        <v>3000</v>
      </c>
      <c r="K12" s="428">
        <v>5655.54</v>
      </c>
    </row>
    <row r="13" spans="1:11" ht="14.4" customHeight="1" x14ac:dyDescent="0.3">
      <c r="A13" s="423" t="s">
        <v>418</v>
      </c>
      <c r="B13" s="424" t="s">
        <v>419</v>
      </c>
      <c r="C13" s="425" t="s">
        <v>423</v>
      </c>
      <c r="D13" s="426" t="s">
        <v>548</v>
      </c>
      <c r="E13" s="425" t="s">
        <v>551</v>
      </c>
      <c r="F13" s="426" t="s">
        <v>552</v>
      </c>
      <c r="G13" s="425" t="s">
        <v>446</v>
      </c>
      <c r="H13" s="425" t="s">
        <v>447</v>
      </c>
      <c r="I13" s="427">
        <v>1.8666666666666665</v>
      </c>
      <c r="J13" s="427">
        <v>3000</v>
      </c>
      <c r="K13" s="428">
        <v>5602.3</v>
      </c>
    </row>
    <row r="14" spans="1:11" ht="14.4" customHeight="1" x14ac:dyDescent="0.3">
      <c r="A14" s="423" t="s">
        <v>418</v>
      </c>
      <c r="B14" s="424" t="s">
        <v>419</v>
      </c>
      <c r="C14" s="425" t="s">
        <v>423</v>
      </c>
      <c r="D14" s="426" t="s">
        <v>548</v>
      </c>
      <c r="E14" s="425" t="s">
        <v>551</v>
      </c>
      <c r="F14" s="426" t="s">
        <v>552</v>
      </c>
      <c r="G14" s="425" t="s">
        <v>448</v>
      </c>
      <c r="H14" s="425" t="s">
        <v>449</v>
      </c>
      <c r="I14" s="427">
        <v>158.51</v>
      </c>
      <c r="J14" s="427">
        <v>50</v>
      </c>
      <c r="K14" s="428">
        <v>7925.5</v>
      </c>
    </row>
    <row r="15" spans="1:11" ht="14.4" customHeight="1" x14ac:dyDescent="0.3">
      <c r="A15" s="423" t="s">
        <v>418</v>
      </c>
      <c r="B15" s="424" t="s">
        <v>419</v>
      </c>
      <c r="C15" s="425" t="s">
        <v>423</v>
      </c>
      <c r="D15" s="426" t="s">
        <v>548</v>
      </c>
      <c r="E15" s="425" t="s">
        <v>551</v>
      </c>
      <c r="F15" s="426" t="s">
        <v>552</v>
      </c>
      <c r="G15" s="425" t="s">
        <v>450</v>
      </c>
      <c r="H15" s="425" t="s">
        <v>451</v>
      </c>
      <c r="I15" s="427">
        <v>8.35</v>
      </c>
      <c r="J15" s="427">
        <v>50</v>
      </c>
      <c r="K15" s="428">
        <v>417.45</v>
      </c>
    </row>
    <row r="16" spans="1:11" ht="14.4" customHeight="1" x14ac:dyDescent="0.3">
      <c r="A16" s="423" t="s">
        <v>418</v>
      </c>
      <c r="B16" s="424" t="s">
        <v>419</v>
      </c>
      <c r="C16" s="425" t="s">
        <v>423</v>
      </c>
      <c r="D16" s="426" t="s">
        <v>548</v>
      </c>
      <c r="E16" s="425" t="s">
        <v>551</v>
      </c>
      <c r="F16" s="426" t="s">
        <v>552</v>
      </c>
      <c r="G16" s="425" t="s">
        <v>452</v>
      </c>
      <c r="H16" s="425" t="s">
        <v>453</v>
      </c>
      <c r="I16" s="427">
        <v>228.64</v>
      </c>
      <c r="J16" s="427">
        <v>25</v>
      </c>
      <c r="K16" s="428">
        <v>5716.04</v>
      </c>
    </row>
    <row r="17" spans="1:11" ht="14.4" customHeight="1" x14ac:dyDescent="0.3">
      <c r="A17" s="423" t="s">
        <v>418</v>
      </c>
      <c r="B17" s="424" t="s">
        <v>419</v>
      </c>
      <c r="C17" s="425" t="s">
        <v>423</v>
      </c>
      <c r="D17" s="426" t="s">
        <v>548</v>
      </c>
      <c r="E17" s="425" t="s">
        <v>553</v>
      </c>
      <c r="F17" s="426" t="s">
        <v>554</v>
      </c>
      <c r="G17" s="425" t="s">
        <v>454</v>
      </c>
      <c r="H17" s="425" t="s">
        <v>455</v>
      </c>
      <c r="I17" s="427">
        <v>0.25</v>
      </c>
      <c r="J17" s="427">
        <v>3000</v>
      </c>
      <c r="K17" s="428">
        <v>762.3</v>
      </c>
    </row>
    <row r="18" spans="1:11" ht="14.4" customHeight="1" x14ac:dyDescent="0.3">
      <c r="A18" s="423" t="s">
        <v>418</v>
      </c>
      <c r="B18" s="424" t="s">
        <v>419</v>
      </c>
      <c r="C18" s="425" t="s">
        <v>423</v>
      </c>
      <c r="D18" s="426" t="s">
        <v>548</v>
      </c>
      <c r="E18" s="425" t="s">
        <v>553</v>
      </c>
      <c r="F18" s="426" t="s">
        <v>554</v>
      </c>
      <c r="G18" s="425" t="s">
        <v>456</v>
      </c>
      <c r="H18" s="425" t="s">
        <v>457</v>
      </c>
      <c r="I18" s="427">
        <v>50.82</v>
      </c>
      <c r="J18" s="427">
        <v>10</v>
      </c>
      <c r="K18" s="428">
        <v>508.2</v>
      </c>
    </row>
    <row r="19" spans="1:11" ht="14.4" customHeight="1" x14ac:dyDescent="0.3">
      <c r="A19" s="423" t="s">
        <v>418</v>
      </c>
      <c r="B19" s="424" t="s">
        <v>419</v>
      </c>
      <c r="C19" s="425" t="s">
        <v>423</v>
      </c>
      <c r="D19" s="426" t="s">
        <v>548</v>
      </c>
      <c r="E19" s="425" t="s">
        <v>553</v>
      </c>
      <c r="F19" s="426" t="s">
        <v>554</v>
      </c>
      <c r="G19" s="425" t="s">
        <v>458</v>
      </c>
      <c r="H19" s="425" t="s">
        <v>459</v>
      </c>
      <c r="I19" s="427">
        <v>0.17</v>
      </c>
      <c r="J19" s="427">
        <v>4000</v>
      </c>
      <c r="K19" s="428">
        <v>665.28</v>
      </c>
    </row>
    <row r="20" spans="1:11" ht="14.4" customHeight="1" x14ac:dyDescent="0.3">
      <c r="A20" s="423" t="s">
        <v>418</v>
      </c>
      <c r="B20" s="424" t="s">
        <v>419</v>
      </c>
      <c r="C20" s="425" t="s">
        <v>423</v>
      </c>
      <c r="D20" s="426" t="s">
        <v>548</v>
      </c>
      <c r="E20" s="425" t="s">
        <v>553</v>
      </c>
      <c r="F20" s="426" t="s">
        <v>554</v>
      </c>
      <c r="G20" s="425" t="s">
        <v>460</v>
      </c>
      <c r="H20" s="425" t="s">
        <v>461</v>
      </c>
      <c r="I20" s="427">
        <v>735.68</v>
      </c>
      <c r="J20" s="427">
        <v>1</v>
      </c>
      <c r="K20" s="428">
        <v>735.68</v>
      </c>
    </row>
    <row r="21" spans="1:11" ht="14.4" customHeight="1" x14ac:dyDescent="0.3">
      <c r="A21" s="423" t="s">
        <v>418</v>
      </c>
      <c r="B21" s="424" t="s">
        <v>419</v>
      </c>
      <c r="C21" s="425" t="s">
        <v>423</v>
      </c>
      <c r="D21" s="426" t="s">
        <v>548</v>
      </c>
      <c r="E21" s="425" t="s">
        <v>553</v>
      </c>
      <c r="F21" s="426" t="s">
        <v>554</v>
      </c>
      <c r="G21" s="425" t="s">
        <v>462</v>
      </c>
      <c r="H21" s="425" t="s">
        <v>463</v>
      </c>
      <c r="I21" s="427">
        <v>269.83</v>
      </c>
      <c r="J21" s="427">
        <v>100</v>
      </c>
      <c r="K21" s="428">
        <v>26983</v>
      </c>
    </row>
    <row r="22" spans="1:11" ht="14.4" customHeight="1" x14ac:dyDescent="0.3">
      <c r="A22" s="423" t="s">
        <v>418</v>
      </c>
      <c r="B22" s="424" t="s">
        <v>419</v>
      </c>
      <c r="C22" s="425" t="s">
        <v>423</v>
      </c>
      <c r="D22" s="426" t="s">
        <v>548</v>
      </c>
      <c r="E22" s="425" t="s">
        <v>553</v>
      </c>
      <c r="F22" s="426" t="s">
        <v>554</v>
      </c>
      <c r="G22" s="425" t="s">
        <v>464</v>
      </c>
      <c r="H22" s="425" t="s">
        <v>465</v>
      </c>
      <c r="I22" s="427">
        <v>68.569999999999993</v>
      </c>
      <c r="J22" s="427">
        <v>2</v>
      </c>
      <c r="K22" s="428">
        <v>137.13999999999999</v>
      </c>
    </row>
    <row r="23" spans="1:11" ht="14.4" customHeight="1" x14ac:dyDescent="0.3">
      <c r="A23" s="423" t="s">
        <v>418</v>
      </c>
      <c r="B23" s="424" t="s">
        <v>419</v>
      </c>
      <c r="C23" s="425" t="s">
        <v>423</v>
      </c>
      <c r="D23" s="426" t="s">
        <v>548</v>
      </c>
      <c r="E23" s="425" t="s">
        <v>553</v>
      </c>
      <c r="F23" s="426" t="s">
        <v>554</v>
      </c>
      <c r="G23" s="425" t="s">
        <v>466</v>
      </c>
      <c r="H23" s="425" t="s">
        <v>467</v>
      </c>
      <c r="I23" s="427">
        <v>402.93</v>
      </c>
      <c r="J23" s="427">
        <v>4</v>
      </c>
      <c r="K23" s="428">
        <v>1611.72</v>
      </c>
    </row>
    <row r="24" spans="1:11" ht="14.4" customHeight="1" x14ac:dyDescent="0.3">
      <c r="A24" s="423" t="s">
        <v>418</v>
      </c>
      <c r="B24" s="424" t="s">
        <v>419</v>
      </c>
      <c r="C24" s="425" t="s">
        <v>423</v>
      </c>
      <c r="D24" s="426" t="s">
        <v>548</v>
      </c>
      <c r="E24" s="425" t="s">
        <v>553</v>
      </c>
      <c r="F24" s="426" t="s">
        <v>554</v>
      </c>
      <c r="G24" s="425" t="s">
        <v>468</v>
      </c>
      <c r="H24" s="425" t="s">
        <v>469</v>
      </c>
      <c r="I24" s="427">
        <v>448.91</v>
      </c>
      <c r="J24" s="427">
        <v>2</v>
      </c>
      <c r="K24" s="428">
        <v>897.82</v>
      </c>
    </row>
    <row r="25" spans="1:11" ht="14.4" customHeight="1" x14ac:dyDescent="0.3">
      <c r="A25" s="423" t="s">
        <v>418</v>
      </c>
      <c r="B25" s="424" t="s">
        <v>419</v>
      </c>
      <c r="C25" s="425" t="s">
        <v>423</v>
      </c>
      <c r="D25" s="426" t="s">
        <v>548</v>
      </c>
      <c r="E25" s="425" t="s">
        <v>553</v>
      </c>
      <c r="F25" s="426" t="s">
        <v>554</v>
      </c>
      <c r="G25" s="425" t="s">
        <v>470</v>
      </c>
      <c r="H25" s="425" t="s">
        <v>471</v>
      </c>
      <c r="I25" s="427">
        <v>68.569999999999993</v>
      </c>
      <c r="J25" s="427">
        <v>2</v>
      </c>
      <c r="K25" s="428">
        <v>137.13999999999999</v>
      </c>
    </row>
    <row r="26" spans="1:11" ht="14.4" customHeight="1" x14ac:dyDescent="0.3">
      <c r="A26" s="423" t="s">
        <v>418</v>
      </c>
      <c r="B26" s="424" t="s">
        <v>419</v>
      </c>
      <c r="C26" s="425" t="s">
        <v>423</v>
      </c>
      <c r="D26" s="426" t="s">
        <v>548</v>
      </c>
      <c r="E26" s="425" t="s">
        <v>555</v>
      </c>
      <c r="F26" s="426" t="s">
        <v>556</v>
      </c>
      <c r="G26" s="425" t="s">
        <v>472</v>
      </c>
      <c r="H26" s="425" t="s">
        <v>473</v>
      </c>
      <c r="I26" s="427">
        <v>7.5</v>
      </c>
      <c r="J26" s="427">
        <v>200</v>
      </c>
      <c r="K26" s="428">
        <v>1500</v>
      </c>
    </row>
    <row r="27" spans="1:11" ht="14.4" customHeight="1" x14ac:dyDescent="0.3">
      <c r="A27" s="423" t="s">
        <v>418</v>
      </c>
      <c r="B27" s="424" t="s">
        <v>419</v>
      </c>
      <c r="C27" s="425" t="s">
        <v>423</v>
      </c>
      <c r="D27" s="426" t="s">
        <v>548</v>
      </c>
      <c r="E27" s="425" t="s">
        <v>555</v>
      </c>
      <c r="F27" s="426" t="s">
        <v>556</v>
      </c>
      <c r="G27" s="425" t="s">
        <v>474</v>
      </c>
      <c r="H27" s="425" t="s">
        <v>475</v>
      </c>
      <c r="I27" s="427">
        <v>7.5</v>
      </c>
      <c r="J27" s="427">
        <v>400</v>
      </c>
      <c r="K27" s="428">
        <v>3000</v>
      </c>
    </row>
    <row r="28" spans="1:11" ht="14.4" customHeight="1" x14ac:dyDescent="0.3">
      <c r="A28" s="423" t="s">
        <v>418</v>
      </c>
      <c r="B28" s="424" t="s">
        <v>419</v>
      </c>
      <c r="C28" s="425" t="s">
        <v>423</v>
      </c>
      <c r="D28" s="426" t="s">
        <v>548</v>
      </c>
      <c r="E28" s="425" t="s">
        <v>555</v>
      </c>
      <c r="F28" s="426" t="s">
        <v>556</v>
      </c>
      <c r="G28" s="425" t="s">
        <v>476</v>
      </c>
      <c r="H28" s="425" t="s">
        <v>477</v>
      </c>
      <c r="I28" s="427">
        <v>0.71</v>
      </c>
      <c r="J28" s="427">
        <v>1000</v>
      </c>
      <c r="K28" s="428">
        <v>710</v>
      </c>
    </row>
    <row r="29" spans="1:11" ht="14.4" customHeight="1" x14ac:dyDescent="0.3">
      <c r="A29" s="423" t="s">
        <v>418</v>
      </c>
      <c r="B29" s="424" t="s">
        <v>419</v>
      </c>
      <c r="C29" s="425" t="s">
        <v>423</v>
      </c>
      <c r="D29" s="426" t="s">
        <v>548</v>
      </c>
      <c r="E29" s="425" t="s">
        <v>555</v>
      </c>
      <c r="F29" s="426" t="s">
        <v>556</v>
      </c>
      <c r="G29" s="425" t="s">
        <v>478</v>
      </c>
      <c r="H29" s="425" t="s">
        <v>479</v>
      </c>
      <c r="I29" s="427">
        <v>0.71</v>
      </c>
      <c r="J29" s="427">
        <v>2200</v>
      </c>
      <c r="K29" s="428">
        <v>1562</v>
      </c>
    </row>
    <row r="30" spans="1:11" ht="14.4" customHeight="1" x14ac:dyDescent="0.3">
      <c r="A30" s="423" t="s">
        <v>418</v>
      </c>
      <c r="B30" s="424" t="s">
        <v>419</v>
      </c>
      <c r="C30" s="425" t="s">
        <v>423</v>
      </c>
      <c r="D30" s="426" t="s">
        <v>548</v>
      </c>
      <c r="E30" s="425" t="s">
        <v>555</v>
      </c>
      <c r="F30" s="426" t="s">
        <v>556</v>
      </c>
      <c r="G30" s="425" t="s">
        <v>480</v>
      </c>
      <c r="H30" s="425" t="s">
        <v>481</v>
      </c>
      <c r="I30" s="427">
        <v>0.71</v>
      </c>
      <c r="J30" s="427">
        <v>5000</v>
      </c>
      <c r="K30" s="428">
        <v>3550</v>
      </c>
    </row>
    <row r="31" spans="1:11" ht="14.4" customHeight="1" x14ac:dyDescent="0.3">
      <c r="A31" s="423" t="s">
        <v>418</v>
      </c>
      <c r="B31" s="424" t="s">
        <v>419</v>
      </c>
      <c r="C31" s="425" t="s">
        <v>423</v>
      </c>
      <c r="D31" s="426" t="s">
        <v>548</v>
      </c>
      <c r="E31" s="425" t="s">
        <v>557</v>
      </c>
      <c r="F31" s="426" t="s">
        <v>558</v>
      </c>
      <c r="G31" s="425" t="s">
        <v>482</v>
      </c>
      <c r="H31" s="425" t="s">
        <v>483</v>
      </c>
      <c r="I31" s="427">
        <v>62.92</v>
      </c>
      <c r="J31" s="427">
        <v>2</v>
      </c>
      <c r="K31" s="428">
        <v>125.84</v>
      </c>
    </row>
    <row r="32" spans="1:11" ht="14.4" customHeight="1" x14ac:dyDescent="0.3">
      <c r="A32" s="423" t="s">
        <v>418</v>
      </c>
      <c r="B32" s="424" t="s">
        <v>419</v>
      </c>
      <c r="C32" s="425" t="s">
        <v>423</v>
      </c>
      <c r="D32" s="426" t="s">
        <v>548</v>
      </c>
      <c r="E32" s="425" t="s">
        <v>557</v>
      </c>
      <c r="F32" s="426" t="s">
        <v>558</v>
      </c>
      <c r="G32" s="425" t="s">
        <v>484</v>
      </c>
      <c r="H32" s="425" t="s">
        <v>485</v>
      </c>
      <c r="I32" s="427">
        <v>461</v>
      </c>
      <c r="J32" s="427">
        <v>1</v>
      </c>
      <c r="K32" s="428">
        <v>461</v>
      </c>
    </row>
    <row r="33" spans="1:11" ht="14.4" customHeight="1" x14ac:dyDescent="0.3">
      <c r="A33" s="423" t="s">
        <v>418</v>
      </c>
      <c r="B33" s="424" t="s">
        <v>419</v>
      </c>
      <c r="C33" s="425" t="s">
        <v>423</v>
      </c>
      <c r="D33" s="426" t="s">
        <v>548</v>
      </c>
      <c r="E33" s="425" t="s">
        <v>557</v>
      </c>
      <c r="F33" s="426" t="s">
        <v>558</v>
      </c>
      <c r="G33" s="425" t="s">
        <v>486</v>
      </c>
      <c r="H33" s="425" t="s">
        <v>487</v>
      </c>
      <c r="I33" s="427">
        <v>0.13</v>
      </c>
      <c r="J33" s="427">
        <v>10000</v>
      </c>
      <c r="K33" s="428">
        <v>1258</v>
      </c>
    </row>
    <row r="34" spans="1:11" ht="14.4" customHeight="1" x14ac:dyDescent="0.3">
      <c r="A34" s="423" t="s">
        <v>418</v>
      </c>
      <c r="B34" s="424" t="s">
        <v>419</v>
      </c>
      <c r="C34" s="425" t="s">
        <v>423</v>
      </c>
      <c r="D34" s="426" t="s">
        <v>548</v>
      </c>
      <c r="E34" s="425" t="s">
        <v>557</v>
      </c>
      <c r="F34" s="426" t="s">
        <v>558</v>
      </c>
      <c r="G34" s="425" t="s">
        <v>488</v>
      </c>
      <c r="H34" s="425" t="s">
        <v>489</v>
      </c>
      <c r="I34" s="427">
        <v>588.57000000000005</v>
      </c>
      <c r="J34" s="427">
        <v>2</v>
      </c>
      <c r="K34" s="428">
        <v>1177.1400000000001</v>
      </c>
    </row>
    <row r="35" spans="1:11" ht="14.4" customHeight="1" x14ac:dyDescent="0.3">
      <c r="A35" s="423" t="s">
        <v>418</v>
      </c>
      <c r="B35" s="424" t="s">
        <v>419</v>
      </c>
      <c r="C35" s="425" t="s">
        <v>423</v>
      </c>
      <c r="D35" s="426" t="s">
        <v>548</v>
      </c>
      <c r="E35" s="425" t="s">
        <v>557</v>
      </c>
      <c r="F35" s="426" t="s">
        <v>558</v>
      </c>
      <c r="G35" s="425" t="s">
        <v>490</v>
      </c>
      <c r="H35" s="425" t="s">
        <v>491</v>
      </c>
      <c r="I35" s="427">
        <v>344.86</v>
      </c>
      <c r="J35" s="427">
        <v>6</v>
      </c>
      <c r="K35" s="428">
        <v>2069.13</v>
      </c>
    </row>
    <row r="36" spans="1:11" ht="14.4" customHeight="1" x14ac:dyDescent="0.3">
      <c r="A36" s="423" t="s">
        <v>418</v>
      </c>
      <c r="B36" s="424" t="s">
        <v>419</v>
      </c>
      <c r="C36" s="425" t="s">
        <v>423</v>
      </c>
      <c r="D36" s="426" t="s">
        <v>548</v>
      </c>
      <c r="E36" s="425" t="s">
        <v>557</v>
      </c>
      <c r="F36" s="426" t="s">
        <v>558</v>
      </c>
      <c r="G36" s="425" t="s">
        <v>492</v>
      </c>
      <c r="H36" s="425" t="s">
        <v>493</v>
      </c>
      <c r="I36" s="427">
        <v>244.41499999999999</v>
      </c>
      <c r="J36" s="427">
        <v>40</v>
      </c>
      <c r="K36" s="428">
        <v>9350.7799999999988</v>
      </c>
    </row>
    <row r="37" spans="1:11" ht="14.4" customHeight="1" x14ac:dyDescent="0.3">
      <c r="A37" s="423" t="s">
        <v>418</v>
      </c>
      <c r="B37" s="424" t="s">
        <v>419</v>
      </c>
      <c r="C37" s="425" t="s">
        <v>423</v>
      </c>
      <c r="D37" s="426" t="s">
        <v>548</v>
      </c>
      <c r="E37" s="425" t="s">
        <v>557</v>
      </c>
      <c r="F37" s="426" t="s">
        <v>558</v>
      </c>
      <c r="G37" s="425" t="s">
        <v>494</v>
      </c>
      <c r="H37" s="425" t="s">
        <v>495</v>
      </c>
      <c r="I37" s="427">
        <v>617</v>
      </c>
      <c r="J37" s="427">
        <v>2</v>
      </c>
      <c r="K37" s="428">
        <v>1234</v>
      </c>
    </row>
    <row r="38" spans="1:11" ht="14.4" customHeight="1" x14ac:dyDescent="0.3">
      <c r="A38" s="423" t="s">
        <v>418</v>
      </c>
      <c r="B38" s="424" t="s">
        <v>419</v>
      </c>
      <c r="C38" s="425" t="s">
        <v>423</v>
      </c>
      <c r="D38" s="426" t="s">
        <v>548</v>
      </c>
      <c r="E38" s="425" t="s">
        <v>557</v>
      </c>
      <c r="F38" s="426" t="s">
        <v>558</v>
      </c>
      <c r="G38" s="425" t="s">
        <v>496</v>
      </c>
      <c r="H38" s="425" t="s">
        <v>497</v>
      </c>
      <c r="I38" s="427">
        <v>0.15</v>
      </c>
      <c r="J38" s="427">
        <v>1000</v>
      </c>
      <c r="K38" s="428">
        <v>153.69999999999999</v>
      </c>
    </row>
    <row r="39" spans="1:11" ht="14.4" customHeight="1" x14ac:dyDescent="0.3">
      <c r="A39" s="423" t="s">
        <v>418</v>
      </c>
      <c r="B39" s="424" t="s">
        <v>419</v>
      </c>
      <c r="C39" s="425" t="s">
        <v>423</v>
      </c>
      <c r="D39" s="426" t="s">
        <v>548</v>
      </c>
      <c r="E39" s="425" t="s">
        <v>557</v>
      </c>
      <c r="F39" s="426" t="s">
        <v>558</v>
      </c>
      <c r="G39" s="425" t="s">
        <v>498</v>
      </c>
      <c r="H39" s="425" t="s">
        <v>499</v>
      </c>
      <c r="I39" s="427">
        <v>206</v>
      </c>
      <c r="J39" s="427">
        <v>3</v>
      </c>
      <c r="K39" s="428">
        <v>618</v>
      </c>
    </row>
    <row r="40" spans="1:11" ht="14.4" customHeight="1" x14ac:dyDescent="0.3">
      <c r="A40" s="423" t="s">
        <v>418</v>
      </c>
      <c r="B40" s="424" t="s">
        <v>419</v>
      </c>
      <c r="C40" s="425" t="s">
        <v>423</v>
      </c>
      <c r="D40" s="426" t="s">
        <v>548</v>
      </c>
      <c r="E40" s="425" t="s">
        <v>557</v>
      </c>
      <c r="F40" s="426" t="s">
        <v>558</v>
      </c>
      <c r="G40" s="425" t="s">
        <v>500</v>
      </c>
      <c r="H40" s="425" t="s">
        <v>501</v>
      </c>
      <c r="I40" s="427">
        <v>30.25</v>
      </c>
      <c r="J40" s="427">
        <v>10</v>
      </c>
      <c r="K40" s="428">
        <v>302.5</v>
      </c>
    </row>
    <row r="41" spans="1:11" ht="14.4" customHeight="1" x14ac:dyDescent="0.3">
      <c r="A41" s="423" t="s">
        <v>418</v>
      </c>
      <c r="B41" s="424" t="s">
        <v>419</v>
      </c>
      <c r="C41" s="425" t="s">
        <v>423</v>
      </c>
      <c r="D41" s="426" t="s">
        <v>548</v>
      </c>
      <c r="E41" s="425" t="s">
        <v>557</v>
      </c>
      <c r="F41" s="426" t="s">
        <v>558</v>
      </c>
      <c r="G41" s="425" t="s">
        <v>502</v>
      </c>
      <c r="H41" s="425" t="s">
        <v>503</v>
      </c>
      <c r="I41" s="427">
        <v>87.12</v>
      </c>
      <c r="J41" s="427">
        <v>2</v>
      </c>
      <c r="K41" s="428">
        <v>174.24</v>
      </c>
    </row>
    <row r="42" spans="1:11" ht="14.4" customHeight="1" x14ac:dyDescent="0.3">
      <c r="A42" s="423" t="s">
        <v>418</v>
      </c>
      <c r="B42" s="424" t="s">
        <v>419</v>
      </c>
      <c r="C42" s="425" t="s">
        <v>423</v>
      </c>
      <c r="D42" s="426" t="s">
        <v>548</v>
      </c>
      <c r="E42" s="425" t="s">
        <v>557</v>
      </c>
      <c r="F42" s="426" t="s">
        <v>558</v>
      </c>
      <c r="G42" s="425" t="s">
        <v>504</v>
      </c>
      <c r="H42" s="425" t="s">
        <v>505</v>
      </c>
      <c r="I42" s="427">
        <v>115.675</v>
      </c>
      <c r="J42" s="427">
        <v>4</v>
      </c>
      <c r="K42" s="428">
        <v>453.99</v>
      </c>
    </row>
    <row r="43" spans="1:11" ht="14.4" customHeight="1" x14ac:dyDescent="0.3">
      <c r="A43" s="423" t="s">
        <v>418</v>
      </c>
      <c r="B43" s="424" t="s">
        <v>419</v>
      </c>
      <c r="C43" s="425" t="s">
        <v>423</v>
      </c>
      <c r="D43" s="426" t="s">
        <v>548</v>
      </c>
      <c r="E43" s="425" t="s">
        <v>557</v>
      </c>
      <c r="F43" s="426" t="s">
        <v>558</v>
      </c>
      <c r="G43" s="425" t="s">
        <v>506</v>
      </c>
      <c r="H43" s="425" t="s">
        <v>507</v>
      </c>
      <c r="I43" s="427">
        <v>780.45</v>
      </c>
      <c r="J43" s="427">
        <v>20</v>
      </c>
      <c r="K43" s="428">
        <v>15609</v>
      </c>
    </row>
    <row r="44" spans="1:11" ht="14.4" customHeight="1" x14ac:dyDescent="0.3">
      <c r="A44" s="423" t="s">
        <v>418</v>
      </c>
      <c r="B44" s="424" t="s">
        <v>419</v>
      </c>
      <c r="C44" s="425" t="s">
        <v>423</v>
      </c>
      <c r="D44" s="426" t="s">
        <v>548</v>
      </c>
      <c r="E44" s="425" t="s">
        <v>557</v>
      </c>
      <c r="F44" s="426" t="s">
        <v>558</v>
      </c>
      <c r="G44" s="425" t="s">
        <v>508</v>
      </c>
      <c r="H44" s="425" t="s">
        <v>509</v>
      </c>
      <c r="I44" s="427">
        <v>30.25</v>
      </c>
      <c r="J44" s="427">
        <v>10</v>
      </c>
      <c r="K44" s="428">
        <v>302.5</v>
      </c>
    </row>
    <row r="45" spans="1:11" ht="14.4" customHeight="1" x14ac:dyDescent="0.3">
      <c r="A45" s="423" t="s">
        <v>418</v>
      </c>
      <c r="B45" s="424" t="s">
        <v>419</v>
      </c>
      <c r="C45" s="425" t="s">
        <v>423</v>
      </c>
      <c r="D45" s="426" t="s">
        <v>548</v>
      </c>
      <c r="E45" s="425" t="s">
        <v>557</v>
      </c>
      <c r="F45" s="426" t="s">
        <v>558</v>
      </c>
      <c r="G45" s="425" t="s">
        <v>510</v>
      </c>
      <c r="H45" s="425" t="s">
        <v>511</v>
      </c>
      <c r="I45" s="427">
        <v>30.25</v>
      </c>
      <c r="J45" s="427">
        <v>10</v>
      </c>
      <c r="K45" s="428">
        <v>302.5</v>
      </c>
    </row>
    <row r="46" spans="1:11" ht="14.4" customHeight="1" x14ac:dyDescent="0.3">
      <c r="A46" s="423" t="s">
        <v>418</v>
      </c>
      <c r="B46" s="424" t="s">
        <v>419</v>
      </c>
      <c r="C46" s="425" t="s">
        <v>423</v>
      </c>
      <c r="D46" s="426" t="s">
        <v>548</v>
      </c>
      <c r="E46" s="425" t="s">
        <v>557</v>
      </c>
      <c r="F46" s="426" t="s">
        <v>558</v>
      </c>
      <c r="G46" s="425" t="s">
        <v>512</v>
      </c>
      <c r="H46" s="425" t="s">
        <v>513</v>
      </c>
      <c r="I46" s="427">
        <v>74.11</v>
      </c>
      <c r="J46" s="427">
        <v>1</v>
      </c>
      <c r="K46" s="428">
        <v>74.11</v>
      </c>
    </row>
    <row r="47" spans="1:11" ht="14.4" customHeight="1" x14ac:dyDescent="0.3">
      <c r="A47" s="423" t="s">
        <v>418</v>
      </c>
      <c r="B47" s="424" t="s">
        <v>419</v>
      </c>
      <c r="C47" s="425" t="s">
        <v>423</v>
      </c>
      <c r="D47" s="426" t="s">
        <v>548</v>
      </c>
      <c r="E47" s="425" t="s">
        <v>557</v>
      </c>
      <c r="F47" s="426" t="s">
        <v>558</v>
      </c>
      <c r="G47" s="425" t="s">
        <v>514</v>
      </c>
      <c r="H47" s="425" t="s">
        <v>515</v>
      </c>
      <c r="I47" s="427">
        <v>2.57</v>
      </c>
      <c r="J47" s="427">
        <v>500</v>
      </c>
      <c r="K47" s="428">
        <v>1286.25</v>
      </c>
    </row>
    <row r="48" spans="1:11" ht="14.4" customHeight="1" x14ac:dyDescent="0.3">
      <c r="A48" s="423" t="s">
        <v>418</v>
      </c>
      <c r="B48" s="424" t="s">
        <v>419</v>
      </c>
      <c r="C48" s="425" t="s">
        <v>423</v>
      </c>
      <c r="D48" s="426" t="s">
        <v>548</v>
      </c>
      <c r="E48" s="425" t="s">
        <v>557</v>
      </c>
      <c r="F48" s="426" t="s">
        <v>558</v>
      </c>
      <c r="G48" s="425" t="s">
        <v>516</v>
      </c>
      <c r="H48" s="425" t="s">
        <v>517</v>
      </c>
      <c r="I48" s="427">
        <v>2722.52</v>
      </c>
      <c r="J48" s="427">
        <v>1</v>
      </c>
      <c r="K48" s="428">
        <v>2722.52</v>
      </c>
    </row>
    <row r="49" spans="1:11" ht="14.4" customHeight="1" x14ac:dyDescent="0.3">
      <c r="A49" s="423" t="s">
        <v>418</v>
      </c>
      <c r="B49" s="424" t="s">
        <v>419</v>
      </c>
      <c r="C49" s="425" t="s">
        <v>423</v>
      </c>
      <c r="D49" s="426" t="s">
        <v>548</v>
      </c>
      <c r="E49" s="425" t="s">
        <v>557</v>
      </c>
      <c r="F49" s="426" t="s">
        <v>558</v>
      </c>
      <c r="G49" s="425" t="s">
        <v>518</v>
      </c>
      <c r="H49" s="425" t="s">
        <v>519</v>
      </c>
      <c r="I49" s="427">
        <v>3260.98</v>
      </c>
      <c r="J49" s="427">
        <v>1</v>
      </c>
      <c r="K49" s="428">
        <v>3260.98</v>
      </c>
    </row>
    <row r="50" spans="1:11" ht="14.4" customHeight="1" x14ac:dyDescent="0.3">
      <c r="A50" s="423" t="s">
        <v>418</v>
      </c>
      <c r="B50" s="424" t="s">
        <v>419</v>
      </c>
      <c r="C50" s="425" t="s">
        <v>423</v>
      </c>
      <c r="D50" s="426" t="s">
        <v>548</v>
      </c>
      <c r="E50" s="425" t="s">
        <v>557</v>
      </c>
      <c r="F50" s="426" t="s">
        <v>558</v>
      </c>
      <c r="G50" s="425" t="s">
        <v>520</v>
      </c>
      <c r="H50" s="425" t="s">
        <v>521</v>
      </c>
      <c r="I50" s="427">
        <v>1930.55</v>
      </c>
      <c r="J50" s="427">
        <v>1</v>
      </c>
      <c r="K50" s="428">
        <v>1930.55</v>
      </c>
    </row>
    <row r="51" spans="1:11" ht="14.4" customHeight="1" x14ac:dyDescent="0.3">
      <c r="A51" s="423" t="s">
        <v>418</v>
      </c>
      <c r="B51" s="424" t="s">
        <v>419</v>
      </c>
      <c r="C51" s="425" t="s">
        <v>423</v>
      </c>
      <c r="D51" s="426" t="s">
        <v>548</v>
      </c>
      <c r="E51" s="425" t="s">
        <v>557</v>
      </c>
      <c r="F51" s="426" t="s">
        <v>558</v>
      </c>
      <c r="G51" s="425" t="s">
        <v>522</v>
      </c>
      <c r="H51" s="425" t="s">
        <v>523</v>
      </c>
      <c r="I51" s="427">
        <v>15530.35</v>
      </c>
      <c r="J51" s="427">
        <v>1</v>
      </c>
      <c r="K51" s="428">
        <v>15530.35</v>
      </c>
    </row>
    <row r="52" spans="1:11" ht="14.4" customHeight="1" x14ac:dyDescent="0.3">
      <c r="A52" s="423" t="s">
        <v>418</v>
      </c>
      <c r="B52" s="424" t="s">
        <v>419</v>
      </c>
      <c r="C52" s="425" t="s">
        <v>423</v>
      </c>
      <c r="D52" s="426" t="s">
        <v>548</v>
      </c>
      <c r="E52" s="425" t="s">
        <v>557</v>
      </c>
      <c r="F52" s="426" t="s">
        <v>558</v>
      </c>
      <c r="G52" s="425" t="s">
        <v>524</v>
      </c>
      <c r="H52" s="425" t="s">
        <v>525</v>
      </c>
      <c r="I52" s="427">
        <v>2662</v>
      </c>
      <c r="J52" s="427">
        <v>1</v>
      </c>
      <c r="K52" s="428">
        <v>2662</v>
      </c>
    </row>
    <row r="53" spans="1:11" ht="14.4" customHeight="1" x14ac:dyDescent="0.3">
      <c r="A53" s="423" t="s">
        <v>418</v>
      </c>
      <c r="B53" s="424" t="s">
        <v>419</v>
      </c>
      <c r="C53" s="425" t="s">
        <v>423</v>
      </c>
      <c r="D53" s="426" t="s">
        <v>548</v>
      </c>
      <c r="E53" s="425" t="s">
        <v>557</v>
      </c>
      <c r="F53" s="426" t="s">
        <v>558</v>
      </c>
      <c r="G53" s="425" t="s">
        <v>526</v>
      </c>
      <c r="H53" s="425" t="s">
        <v>527</v>
      </c>
      <c r="I53" s="427">
        <v>2662</v>
      </c>
      <c r="J53" s="427">
        <v>1</v>
      </c>
      <c r="K53" s="428">
        <v>2662</v>
      </c>
    </row>
    <row r="54" spans="1:11" ht="14.4" customHeight="1" x14ac:dyDescent="0.3">
      <c r="A54" s="423" t="s">
        <v>418</v>
      </c>
      <c r="B54" s="424" t="s">
        <v>419</v>
      </c>
      <c r="C54" s="425" t="s">
        <v>423</v>
      </c>
      <c r="D54" s="426" t="s">
        <v>548</v>
      </c>
      <c r="E54" s="425" t="s">
        <v>557</v>
      </c>
      <c r="F54" s="426" t="s">
        <v>558</v>
      </c>
      <c r="G54" s="425" t="s">
        <v>528</v>
      </c>
      <c r="H54" s="425" t="s">
        <v>529</v>
      </c>
      <c r="I54" s="427">
        <v>2662</v>
      </c>
      <c r="J54" s="427">
        <v>1</v>
      </c>
      <c r="K54" s="428">
        <v>2662</v>
      </c>
    </row>
    <row r="55" spans="1:11" ht="14.4" customHeight="1" x14ac:dyDescent="0.3">
      <c r="A55" s="423" t="s">
        <v>418</v>
      </c>
      <c r="B55" s="424" t="s">
        <v>419</v>
      </c>
      <c r="C55" s="425" t="s">
        <v>423</v>
      </c>
      <c r="D55" s="426" t="s">
        <v>548</v>
      </c>
      <c r="E55" s="425" t="s">
        <v>557</v>
      </c>
      <c r="F55" s="426" t="s">
        <v>558</v>
      </c>
      <c r="G55" s="425" t="s">
        <v>530</v>
      </c>
      <c r="H55" s="425" t="s">
        <v>531</v>
      </c>
      <c r="I55" s="427">
        <v>2662</v>
      </c>
      <c r="J55" s="427">
        <v>1</v>
      </c>
      <c r="K55" s="428">
        <v>2662</v>
      </c>
    </row>
    <row r="56" spans="1:11" ht="14.4" customHeight="1" x14ac:dyDescent="0.3">
      <c r="A56" s="423" t="s">
        <v>418</v>
      </c>
      <c r="B56" s="424" t="s">
        <v>419</v>
      </c>
      <c r="C56" s="425" t="s">
        <v>423</v>
      </c>
      <c r="D56" s="426" t="s">
        <v>548</v>
      </c>
      <c r="E56" s="425" t="s">
        <v>557</v>
      </c>
      <c r="F56" s="426" t="s">
        <v>558</v>
      </c>
      <c r="G56" s="425" t="s">
        <v>532</v>
      </c>
      <c r="H56" s="425" t="s">
        <v>533</v>
      </c>
      <c r="I56" s="427">
        <v>119.74</v>
      </c>
      <c r="J56" s="427">
        <v>1</v>
      </c>
      <c r="K56" s="428">
        <v>119.74</v>
      </c>
    </row>
    <row r="57" spans="1:11" ht="14.4" customHeight="1" x14ac:dyDescent="0.3">
      <c r="A57" s="423" t="s">
        <v>418</v>
      </c>
      <c r="B57" s="424" t="s">
        <v>419</v>
      </c>
      <c r="C57" s="425" t="s">
        <v>423</v>
      </c>
      <c r="D57" s="426" t="s">
        <v>548</v>
      </c>
      <c r="E57" s="425" t="s">
        <v>557</v>
      </c>
      <c r="F57" s="426" t="s">
        <v>558</v>
      </c>
      <c r="G57" s="425" t="s">
        <v>534</v>
      </c>
      <c r="H57" s="425" t="s">
        <v>535</v>
      </c>
      <c r="I57" s="427">
        <v>3388</v>
      </c>
      <c r="J57" s="427">
        <v>1</v>
      </c>
      <c r="K57" s="428">
        <v>3388</v>
      </c>
    </row>
    <row r="58" spans="1:11" ht="14.4" customHeight="1" x14ac:dyDescent="0.3">
      <c r="A58" s="423" t="s">
        <v>418</v>
      </c>
      <c r="B58" s="424" t="s">
        <v>419</v>
      </c>
      <c r="C58" s="425" t="s">
        <v>423</v>
      </c>
      <c r="D58" s="426" t="s">
        <v>548</v>
      </c>
      <c r="E58" s="425" t="s">
        <v>557</v>
      </c>
      <c r="F58" s="426" t="s">
        <v>558</v>
      </c>
      <c r="G58" s="425" t="s">
        <v>536</v>
      </c>
      <c r="H58" s="425" t="s">
        <v>537</v>
      </c>
      <c r="I58" s="427">
        <v>3775.2</v>
      </c>
      <c r="J58" s="427">
        <v>1</v>
      </c>
      <c r="K58" s="428">
        <v>3775.2</v>
      </c>
    </row>
    <row r="59" spans="1:11" ht="14.4" customHeight="1" x14ac:dyDescent="0.3">
      <c r="A59" s="423" t="s">
        <v>418</v>
      </c>
      <c r="B59" s="424" t="s">
        <v>419</v>
      </c>
      <c r="C59" s="425" t="s">
        <v>423</v>
      </c>
      <c r="D59" s="426" t="s">
        <v>548</v>
      </c>
      <c r="E59" s="425" t="s">
        <v>557</v>
      </c>
      <c r="F59" s="426" t="s">
        <v>558</v>
      </c>
      <c r="G59" s="425" t="s">
        <v>538</v>
      </c>
      <c r="H59" s="425" t="s">
        <v>539</v>
      </c>
      <c r="I59" s="427">
        <v>3388</v>
      </c>
      <c r="J59" s="427">
        <v>1</v>
      </c>
      <c r="K59" s="428">
        <v>3388</v>
      </c>
    </row>
    <row r="60" spans="1:11" ht="14.4" customHeight="1" x14ac:dyDescent="0.3">
      <c r="A60" s="423" t="s">
        <v>418</v>
      </c>
      <c r="B60" s="424" t="s">
        <v>419</v>
      </c>
      <c r="C60" s="425" t="s">
        <v>423</v>
      </c>
      <c r="D60" s="426" t="s">
        <v>548</v>
      </c>
      <c r="E60" s="425" t="s">
        <v>557</v>
      </c>
      <c r="F60" s="426" t="s">
        <v>558</v>
      </c>
      <c r="G60" s="425" t="s">
        <v>540</v>
      </c>
      <c r="H60" s="425" t="s">
        <v>541</v>
      </c>
      <c r="I60" s="427">
        <v>614.5</v>
      </c>
      <c r="J60" s="427">
        <v>2</v>
      </c>
      <c r="K60" s="428">
        <v>1229</v>
      </c>
    </row>
    <row r="61" spans="1:11" ht="14.4" customHeight="1" x14ac:dyDescent="0.3">
      <c r="A61" s="423" t="s">
        <v>418</v>
      </c>
      <c r="B61" s="424" t="s">
        <v>419</v>
      </c>
      <c r="C61" s="425" t="s">
        <v>423</v>
      </c>
      <c r="D61" s="426" t="s">
        <v>548</v>
      </c>
      <c r="E61" s="425" t="s">
        <v>557</v>
      </c>
      <c r="F61" s="426" t="s">
        <v>558</v>
      </c>
      <c r="G61" s="425" t="s">
        <v>542</v>
      </c>
      <c r="H61" s="425" t="s">
        <v>543</v>
      </c>
      <c r="I61" s="427">
        <v>1101.0999999999999</v>
      </c>
      <c r="J61" s="427">
        <v>1</v>
      </c>
      <c r="K61" s="428">
        <v>1101.0999999999999</v>
      </c>
    </row>
    <row r="62" spans="1:11" ht="14.4" customHeight="1" x14ac:dyDescent="0.3">
      <c r="A62" s="423" t="s">
        <v>418</v>
      </c>
      <c r="B62" s="424" t="s">
        <v>419</v>
      </c>
      <c r="C62" s="425" t="s">
        <v>423</v>
      </c>
      <c r="D62" s="426" t="s">
        <v>548</v>
      </c>
      <c r="E62" s="425" t="s">
        <v>557</v>
      </c>
      <c r="F62" s="426" t="s">
        <v>558</v>
      </c>
      <c r="G62" s="425" t="s">
        <v>544</v>
      </c>
      <c r="H62" s="425" t="s">
        <v>545</v>
      </c>
      <c r="I62" s="427">
        <v>93.17</v>
      </c>
      <c r="J62" s="427">
        <v>2</v>
      </c>
      <c r="K62" s="428">
        <v>186.34</v>
      </c>
    </row>
    <row r="63" spans="1:11" ht="14.4" customHeight="1" thickBot="1" x14ac:dyDescent="0.35">
      <c r="A63" s="429" t="s">
        <v>418</v>
      </c>
      <c r="B63" s="430" t="s">
        <v>419</v>
      </c>
      <c r="C63" s="431" t="s">
        <v>423</v>
      </c>
      <c r="D63" s="432" t="s">
        <v>548</v>
      </c>
      <c r="E63" s="431" t="s">
        <v>557</v>
      </c>
      <c r="F63" s="432" t="s">
        <v>558</v>
      </c>
      <c r="G63" s="431" t="s">
        <v>546</v>
      </c>
      <c r="H63" s="431" t="s">
        <v>547</v>
      </c>
      <c r="I63" s="401">
        <v>2211.8000000000002</v>
      </c>
      <c r="J63" s="401">
        <v>1</v>
      </c>
      <c r="K63" s="411">
        <v>2211.8000000000002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8" width="13.109375" hidden="1" customWidth="1"/>
    <col min="29" max="30" width="13.109375" customWidth="1"/>
    <col min="31" max="33" width="13.109375" hidden="1" customWidth="1"/>
    <col min="34" max="35" width="13.109375" customWidth="1"/>
  </cols>
  <sheetData>
    <row r="1" spans="1:36" ht="18.600000000000001" thickBot="1" x14ac:dyDescent="0.4">
      <c r="A1" s="335" t="s">
        <v>89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</row>
    <row r="2" spans="1:36" ht="15" thickBot="1" x14ac:dyDescent="0.35">
      <c r="A2" s="203" t="s">
        <v>242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</row>
    <row r="3" spans="1:36" x14ac:dyDescent="0.3">
      <c r="A3" s="222" t="s">
        <v>166</v>
      </c>
      <c r="B3" s="336" t="s">
        <v>146</v>
      </c>
      <c r="C3" s="205">
        <v>0</v>
      </c>
      <c r="D3" s="206">
        <v>101</v>
      </c>
      <c r="E3" s="206">
        <v>102</v>
      </c>
      <c r="F3" s="225">
        <v>305</v>
      </c>
      <c r="G3" s="225">
        <v>306</v>
      </c>
      <c r="H3" s="225">
        <v>407</v>
      </c>
      <c r="I3" s="225">
        <v>408</v>
      </c>
      <c r="J3" s="225">
        <v>409</v>
      </c>
      <c r="K3" s="225">
        <v>410</v>
      </c>
      <c r="L3" s="225">
        <v>415</v>
      </c>
      <c r="M3" s="225">
        <v>416</v>
      </c>
      <c r="N3" s="225">
        <v>418</v>
      </c>
      <c r="O3" s="225">
        <v>419</v>
      </c>
      <c r="P3" s="225">
        <v>420</v>
      </c>
      <c r="Q3" s="225">
        <v>421</v>
      </c>
      <c r="R3" s="225">
        <v>522</v>
      </c>
      <c r="S3" s="225">
        <v>523</v>
      </c>
      <c r="T3" s="225">
        <v>524</v>
      </c>
      <c r="U3" s="225">
        <v>525</v>
      </c>
      <c r="V3" s="225">
        <v>526</v>
      </c>
      <c r="W3" s="225">
        <v>527</v>
      </c>
      <c r="X3" s="225">
        <v>528</v>
      </c>
      <c r="Y3" s="225">
        <v>629</v>
      </c>
      <c r="Z3" s="225">
        <v>630</v>
      </c>
      <c r="AA3" s="225">
        <v>636</v>
      </c>
      <c r="AB3" s="225">
        <v>637</v>
      </c>
      <c r="AC3" s="225">
        <v>640</v>
      </c>
      <c r="AD3" s="225">
        <v>642</v>
      </c>
      <c r="AE3" s="225">
        <v>743</v>
      </c>
      <c r="AF3" s="206">
        <v>745</v>
      </c>
      <c r="AG3" s="206">
        <v>746</v>
      </c>
      <c r="AH3" s="206">
        <v>930</v>
      </c>
      <c r="AI3" s="442">
        <v>940</v>
      </c>
      <c r="AJ3" s="459"/>
    </row>
    <row r="4" spans="1:36" ht="36.6" outlineLevel="1" thickBot="1" x14ac:dyDescent="0.35">
      <c r="A4" s="223">
        <v>2015</v>
      </c>
      <c r="B4" s="337"/>
      <c r="C4" s="207" t="s">
        <v>147</v>
      </c>
      <c r="D4" s="208" t="s">
        <v>148</v>
      </c>
      <c r="E4" s="208" t="s">
        <v>149</v>
      </c>
      <c r="F4" s="226" t="s">
        <v>178</v>
      </c>
      <c r="G4" s="226" t="s">
        <v>179</v>
      </c>
      <c r="H4" s="226" t="s">
        <v>241</v>
      </c>
      <c r="I4" s="226" t="s">
        <v>180</v>
      </c>
      <c r="J4" s="226" t="s">
        <v>181</v>
      </c>
      <c r="K4" s="226" t="s">
        <v>182</v>
      </c>
      <c r="L4" s="226" t="s">
        <v>183</v>
      </c>
      <c r="M4" s="226" t="s">
        <v>184</v>
      </c>
      <c r="N4" s="226" t="s">
        <v>185</v>
      </c>
      <c r="O4" s="226" t="s">
        <v>186</v>
      </c>
      <c r="P4" s="226" t="s">
        <v>187</v>
      </c>
      <c r="Q4" s="226" t="s">
        <v>188</v>
      </c>
      <c r="R4" s="226" t="s">
        <v>189</v>
      </c>
      <c r="S4" s="226" t="s">
        <v>190</v>
      </c>
      <c r="T4" s="226" t="s">
        <v>191</v>
      </c>
      <c r="U4" s="226" t="s">
        <v>192</v>
      </c>
      <c r="V4" s="226" t="s">
        <v>193</v>
      </c>
      <c r="W4" s="226" t="s">
        <v>194</v>
      </c>
      <c r="X4" s="226" t="s">
        <v>203</v>
      </c>
      <c r="Y4" s="226" t="s">
        <v>195</v>
      </c>
      <c r="Z4" s="226" t="s">
        <v>204</v>
      </c>
      <c r="AA4" s="226" t="s">
        <v>196</v>
      </c>
      <c r="AB4" s="226" t="s">
        <v>197</v>
      </c>
      <c r="AC4" s="226" t="s">
        <v>198</v>
      </c>
      <c r="AD4" s="226" t="s">
        <v>199</v>
      </c>
      <c r="AE4" s="226" t="s">
        <v>200</v>
      </c>
      <c r="AF4" s="208" t="s">
        <v>201</v>
      </c>
      <c r="AG4" s="208" t="s">
        <v>202</v>
      </c>
      <c r="AH4" s="208" t="s">
        <v>168</v>
      </c>
      <c r="AI4" s="443" t="s">
        <v>150</v>
      </c>
      <c r="AJ4" s="459"/>
    </row>
    <row r="5" spans="1:36" x14ac:dyDescent="0.3">
      <c r="A5" s="209" t="s">
        <v>151</v>
      </c>
      <c r="B5" s="245"/>
      <c r="C5" s="246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444"/>
      <c r="AJ5" s="459"/>
    </row>
    <row r="6" spans="1:36" ht="15" collapsed="1" thickBot="1" x14ac:dyDescent="0.35">
      <c r="A6" s="210" t="s">
        <v>55</v>
      </c>
      <c r="B6" s="248">
        <f xml:space="preserve">
TRUNC(IF($A$4&lt;=12,SUMIFS('ON Data'!F:F,'ON Data'!$D:$D,$A$4,'ON Data'!$E:$E,1),SUMIFS('ON Data'!F:F,'ON Data'!$E:$E,1)/'ON Data'!$D$3),1)</f>
        <v>26.8</v>
      </c>
      <c r="C6" s="249">
        <f xml:space="preserve">
TRUNC(IF($A$4&lt;=12,SUMIFS('ON Data'!G:G,'ON Data'!$D:$D,$A$4,'ON Data'!$E:$E,1),SUMIFS('ON Data'!G:G,'ON Data'!$E:$E,1)/'ON Data'!$D$3),1)</f>
        <v>0</v>
      </c>
      <c r="D6" s="250">
        <f xml:space="preserve">
TRUNC(IF($A$4&lt;=12,SUMIFS('ON Data'!H:H,'ON Data'!$D:$D,$A$4,'ON Data'!$E:$E,1),SUMIFS('ON Data'!H:H,'ON Data'!$E:$E,1)/'ON Data'!$D$3),1)</f>
        <v>5.8</v>
      </c>
      <c r="E6" s="250">
        <f xml:space="preserve">
TRUNC(IF($A$4&lt;=12,SUMIFS('ON Data'!I:I,'ON Data'!$D:$D,$A$4,'ON Data'!$E:$E,1),SUMIFS('ON Data'!I:I,'ON Data'!$E:$E,1)/'ON Data'!$D$3),1)</f>
        <v>0</v>
      </c>
      <c r="F6" s="250">
        <f xml:space="preserve">
TRUNC(IF($A$4&lt;=12,SUMIFS('ON Data'!K:K,'ON Data'!$D:$D,$A$4,'ON Data'!$E:$E,1),SUMIFS('ON Data'!K:K,'ON Data'!$E:$E,1)/'ON Data'!$D$3),1)</f>
        <v>0</v>
      </c>
      <c r="G6" s="250">
        <f xml:space="preserve">
TRUNC(IF($A$4&lt;=12,SUMIFS('ON Data'!L:L,'ON Data'!$D:$D,$A$4,'ON Data'!$E:$E,1),SUMIFS('ON Data'!L:L,'ON Data'!$E:$E,1)/'ON Data'!$D$3),1)</f>
        <v>0</v>
      </c>
      <c r="H6" s="250">
        <f xml:space="preserve">
TRUNC(IF($A$4&lt;=12,SUMIFS('ON Data'!M:M,'ON Data'!$D:$D,$A$4,'ON Data'!$E:$E,1),SUMIFS('ON Data'!M:M,'ON Data'!$E:$E,1)/'ON Data'!$D$3),1)</f>
        <v>0</v>
      </c>
      <c r="I6" s="250">
        <f xml:space="preserve">
TRUNC(IF($A$4&lt;=12,SUMIFS('ON Data'!N:N,'ON Data'!$D:$D,$A$4,'ON Data'!$E:$E,1),SUMIFS('ON Data'!N:N,'ON Data'!$E:$E,1)/'ON Data'!$D$3),1)</f>
        <v>0</v>
      </c>
      <c r="J6" s="250">
        <f xml:space="preserve">
TRUNC(IF($A$4&lt;=12,SUMIFS('ON Data'!O:O,'ON Data'!$D:$D,$A$4,'ON Data'!$E:$E,1),SUMIFS('ON Data'!O:O,'ON Data'!$E:$E,1)/'ON Data'!$D$3),1)</f>
        <v>9</v>
      </c>
      <c r="K6" s="250">
        <f xml:space="preserve">
TRUNC(IF($A$4&lt;=12,SUMIFS('ON Data'!P:P,'ON Data'!$D:$D,$A$4,'ON Data'!$E:$E,1),SUMIFS('ON Data'!P:P,'ON Data'!$E:$E,1)/'ON Data'!$D$3),1)</f>
        <v>0</v>
      </c>
      <c r="L6" s="250">
        <f xml:space="preserve">
TRUNC(IF($A$4&lt;=12,SUMIFS('ON Data'!Q:Q,'ON Data'!$D:$D,$A$4,'ON Data'!$E:$E,1),SUMIFS('ON Data'!Q:Q,'ON Data'!$E:$E,1)/'ON Data'!$D$3),1)</f>
        <v>0</v>
      </c>
      <c r="M6" s="250">
        <f xml:space="preserve">
TRUNC(IF($A$4&lt;=12,SUMIFS('ON Data'!R:R,'ON Data'!$D:$D,$A$4,'ON Data'!$E:$E,1),SUMIFS('ON Data'!R:R,'ON Data'!$E:$E,1)/'ON Data'!$D$3),1)</f>
        <v>0</v>
      </c>
      <c r="N6" s="250">
        <f xml:space="preserve">
TRUNC(IF($A$4&lt;=12,SUMIFS('ON Data'!S:S,'ON Data'!$D:$D,$A$4,'ON Data'!$E:$E,1),SUMIFS('ON Data'!S:S,'ON Data'!$E:$E,1)/'ON Data'!$D$3),1)</f>
        <v>0</v>
      </c>
      <c r="O6" s="250">
        <f xml:space="preserve">
TRUNC(IF($A$4&lt;=12,SUMIFS('ON Data'!T:T,'ON Data'!$D:$D,$A$4,'ON Data'!$E:$E,1),SUMIFS('ON Data'!T:T,'ON Data'!$E:$E,1)/'ON Data'!$D$3),1)</f>
        <v>0</v>
      </c>
      <c r="P6" s="250">
        <f xml:space="preserve">
TRUNC(IF($A$4&lt;=12,SUMIFS('ON Data'!U:U,'ON Data'!$D:$D,$A$4,'ON Data'!$E:$E,1),SUMIFS('ON Data'!U:U,'ON Data'!$E:$E,1)/'ON Data'!$D$3),1)</f>
        <v>0</v>
      </c>
      <c r="Q6" s="250">
        <f xml:space="preserve">
TRUNC(IF($A$4&lt;=12,SUMIFS('ON Data'!V:V,'ON Data'!$D:$D,$A$4,'ON Data'!$E:$E,1),SUMIFS('ON Data'!V:V,'ON Data'!$E:$E,1)/'ON Data'!$D$3),1)</f>
        <v>0</v>
      </c>
      <c r="R6" s="250">
        <f xml:space="preserve">
TRUNC(IF($A$4&lt;=12,SUMIFS('ON Data'!W:W,'ON Data'!$D:$D,$A$4,'ON Data'!$E:$E,1),SUMIFS('ON Data'!W:W,'ON Data'!$E:$E,1)/'ON Data'!$D$3),1)</f>
        <v>0</v>
      </c>
      <c r="S6" s="250">
        <f xml:space="preserve">
TRUNC(IF($A$4&lt;=12,SUMIFS('ON Data'!X:X,'ON Data'!$D:$D,$A$4,'ON Data'!$E:$E,1),SUMIFS('ON Data'!X:X,'ON Data'!$E:$E,1)/'ON Data'!$D$3),1)</f>
        <v>0</v>
      </c>
      <c r="T6" s="250">
        <f xml:space="preserve">
TRUNC(IF($A$4&lt;=12,SUMIFS('ON Data'!Y:Y,'ON Data'!$D:$D,$A$4,'ON Data'!$E:$E,1),SUMIFS('ON Data'!Y:Y,'ON Data'!$E:$E,1)/'ON Data'!$D$3),1)</f>
        <v>0</v>
      </c>
      <c r="U6" s="250">
        <f xml:space="preserve">
TRUNC(IF($A$4&lt;=12,SUMIFS('ON Data'!Z:Z,'ON Data'!$D:$D,$A$4,'ON Data'!$E:$E,1),SUMIFS('ON Data'!Z:Z,'ON Data'!$E:$E,1)/'ON Data'!$D$3),1)</f>
        <v>0</v>
      </c>
      <c r="V6" s="250">
        <f xml:space="preserve">
TRUNC(IF($A$4&lt;=12,SUMIFS('ON Data'!AA:AA,'ON Data'!$D:$D,$A$4,'ON Data'!$E:$E,1),SUMIFS('ON Data'!AA:AA,'ON Data'!$E:$E,1)/'ON Data'!$D$3),1)</f>
        <v>4</v>
      </c>
      <c r="W6" s="250">
        <f xml:space="preserve">
TRUNC(IF($A$4&lt;=12,SUMIFS('ON Data'!AB:AB,'ON Data'!$D:$D,$A$4,'ON Data'!$E:$E,1),SUMIFS('ON Data'!AB:AB,'ON Data'!$E:$E,1)/'ON Data'!$D$3),1)</f>
        <v>0</v>
      </c>
      <c r="X6" s="250">
        <f xml:space="preserve">
TRUNC(IF($A$4&lt;=12,SUMIFS('ON Data'!AC:AC,'ON Data'!$D:$D,$A$4,'ON Data'!$E:$E,1),SUMIFS('ON Data'!AC:AC,'ON Data'!$E:$E,1)/'ON Data'!$D$3),1)</f>
        <v>0</v>
      </c>
      <c r="Y6" s="250">
        <f xml:space="preserve">
TRUNC(IF($A$4&lt;=12,SUMIFS('ON Data'!AD:AD,'ON Data'!$D:$D,$A$4,'ON Data'!$E:$E,1),SUMIFS('ON Data'!AD:AD,'ON Data'!$E:$E,1)/'ON Data'!$D$3),1)</f>
        <v>0</v>
      </c>
      <c r="Z6" s="250">
        <f xml:space="preserve">
TRUNC(IF($A$4&lt;=12,SUMIFS('ON Data'!AE:AE,'ON Data'!$D:$D,$A$4,'ON Data'!$E:$E,1),SUMIFS('ON Data'!AE:AE,'ON Data'!$E:$E,1)/'ON Data'!$D$3),1)</f>
        <v>0</v>
      </c>
      <c r="AA6" s="250">
        <f xml:space="preserve">
TRUNC(IF($A$4&lt;=12,SUMIFS('ON Data'!AF:AF,'ON Data'!$D:$D,$A$4,'ON Data'!$E:$E,1),SUMIFS('ON Data'!AF:AF,'ON Data'!$E:$E,1)/'ON Data'!$D$3),1)</f>
        <v>0</v>
      </c>
      <c r="AB6" s="250">
        <f xml:space="preserve">
TRUNC(IF($A$4&lt;=12,SUMIFS('ON Data'!AG:AG,'ON Data'!$D:$D,$A$4,'ON Data'!$E:$E,1),SUMIFS('ON Data'!AG:AG,'ON Data'!$E:$E,1)/'ON Data'!$D$3),1)</f>
        <v>0</v>
      </c>
      <c r="AC6" s="250">
        <f xml:space="preserve">
TRUNC(IF($A$4&lt;=12,SUMIFS('ON Data'!AH:AH,'ON Data'!$D:$D,$A$4,'ON Data'!$E:$E,1),SUMIFS('ON Data'!AH:AH,'ON Data'!$E:$E,1)/'ON Data'!$D$3),1)</f>
        <v>0</v>
      </c>
      <c r="AD6" s="250">
        <f xml:space="preserve">
TRUNC(IF($A$4&lt;=12,SUMIFS('ON Data'!AI:AI,'ON Data'!$D:$D,$A$4,'ON Data'!$E:$E,1),SUMIFS('ON Data'!AI:AI,'ON Data'!$E:$E,1)/'ON Data'!$D$3),1)</f>
        <v>5</v>
      </c>
      <c r="AE6" s="250">
        <f xml:space="preserve">
TRUNC(IF($A$4&lt;=12,SUMIFS('ON Data'!AJ:AJ,'ON Data'!$D:$D,$A$4,'ON Data'!$E:$E,1),SUMIFS('ON Data'!AJ:AJ,'ON Data'!$E:$E,1)/'ON Data'!$D$3),1)</f>
        <v>0</v>
      </c>
      <c r="AF6" s="250">
        <f xml:space="preserve">
TRUNC(IF($A$4&lt;=12,SUMIFS('ON Data'!AK:AK,'ON Data'!$D:$D,$A$4,'ON Data'!$E:$E,1),SUMIFS('ON Data'!AK:AK,'ON Data'!$E:$E,1)/'ON Data'!$D$3),1)</f>
        <v>0</v>
      </c>
      <c r="AG6" s="250">
        <f xml:space="preserve">
TRUNC(IF($A$4&lt;=12,SUMIFS('ON Data'!AL:AL,'ON Data'!$D:$D,$A$4,'ON Data'!$E:$E,1),SUMIFS('ON Data'!AL:AL,'ON Data'!$E:$E,1)/'ON Data'!$D$3),1)</f>
        <v>0</v>
      </c>
      <c r="AH6" s="250">
        <f xml:space="preserve">
TRUNC(IF($A$4&lt;=12,SUMIFS('ON Data'!AN:AN,'ON Data'!$D:$D,$A$4,'ON Data'!$E:$E,1),SUMIFS('ON Data'!AN:AN,'ON Data'!$E:$E,1)/'ON Data'!$D$3),1)</f>
        <v>2.5</v>
      </c>
      <c r="AI6" s="445">
        <f xml:space="preserve">
TRUNC(IF($A$4&lt;=12,SUMIFS('ON Data'!AO:AO,'ON Data'!$D:$D,$A$4,'ON Data'!$E:$E,1),SUMIFS('ON Data'!AO:AO,'ON Data'!$E:$E,1)/'ON Data'!$D$3),1)</f>
        <v>0.5</v>
      </c>
      <c r="AJ6" s="459"/>
    </row>
    <row r="7" spans="1:36" ht="15" hidden="1" outlineLevel="1" thickBot="1" x14ac:dyDescent="0.35">
      <c r="A7" s="210" t="s">
        <v>90</v>
      </c>
      <c r="B7" s="248"/>
      <c r="C7" s="251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445"/>
      <c r="AJ7" s="459"/>
    </row>
    <row r="8" spans="1:36" ht="15" hidden="1" outlineLevel="1" thickBot="1" x14ac:dyDescent="0.35">
      <c r="A8" s="210" t="s">
        <v>57</v>
      </c>
      <c r="B8" s="248"/>
      <c r="C8" s="251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445"/>
      <c r="AJ8" s="459"/>
    </row>
    <row r="9" spans="1:36" ht="15" hidden="1" outlineLevel="1" thickBot="1" x14ac:dyDescent="0.35">
      <c r="A9" s="211" t="s">
        <v>50</v>
      </c>
      <c r="B9" s="252"/>
      <c r="C9" s="253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446"/>
      <c r="AJ9" s="459"/>
    </row>
    <row r="10" spans="1:36" x14ac:dyDescent="0.3">
      <c r="A10" s="212" t="s">
        <v>152</v>
      </c>
      <c r="B10" s="227"/>
      <c r="C10" s="228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447"/>
      <c r="AJ10" s="459"/>
    </row>
    <row r="11" spans="1:36" x14ac:dyDescent="0.3">
      <c r="A11" s="213" t="s">
        <v>153</v>
      </c>
      <c r="B11" s="230">
        <f xml:space="preserve">
IF($A$4&lt;=12,SUMIFS('ON Data'!F:F,'ON Data'!$D:$D,$A$4,'ON Data'!$E:$E,2),SUMIFS('ON Data'!F:F,'ON Data'!$E:$E,2))</f>
        <v>12552.8</v>
      </c>
      <c r="C11" s="231">
        <f xml:space="preserve">
IF($A$4&lt;=12,SUMIFS('ON Data'!G:G,'ON Data'!$D:$D,$A$4,'ON Data'!$E:$E,2),SUMIFS('ON Data'!G:G,'ON Data'!$E:$E,2))</f>
        <v>0</v>
      </c>
      <c r="D11" s="232">
        <f xml:space="preserve">
IF($A$4&lt;=12,SUMIFS('ON Data'!H:H,'ON Data'!$D:$D,$A$4,'ON Data'!$E:$E,2),SUMIFS('ON Data'!H:H,'ON Data'!$E:$E,2))</f>
        <v>2864</v>
      </c>
      <c r="E11" s="232">
        <f xml:space="preserve">
IF($A$4&lt;=12,SUMIFS('ON Data'!I:I,'ON Data'!$D:$D,$A$4,'ON Data'!$E:$E,2),SUMIFS('ON Data'!I:I,'ON Data'!$E:$E,2))</f>
        <v>0</v>
      </c>
      <c r="F11" s="232">
        <f xml:space="preserve">
IF($A$4&lt;=12,SUMIFS('ON Data'!K:K,'ON Data'!$D:$D,$A$4,'ON Data'!$E:$E,2),SUMIFS('ON Data'!K:K,'ON Data'!$E:$E,2))</f>
        <v>0</v>
      </c>
      <c r="G11" s="232">
        <f xml:space="preserve">
IF($A$4&lt;=12,SUMIFS('ON Data'!L:L,'ON Data'!$D:$D,$A$4,'ON Data'!$E:$E,2),SUMIFS('ON Data'!L:L,'ON Data'!$E:$E,2))</f>
        <v>0</v>
      </c>
      <c r="H11" s="232">
        <f xml:space="preserve">
IF($A$4&lt;=12,SUMIFS('ON Data'!M:M,'ON Data'!$D:$D,$A$4,'ON Data'!$E:$E,2),SUMIFS('ON Data'!M:M,'ON Data'!$E:$E,2))</f>
        <v>0</v>
      </c>
      <c r="I11" s="232">
        <f xml:space="preserve">
IF($A$4&lt;=12,SUMIFS('ON Data'!N:N,'ON Data'!$D:$D,$A$4,'ON Data'!$E:$E,2),SUMIFS('ON Data'!N:N,'ON Data'!$E:$E,2))</f>
        <v>0</v>
      </c>
      <c r="J11" s="232">
        <f xml:space="preserve">
IF($A$4&lt;=12,SUMIFS('ON Data'!O:O,'ON Data'!$D:$D,$A$4,'ON Data'!$E:$E,2),SUMIFS('ON Data'!O:O,'ON Data'!$E:$E,2))</f>
        <v>4072</v>
      </c>
      <c r="K11" s="232">
        <f xml:space="preserve">
IF($A$4&lt;=12,SUMIFS('ON Data'!P:P,'ON Data'!$D:$D,$A$4,'ON Data'!$E:$E,2),SUMIFS('ON Data'!P:P,'ON Data'!$E:$E,2))</f>
        <v>0</v>
      </c>
      <c r="L11" s="232">
        <f xml:space="preserve">
IF($A$4&lt;=12,SUMIFS('ON Data'!Q:Q,'ON Data'!$D:$D,$A$4,'ON Data'!$E:$E,2),SUMIFS('ON Data'!Q:Q,'ON Data'!$E:$E,2))</f>
        <v>0</v>
      </c>
      <c r="M11" s="232">
        <f xml:space="preserve">
IF($A$4&lt;=12,SUMIFS('ON Data'!R:R,'ON Data'!$D:$D,$A$4,'ON Data'!$E:$E,2),SUMIFS('ON Data'!R:R,'ON Data'!$E:$E,2))</f>
        <v>0</v>
      </c>
      <c r="N11" s="232">
        <f xml:space="preserve">
IF($A$4&lt;=12,SUMIFS('ON Data'!S:S,'ON Data'!$D:$D,$A$4,'ON Data'!$E:$E,2),SUMIFS('ON Data'!S:S,'ON Data'!$E:$E,2))</f>
        <v>0</v>
      </c>
      <c r="O11" s="232">
        <f xml:space="preserve">
IF($A$4&lt;=12,SUMIFS('ON Data'!T:T,'ON Data'!$D:$D,$A$4,'ON Data'!$E:$E,2),SUMIFS('ON Data'!T:T,'ON Data'!$E:$E,2))</f>
        <v>0</v>
      </c>
      <c r="P11" s="232">
        <f xml:space="preserve">
IF($A$4&lt;=12,SUMIFS('ON Data'!U:U,'ON Data'!$D:$D,$A$4,'ON Data'!$E:$E,2),SUMIFS('ON Data'!U:U,'ON Data'!$E:$E,2))</f>
        <v>0</v>
      </c>
      <c r="Q11" s="232">
        <f xml:space="preserve">
IF($A$4&lt;=12,SUMIFS('ON Data'!V:V,'ON Data'!$D:$D,$A$4,'ON Data'!$E:$E,2),SUMIFS('ON Data'!V:V,'ON Data'!$E:$E,2))</f>
        <v>0</v>
      </c>
      <c r="R11" s="232">
        <f xml:space="preserve">
IF($A$4&lt;=12,SUMIFS('ON Data'!W:W,'ON Data'!$D:$D,$A$4,'ON Data'!$E:$E,2),SUMIFS('ON Data'!W:W,'ON Data'!$E:$E,2))</f>
        <v>0</v>
      </c>
      <c r="S11" s="232">
        <f xml:space="preserve">
IF($A$4&lt;=12,SUMIFS('ON Data'!X:X,'ON Data'!$D:$D,$A$4,'ON Data'!$E:$E,2),SUMIFS('ON Data'!X:X,'ON Data'!$E:$E,2))</f>
        <v>0</v>
      </c>
      <c r="T11" s="232">
        <f xml:space="preserve">
IF($A$4&lt;=12,SUMIFS('ON Data'!Y:Y,'ON Data'!$D:$D,$A$4,'ON Data'!$E:$E,2),SUMIFS('ON Data'!Y:Y,'ON Data'!$E:$E,2))</f>
        <v>0</v>
      </c>
      <c r="U11" s="232">
        <f xml:space="preserve">
IF($A$4&lt;=12,SUMIFS('ON Data'!Z:Z,'ON Data'!$D:$D,$A$4,'ON Data'!$E:$E,2),SUMIFS('ON Data'!Z:Z,'ON Data'!$E:$E,2))</f>
        <v>0</v>
      </c>
      <c r="V11" s="232">
        <f xml:space="preserve">
IF($A$4&lt;=12,SUMIFS('ON Data'!AA:AA,'ON Data'!$D:$D,$A$4,'ON Data'!$E:$E,2),SUMIFS('ON Data'!AA:AA,'ON Data'!$E:$E,2))</f>
        <v>1780.8000000000002</v>
      </c>
      <c r="W11" s="232">
        <f xml:space="preserve">
IF($A$4&lt;=12,SUMIFS('ON Data'!AB:AB,'ON Data'!$D:$D,$A$4,'ON Data'!$E:$E,2),SUMIFS('ON Data'!AB:AB,'ON Data'!$E:$E,2))</f>
        <v>0</v>
      </c>
      <c r="X11" s="232">
        <f xml:space="preserve">
IF($A$4&lt;=12,SUMIFS('ON Data'!AC:AC,'ON Data'!$D:$D,$A$4,'ON Data'!$E:$E,2),SUMIFS('ON Data'!AC:AC,'ON Data'!$E:$E,2))</f>
        <v>0</v>
      </c>
      <c r="Y11" s="232">
        <f xml:space="preserve">
IF($A$4&lt;=12,SUMIFS('ON Data'!AD:AD,'ON Data'!$D:$D,$A$4,'ON Data'!$E:$E,2),SUMIFS('ON Data'!AD:AD,'ON Data'!$E:$E,2))</f>
        <v>0</v>
      </c>
      <c r="Z11" s="232">
        <f xml:space="preserve">
IF($A$4&lt;=12,SUMIFS('ON Data'!AE:AE,'ON Data'!$D:$D,$A$4,'ON Data'!$E:$E,2),SUMIFS('ON Data'!AE:AE,'ON Data'!$E:$E,2))</f>
        <v>0</v>
      </c>
      <c r="AA11" s="232">
        <f xml:space="preserve">
IF($A$4&lt;=12,SUMIFS('ON Data'!AF:AF,'ON Data'!$D:$D,$A$4,'ON Data'!$E:$E,2),SUMIFS('ON Data'!AF:AF,'ON Data'!$E:$E,2))</f>
        <v>0</v>
      </c>
      <c r="AB11" s="232">
        <f xml:space="preserve">
IF($A$4&lt;=12,SUMIFS('ON Data'!AG:AG,'ON Data'!$D:$D,$A$4,'ON Data'!$E:$E,2),SUMIFS('ON Data'!AG:AG,'ON Data'!$E:$E,2))</f>
        <v>0</v>
      </c>
      <c r="AC11" s="232">
        <f xml:space="preserve">
IF($A$4&lt;=12,SUMIFS('ON Data'!AH:AH,'ON Data'!$D:$D,$A$4,'ON Data'!$E:$E,2),SUMIFS('ON Data'!AH:AH,'ON Data'!$E:$E,2))</f>
        <v>0</v>
      </c>
      <c r="AD11" s="232">
        <f xml:space="preserve">
IF($A$4&lt;=12,SUMIFS('ON Data'!AI:AI,'ON Data'!$D:$D,$A$4,'ON Data'!$E:$E,2),SUMIFS('ON Data'!AI:AI,'ON Data'!$E:$E,2))</f>
        <v>2428</v>
      </c>
      <c r="AE11" s="232">
        <f xml:space="preserve">
IF($A$4&lt;=12,SUMIFS('ON Data'!AJ:AJ,'ON Data'!$D:$D,$A$4,'ON Data'!$E:$E,2),SUMIFS('ON Data'!AJ:AJ,'ON Data'!$E:$E,2))</f>
        <v>0</v>
      </c>
      <c r="AF11" s="232">
        <f xml:space="preserve">
IF($A$4&lt;=12,SUMIFS('ON Data'!AK:AK,'ON Data'!$D:$D,$A$4,'ON Data'!$E:$E,2),SUMIFS('ON Data'!AK:AK,'ON Data'!$E:$E,2))</f>
        <v>0</v>
      </c>
      <c r="AG11" s="232">
        <f xml:space="preserve">
IF($A$4&lt;=12,SUMIFS('ON Data'!AL:AL,'ON Data'!$D:$D,$A$4,'ON Data'!$E:$E,2),SUMIFS('ON Data'!AL:AL,'ON Data'!$E:$E,2))</f>
        <v>0</v>
      </c>
      <c r="AH11" s="232">
        <f xml:space="preserve">
IF($A$4&lt;=12,SUMIFS('ON Data'!AN:AN,'ON Data'!$D:$D,$A$4,'ON Data'!$E:$E,2),SUMIFS('ON Data'!AN:AN,'ON Data'!$E:$E,2))</f>
        <v>1192</v>
      </c>
      <c r="AI11" s="448">
        <f xml:space="preserve">
IF($A$4&lt;=12,SUMIFS('ON Data'!AO:AO,'ON Data'!$D:$D,$A$4,'ON Data'!$E:$E,2),SUMIFS('ON Data'!AO:AO,'ON Data'!$E:$E,2))</f>
        <v>216</v>
      </c>
      <c r="AJ11" s="459"/>
    </row>
    <row r="12" spans="1:36" x14ac:dyDescent="0.3">
      <c r="A12" s="213" t="s">
        <v>154</v>
      </c>
      <c r="B12" s="230">
        <f xml:space="preserve">
IF($A$4&lt;=12,SUMIFS('ON Data'!F:F,'ON Data'!$D:$D,$A$4,'ON Data'!$E:$E,3),SUMIFS('ON Data'!F:F,'ON Data'!$E:$E,3))</f>
        <v>107.19999999999999</v>
      </c>
      <c r="C12" s="231">
        <f xml:space="preserve">
IF($A$4&lt;=12,SUMIFS('ON Data'!G:G,'ON Data'!$D:$D,$A$4,'ON Data'!$E:$E,3),SUMIFS('ON Data'!G:G,'ON Data'!$E:$E,3))</f>
        <v>0</v>
      </c>
      <c r="D12" s="232">
        <f xml:space="preserve">
IF($A$4&lt;=12,SUMIFS('ON Data'!H:H,'ON Data'!$D:$D,$A$4,'ON Data'!$E:$E,3),SUMIFS('ON Data'!H:H,'ON Data'!$E:$E,3))</f>
        <v>0</v>
      </c>
      <c r="E12" s="232">
        <f xml:space="preserve">
IF($A$4&lt;=12,SUMIFS('ON Data'!I:I,'ON Data'!$D:$D,$A$4,'ON Data'!$E:$E,3),SUMIFS('ON Data'!I:I,'ON Data'!$E:$E,3))</f>
        <v>0</v>
      </c>
      <c r="F12" s="232">
        <f xml:space="preserve">
IF($A$4&lt;=12,SUMIFS('ON Data'!K:K,'ON Data'!$D:$D,$A$4,'ON Data'!$E:$E,3),SUMIFS('ON Data'!K:K,'ON Data'!$E:$E,3))</f>
        <v>0</v>
      </c>
      <c r="G12" s="232">
        <f xml:space="preserve">
IF($A$4&lt;=12,SUMIFS('ON Data'!L:L,'ON Data'!$D:$D,$A$4,'ON Data'!$E:$E,3),SUMIFS('ON Data'!L:L,'ON Data'!$E:$E,3))</f>
        <v>0</v>
      </c>
      <c r="H12" s="232">
        <f xml:space="preserve">
IF($A$4&lt;=12,SUMIFS('ON Data'!M:M,'ON Data'!$D:$D,$A$4,'ON Data'!$E:$E,3),SUMIFS('ON Data'!M:M,'ON Data'!$E:$E,3))</f>
        <v>0</v>
      </c>
      <c r="I12" s="232">
        <f xml:space="preserve">
IF($A$4&lt;=12,SUMIFS('ON Data'!N:N,'ON Data'!$D:$D,$A$4,'ON Data'!$E:$E,3),SUMIFS('ON Data'!N:N,'ON Data'!$E:$E,3))</f>
        <v>0</v>
      </c>
      <c r="J12" s="232">
        <f xml:space="preserve">
IF($A$4&lt;=12,SUMIFS('ON Data'!O:O,'ON Data'!$D:$D,$A$4,'ON Data'!$E:$E,3),SUMIFS('ON Data'!O:O,'ON Data'!$E:$E,3))</f>
        <v>0</v>
      </c>
      <c r="K12" s="232">
        <f xml:space="preserve">
IF($A$4&lt;=12,SUMIFS('ON Data'!P:P,'ON Data'!$D:$D,$A$4,'ON Data'!$E:$E,3),SUMIFS('ON Data'!P:P,'ON Data'!$E:$E,3))</f>
        <v>0</v>
      </c>
      <c r="L12" s="232">
        <f xml:space="preserve">
IF($A$4&lt;=12,SUMIFS('ON Data'!Q:Q,'ON Data'!$D:$D,$A$4,'ON Data'!$E:$E,3),SUMIFS('ON Data'!Q:Q,'ON Data'!$E:$E,3))</f>
        <v>0</v>
      </c>
      <c r="M12" s="232">
        <f xml:space="preserve">
IF($A$4&lt;=12,SUMIFS('ON Data'!R:R,'ON Data'!$D:$D,$A$4,'ON Data'!$E:$E,3),SUMIFS('ON Data'!R:R,'ON Data'!$E:$E,3))</f>
        <v>0</v>
      </c>
      <c r="N12" s="232">
        <f xml:space="preserve">
IF($A$4&lt;=12,SUMIFS('ON Data'!S:S,'ON Data'!$D:$D,$A$4,'ON Data'!$E:$E,3),SUMIFS('ON Data'!S:S,'ON Data'!$E:$E,3))</f>
        <v>0</v>
      </c>
      <c r="O12" s="232">
        <f xml:space="preserve">
IF($A$4&lt;=12,SUMIFS('ON Data'!T:T,'ON Data'!$D:$D,$A$4,'ON Data'!$E:$E,3),SUMIFS('ON Data'!T:T,'ON Data'!$E:$E,3))</f>
        <v>0</v>
      </c>
      <c r="P12" s="232">
        <f xml:space="preserve">
IF($A$4&lt;=12,SUMIFS('ON Data'!U:U,'ON Data'!$D:$D,$A$4,'ON Data'!$E:$E,3),SUMIFS('ON Data'!U:U,'ON Data'!$E:$E,3))</f>
        <v>0</v>
      </c>
      <c r="Q12" s="232">
        <f xml:space="preserve">
IF($A$4&lt;=12,SUMIFS('ON Data'!V:V,'ON Data'!$D:$D,$A$4,'ON Data'!$E:$E,3),SUMIFS('ON Data'!V:V,'ON Data'!$E:$E,3))</f>
        <v>0</v>
      </c>
      <c r="R12" s="232">
        <f xml:space="preserve">
IF($A$4&lt;=12,SUMIFS('ON Data'!W:W,'ON Data'!$D:$D,$A$4,'ON Data'!$E:$E,3),SUMIFS('ON Data'!W:W,'ON Data'!$E:$E,3))</f>
        <v>0</v>
      </c>
      <c r="S12" s="232">
        <f xml:space="preserve">
IF($A$4&lt;=12,SUMIFS('ON Data'!X:X,'ON Data'!$D:$D,$A$4,'ON Data'!$E:$E,3),SUMIFS('ON Data'!X:X,'ON Data'!$E:$E,3))</f>
        <v>0</v>
      </c>
      <c r="T12" s="232">
        <f xml:space="preserve">
IF($A$4&lt;=12,SUMIFS('ON Data'!Y:Y,'ON Data'!$D:$D,$A$4,'ON Data'!$E:$E,3),SUMIFS('ON Data'!Y:Y,'ON Data'!$E:$E,3))</f>
        <v>0</v>
      </c>
      <c r="U12" s="232">
        <f xml:space="preserve">
IF($A$4&lt;=12,SUMIFS('ON Data'!Z:Z,'ON Data'!$D:$D,$A$4,'ON Data'!$E:$E,3),SUMIFS('ON Data'!Z:Z,'ON Data'!$E:$E,3))</f>
        <v>0</v>
      </c>
      <c r="V12" s="232">
        <f xml:space="preserve">
IF($A$4&lt;=12,SUMIFS('ON Data'!AA:AA,'ON Data'!$D:$D,$A$4,'ON Data'!$E:$E,3),SUMIFS('ON Data'!AA:AA,'ON Data'!$E:$E,3))</f>
        <v>107.19999999999999</v>
      </c>
      <c r="W12" s="232">
        <f xml:space="preserve">
IF($A$4&lt;=12,SUMIFS('ON Data'!AB:AB,'ON Data'!$D:$D,$A$4,'ON Data'!$E:$E,3),SUMIFS('ON Data'!AB:AB,'ON Data'!$E:$E,3))</f>
        <v>0</v>
      </c>
      <c r="X12" s="232">
        <f xml:space="preserve">
IF($A$4&lt;=12,SUMIFS('ON Data'!AC:AC,'ON Data'!$D:$D,$A$4,'ON Data'!$E:$E,3),SUMIFS('ON Data'!AC:AC,'ON Data'!$E:$E,3))</f>
        <v>0</v>
      </c>
      <c r="Y12" s="232">
        <f xml:space="preserve">
IF($A$4&lt;=12,SUMIFS('ON Data'!AD:AD,'ON Data'!$D:$D,$A$4,'ON Data'!$E:$E,3),SUMIFS('ON Data'!AD:AD,'ON Data'!$E:$E,3))</f>
        <v>0</v>
      </c>
      <c r="Z12" s="232">
        <f xml:space="preserve">
IF($A$4&lt;=12,SUMIFS('ON Data'!AE:AE,'ON Data'!$D:$D,$A$4,'ON Data'!$E:$E,3),SUMIFS('ON Data'!AE:AE,'ON Data'!$E:$E,3))</f>
        <v>0</v>
      </c>
      <c r="AA12" s="232">
        <f xml:space="preserve">
IF($A$4&lt;=12,SUMIFS('ON Data'!AF:AF,'ON Data'!$D:$D,$A$4,'ON Data'!$E:$E,3),SUMIFS('ON Data'!AF:AF,'ON Data'!$E:$E,3))</f>
        <v>0</v>
      </c>
      <c r="AB12" s="232">
        <f xml:space="preserve">
IF($A$4&lt;=12,SUMIFS('ON Data'!AG:AG,'ON Data'!$D:$D,$A$4,'ON Data'!$E:$E,3),SUMIFS('ON Data'!AG:AG,'ON Data'!$E:$E,3))</f>
        <v>0</v>
      </c>
      <c r="AC12" s="232">
        <f xml:space="preserve">
IF($A$4&lt;=12,SUMIFS('ON Data'!AH:AH,'ON Data'!$D:$D,$A$4,'ON Data'!$E:$E,3),SUMIFS('ON Data'!AH:AH,'ON Data'!$E:$E,3))</f>
        <v>0</v>
      </c>
      <c r="AD12" s="232">
        <f xml:space="preserve">
IF($A$4&lt;=12,SUMIFS('ON Data'!AI:AI,'ON Data'!$D:$D,$A$4,'ON Data'!$E:$E,3),SUMIFS('ON Data'!AI:AI,'ON Data'!$E:$E,3))</f>
        <v>0</v>
      </c>
      <c r="AE12" s="232">
        <f xml:space="preserve">
IF($A$4&lt;=12,SUMIFS('ON Data'!AJ:AJ,'ON Data'!$D:$D,$A$4,'ON Data'!$E:$E,3),SUMIFS('ON Data'!AJ:AJ,'ON Data'!$E:$E,3))</f>
        <v>0</v>
      </c>
      <c r="AF12" s="232">
        <f xml:space="preserve">
IF($A$4&lt;=12,SUMIFS('ON Data'!AK:AK,'ON Data'!$D:$D,$A$4,'ON Data'!$E:$E,3),SUMIFS('ON Data'!AK:AK,'ON Data'!$E:$E,3))</f>
        <v>0</v>
      </c>
      <c r="AG12" s="232">
        <f xml:space="preserve">
IF($A$4&lt;=12,SUMIFS('ON Data'!AL:AL,'ON Data'!$D:$D,$A$4,'ON Data'!$E:$E,3),SUMIFS('ON Data'!AL:AL,'ON Data'!$E:$E,3))</f>
        <v>0</v>
      </c>
      <c r="AH12" s="232">
        <f xml:space="preserve">
IF($A$4&lt;=12,SUMIFS('ON Data'!AN:AN,'ON Data'!$D:$D,$A$4,'ON Data'!$E:$E,3),SUMIFS('ON Data'!AN:AN,'ON Data'!$E:$E,3))</f>
        <v>0</v>
      </c>
      <c r="AI12" s="448">
        <f xml:space="preserve">
IF($A$4&lt;=12,SUMIFS('ON Data'!AO:AO,'ON Data'!$D:$D,$A$4,'ON Data'!$E:$E,3),SUMIFS('ON Data'!AO:AO,'ON Data'!$E:$E,3))</f>
        <v>0</v>
      </c>
      <c r="AJ12" s="459"/>
    </row>
    <row r="13" spans="1:36" x14ac:dyDescent="0.3">
      <c r="A13" s="213" t="s">
        <v>161</v>
      </c>
      <c r="B13" s="230">
        <f xml:space="preserve">
IF($A$4&lt;=12,SUMIFS('ON Data'!F:F,'ON Data'!$D:$D,$A$4,'ON Data'!$E:$E,4),SUMIFS('ON Data'!F:F,'ON Data'!$E:$E,4))</f>
        <v>299</v>
      </c>
      <c r="C13" s="231">
        <f xml:space="preserve">
IF($A$4&lt;=12,SUMIFS('ON Data'!G:G,'ON Data'!$D:$D,$A$4,'ON Data'!$E:$E,4),SUMIFS('ON Data'!G:G,'ON Data'!$E:$E,4))</f>
        <v>0</v>
      </c>
      <c r="D13" s="232">
        <f xml:space="preserve">
IF($A$4&lt;=12,SUMIFS('ON Data'!H:H,'ON Data'!$D:$D,$A$4,'ON Data'!$E:$E,4),SUMIFS('ON Data'!H:H,'ON Data'!$E:$E,4))</f>
        <v>0</v>
      </c>
      <c r="E13" s="232">
        <f xml:space="preserve">
IF($A$4&lt;=12,SUMIFS('ON Data'!I:I,'ON Data'!$D:$D,$A$4,'ON Data'!$E:$E,4),SUMIFS('ON Data'!I:I,'ON Data'!$E:$E,4))</f>
        <v>0</v>
      </c>
      <c r="F13" s="232">
        <f xml:space="preserve">
IF($A$4&lt;=12,SUMIFS('ON Data'!K:K,'ON Data'!$D:$D,$A$4,'ON Data'!$E:$E,4),SUMIFS('ON Data'!K:K,'ON Data'!$E:$E,4))</f>
        <v>0</v>
      </c>
      <c r="G13" s="232">
        <f xml:space="preserve">
IF($A$4&lt;=12,SUMIFS('ON Data'!L:L,'ON Data'!$D:$D,$A$4,'ON Data'!$E:$E,4),SUMIFS('ON Data'!L:L,'ON Data'!$E:$E,4))</f>
        <v>0</v>
      </c>
      <c r="H13" s="232">
        <f xml:space="preserve">
IF($A$4&lt;=12,SUMIFS('ON Data'!M:M,'ON Data'!$D:$D,$A$4,'ON Data'!$E:$E,4),SUMIFS('ON Data'!M:M,'ON Data'!$E:$E,4))</f>
        <v>0</v>
      </c>
      <c r="I13" s="232">
        <f xml:space="preserve">
IF($A$4&lt;=12,SUMIFS('ON Data'!N:N,'ON Data'!$D:$D,$A$4,'ON Data'!$E:$E,4),SUMIFS('ON Data'!N:N,'ON Data'!$E:$E,4))</f>
        <v>0</v>
      </c>
      <c r="J13" s="232">
        <f xml:space="preserve">
IF($A$4&lt;=12,SUMIFS('ON Data'!O:O,'ON Data'!$D:$D,$A$4,'ON Data'!$E:$E,4),SUMIFS('ON Data'!O:O,'ON Data'!$E:$E,4))</f>
        <v>0</v>
      </c>
      <c r="K13" s="232">
        <f xml:space="preserve">
IF($A$4&lt;=12,SUMIFS('ON Data'!P:P,'ON Data'!$D:$D,$A$4,'ON Data'!$E:$E,4),SUMIFS('ON Data'!P:P,'ON Data'!$E:$E,4))</f>
        <v>0</v>
      </c>
      <c r="L13" s="232">
        <f xml:space="preserve">
IF($A$4&lt;=12,SUMIFS('ON Data'!Q:Q,'ON Data'!$D:$D,$A$4,'ON Data'!$E:$E,4),SUMIFS('ON Data'!Q:Q,'ON Data'!$E:$E,4))</f>
        <v>0</v>
      </c>
      <c r="M13" s="232">
        <f xml:space="preserve">
IF($A$4&lt;=12,SUMIFS('ON Data'!R:R,'ON Data'!$D:$D,$A$4,'ON Data'!$E:$E,4),SUMIFS('ON Data'!R:R,'ON Data'!$E:$E,4))</f>
        <v>0</v>
      </c>
      <c r="N13" s="232">
        <f xml:space="preserve">
IF($A$4&lt;=12,SUMIFS('ON Data'!S:S,'ON Data'!$D:$D,$A$4,'ON Data'!$E:$E,4),SUMIFS('ON Data'!S:S,'ON Data'!$E:$E,4))</f>
        <v>0</v>
      </c>
      <c r="O13" s="232">
        <f xml:space="preserve">
IF($A$4&lt;=12,SUMIFS('ON Data'!T:T,'ON Data'!$D:$D,$A$4,'ON Data'!$E:$E,4),SUMIFS('ON Data'!T:T,'ON Data'!$E:$E,4))</f>
        <v>0</v>
      </c>
      <c r="P13" s="232">
        <f xml:space="preserve">
IF($A$4&lt;=12,SUMIFS('ON Data'!U:U,'ON Data'!$D:$D,$A$4,'ON Data'!$E:$E,4),SUMIFS('ON Data'!U:U,'ON Data'!$E:$E,4))</f>
        <v>0</v>
      </c>
      <c r="Q13" s="232">
        <f xml:space="preserve">
IF($A$4&lt;=12,SUMIFS('ON Data'!V:V,'ON Data'!$D:$D,$A$4,'ON Data'!$E:$E,4),SUMIFS('ON Data'!V:V,'ON Data'!$E:$E,4))</f>
        <v>0</v>
      </c>
      <c r="R13" s="232">
        <f xml:space="preserve">
IF($A$4&lt;=12,SUMIFS('ON Data'!W:W,'ON Data'!$D:$D,$A$4,'ON Data'!$E:$E,4),SUMIFS('ON Data'!W:W,'ON Data'!$E:$E,4))</f>
        <v>0</v>
      </c>
      <c r="S13" s="232">
        <f xml:space="preserve">
IF($A$4&lt;=12,SUMIFS('ON Data'!X:X,'ON Data'!$D:$D,$A$4,'ON Data'!$E:$E,4),SUMIFS('ON Data'!X:X,'ON Data'!$E:$E,4))</f>
        <v>0</v>
      </c>
      <c r="T13" s="232">
        <f xml:space="preserve">
IF($A$4&lt;=12,SUMIFS('ON Data'!Y:Y,'ON Data'!$D:$D,$A$4,'ON Data'!$E:$E,4),SUMIFS('ON Data'!Y:Y,'ON Data'!$E:$E,4))</f>
        <v>0</v>
      </c>
      <c r="U13" s="232">
        <f xml:space="preserve">
IF($A$4&lt;=12,SUMIFS('ON Data'!Z:Z,'ON Data'!$D:$D,$A$4,'ON Data'!$E:$E,4),SUMIFS('ON Data'!Z:Z,'ON Data'!$E:$E,4))</f>
        <v>0</v>
      </c>
      <c r="V13" s="232">
        <f xml:space="preserve">
IF($A$4&lt;=12,SUMIFS('ON Data'!AA:AA,'ON Data'!$D:$D,$A$4,'ON Data'!$E:$E,4),SUMIFS('ON Data'!AA:AA,'ON Data'!$E:$E,4))</f>
        <v>245</v>
      </c>
      <c r="W13" s="232">
        <f xml:space="preserve">
IF($A$4&lt;=12,SUMIFS('ON Data'!AB:AB,'ON Data'!$D:$D,$A$4,'ON Data'!$E:$E,4),SUMIFS('ON Data'!AB:AB,'ON Data'!$E:$E,4))</f>
        <v>0</v>
      </c>
      <c r="X13" s="232">
        <f xml:space="preserve">
IF($A$4&lt;=12,SUMIFS('ON Data'!AC:AC,'ON Data'!$D:$D,$A$4,'ON Data'!$E:$E,4),SUMIFS('ON Data'!AC:AC,'ON Data'!$E:$E,4))</f>
        <v>0</v>
      </c>
      <c r="Y13" s="232">
        <f xml:space="preserve">
IF($A$4&lt;=12,SUMIFS('ON Data'!AD:AD,'ON Data'!$D:$D,$A$4,'ON Data'!$E:$E,4),SUMIFS('ON Data'!AD:AD,'ON Data'!$E:$E,4))</f>
        <v>0</v>
      </c>
      <c r="Z13" s="232">
        <f xml:space="preserve">
IF($A$4&lt;=12,SUMIFS('ON Data'!AE:AE,'ON Data'!$D:$D,$A$4,'ON Data'!$E:$E,4),SUMIFS('ON Data'!AE:AE,'ON Data'!$E:$E,4))</f>
        <v>0</v>
      </c>
      <c r="AA13" s="232">
        <f xml:space="preserve">
IF($A$4&lt;=12,SUMIFS('ON Data'!AF:AF,'ON Data'!$D:$D,$A$4,'ON Data'!$E:$E,4),SUMIFS('ON Data'!AF:AF,'ON Data'!$E:$E,4))</f>
        <v>0</v>
      </c>
      <c r="AB13" s="232">
        <f xml:space="preserve">
IF($A$4&lt;=12,SUMIFS('ON Data'!AG:AG,'ON Data'!$D:$D,$A$4,'ON Data'!$E:$E,4),SUMIFS('ON Data'!AG:AG,'ON Data'!$E:$E,4))</f>
        <v>0</v>
      </c>
      <c r="AC13" s="232">
        <f xml:space="preserve">
IF($A$4&lt;=12,SUMIFS('ON Data'!AH:AH,'ON Data'!$D:$D,$A$4,'ON Data'!$E:$E,4),SUMIFS('ON Data'!AH:AH,'ON Data'!$E:$E,4))</f>
        <v>9</v>
      </c>
      <c r="AD13" s="232">
        <f xml:space="preserve">
IF($A$4&lt;=12,SUMIFS('ON Data'!AI:AI,'ON Data'!$D:$D,$A$4,'ON Data'!$E:$E,4),SUMIFS('ON Data'!AI:AI,'ON Data'!$E:$E,4))</f>
        <v>45</v>
      </c>
      <c r="AE13" s="232">
        <f xml:space="preserve">
IF($A$4&lt;=12,SUMIFS('ON Data'!AJ:AJ,'ON Data'!$D:$D,$A$4,'ON Data'!$E:$E,4),SUMIFS('ON Data'!AJ:AJ,'ON Data'!$E:$E,4))</f>
        <v>0</v>
      </c>
      <c r="AF13" s="232">
        <f xml:space="preserve">
IF($A$4&lt;=12,SUMIFS('ON Data'!AK:AK,'ON Data'!$D:$D,$A$4,'ON Data'!$E:$E,4),SUMIFS('ON Data'!AK:AK,'ON Data'!$E:$E,4))</f>
        <v>0</v>
      </c>
      <c r="AG13" s="232">
        <f xml:space="preserve">
IF($A$4&lt;=12,SUMIFS('ON Data'!AL:AL,'ON Data'!$D:$D,$A$4,'ON Data'!$E:$E,4),SUMIFS('ON Data'!AL:AL,'ON Data'!$E:$E,4))</f>
        <v>0</v>
      </c>
      <c r="AH13" s="232">
        <f xml:space="preserve">
IF($A$4&lt;=12,SUMIFS('ON Data'!AN:AN,'ON Data'!$D:$D,$A$4,'ON Data'!$E:$E,4),SUMIFS('ON Data'!AN:AN,'ON Data'!$E:$E,4))</f>
        <v>0</v>
      </c>
      <c r="AI13" s="448">
        <f xml:space="preserve">
IF($A$4&lt;=12,SUMIFS('ON Data'!AO:AO,'ON Data'!$D:$D,$A$4,'ON Data'!$E:$E,4),SUMIFS('ON Data'!AO:AO,'ON Data'!$E:$E,4))</f>
        <v>0</v>
      </c>
      <c r="AJ13" s="459"/>
    </row>
    <row r="14" spans="1:36" ht="15" thickBot="1" x14ac:dyDescent="0.35">
      <c r="A14" s="214" t="s">
        <v>155</v>
      </c>
      <c r="B14" s="233">
        <f xml:space="preserve">
IF($A$4&lt;=12,SUMIFS('ON Data'!F:F,'ON Data'!$D:$D,$A$4,'ON Data'!$E:$E,5),SUMIFS('ON Data'!F:F,'ON Data'!$E:$E,5))</f>
        <v>2567</v>
      </c>
      <c r="C14" s="234">
        <f xml:space="preserve">
IF($A$4&lt;=12,SUMIFS('ON Data'!G:G,'ON Data'!$D:$D,$A$4,'ON Data'!$E:$E,5),SUMIFS('ON Data'!G:G,'ON Data'!$E:$E,5))</f>
        <v>2567</v>
      </c>
      <c r="D14" s="235">
        <f xml:space="preserve">
IF($A$4&lt;=12,SUMIFS('ON Data'!H:H,'ON Data'!$D:$D,$A$4,'ON Data'!$E:$E,5),SUMIFS('ON Data'!H:H,'ON Data'!$E:$E,5))</f>
        <v>0</v>
      </c>
      <c r="E14" s="235">
        <f xml:space="preserve">
IF($A$4&lt;=12,SUMIFS('ON Data'!I:I,'ON Data'!$D:$D,$A$4,'ON Data'!$E:$E,5),SUMIFS('ON Data'!I:I,'ON Data'!$E:$E,5))</f>
        <v>0</v>
      </c>
      <c r="F14" s="235">
        <f xml:space="preserve">
IF($A$4&lt;=12,SUMIFS('ON Data'!K:K,'ON Data'!$D:$D,$A$4,'ON Data'!$E:$E,5),SUMIFS('ON Data'!K:K,'ON Data'!$E:$E,5))</f>
        <v>0</v>
      </c>
      <c r="G14" s="235">
        <f xml:space="preserve">
IF($A$4&lt;=12,SUMIFS('ON Data'!L:L,'ON Data'!$D:$D,$A$4,'ON Data'!$E:$E,5),SUMIFS('ON Data'!L:L,'ON Data'!$E:$E,5))</f>
        <v>0</v>
      </c>
      <c r="H14" s="235">
        <f xml:space="preserve">
IF($A$4&lt;=12,SUMIFS('ON Data'!M:M,'ON Data'!$D:$D,$A$4,'ON Data'!$E:$E,5),SUMIFS('ON Data'!M:M,'ON Data'!$E:$E,5))</f>
        <v>0</v>
      </c>
      <c r="I14" s="235">
        <f xml:space="preserve">
IF($A$4&lt;=12,SUMIFS('ON Data'!N:N,'ON Data'!$D:$D,$A$4,'ON Data'!$E:$E,5),SUMIFS('ON Data'!N:N,'ON Data'!$E:$E,5))</f>
        <v>0</v>
      </c>
      <c r="J14" s="235">
        <f xml:space="preserve">
IF($A$4&lt;=12,SUMIFS('ON Data'!O:O,'ON Data'!$D:$D,$A$4,'ON Data'!$E:$E,5),SUMIFS('ON Data'!O:O,'ON Data'!$E:$E,5))</f>
        <v>0</v>
      </c>
      <c r="K14" s="235">
        <f xml:space="preserve">
IF($A$4&lt;=12,SUMIFS('ON Data'!P:P,'ON Data'!$D:$D,$A$4,'ON Data'!$E:$E,5),SUMIFS('ON Data'!P:P,'ON Data'!$E:$E,5))</f>
        <v>0</v>
      </c>
      <c r="L14" s="235">
        <f xml:space="preserve">
IF($A$4&lt;=12,SUMIFS('ON Data'!Q:Q,'ON Data'!$D:$D,$A$4,'ON Data'!$E:$E,5),SUMIFS('ON Data'!Q:Q,'ON Data'!$E:$E,5))</f>
        <v>0</v>
      </c>
      <c r="M14" s="235">
        <f xml:space="preserve">
IF($A$4&lt;=12,SUMIFS('ON Data'!R:R,'ON Data'!$D:$D,$A$4,'ON Data'!$E:$E,5),SUMIFS('ON Data'!R:R,'ON Data'!$E:$E,5))</f>
        <v>0</v>
      </c>
      <c r="N14" s="235">
        <f xml:space="preserve">
IF($A$4&lt;=12,SUMIFS('ON Data'!S:S,'ON Data'!$D:$D,$A$4,'ON Data'!$E:$E,5),SUMIFS('ON Data'!S:S,'ON Data'!$E:$E,5))</f>
        <v>0</v>
      </c>
      <c r="O14" s="235">
        <f xml:space="preserve">
IF($A$4&lt;=12,SUMIFS('ON Data'!T:T,'ON Data'!$D:$D,$A$4,'ON Data'!$E:$E,5),SUMIFS('ON Data'!T:T,'ON Data'!$E:$E,5))</f>
        <v>0</v>
      </c>
      <c r="P14" s="235">
        <f xml:space="preserve">
IF($A$4&lt;=12,SUMIFS('ON Data'!U:U,'ON Data'!$D:$D,$A$4,'ON Data'!$E:$E,5),SUMIFS('ON Data'!U:U,'ON Data'!$E:$E,5))</f>
        <v>0</v>
      </c>
      <c r="Q14" s="235">
        <f xml:space="preserve">
IF($A$4&lt;=12,SUMIFS('ON Data'!V:V,'ON Data'!$D:$D,$A$4,'ON Data'!$E:$E,5),SUMIFS('ON Data'!V:V,'ON Data'!$E:$E,5))</f>
        <v>0</v>
      </c>
      <c r="R14" s="235">
        <f xml:space="preserve">
IF($A$4&lt;=12,SUMIFS('ON Data'!W:W,'ON Data'!$D:$D,$A$4,'ON Data'!$E:$E,5),SUMIFS('ON Data'!W:W,'ON Data'!$E:$E,5))</f>
        <v>0</v>
      </c>
      <c r="S14" s="235">
        <f xml:space="preserve">
IF($A$4&lt;=12,SUMIFS('ON Data'!X:X,'ON Data'!$D:$D,$A$4,'ON Data'!$E:$E,5),SUMIFS('ON Data'!X:X,'ON Data'!$E:$E,5))</f>
        <v>0</v>
      </c>
      <c r="T14" s="235">
        <f xml:space="preserve">
IF($A$4&lt;=12,SUMIFS('ON Data'!Y:Y,'ON Data'!$D:$D,$A$4,'ON Data'!$E:$E,5),SUMIFS('ON Data'!Y:Y,'ON Data'!$E:$E,5))</f>
        <v>0</v>
      </c>
      <c r="U14" s="235">
        <f xml:space="preserve">
IF($A$4&lt;=12,SUMIFS('ON Data'!Z:Z,'ON Data'!$D:$D,$A$4,'ON Data'!$E:$E,5),SUMIFS('ON Data'!Z:Z,'ON Data'!$E:$E,5))</f>
        <v>0</v>
      </c>
      <c r="V14" s="235">
        <f xml:space="preserve">
IF($A$4&lt;=12,SUMIFS('ON Data'!AA:AA,'ON Data'!$D:$D,$A$4,'ON Data'!$E:$E,5),SUMIFS('ON Data'!AA:AA,'ON Data'!$E:$E,5))</f>
        <v>0</v>
      </c>
      <c r="W14" s="235">
        <f xml:space="preserve">
IF($A$4&lt;=12,SUMIFS('ON Data'!AB:AB,'ON Data'!$D:$D,$A$4,'ON Data'!$E:$E,5),SUMIFS('ON Data'!AB:AB,'ON Data'!$E:$E,5))</f>
        <v>0</v>
      </c>
      <c r="X14" s="235">
        <f xml:space="preserve">
IF($A$4&lt;=12,SUMIFS('ON Data'!AC:AC,'ON Data'!$D:$D,$A$4,'ON Data'!$E:$E,5),SUMIFS('ON Data'!AC:AC,'ON Data'!$E:$E,5))</f>
        <v>0</v>
      </c>
      <c r="Y14" s="235">
        <f xml:space="preserve">
IF($A$4&lt;=12,SUMIFS('ON Data'!AD:AD,'ON Data'!$D:$D,$A$4,'ON Data'!$E:$E,5),SUMIFS('ON Data'!AD:AD,'ON Data'!$E:$E,5))</f>
        <v>0</v>
      </c>
      <c r="Z14" s="235">
        <f xml:space="preserve">
IF($A$4&lt;=12,SUMIFS('ON Data'!AE:AE,'ON Data'!$D:$D,$A$4,'ON Data'!$E:$E,5),SUMIFS('ON Data'!AE:AE,'ON Data'!$E:$E,5))</f>
        <v>0</v>
      </c>
      <c r="AA14" s="235">
        <f xml:space="preserve">
IF($A$4&lt;=12,SUMIFS('ON Data'!AF:AF,'ON Data'!$D:$D,$A$4,'ON Data'!$E:$E,5),SUMIFS('ON Data'!AF:AF,'ON Data'!$E:$E,5))</f>
        <v>0</v>
      </c>
      <c r="AB14" s="235">
        <f xml:space="preserve">
IF($A$4&lt;=12,SUMIFS('ON Data'!AG:AG,'ON Data'!$D:$D,$A$4,'ON Data'!$E:$E,5),SUMIFS('ON Data'!AG:AG,'ON Data'!$E:$E,5))</f>
        <v>0</v>
      </c>
      <c r="AC14" s="235">
        <f xml:space="preserve">
IF($A$4&lt;=12,SUMIFS('ON Data'!AH:AH,'ON Data'!$D:$D,$A$4,'ON Data'!$E:$E,5),SUMIFS('ON Data'!AH:AH,'ON Data'!$E:$E,5))</f>
        <v>0</v>
      </c>
      <c r="AD14" s="235">
        <f xml:space="preserve">
IF($A$4&lt;=12,SUMIFS('ON Data'!AI:AI,'ON Data'!$D:$D,$A$4,'ON Data'!$E:$E,5),SUMIFS('ON Data'!AI:AI,'ON Data'!$E:$E,5))</f>
        <v>0</v>
      </c>
      <c r="AE14" s="235">
        <f xml:space="preserve">
IF($A$4&lt;=12,SUMIFS('ON Data'!AJ:AJ,'ON Data'!$D:$D,$A$4,'ON Data'!$E:$E,5),SUMIFS('ON Data'!AJ:AJ,'ON Data'!$E:$E,5))</f>
        <v>0</v>
      </c>
      <c r="AF14" s="235">
        <f xml:space="preserve">
IF($A$4&lt;=12,SUMIFS('ON Data'!AK:AK,'ON Data'!$D:$D,$A$4,'ON Data'!$E:$E,5),SUMIFS('ON Data'!AK:AK,'ON Data'!$E:$E,5))</f>
        <v>0</v>
      </c>
      <c r="AG14" s="235">
        <f xml:space="preserve">
IF($A$4&lt;=12,SUMIFS('ON Data'!AL:AL,'ON Data'!$D:$D,$A$4,'ON Data'!$E:$E,5),SUMIFS('ON Data'!AL:AL,'ON Data'!$E:$E,5))</f>
        <v>0</v>
      </c>
      <c r="AH14" s="235">
        <f xml:space="preserve">
IF($A$4&lt;=12,SUMIFS('ON Data'!AN:AN,'ON Data'!$D:$D,$A$4,'ON Data'!$E:$E,5),SUMIFS('ON Data'!AN:AN,'ON Data'!$E:$E,5))</f>
        <v>0</v>
      </c>
      <c r="AI14" s="449">
        <f xml:space="preserve">
IF($A$4&lt;=12,SUMIFS('ON Data'!AO:AO,'ON Data'!$D:$D,$A$4,'ON Data'!$E:$E,5),SUMIFS('ON Data'!AO:AO,'ON Data'!$E:$E,5))</f>
        <v>0</v>
      </c>
      <c r="AJ14" s="459"/>
    </row>
    <row r="15" spans="1:36" x14ac:dyDescent="0.3">
      <c r="A15" s="136" t="s">
        <v>165</v>
      </c>
      <c r="B15" s="236"/>
      <c r="C15" s="237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450"/>
      <c r="AJ15" s="459"/>
    </row>
    <row r="16" spans="1:36" x14ac:dyDescent="0.3">
      <c r="A16" s="215" t="s">
        <v>156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Data'!G:G,'ON Data'!$D:$D,$A$4,'ON Data'!$E:$E,7),SUMIFS('ON Data'!G:G,'ON Data'!$E:$E,7))</f>
        <v>0</v>
      </c>
      <c r="D16" s="232">
        <f xml:space="preserve">
IF($A$4&lt;=12,SUMIFS('ON Data'!H:H,'ON Data'!$D:$D,$A$4,'ON Data'!$E:$E,7),SUMIFS('ON Data'!H:H,'ON Data'!$E:$E,7))</f>
        <v>0</v>
      </c>
      <c r="E16" s="232">
        <f xml:space="preserve">
IF($A$4&lt;=12,SUMIFS('ON Data'!I:I,'ON Data'!$D:$D,$A$4,'ON Data'!$E:$E,7),SUMIFS('ON Data'!I:I,'ON Data'!$E:$E,7))</f>
        <v>0</v>
      </c>
      <c r="F16" s="232">
        <f xml:space="preserve">
IF($A$4&lt;=12,SUMIFS('ON Data'!K:K,'ON Data'!$D:$D,$A$4,'ON Data'!$E:$E,7),SUMIFS('ON Data'!K:K,'ON Data'!$E:$E,7))</f>
        <v>0</v>
      </c>
      <c r="G16" s="232">
        <f xml:space="preserve">
IF($A$4&lt;=12,SUMIFS('ON Data'!L:L,'ON Data'!$D:$D,$A$4,'ON Data'!$E:$E,7),SUMIFS('ON Data'!L:L,'ON Data'!$E:$E,7))</f>
        <v>0</v>
      </c>
      <c r="H16" s="232">
        <f xml:space="preserve">
IF($A$4&lt;=12,SUMIFS('ON Data'!M:M,'ON Data'!$D:$D,$A$4,'ON Data'!$E:$E,7),SUMIFS('ON Data'!M:M,'ON Data'!$E:$E,7))</f>
        <v>0</v>
      </c>
      <c r="I16" s="232">
        <f xml:space="preserve">
IF($A$4&lt;=12,SUMIFS('ON Data'!N:N,'ON Data'!$D:$D,$A$4,'ON Data'!$E:$E,7),SUMIFS('ON Data'!N:N,'ON Data'!$E:$E,7))</f>
        <v>0</v>
      </c>
      <c r="J16" s="232">
        <f xml:space="preserve">
IF($A$4&lt;=12,SUMIFS('ON Data'!O:O,'ON Data'!$D:$D,$A$4,'ON Data'!$E:$E,7),SUMIFS('ON Data'!O:O,'ON Data'!$E:$E,7))</f>
        <v>0</v>
      </c>
      <c r="K16" s="232">
        <f xml:space="preserve">
IF($A$4&lt;=12,SUMIFS('ON Data'!P:P,'ON Data'!$D:$D,$A$4,'ON Data'!$E:$E,7),SUMIFS('ON Data'!P:P,'ON Data'!$E:$E,7))</f>
        <v>0</v>
      </c>
      <c r="L16" s="232">
        <f xml:space="preserve">
IF($A$4&lt;=12,SUMIFS('ON Data'!Q:Q,'ON Data'!$D:$D,$A$4,'ON Data'!$E:$E,7),SUMIFS('ON Data'!Q:Q,'ON Data'!$E:$E,7))</f>
        <v>0</v>
      </c>
      <c r="M16" s="232">
        <f xml:space="preserve">
IF($A$4&lt;=12,SUMIFS('ON Data'!R:R,'ON Data'!$D:$D,$A$4,'ON Data'!$E:$E,7),SUMIFS('ON Data'!R:R,'ON Data'!$E:$E,7))</f>
        <v>0</v>
      </c>
      <c r="N16" s="232">
        <f xml:space="preserve">
IF($A$4&lt;=12,SUMIFS('ON Data'!S:S,'ON Data'!$D:$D,$A$4,'ON Data'!$E:$E,7),SUMIFS('ON Data'!S:S,'ON Data'!$E:$E,7))</f>
        <v>0</v>
      </c>
      <c r="O16" s="232">
        <f xml:space="preserve">
IF($A$4&lt;=12,SUMIFS('ON Data'!T:T,'ON Data'!$D:$D,$A$4,'ON Data'!$E:$E,7),SUMIFS('ON Data'!T:T,'ON Data'!$E:$E,7))</f>
        <v>0</v>
      </c>
      <c r="P16" s="232">
        <f xml:space="preserve">
IF($A$4&lt;=12,SUMIFS('ON Data'!U:U,'ON Data'!$D:$D,$A$4,'ON Data'!$E:$E,7),SUMIFS('ON Data'!U:U,'ON Data'!$E:$E,7))</f>
        <v>0</v>
      </c>
      <c r="Q16" s="232">
        <f xml:space="preserve">
IF($A$4&lt;=12,SUMIFS('ON Data'!V:V,'ON Data'!$D:$D,$A$4,'ON Data'!$E:$E,7),SUMIFS('ON Data'!V:V,'ON Data'!$E:$E,7))</f>
        <v>0</v>
      </c>
      <c r="R16" s="232">
        <f xml:space="preserve">
IF($A$4&lt;=12,SUMIFS('ON Data'!W:W,'ON Data'!$D:$D,$A$4,'ON Data'!$E:$E,7),SUMIFS('ON Data'!W:W,'ON Data'!$E:$E,7))</f>
        <v>0</v>
      </c>
      <c r="S16" s="232">
        <f xml:space="preserve">
IF($A$4&lt;=12,SUMIFS('ON Data'!X:X,'ON Data'!$D:$D,$A$4,'ON Data'!$E:$E,7),SUMIFS('ON Data'!X:X,'ON Data'!$E:$E,7))</f>
        <v>0</v>
      </c>
      <c r="T16" s="232">
        <f xml:space="preserve">
IF($A$4&lt;=12,SUMIFS('ON Data'!Y:Y,'ON Data'!$D:$D,$A$4,'ON Data'!$E:$E,7),SUMIFS('ON Data'!Y:Y,'ON Data'!$E:$E,7))</f>
        <v>0</v>
      </c>
      <c r="U16" s="232">
        <f xml:space="preserve">
IF($A$4&lt;=12,SUMIFS('ON Data'!Z:Z,'ON Data'!$D:$D,$A$4,'ON Data'!$E:$E,7),SUMIFS('ON Data'!Z:Z,'ON Data'!$E:$E,7))</f>
        <v>0</v>
      </c>
      <c r="V16" s="232">
        <f xml:space="preserve">
IF($A$4&lt;=12,SUMIFS('ON Data'!AA:AA,'ON Data'!$D:$D,$A$4,'ON Data'!$E:$E,7),SUMIFS('ON Data'!AA:AA,'ON Data'!$E:$E,7))</f>
        <v>0</v>
      </c>
      <c r="W16" s="232">
        <f xml:space="preserve">
IF($A$4&lt;=12,SUMIFS('ON Data'!AB:AB,'ON Data'!$D:$D,$A$4,'ON Data'!$E:$E,7),SUMIFS('ON Data'!AB:AB,'ON Data'!$E:$E,7))</f>
        <v>0</v>
      </c>
      <c r="X16" s="232">
        <f xml:space="preserve">
IF($A$4&lt;=12,SUMIFS('ON Data'!AC:AC,'ON Data'!$D:$D,$A$4,'ON Data'!$E:$E,7),SUMIFS('ON Data'!AC:AC,'ON Data'!$E:$E,7))</f>
        <v>0</v>
      </c>
      <c r="Y16" s="232">
        <f xml:space="preserve">
IF($A$4&lt;=12,SUMIFS('ON Data'!AD:AD,'ON Data'!$D:$D,$A$4,'ON Data'!$E:$E,7),SUMIFS('ON Data'!AD:AD,'ON Data'!$E:$E,7))</f>
        <v>0</v>
      </c>
      <c r="Z16" s="232">
        <f xml:space="preserve">
IF($A$4&lt;=12,SUMIFS('ON Data'!AE:AE,'ON Data'!$D:$D,$A$4,'ON Data'!$E:$E,7),SUMIFS('ON Data'!AE:AE,'ON Data'!$E:$E,7))</f>
        <v>0</v>
      </c>
      <c r="AA16" s="232">
        <f xml:space="preserve">
IF($A$4&lt;=12,SUMIFS('ON Data'!AF:AF,'ON Data'!$D:$D,$A$4,'ON Data'!$E:$E,7),SUMIFS('ON Data'!AF:AF,'ON Data'!$E:$E,7))</f>
        <v>0</v>
      </c>
      <c r="AB16" s="232">
        <f xml:space="preserve">
IF($A$4&lt;=12,SUMIFS('ON Data'!AG:AG,'ON Data'!$D:$D,$A$4,'ON Data'!$E:$E,7),SUMIFS('ON Data'!AG:AG,'ON Data'!$E:$E,7))</f>
        <v>0</v>
      </c>
      <c r="AC16" s="232">
        <f xml:space="preserve">
IF($A$4&lt;=12,SUMIFS('ON Data'!AH:AH,'ON Data'!$D:$D,$A$4,'ON Data'!$E:$E,7),SUMIFS('ON Data'!AH:AH,'ON Data'!$E:$E,7))</f>
        <v>0</v>
      </c>
      <c r="AD16" s="232">
        <f xml:space="preserve">
IF($A$4&lt;=12,SUMIFS('ON Data'!AI:AI,'ON Data'!$D:$D,$A$4,'ON Data'!$E:$E,7),SUMIFS('ON Data'!AI:AI,'ON Data'!$E:$E,7))</f>
        <v>0</v>
      </c>
      <c r="AE16" s="232">
        <f xml:space="preserve">
IF($A$4&lt;=12,SUMIFS('ON Data'!AJ:AJ,'ON Data'!$D:$D,$A$4,'ON Data'!$E:$E,7),SUMIFS('ON Data'!AJ:AJ,'ON Data'!$E:$E,7))</f>
        <v>0</v>
      </c>
      <c r="AF16" s="232">
        <f xml:space="preserve">
IF($A$4&lt;=12,SUMIFS('ON Data'!AK:AK,'ON Data'!$D:$D,$A$4,'ON Data'!$E:$E,7),SUMIFS('ON Data'!AK:AK,'ON Data'!$E:$E,7))</f>
        <v>0</v>
      </c>
      <c r="AG16" s="232">
        <f xml:space="preserve">
IF($A$4&lt;=12,SUMIFS('ON Data'!AL:AL,'ON Data'!$D:$D,$A$4,'ON Data'!$E:$E,7),SUMIFS('ON Data'!AL:AL,'ON Data'!$E:$E,7))</f>
        <v>0</v>
      </c>
      <c r="AH16" s="232">
        <f xml:space="preserve">
IF($A$4&lt;=12,SUMIFS('ON Data'!AN:AN,'ON Data'!$D:$D,$A$4,'ON Data'!$E:$E,7),SUMIFS('ON Data'!AN:AN,'ON Data'!$E:$E,7))</f>
        <v>0</v>
      </c>
      <c r="AI16" s="448">
        <f xml:space="preserve">
IF($A$4&lt;=12,SUMIFS('ON Data'!AO:AO,'ON Data'!$D:$D,$A$4,'ON Data'!$E:$E,7),SUMIFS('ON Data'!AO:AO,'ON Data'!$E:$E,7))</f>
        <v>0</v>
      </c>
      <c r="AJ16" s="459"/>
    </row>
    <row r="17" spans="1:36" x14ac:dyDescent="0.3">
      <c r="A17" s="215" t="s">
        <v>157</v>
      </c>
      <c r="B17" s="230">
        <f xml:space="preserve">
IF($A$4&lt;=12,SUMIFS('ON Data'!F:F,'ON Data'!$D:$D,$A$4,'ON Data'!$E:$E,8),SUMIFS('ON Data'!F:F,'ON Data'!$E:$E,8))</f>
        <v>0</v>
      </c>
      <c r="C17" s="231">
        <f xml:space="preserve">
IF($A$4&lt;=12,SUMIFS('ON Data'!G:G,'ON Data'!$D:$D,$A$4,'ON Data'!$E:$E,8),SUMIFS('ON Data'!G:G,'ON Data'!$E:$E,8))</f>
        <v>0</v>
      </c>
      <c r="D17" s="232">
        <f xml:space="preserve">
IF($A$4&lt;=12,SUMIFS('ON Data'!H:H,'ON Data'!$D:$D,$A$4,'ON Data'!$E:$E,8),SUMIFS('ON Data'!H:H,'ON Data'!$E:$E,8))</f>
        <v>0</v>
      </c>
      <c r="E17" s="232">
        <f xml:space="preserve">
IF($A$4&lt;=12,SUMIFS('ON Data'!I:I,'ON Data'!$D:$D,$A$4,'ON Data'!$E:$E,8),SUMIFS('ON Data'!I:I,'ON Data'!$E:$E,8))</f>
        <v>0</v>
      </c>
      <c r="F17" s="232">
        <f xml:space="preserve">
IF($A$4&lt;=12,SUMIFS('ON Data'!K:K,'ON Data'!$D:$D,$A$4,'ON Data'!$E:$E,8),SUMIFS('ON Data'!K:K,'ON Data'!$E:$E,8))</f>
        <v>0</v>
      </c>
      <c r="G17" s="232">
        <f xml:space="preserve">
IF($A$4&lt;=12,SUMIFS('ON Data'!L:L,'ON Data'!$D:$D,$A$4,'ON Data'!$E:$E,8),SUMIFS('ON Data'!L:L,'ON Data'!$E:$E,8))</f>
        <v>0</v>
      </c>
      <c r="H17" s="232">
        <f xml:space="preserve">
IF($A$4&lt;=12,SUMIFS('ON Data'!M:M,'ON Data'!$D:$D,$A$4,'ON Data'!$E:$E,8),SUMIFS('ON Data'!M:M,'ON Data'!$E:$E,8))</f>
        <v>0</v>
      </c>
      <c r="I17" s="232">
        <f xml:space="preserve">
IF($A$4&lt;=12,SUMIFS('ON Data'!N:N,'ON Data'!$D:$D,$A$4,'ON Data'!$E:$E,8),SUMIFS('ON Data'!N:N,'ON Data'!$E:$E,8))</f>
        <v>0</v>
      </c>
      <c r="J17" s="232">
        <f xml:space="preserve">
IF($A$4&lt;=12,SUMIFS('ON Data'!O:O,'ON Data'!$D:$D,$A$4,'ON Data'!$E:$E,8),SUMIFS('ON Data'!O:O,'ON Data'!$E:$E,8))</f>
        <v>0</v>
      </c>
      <c r="K17" s="232">
        <f xml:space="preserve">
IF($A$4&lt;=12,SUMIFS('ON Data'!P:P,'ON Data'!$D:$D,$A$4,'ON Data'!$E:$E,8),SUMIFS('ON Data'!P:P,'ON Data'!$E:$E,8))</f>
        <v>0</v>
      </c>
      <c r="L17" s="232">
        <f xml:space="preserve">
IF($A$4&lt;=12,SUMIFS('ON Data'!Q:Q,'ON Data'!$D:$D,$A$4,'ON Data'!$E:$E,8),SUMIFS('ON Data'!Q:Q,'ON Data'!$E:$E,8))</f>
        <v>0</v>
      </c>
      <c r="M17" s="232">
        <f xml:space="preserve">
IF($A$4&lt;=12,SUMIFS('ON Data'!R:R,'ON Data'!$D:$D,$A$4,'ON Data'!$E:$E,8),SUMIFS('ON Data'!R:R,'ON Data'!$E:$E,8))</f>
        <v>0</v>
      </c>
      <c r="N17" s="232">
        <f xml:space="preserve">
IF($A$4&lt;=12,SUMIFS('ON Data'!S:S,'ON Data'!$D:$D,$A$4,'ON Data'!$E:$E,8),SUMIFS('ON Data'!S:S,'ON Data'!$E:$E,8))</f>
        <v>0</v>
      </c>
      <c r="O17" s="232">
        <f xml:space="preserve">
IF($A$4&lt;=12,SUMIFS('ON Data'!T:T,'ON Data'!$D:$D,$A$4,'ON Data'!$E:$E,8),SUMIFS('ON Data'!T:T,'ON Data'!$E:$E,8))</f>
        <v>0</v>
      </c>
      <c r="P17" s="232">
        <f xml:space="preserve">
IF($A$4&lt;=12,SUMIFS('ON Data'!U:U,'ON Data'!$D:$D,$A$4,'ON Data'!$E:$E,8),SUMIFS('ON Data'!U:U,'ON Data'!$E:$E,8))</f>
        <v>0</v>
      </c>
      <c r="Q17" s="232">
        <f xml:space="preserve">
IF($A$4&lt;=12,SUMIFS('ON Data'!V:V,'ON Data'!$D:$D,$A$4,'ON Data'!$E:$E,8),SUMIFS('ON Data'!V:V,'ON Data'!$E:$E,8))</f>
        <v>0</v>
      </c>
      <c r="R17" s="232">
        <f xml:space="preserve">
IF($A$4&lt;=12,SUMIFS('ON Data'!W:W,'ON Data'!$D:$D,$A$4,'ON Data'!$E:$E,8),SUMIFS('ON Data'!W:W,'ON Data'!$E:$E,8))</f>
        <v>0</v>
      </c>
      <c r="S17" s="232">
        <f xml:space="preserve">
IF($A$4&lt;=12,SUMIFS('ON Data'!X:X,'ON Data'!$D:$D,$A$4,'ON Data'!$E:$E,8),SUMIFS('ON Data'!X:X,'ON Data'!$E:$E,8))</f>
        <v>0</v>
      </c>
      <c r="T17" s="232">
        <f xml:space="preserve">
IF($A$4&lt;=12,SUMIFS('ON Data'!Y:Y,'ON Data'!$D:$D,$A$4,'ON Data'!$E:$E,8),SUMIFS('ON Data'!Y:Y,'ON Data'!$E:$E,8))</f>
        <v>0</v>
      </c>
      <c r="U17" s="232">
        <f xml:space="preserve">
IF($A$4&lt;=12,SUMIFS('ON Data'!Z:Z,'ON Data'!$D:$D,$A$4,'ON Data'!$E:$E,8),SUMIFS('ON Data'!Z:Z,'ON Data'!$E:$E,8))</f>
        <v>0</v>
      </c>
      <c r="V17" s="232">
        <f xml:space="preserve">
IF($A$4&lt;=12,SUMIFS('ON Data'!AA:AA,'ON Data'!$D:$D,$A$4,'ON Data'!$E:$E,8),SUMIFS('ON Data'!AA:AA,'ON Data'!$E:$E,8))</f>
        <v>0</v>
      </c>
      <c r="W17" s="232">
        <f xml:space="preserve">
IF($A$4&lt;=12,SUMIFS('ON Data'!AB:AB,'ON Data'!$D:$D,$A$4,'ON Data'!$E:$E,8),SUMIFS('ON Data'!AB:AB,'ON Data'!$E:$E,8))</f>
        <v>0</v>
      </c>
      <c r="X17" s="232">
        <f xml:space="preserve">
IF($A$4&lt;=12,SUMIFS('ON Data'!AC:AC,'ON Data'!$D:$D,$A$4,'ON Data'!$E:$E,8),SUMIFS('ON Data'!AC:AC,'ON Data'!$E:$E,8))</f>
        <v>0</v>
      </c>
      <c r="Y17" s="232">
        <f xml:space="preserve">
IF($A$4&lt;=12,SUMIFS('ON Data'!AD:AD,'ON Data'!$D:$D,$A$4,'ON Data'!$E:$E,8),SUMIFS('ON Data'!AD:AD,'ON Data'!$E:$E,8))</f>
        <v>0</v>
      </c>
      <c r="Z17" s="232">
        <f xml:space="preserve">
IF($A$4&lt;=12,SUMIFS('ON Data'!AE:AE,'ON Data'!$D:$D,$A$4,'ON Data'!$E:$E,8),SUMIFS('ON Data'!AE:AE,'ON Data'!$E:$E,8))</f>
        <v>0</v>
      </c>
      <c r="AA17" s="232">
        <f xml:space="preserve">
IF($A$4&lt;=12,SUMIFS('ON Data'!AF:AF,'ON Data'!$D:$D,$A$4,'ON Data'!$E:$E,8),SUMIFS('ON Data'!AF:AF,'ON Data'!$E:$E,8))</f>
        <v>0</v>
      </c>
      <c r="AB17" s="232">
        <f xml:space="preserve">
IF($A$4&lt;=12,SUMIFS('ON Data'!AG:AG,'ON Data'!$D:$D,$A$4,'ON Data'!$E:$E,8),SUMIFS('ON Data'!AG:AG,'ON Data'!$E:$E,8))</f>
        <v>0</v>
      </c>
      <c r="AC17" s="232">
        <f xml:space="preserve">
IF($A$4&lt;=12,SUMIFS('ON Data'!AH:AH,'ON Data'!$D:$D,$A$4,'ON Data'!$E:$E,8),SUMIFS('ON Data'!AH:AH,'ON Data'!$E:$E,8))</f>
        <v>0</v>
      </c>
      <c r="AD17" s="232">
        <f xml:space="preserve">
IF($A$4&lt;=12,SUMIFS('ON Data'!AI:AI,'ON Data'!$D:$D,$A$4,'ON Data'!$E:$E,8),SUMIFS('ON Data'!AI:AI,'ON Data'!$E:$E,8))</f>
        <v>0</v>
      </c>
      <c r="AE17" s="232">
        <f xml:space="preserve">
IF($A$4&lt;=12,SUMIFS('ON Data'!AJ:AJ,'ON Data'!$D:$D,$A$4,'ON Data'!$E:$E,8),SUMIFS('ON Data'!AJ:AJ,'ON Data'!$E:$E,8))</f>
        <v>0</v>
      </c>
      <c r="AF17" s="232">
        <f xml:space="preserve">
IF($A$4&lt;=12,SUMIFS('ON Data'!AK:AK,'ON Data'!$D:$D,$A$4,'ON Data'!$E:$E,8),SUMIFS('ON Data'!AK:AK,'ON Data'!$E:$E,8))</f>
        <v>0</v>
      </c>
      <c r="AG17" s="232">
        <f xml:space="preserve">
IF($A$4&lt;=12,SUMIFS('ON Data'!AL:AL,'ON Data'!$D:$D,$A$4,'ON Data'!$E:$E,8),SUMIFS('ON Data'!AL:AL,'ON Data'!$E:$E,8))</f>
        <v>0</v>
      </c>
      <c r="AH17" s="232">
        <f xml:space="preserve">
IF($A$4&lt;=12,SUMIFS('ON Data'!AN:AN,'ON Data'!$D:$D,$A$4,'ON Data'!$E:$E,8),SUMIFS('ON Data'!AN:AN,'ON Data'!$E:$E,8))</f>
        <v>0</v>
      </c>
      <c r="AI17" s="448">
        <f xml:space="preserve">
IF($A$4&lt;=12,SUMIFS('ON Data'!AO:AO,'ON Data'!$D:$D,$A$4,'ON Data'!$E:$E,8),SUMIFS('ON Data'!AO:AO,'ON Data'!$E:$E,8))</f>
        <v>0</v>
      </c>
      <c r="AJ17" s="459"/>
    </row>
    <row r="18" spans="1:36" x14ac:dyDescent="0.3">
      <c r="A18" s="215" t="s">
        <v>158</v>
      </c>
      <c r="B18" s="230">
        <f xml:space="preserve">
B19-B16-B17</f>
        <v>45553</v>
      </c>
      <c r="C18" s="231">
        <f t="shared" ref="C18:G18" si="0" xml:space="preserve">
C19-C16-C17</f>
        <v>0</v>
      </c>
      <c r="D18" s="232">
        <f t="shared" si="0"/>
        <v>0</v>
      </c>
      <c r="E18" s="232">
        <f t="shared" si="0"/>
        <v>0</v>
      </c>
      <c r="F18" s="232">
        <f t="shared" si="0"/>
        <v>0</v>
      </c>
      <c r="G18" s="232">
        <f t="shared" si="0"/>
        <v>0</v>
      </c>
      <c r="H18" s="232">
        <f t="shared" ref="H18:AI18" si="1" xml:space="preserve">
H19-H16-H17</f>
        <v>0</v>
      </c>
      <c r="I18" s="232">
        <f t="shared" si="1"/>
        <v>0</v>
      </c>
      <c r="J18" s="232">
        <f t="shared" si="1"/>
        <v>0</v>
      </c>
      <c r="K18" s="232">
        <f t="shared" si="1"/>
        <v>0</v>
      </c>
      <c r="L18" s="232">
        <f t="shared" si="1"/>
        <v>0</v>
      </c>
      <c r="M18" s="232">
        <f t="shared" si="1"/>
        <v>0</v>
      </c>
      <c r="N18" s="232">
        <f t="shared" si="1"/>
        <v>0</v>
      </c>
      <c r="O18" s="232">
        <f t="shared" si="1"/>
        <v>0</v>
      </c>
      <c r="P18" s="232">
        <f t="shared" si="1"/>
        <v>0</v>
      </c>
      <c r="Q18" s="232">
        <f t="shared" si="1"/>
        <v>0</v>
      </c>
      <c r="R18" s="232">
        <f t="shared" si="1"/>
        <v>0</v>
      </c>
      <c r="S18" s="232">
        <f t="shared" si="1"/>
        <v>0</v>
      </c>
      <c r="T18" s="232">
        <f t="shared" si="1"/>
        <v>0</v>
      </c>
      <c r="U18" s="232">
        <f t="shared" si="1"/>
        <v>0</v>
      </c>
      <c r="V18" s="232">
        <f t="shared" si="1"/>
        <v>20423</v>
      </c>
      <c r="W18" s="232">
        <f t="shared" si="1"/>
        <v>0</v>
      </c>
      <c r="X18" s="232">
        <f t="shared" si="1"/>
        <v>0</v>
      </c>
      <c r="Y18" s="232">
        <f t="shared" si="1"/>
        <v>0</v>
      </c>
      <c r="Z18" s="232">
        <f t="shared" si="1"/>
        <v>0</v>
      </c>
      <c r="AA18" s="232">
        <f t="shared" si="1"/>
        <v>0</v>
      </c>
      <c r="AB18" s="232">
        <f t="shared" si="1"/>
        <v>0</v>
      </c>
      <c r="AC18" s="232">
        <f t="shared" si="1"/>
        <v>2583</v>
      </c>
      <c r="AD18" s="232">
        <f t="shared" si="1"/>
        <v>22547</v>
      </c>
      <c r="AE18" s="232">
        <f t="shared" si="1"/>
        <v>0</v>
      </c>
      <c r="AF18" s="232">
        <f t="shared" si="1"/>
        <v>0</v>
      </c>
      <c r="AG18" s="232">
        <f t="shared" si="1"/>
        <v>0</v>
      </c>
      <c r="AH18" s="232">
        <f t="shared" si="1"/>
        <v>0</v>
      </c>
      <c r="AI18" s="448">
        <f t="shared" si="1"/>
        <v>0</v>
      </c>
      <c r="AJ18" s="459"/>
    </row>
    <row r="19" spans="1:36" ht="15" thickBot="1" x14ac:dyDescent="0.35">
      <c r="A19" s="216" t="s">
        <v>159</v>
      </c>
      <c r="B19" s="239">
        <f xml:space="preserve">
IF($A$4&lt;=12,SUMIFS('ON Data'!F:F,'ON Data'!$D:$D,$A$4,'ON Data'!$E:$E,9),SUMIFS('ON Data'!F:F,'ON Data'!$E:$E,9))</f>
        <v>45553</v>
      </c>
      <c r="C19" s="240">
        <f xml:space="preserve">
IF($A$4&lt;=12,SUMIFS('ON Data'!G:G,'ON Data'!$D:$D,$A$4,'ON Data'!$E:$E,9),SUMIFS('ON Data'!G:G,'ON Data'!$E:$E,9))</f>
        <v>0</v>
      </c>
      <c r="D19" s="241">
        <f xml:space="preserve">
IF($A$4&lt;=12,SUMIFS('ON Data'!H:H,'ON Data'!$D:$D,$A$4,'ON Data'!$E:$E,9),SUMIFS('ON Data'!H:H,'ON Data'!$E:$E,9))</f>
        <v>0</v>
      </c>
      <c r="E19" s="241">
        <f xml:space="preserve">
IF($A$4&lt;=12,SUMIFS('ON Data'!I:I,'ON Data'!$D:$D,$A$4,'ON Data'!$E:$E,9),SUMIFS('ON Data'!I:I,'ON Data'!$E:$E,9))</f>
        <v>0</v>
      </c>
      <c r="F19" s="241">
        <f xml:space="preserve">
IF($A$4&lt;=12,SUMIFS('ON Data'!K:K,'ON Data'!$D:$D,$A$4,'ON Data'!$E:$E,9),SUMIFS('ON Data'!K:K,'ON Data'!$E:$E,9))</f>
        <v>0</v>
      </c>
      <c r="G19" s="241">
        <f xml:space="preserve">
IF($A$4&lt;=12,SUMIFS('ON Data'!L:L,'ON Data'!$D:$D,$A$4,'ON Data'!$E:$E,9),SUMIFS('ON Data'!L:L,'ON Data'!$E:$E,9))</f>
        <v>0</v>
      </c>
      <c r="H19" s="241">
        <f xml:space="preserve">
IF($A$4&lt;=12,SUMIFS('ON Data'!M:M,'ON Data'!$D:$D,$A$4,'ON Data'!$E:$E,9),SUMIFS('ON Data'!M:M,'ON Data'!$E:$E,9))</f>
        <v>0</v>
      </c>
      <c r="I19" s="241">
        <f xml:space="preserve">
IF($A$4&lt;=12,SUMIFS('ON Data'!N:N,'ON Data'!$D:$D,$A$4,'ON Data'!$E:$E,9),SUMIFS('ON Data'!N:N,'ON Data'!$E:$E,9))</f>
        <v>0</v>
      </c>
      <c r="J19" s="241">
        <f xml:space="preserve">
IF($A$4&lt;=12,SUMIFS('ON Data'!O:O,'ON Data'!$D:$D,$A$4,'ON Data'!$E:$E,9),SUMIFS('ON Data'!O:O,'ON Data'!$E:$E,9))</f>
        <v>0</v>
      </c>
      <c r="K19" s="241">
        <f xml:space="preserve">
IF($A$4&lt;=12,SUMIFS('ON Data'!P:P,'ON Data'!$D:$D,$A$4,'ON Data'!$E:$E,9),SUMIFS('ON Data'!P:P,'ON Data'!$E:$E,9))</f>
        <v>0</v>
      </c>
      <c r="L19" s="241">
        <f xml:space="preserve">
IF($A$4&lt;=12,SUMIFS('ON Data'!Q:Q,'ON Data'!$D:$D,$A$4,'ON Data'!$E:$E,9),SUMIFS('ON Data'!Q:Q,'ON Data'!$E:$E,9))</f>
        <v>0</v>
      </c>
      <c r="M19" s="241">
        <f xml:space="preserve">
IF($A$4&lt;=12,SUMIFS('ON Data'!R:R,'ON Data'!$D:$D,$A$4,'ON Data'!$E:$E,9),SUMIFS('ON Data'!R:R,'ON Data'!$E:$E,9))</f>
        <v>0</v>
      </c>
      <c r="N19" s="241">
        <f xml:space="preserve">
IF($A$4&lt;=12,SUMIFS('ON Data'!S:S,'ON Data'!$D:$D,$A$4,'ON Data'!$E:$E,9),SUMIFS('ON Data'!S:S,'ON Data'!$E:$E,9))</f>
        <v>0</v>
      </c>
      <c r="O19" s="241">
        <f xml:space="preserve">
IF($A$4&lt;=12,SUMIFS('ON Data'!T:T,'ON Data'!$D:$D,$A$4,'ON Data'!$E:$E,9),SUMIFS('ON Data'!T:T,'ON Data'!$E:$E,9))</f>
        <v>0</v>
      </c>
      <c r="P19" s="241">
        <f xml:space="preserve">
IF($A$4&lt;=12,SUMIFS('ON Data'!U:U,'ON Data'!$D:$D,$A$4,'ON Data'!$E:$E,9),SUMIFS('ON Data'!U:U,'ON Data'!$E:$E,9))</f>
        <v>0</v>
      </c>
      <c r="Q19" s="241">
        <f xml:space="preserve">
IF($A$4&lt;=12,SUMIFS('ON Data'!V:V,'ON Data'!$D:$D,$A$4,'ON Data'!$E:$E,9),SUMIFS('ON Data'!V:V,'ON Data'!$E:$E,9))</f>
        <v>0</v>
      </c>
      <c r="R19" s="241">
        <f xml:space="preserve">
IF($A$4&lt;=12,SUMIFS('ON Data'!W:W,'ON Data'!$D:$D,$A$4,'ON Data'!$E:$E,9),SUMIFS('ON Data'!W:W,'ON Data'!$E:$E,9))</f>
        <v>0</v>
      </c>
      <c r="S19" s="241">
        <f xml:space="preserve">
IF($A$4&lt;=12,SUMIFS('ON Data'!X:X,'ON Data'!$D:$D,$A$4,'ON Data'!$E:$E,9),SUMIFS('ON Data'!X:X,'ON Data'!$E:$E,9))</f>
        <v>0</v>
      </c>
      <c r="T19" s="241">
        <f xml:space="preserve">
IF($A$4&lt;=12,SUMIFS('ON Data'!Y:Y,'ON Data'!$D:$D,$A$4,'ON Data'!$E:$E,9),SUMIFS('ON Data'!Y:Y,'ON Data'!$E:$E,9))</f>
        <v>0</v>
      </c>
      <c r="U19" s="241">
        <f xml:space="preserve">
IF($A$4&lt;=12,SUMIFS('ON Data'!Z:Z,'ON Data'!$D:$D,$A$4,'ON Data'!$E:$E,9),SUMIFS('ON Data'!Z:Z,'ON Data'!$E:$E,9))</f>
        <v>0</v>
      </c>
      <c r="V19" s="241">
        <f xml:space="preserve">
IF($A$4&lt;=12,SUMIFS('ON Data'!AA:AA,'ON Data'!$D:$D,$A$4,'ON Data'!$E:$E,9),SUMIFS('ON Data'!AA:AA,'ON Data'!$E:$E,9))</f>
        <v>20423</v>
      </c>
      <c r="W19" s="241">
        <f xml:space="preserve">
IF($A$4&lt;=12,SUMIFS('ON Data'!AB:AB,'ON Data'!$D:$D,$A$4,'ON Data'!$E:$E,9),SUMIFS('ON Data'!AB:AB,'ON Data'!$E:$E,9))</f>
        <v>0</v>
      </c>
      <c r="X19" s="241">
        <f xml:space="preserve">
IF($A$4&lt;=12,SUMIFS('ON Data'!AC:AC,'ON Data'!$D:$D,$A$4,'ON Data'!$E:$E,9),SUMIFS('ON Data'!AC:AC,'ON Data'!$E:$E,9))</f>
        <v>0</v>
      </c>
      <c r="Y19" s="241">
        <f xml:space="preserve">
IF($A$4&lt;=12,SUMIFS('ON Data'!AD:AD,'ON Data'!$D:$D,$A$4,'ON Data'!$E:$E,9),SUMIFS('ON Data'!AD:AD,'ON Data'!$E:$E,9))</f>
        <v>0</v>
      </c>
      <c r="Z19" s="241">
        <f xml:space="preserve">
IF($A$4&lt;=12,SUMIFS('ON Data'!AE:AE,'ON Data'!$D:$D,$A$4,'ON Data'!$E:$E,9),SUMIFS('ON Data'!AE:AE,'ON Data'!$E:$E,9))</f>
        <v>0</v>
      </c>
      <c r="AA19" s="241">
        <f xml:space="preserve">
IF($A$4&lt;=12,SUMIFS('ON Data'!AF:AF,'ON Data'!$D:$D,$A$4,'ON Data'!$E:$E,9),SUMIFS('ON Data'!AF:AF,'ON Data'!$E:$E,9))</f>
        <v>0</v>
      </c>
      <c r="AB19" s="241">
        <f xml:space="preserve">
IF($A$4&lt;=12,SUMIFS('ON Data'!AG:AG,'ON Data'!$D:$D,$A$4,'ON Data'!$E:$E,9),SUMIFS('ON Data'!AG:AG,'ON Data'!$E:$E,9))</f>
        <v>0</v>
      </c>
      <c r="AC19" s="241">
        <f xml:space="preserve">
IF($A$4&lt;=12,SUMIFS('ON Data'!AH:AH,'ON Data'!$D:$D,$A$4,'ON Data'!$E:$E,9),SUMIFS('ON Data'!AH:AH,'ON Data'!$E:$E,9))</f>
        <v>2583</v>
      </c>
      <c r="AD19" s="241">
        <f xml:space="preserve">
IF($A$4&lt;=12,SUMIFS('ON Data'!AI:AI,'ON Data'!$D:$D,$A$4,'ON Data'!$E:$E,9),SUMIFS('ON Data'!AI:AI,'ON Data'!$E:$E,9))</f>
        <v>22547</v>
      </c>
      <c r="AE19" s="241">
        <f xml:space="preserve">
IF($A$4&lt;=12,SUMIFS('ON Data'!AJ:AJ,'ON Data'!$D:$D,$A$4,'ON Data'!$E:$E,9),SUMIFS('ON Data'!AJ:AJ,'ON Data'!$E:$E,9))</f>
        <v>0</v>
      </c>
      <c r="AF19" s="241">
        <f xml:space="preserve">
IF($A$4&lt;=12,SUMIFS('ON Data'!AK:AK,'ON Data'!$D:$D,$A$4,'ON Data'!$E:$E,9),SUMIFS('ON Data'!AK:AK,'ON Data'!$E:$E,9))</f>
        <v>0</v>
      </c>
      <c r="AG19" s="241">
        <f xml:space="preserve">
IF($A$4&lt;=12,SUMIFS('ON Data'!AL:AL,'ON Data'!$D:$D,$A$4,'ON Data'!$E:$E,9),SUMIFS('ON Data'!AL:AL,'ON Data'!$E:$E,9))</f>
        <v>0</v>
      </c>
      <c r="AH19" s="241">
        <f xml:space="preserve">
IF($A$4&lt;=12,SUMIFS('ON Data'!AN:AN,'ON Data'!$D:$D,$A$4,'ON Data'!$E:$E,9),SUMIFS('ON Data'!AN:AN,'ON Data'!$E:$E,9))</f>
        <v>0</v>
      </c>
      <c r="AI19" s="451">
        <f xml:space="preserve">
IF($A$4&lt;=12,SUMIFS('ON Data'!AO:AO,'ON Data'!$D:$D,$A$4,'ON Data'!$E:$E,9),SUMIFS('ON Data'!AO:AO,'ON Data'!$E:$E,9))</f>
        <v>0</v>
      </c>
      <c r="AJ19" s="459"/>
    </row>
    <row r="20" spans="1:36" ht="15" collapsed="1" thickBot="1" x14ac:dyDescent="0.35">
      <c r="A20" s="217" t="s">
        <v>55</v>
      </c>
      <c r="B20" s="242">
        <f xml:space="preserve">
IF($A$4&lt;=12,SUMIFS('ON Data'!F:F,'ON Data'!$D:$D,$A$4,'ON Data'!$E:$E,6),SUMIFS('ON Data'!F:F,'ON Data'!$E:$E,6))</f>
        <v>3052092</v>
      </c>
      <c r="C20" s="243">
        <f xml:space="preserve">
IF($A$4&lt;=12,SUMIFS('ON Data'!G:G,'ON Data'!$D:$D,$A$4,'ON Data'!$E:$E,6),SUMIFS('ON Data'!G:G,'ON Data'!$E:$E,6))</f>
        <v>339050</v>
      </c>
      <c r="D20" s="244">
        <f xml:space="preserve">
IF($A$4&lt;=12,SUMIFS('ON Data'!H:H,'ON Data'!$D:$D,$A$4,'ON Data'!$E:$E,6),SUMIFS('ON Data'!H:H,'ON Data'!$E:$E,6))</f>
        <v>818502</v>
      </c>
      <c r="E20" s="244">
        <f xml:space="preserve">
IF($A$4&lt;=12,SUMIFS('ON Data'!I:I,'ON Data'!$D:$D,$A$4,'ON Data'!$E:$E,6),SUMIFS('ON Data'!I:I,'ON Data'!$E:$E,6))</f>
        <v>0</v>
      </c>
      <c r="F20" s="244">
        <f xml:space="preserve">
IF($A$4&lt;=12,SUMIFS('ON Data'!K:K,'ON Data'!$D:$D,$A$4,'ON Data'!$E:$E,6),SUMIFS('ON Data'!K:K,'ON Data'!$E:$E,6))</f>
        <v>0</v>
      </c>
      <c r="G20" s="244">
        <f xml:space="preserve">
IF($A$4&lt;=12,SUMIFS('ON Data'!L:L,'ON Data'!$D:$D,$A$4,'ON Data'!$E:$E,6),SUMIFS('ON Data'!L:L,'ON Data'!$E:$E,6))</f>
        <v>0</v>
      </c>
      <c r="H20" s="244">
        <f xml:space="preserve">
IF($A$4&lt;=12,SUMIFS('ON Data'!M:M,'ON Data'!$D:$D,$A$4,'ON Data'!$E:$E,6),SUMIFS('ON Data'!M:M,'ON Data'!$E:$E,6))</f>
        <v>0</v>
      </c>
      <c r="I20" s="244">
        <f xml:space="preserve">
IF($A$4&lt;=12,SUMIFS('ON Data'!N:N,'ON Data'!$D:$D,$A$4,'ON Data'!$E:$E,6),SUMIFS('ON Data'!N:N,'ON Data'!$E:$E,6))</f>
        <v>0</v>
      </c>
      <c r="J20" s="244">
        <f xml:space="preserve">
IF($A$4&lt;=12,SUMIFS('ON Data'!O:O,'ON Data'!$D:$D,$A$4,'ON Data'!$E:$E,6),SUMIFS('ON Data'!O:O,'ON Data'!$E:$E,6))</f>
        <v>665228</v>
      </c>
      <c r="K20" s="244">
        <f xml:space="preserve">
IF($A$4&lt;=12,SUMIFS('ON Data'!P:P,'ON Data'!$D:$D,$A$4,'ON Data'!$E:$E,6),SUMIFS('ON Data'!P:P,'ON Data'!$E:$E,6))</f>
        <v>0</v>
      </c>
      <c r="L20" s="244">
        <f xml:space="preserve">
IF($A$4&lt;=12,SUMIFS('ON Data'!Q:Q,'ON Data'!$D:$D,$A$4,'ON Data'!$E:$E,6),SUMIFS('ON Data'!Q:Q,'ON Data'!$E:$E,6))</f>
        <v>0</v>
      </c>
      <c r="M20" s="244">
        <f xml:space="preserve">
IF($A$4&lt;=12,SUMIFS('ON Data'!R:R,'ON Data'!$D:$D,$A$4,'ON Data'!$E:$E,6),SUMIFS('ON Data'!R:R,'ON Data'!$E:$E,6))</f>
        <v>0</v>
      </c>
      <c r="N20" s="244">
        <f xml:space="preserve">
IF($A$4&lt;=12,SUMIFS('ON Data'!S:S,'ON Data'!$D:$D,$A$4,'ON Data'!$E:$E,6),SUMIFS('ON Data'!S:S,'ON Data'!$E:$E,6))</f>
        <v>0</v>
      </c>
      <c r="O20" s="244">
        <f xml:space="preserve">
IF($A$4&lt;=12,SUMIFS('ON Data'!T:T,'ON Data'!$D:$D,$A$4,'ON Data'!$E:$E,6),SUMIFS('ON Data'!T:T,'ON Data'!$E:$E,6))</f>
        <v>0</v>
      </c>
      <c r="P20" s="244">
        <f xml:space="preserve">
IF($A$4&lt;=12,SUMIFS('ON Data'!U:U,'ON Data'!$D:$D,$A$4,'ON Data'!$E:$E,6),SUMIFS('ON Data'!U:U,'ON Data'!$E:$E,6))</f>
        <v>0</v>
      </c>
      <c r="Q20" s="244">
        <f xml:space="preserve">
IF($A$4&lt;=12,SUMIFS('ON Data'!V:V,'ON Data'!$D:$D,$A$4,'ON Data'!$E:$E,6),SUMIFS('ON Data'!V:V,'ON Data'!$E:$E,6))</f>
        <v>0</v>
      </c>
      <c r="R20" s="244">
        <f xml:space="preserve">
IF($A$4&lt;=12,SUMIFS('ON Data'!W:W,'ON Data'!$D:$D,$A$4,'ON Data'!$E:$E,6),SUMIFS('ON Data'!W:W,'ON Data'!$E:$E,6))</f>
        <v>0</v>
      </c>
      <c r="S20" s="244">
        <f xml:space="preserve">
IF($A$4&lt;=12,SUMIFS('ON Data'!X:X,'ON Data'!$D:$D,$A$4,'ON Data'!$E:$E,6),SUMIFS('ON Data'!X:X,'ON Data'!$E:$E,6))</f>
        <v>0</v>
      </c>
      <c r="T20" s="244">
        <f xml:space="preserve">
IF($A$4&lt;=12,SUMIFS('ON Data'!Y:Y,'ON Data'!$D:$D,$A$4,'ON Data'!$E:$E,6),SUMIFS('ON Data'!Y:Y,'ON Data'!$E:$E,6))</f>
        <v>0</v>
      </c>
      <c r="U20" s="244">
        <f xml:space="preserve">
IF($A$4&lt;=12,SUMIFS('ON Data'!Z:Z,'ON Data'!$D:$D,$A$4,'ON Data'!$E:$E,6),SUMIFS('ON Data'!Z:Z,'ON Data'!$E:$E,6))</f>
        <v>0</v>
      </c>
      <c r="V20" s="244">
        <f xml:space="preserve">
IF($A$4&lt;=12,SUMIFS('ON Data'!AA:AA,'ON Data'!$D:$D,$A$4,'ON Data'!$E:$E,6),SUMIFS('ON Data'!AA:AA,'ON Data'!$E:$E,6))</f>
        <v>731579</v>
      </c>
      <c r="W20" s="244">
        <f xml:space="preserve">
IF($A$4&lt;=12,SUMIFS('ON Data'!AB:AB,'ON Data'!$D:$D,$A$4,'ON Data'!$E:$E,6),SUMIFS('ON Data'!AB:AB,'ON Data'!$E:$E,6))</f>
        <v>0</v>
      </c>
      <c r="X20" s="244">
        <f xml:space="preserve">
IF($A$4&lt;=12,SUMIFS('ON Data'!AC:AC,'ON Data'!$D:$D,$A$4,'ON Data'!$E:$E,6),SUMIFS('ON Data'!AC:AC,'ON Data'!$E:$E,6))</f>
        <v>0</v>
      </c>
      <c r="Y20" s="244">
        <f xml:space="preserve">
IF($A$4&lt;=12,SUMIFS('ON Data'!AD:AD,'ON Data'!$D:$D,$A$4,'ON Data'!$E:$E,6),SUMIFS('ON Data'!AD:AD,'ON Data'!$E:$E,6))</f>
        <v>0</v>
      </c>
      <c r="Z20" s="244">
        <f xml:space="preserve">
IF($A$4&lt;=12,SUMIFS('ON Data'!AE:AE,'ON Data'!$D:$D,$A$4,'ON Data'!$E:$E,6),SUMIFS('ON Data'!AE:AE,'ON Data'!$E:$E,6))</f>
        <v>0</v>
      </c>
      <c r="AA20" s="244">
        <f xml:space="preserve">
IF($A$4&lt;=12,SUMIFS('ON Data'!AF:AF,'ON Data'!$D:$D,$A$4,'ON Data'!$E:$E,6),SUMIFS('ON Data'!AF:AF,'ON Data'!$E:$E,6))</f>
        <v>0</v>
      </c>
      <c r="AB20" s="244">
        <f xml:space="preserve">
IF($A$4&lt;=12,SUMIFS('ON Data'!AG:AG,'ON Data'!$D:$D,$A$4,'ON Data'!$E:$E,6),SUMIFS('ON Data'!AG:AG,'ON Data'!$E:$E,6))</f>
        <v>0</v>
      </c>
      <c r="AC20" s="244">
        <f xml:space="preserve">
IF($A$4&lt;=12,SUMIFS('ON Data'!AH:AH,'ON Data'!$D:$D,$A$4,'ON Data'!$E:$E,6),SUMIFS('ON Data'!AH:AH,'ON Data'!$E:$E,6))</f>
        <v>6066</v>
      </c>
      <c r="AD20" s="244">
        <f xml:space="preserve">
IF($A$4&lt;=12,SUMIFS('ON Data'!AI:AI,'ON Data'!$D:$D,$A$4,'ON Data'!$E:$E,6),SUMIFS('ON Data'!AI:AI,'ON Data'!$E:$E,6))</f>
        <v>298747</v>
      </c>
      <c r="AE20" s="244">
        <f xml:space="preserve">
IF($A$4&lt;=12,SUMIFS('ON Data'!AJ:AJ,'ON Data'!$D:$D,$A$4,'ON Data'!$E:$E,6),SUMIFS('ON Data'!AJ:AJ,'ON Data'!$E:$E,6))</f>
        <v>0</v>
      </c>
      <c r="AF20" s="244">
        <f xml:space="preserve">
IF($A$4&lt;=12,SUMIFS('ON Data'!AK:AK,'ON Data'!$D:$D,$A$4,'ON Data'!$E:$E,6),SUMIFS('ON Data'!AK:AK,'ON Data'!$E:$E,6))</f>
        <v>0</v>
      </c>
      <c r="AG20" s="244">
        <f xml:space="preserve">
IF($A$4&lt;=12,SUMIFS('ON Data'!AL:AL,'ON Data'!$D:$D,$A$4,'ON Data'!$E:$E,6),SUMIFS('ON Data'!AL:AL,'ON Data'!$E:$E,6))</f>
        <v>0</v>
      </c>
      <c r="AH20" s="244">
        <f xml:space="preserve">
IF($A$4&lt;=12,SUMIFS('ON Data'!AN:AN,'ON Data'!$D:$D,$A$4,'ON Data'!$E:$E,6),SUMIFS('ON Data'!AN:AN,'ON Data'!$E:$E,6))</f>
        <v>165538</v>
      </c>
      <c r="AI20" s="452">
        <f xml:space="preserve">
IF($A$4&lt;=12,SUMIFS('ON Data'!AO:AO,'ON Data'!$D:$D,$A$4,'ON Data'!$E:$E,6),SUMIFS('ON Data'!AO:AO,'ON Data'!$E:$E,6))</f>
        <v>27382</v>
      </c>
      <c r="AJ20" s="459"/>
    </row>
    <row r="21" spans="1:36" ht="15" hidden="1" outlineLevel="1" thickBot="1" x14ac:dyDescent="0.35">
      <c r="A21" s="210" t="s">
        <v>90</v>
      </c>
      <c r="B21" s="230">
        <f xml:space="preserve">
IF($A$4&lt;=12,SUMIFS('ON Data'!F:F,'ON Data'!$D:$D,$A$4,'ON Data'!$E:$E,12),SUMIFS('ON Data'!F:F,'ON Data'!$E:$E,12))</f>
        <v>0</v>
      </c>
      <c r="C21" s="231">
        <f xml:space="preserve">
IF($A$4&lt;=12,SUMIFS('ON Data'!G:G,'ON Data'!$D:$D,$A$4,'ON Data'!$E:$E,12),SUMIFS('ON Data'!G:G,'ON Data'!$E:$E,12))</f>
        <v>0</v>
      </c>
      <c r="D21" s="232">
        <f xml:space="preserve">
IF($A$4&lt;=12,SUMIFS('ON Data'!H:H,'ON Data'!$D:$D,$A$4,'ON Data'!$E:$E,12),SUMIFS('ON Data'!H:H,'ON Data'!$E:$E,12))</f>
        <v>0</v>
      </c>
      <c r="E21" s="232">
        <f xml:space="preserve">
IF($A$4&lt;=12,SUMIFS('ON Data'!I:I,'ON Data'!$D:$D,$A$4,'ON Data'!$E:$E,12),SUMIFS('ON Data'!I:I,'ON Data'!$E:$E,12))</f>
        <v>0</v>
      </c>
      <c r="F21" s="232">
        <f xml:space="preserve">
IF($A$4&lt;=12,SUMIFS('ON Data'!K:K,'ON Data'!$D:$D,$A$4,'ON Data'!$E:$E,12),SUMIFS('ON Data'!K:K,'ON Data'!$E:$E,12))</f>
        <v>0</v>
      </c>
      <c r="G21" s="232">
        <f xml:space="preserve">
IF($A$4&lt;=12,SUMIFS('ON Data'!L:L,'ON Data'!$D:$D,$A$4,'ON Data'!$E:$E,12),SUMIFS('ON Data'!L:L,'ON Data'!$E:$E,12))</f>
        <v>0</v>
      </c>
      <c r="H21" s="232">
        <f xml:space="preserve">
IF($A$4&lt;=12,SUMIFS('ON Data'!M:M,'ON Data'!$D:$D,$A$4,'ON Data'!$E:$E,12),SUMIFS('ON Data'!M:M,'ON Data'!$E:$E,12))</f>
        <v>0</v>
      </c>
      <c r="I21" s="232">
        <f xml:space="preserve">
IF($A$4&lt;=12,SUMIFS('ON Data'!N:N,'ON Data'!$D:$D,$A$4,'ON Data'!$E:$E,12),SUMIFS('ON Data'!N:N,'ON Data'!$E:$E,12))</f>
        <v>0</v>
      </c>
      <c r="J21" s="232">
        <f xml:space="preserve">
IF($A$4&lt;=12,SUMIFS('ON Data'!O:O,'ON Data'!$D:$D,$A$4,'ON Data'!$E:$E,12),SUMIFS('ON Data'!O:O,'ON Data'!$E:$E,12))</f>
        <v>0</v>
      </c>
      <c r="K21" s="232">
        <f xml:space="preserve">
IF($A$4&lt;=12,SUMIFS('ON Data'!P:P,'ON Data'!$D:$D,$A$4,'ON Data'!$E:$E,12),SUMIFS('ON Data'!P:P,'ON Data'!$E:$E,12))</f>
        <v>0</v>
      </c>
      <c r="L21" s="232">
        <f xml:space="preserve">
IF($A$4&lt;=12,SUMIFS('ON Data'!Q:Q,'ON Data'!$D:$D,$A$4,'ON Data'!$E:$E,12),SUMIFS('ON Data'!Q:Q,'ON Data'!$E:$E,12))</f>
        <v>0</v>
      </c>
      <c r="M21" s="232">
        <f xml:space="preserve">
IF($A$4&lt;=12,SUMIFS('ON Data'!R:R,'ON Data'!$D:$D,$A$4,'ON Data'!$E:$E,12),SUMIFS('ON Data'!R:R,'ON Data'!$E:$E,12))</f>
        <v>0</v>
      </c>
      <c r="N21" s="232">
        <f xml:space="preserve">
IF($A$4&lt;=12,SUMIFS('ON Data'!S:S,'ON Data'!$D:$D,$A$4,'ON Data'!$E:$E,12),SUMIFS('ON Data'!S:S,'ON Data'!$E:$E,12))</f>
        <v>0</v>
      </c>
      <c r="O21" s="232">
        <f xml:space="preserve">
IF($A$4&lt;=12,SUMIFS('ON Data'!T:T,'ON Data'!$D:$D,$A$4,'ON Data'!$E:$E,12),SUMIFS('ON Data'!T:T,'ON Data'!$E:$E,12))</f>
        <v>0</v>
      </c>
      <c r="P21" s="232">
        <f xml:space="preserve">
IF($A$4&lt;=12,SUMIFS('ON Data'!U:U,'ON Data'!$D:$D,$A$4,'ON Data'!$E:$E,12),SUMIFS('ON Data'!U:U,'ON Data'!$E:$E,12))</f>
        <v>0</v>
      </c>
      <c r="Q21" s="232">
        <f xml:space="preserve">
IF($A$4&lt;=12,SUMIFS('ON Data'!V:V,'ON Data'!$D:$D,$A$4,'ON Data'!$E:$E,12),SUMIFS('ON Data'!V:V,'ON Data'!$E:$E,12))</f>
        <v>0</v>
      </c>
      <c r="R21" s="232">
        <f xml:space="preserve">
IF($A$4&lt;=12,SUMIFS('ON Data'!W:W,'ON Data'!$D:$D,$A$4,'ON Data'!$E:$E,12),SUMIFS('ON Data'!W:W,'ON Data'!$E:$E,12))</f>
        <v>0</v>
      </c>
      <c r="S21" s="232">
        <f xml:space="preserve">
IF($A$4&lt;=12,SUMIFS('ON Data'!X:X,'ON Data'!$D:$D,$A$4,'ON Data'!$E:$E,12),SUMIFS('ON Data'!X:X,'ON Data'!$E:$E,12))</f>
        <v>0</v>
      </c>
      <c r="T21" s="232">
        <f xml:space="preserve">
IF($A$4&lt;=12,SUMIFS('ON Data'!Y:Y,'ON Data'!$D:$D,$A$4,'ON Data'!$E:$E,12),SUMIFS('ON Data'!Y:Y,'ON Data'!$E:$E,12))</f>
        <v>0</v>
      </c>
      <c r="U21" s="232">
        <f xml:space="preserve">
IF($A$4&lt;=12,SUMIFS('ON Data'!Z:Z,'ON Data'!$D:$D,$A$4,'ON Data'!$E:$E,12),SUMIFS('ON Data'!Z:Z,'ON Data'!$E:$E,12))</f>
        <v>0</v>
      </c>
      <c r="V21" s="232">
        <f xml:space="preserve">
IF($A$4&lt;=12,SUMIFS('ON Data'!AA:AA,'ON Data'!$D:$D,$A$4,'ON Data'!$E:$E,12),SUMIFS('ON Data'!AA:AA,'ON Data'!$E:$E,12))</f>
        <v>0</v>
      </c>
      <c r="W21" s="232">
        <f xml:space="preserve">
IF($A$4&lt;=12,SUMIFS('ON Data'!AB:AB,'ON Data'!$D:$D,$A$4,'ON Data'!$E:$E,12),SUMIFS('ON Data'!AB:AB,'ON Data'!$E:$E,12))</f>
        <v>0</v>
      </c>
      <c r="X21" s="232">
        <f xml:space="preserve">
IF($A$4&lt;=12,SUMIFS('ON Data'!AC:AC,'ON Data'!$D:$D,$A$4,'ON Data'!$E:$E,12),SUMIFS('ON Data'!AC:AC,'ON Data'!$E:$E,12))</f>
        <v>0</v>
      </c>
      <c r="Y21" s="232">
        <f xml:space="preserve">
IF($A$4&lt;=12,SUMIFS('ON Data'!AD:AD,'ON Data'!$D:$D,$A$4,'ON Data'!$E:$E,12),SUMIFS('ON Data'!AD:AD,'ON Data'!$E:$E,12))</f>
        <v>0</v>
      </c>
      <c r="Z21" s="232">
        <f xml:space="preserve">
IF($A$4&lt;=12,SUMIFS('ON Data'!AE:AE,'ON Data'!$D:$D,$A$4,'ON Data'!$E:$E,12),SUMIFS('ON Data'!AE:AE,'ON Data'!$E:$E,12))</f>
        <v>0</v>
      </c>
      <c r="AA21" s="232">
        <f xml:space="preserve">
IF($A$4&lt;=12,SUMIFS('ON Data'!AF:AF,'ON Data'!$D:$D,$A$4,'ON Data'!$E:$E,12),SUMIFS('ON Data'!AF:AF,'ON Data'!$E:$E,12))</f>
        <v>0</v>
      </c>
      <c r="AB21" s="232">
        <f xml:space="preserve">
IF($A$4&lt;=12,SUMIFS('ON Data'!AG:AG,'ON Data'!$D:$D,$A$4,'ON Data'!$E:$E,12),SUMIFS('ON Data'!AG:AG,'ON Data'!$E:$E,12))</f>
        <v>0</v>
      </c>
      <c r="AC21" s="232">
        <f xml:space="preserve">
IF($A$4&lt;=12,SUMIFS('ON Data'!AH:AH,'ON Data'!$D:$D,$A$4,'ON Data'!$E:$E,12),SUMIFS('ON Data'!AH:AH,'ON Data'!$E:$E,12))</f>
        <v>0</v>
      </c>
      <c r="AD21" s="232">
        <f xml:space="preserve">
IF($A$4&lt;=12,SUMIFS('ON Data'!AI:AI,'ON Data'!$D:$D,$A$4,'ON Data'!$E:$E,12),SUMIFS('ON Data'!AI:AI,'ON Data'!$E:$E,12))</f>
        <v>0</v>
      </c>
      <c r="AE21" s="232">
        <f xml:space="preserve">
IF($A$4&lt;=12,SUMIFS('ON Data'!AJ:AJ,'ON Data'!$D:$D,$A$4,'ON Data'!$E:$E,12),SUMIFS('ON Data'!AJ:AJ,'ON Data'!$E:$E,12))</f>
        <v>0</v>
      </c>
      <c r="AF21" s="232">
        <f xml:space="preserve">
IF($A$4&lt;=12,SUMIFS('ON Data'!AK:AK,'ON Data'!$D:$D,$A$4,'ON Data'!$E:$E,12),SUMIFS('ON Data'!AK:AK,'ON Data'!$E:$E,12))</f>
        <v>0</v>
      </c>
      <c r="AG21" s="232">
        <f xml:space="preserve">
IF($A$4&lt;=12,SUMIFS('ON Data'!AL:AL,'ON Data'!$D:$D,$A$4,'ON Data'!$E:$E,12),SUMIFS('ON Data'!AL:AL,'ON Data'!$E:$E,12))</f>
        <v>0</v>
      </c>
      <c r="AH21" s="232">
        <f xml:space="preserve">
IF($A$4&lt;=12,SUMIFS('ON Data'!AN:AN,'ON Data'!$D:$D,$A$4,'ON Data'!$E:$E,12),SUMIFS('ON Data'!AN:AN,'ON Data'!$E:$E,12))</f>
        <v>0</v>
      </c>
      <c r="AI21" s="448">
        <f xml:space="preserve">
IF($A$4&lt;=12,SUMIFS('ON Data'!AO:AO,'ON Data'!$D:$D,$A$4,'ON Data'!$E:$E,12),SUMIFS('ON Data'!AO:AO,'ON Data'!$E:$E,12))</f>
        <v>0</v>
      </c>
      <c r="AJ21" s="459"/>
    </row>
    <row r="22" spans="1:36" ht="15" hidden="1" outlineLevel="1" thickBot="1" x14ac:dyDescent="0.35">
      <c r="A22" s="210" t="s">
        <v>57</v>
      </c>
      <c r="B22" s="286" t="str">
        <f xml:space="preserve">
IF(OR(B21="",B21=0),"",B20/B21)</f>
        <v/>
      </c>
      <c r="C22" s="287" t="str">
        <f t="shared" ref="C22:G22" si="2" xml:space="preserve">
IF(OR(C21="",C21=0),"",C20/C21)</f>
        <v/>
      </c>
      <c r="D22" s="288" t="str">
        <f t="shared" si="2"/>
        <v/>
      </c>
      <c r="E22" s="288" t="str">
        <f t="shared" si="2"/>
        <v/>
      </c>
      <c r="F22" s="288" t="str">
        <f t="shared" si="2"/>
        <v/>
      </c>
      <c r="G22" s="288" t="str">
        <f t="shared" si="2"/>
        <v/>
      </c>
      <c r="H22" s="288" t="str">
        <f t="shared" ref="H22:AI22" si="3" xml:space="preserve">
IF(OR(H21="",H21=0),"",H20/H21)</f>
        <v/>
      </c>
      <c r="I22" s="288" t="str">
        <f t="shared" si="3"/>
        <v/>
      </c>
      <c r="J22" s="288" t="str">
        <f t="shared" si="3"/>
        <v/>
      </c>
      <c r="K22" s="288" t="str">
        <f t="shared" si="3"/>
        <v/>
      </c>
      <c r="L22" s="288" t="str">
        <f t="shared" si="3"/>
        <v/>
      </c>
      <c r="M22" s="288" t="str">
        <f t="shared" si="3"/>
        <v/>
      </c>
      <c r="N22" s="288" t="str">
        <f t="shared" si="3"/>
        <v/>
      </c>
      <c r="O22" s="288" t="str">
        <f t="shared" si="3"/>
        <v/>
      </c>
      <c r="P22" s="288" t="str">
        <f t="shared" si="3"/>
        <v/>
      </c>
      <c r="Q22" s="288" t="str">
        <f t="shared" si="3"/>
        <v/>
      </c>
      <c r="R22" s="288" t="str">
        <f t="shared" si="3"/>
        <v/>
      </c>
      <c r="S22" s="288" t="str">
        <f t="shared" si="3"/>
        <v/>
      </c>
      <c r="T22" s="288" t="str">
        <f t="shared" si="3"/>
        <v/>
      </c>
      <c r="U22" s="288" t="str">
        <f t="shared" si="3"/>
        <v/>
      </c>
      <c r="V22" s="288" t="str">
        <f t="shared" si="3"/>
        <v/>
      </c>
      <c r="W22" s="288" t="str">
        <f t="shared" si="3"/>
        <v/>
      </c>
      <c r="X22" s="288" t="str">
        <f t="shared" si="3"/>
        <v/>
      </c>
      <c r="Y22" s="288" t="str">
        <f t="shared" si="3"/>
        <v/>
      </c>
      <c r="Z22" s="288" t="str">
        <f t="shared" si="3"/>
        <v/>
      </c>
      <c r="AA22" s="288" t="str">
        <f t="shared" si="3"/>
        <v/>
      </c>
      <c r="AB22" s="288" t="str">
        <f t="shared" si="3"/>
        <v/>
      </c>
      <c r="AC22" s="288" t="str">
        <f t="shared" si="3"/>
        <v/>
      </c>
      <c r="AD22" s="288" t="str">
        <f t="shared" si="3"/>
        <v/>
      </c>
      <c r="AE22" s="288" t="str">
        <f t="shared" si="3"/>
        <v/>
      </c>
      <c r="AF22" s="288" t="str">
        <f t="shared" si="3"/>
        <v/>
      </c>
      <c r="AG22" s="288" t="str">
        <f t="shared" si="3"/>
        <v/>
      </c>
      <c r="AH22" s="288" t="str">
        <f t="shared" si="3"/>
        <v/>
      </c>
      <c r="AI22" s="453" t="str">
        <f t="shared" si="3"/>
        <v/>
      </c>
      <c r="AJ22" s="459"/>
    </row>
    <row r="23" spans="1:36" ht="15" hidden="1" outlineLevel="1" thickBot="1" x14ac:dyDescent="0.35">
      <c r="A23" s="218" t="s">
        <v>50</v>
      </c>
      <c r="B23" s="233">
        <f xml:space="preserve">
IF(B21="","",B20-B21)</f>
        <v>3052092</v>
      </c>
      <c r="C23" s="234">
        <f t="shared" ref="C23:G23" si="4" xml:space="preserve">
IF(C21="","",C20-C21)</f>
        <v>339050</v>
      </c>
      <c r="D23" s="235">
        <f t="shared" si="4"/>
        <v>818502</v>
      </c>
      <c r="E23" s="235">
        <f t="shared" si="4"/>
        <v>0</v>
      </c>
      <c r="F23" s="235">
        <f t="shared" si="4"/>
        <v>0</v>
      </c>
      <c r="G23" s="235">
        <f t="shared" si="4"/>
        <v>0</v>
      </c>
      <c r="H23" s="235">
        <f t="shared" ref="H23:AI23" si="5" xml:space="preserve">
IF(H21="","",H20-H21)</f>
        <v>0</v>
      </c>
      <c r="I23" s="235">
        <f t="shared" si="5"/>
        <v>0</v>
      </c>
      <c r="J23" s="235">
        <f t="shared" si="5"/>
        <v>665228</v>
      </c>
      <c r="K23" s="235">
        <f t="shared" si="5"/>
        <v>0</v>
      </c>
      <c r="L23" s="235">
        <f t="shared" si="5"/>
        <v>0</v>
      </c>
      <c r="M23" s="235">
        <f t="shared" si="5"/>
        <v>0</v>
      </c>
      <c r="N23" s="235">
        <f t="shared" si="5"/>
        <v>0</v>
      </c>
      <c r="O23" s="235">
        <f t="shared" si="5"/>
        <v>0</v>
      </c>
      <c r="P23" s="235">
        <f t="shared" si="5"/>
        <v>0</v>
      </c>
      <c r="Q23" s="235">
        <f t="shared" si="5"/>
        <v>0</v>
      </c>
      <c r="R23" s="235">
        <f t="shared" si="5"/>
        <v>0</v>
      </c>
      <c r="S23" s="235">
        <f t="shared" si="5"/>
        <v>0</v>
      </c>
      <c r="T23" s="235">
        <f t="shared" si="5"/>
        <v>0</v>
      </c>
      <c r="U23" s="235">
        <f t="shared" si="5"/>
        <v>0</v>
      </c>
      <c r="V23" s="235">
        <f t="shared" si="5"/>
        <v>731579</v>
      </c>
      <c r="W23" s="235">
        <f t="shared" si="5"/>
        <v>0</v>
      </c>
      <c r="X23" s="235">
        <f t="shared" si="5"/>
        <v>0</v>
      </c>
      <c r="Y23" s="235">
        <f t="shared" si="5"/>
        <v>0</v>
      </c>
      <c r="Z23" s="235">
        <f t="shared" si="5"/>
        <v>0</v>
      </c>
      <c r="AA23" s="235">
        <f t="shared" si="5"/>
        <v>0</v>
      </c>
      <c r="AB23" s="235">
        <f t="shared" si="5"/>
        <v>0</v>
      </c>
      <c r="AC23" s="235">
        <f t="shared" si="5"/>
        <v>6066</v>
      </c>
      <c r="AD23" s="235">
        <f t="shared" si="5"/>
        <v>298747</v>
      </c>
      <c r="AE23" s="235">
        <f t="shared" si="5"/>
        <v>0</v>
      </c>
      <c r="AF23" s="235">
        <f t="shared" si="5"/>
        <v>0</v>
      </c>
      <c r="AG23" s="235">
        <f t="shared" si="5"/>
        <v>0</v>
      </c>
      <c r="AH23" s="235">
        <f t="shared" si="5"/>
        <v>165538</v>
      </c>
      <c r="AI23" s="449">
        <f t="shared" si="5"/>
        <v>27382</v>
      </c>
      <c r="AJ23" s="459"/>
    </row>
    <row r="24" spans="1:36" x14ac:dyDescent="0.3">
      <c r="A24" s="212" t="s">
        <v>160</v>
      </c>
      <c r="B24" s="259" t="s">
        <v>3</v>
      </c>
      <c r="C24" s="460" t="s">
        <v>171</v>
      </c>
      <c r="D24" s="433"/>
      <c r="E24" s="434"/>
      <c r="F24" s="434" t="s">
        <v>172</v>
      </c>
      <c r="G24" s="434"/>
      <c r="H24" s="434"/>
      <c r="I24" s="434"/>
      <c r="J24" s="434"/>
      <c r="K24" s="434"/>
      <c r="L24" s="434"/>
      <c r="M24" s="434"/>
      <c r="N24" s="434"/>
      <c r="O24" s="434"/>
      <c r="P24" s="434"/>
      <c r="Q24" s="434"/>
      <c r="R24" s="434"/>
      <c r="S24" s="434"/>
      <c r="T24" s="434"/>
      <c r="U24" s="434"/>
      <c r="V24" s="434"/>
      <c r="W24" s="434"/>
      <c r="X24" s="434"/>
      <c r="Y24" s="434"/>
      <c r="Z24" s="434"/>
      <c r="AA24" s="434"/>
      <c r="AB24" s="434"/>
      <c r="AC24" s="434"/>
      <c r="AD24" s="434"/>
      <c r="AE24" s="434"/>
      <c r="AF24" s="434"/>
      <c r="AG24" s="434"/>
      <c r="AH24" s="434" t="s">
        <v>173</v>
      </c>
      <c r="AI24" s="454"/>
      <c r="AJ24" s="459"/>
    </row>
    <row r="25" spans="1:36" x14ac:dyDescent="0.3">
      <c r="A25" s="213" t="s">
        <v>55</v>
      </c>
      <c r="B25" s="230">
        <f xml:space="preserve">
SUM(C25:AI25)</f>
        <v>8100</v>
      </c>
      <c r="C25" s="461">
        <f xml:space="preserve">
IF($A$4&lt;=12,SUMIFS('ON Data'!H:H,'ON Data'!$D:$D,$A$4,'ON Data'!$E:$E,10),SUMIFS('ON Data'!H:H,'ON Data'!$E:$E,10))</f>
        <v>8100</v>
      </c>
      <c r="D25" s="435"/>
      <c r="E25" s="436"/>
      <c r="F25" s="436">
        <f xml:space="preserve">
IF($A$4&lt;=12,SUMIFS('ON Data'!K:K,'ON Data'!$D:$D,$A$4,'ON Data'!$E:$E,10),SUMIFS('ON Data'!K:K,'ON Data'!$E:$E,10))</f>
        <v>0</v>
      </c>
      <c r="G25" s="436"/>
      <c r="H25" s="436"/>
      <c r="I25" s="436"/>
      <c r="J25" s="436"/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6"/>
      <c r="X25" s="436"/>
      <c r="Y25" s="436"/>
      <c r="Z25" s="436"/>
      <c r="AA25" s="436"/>
      <c r="AB25" s="436"/>
      <c r="AC25" s="436"/>
      <c r="AD25" s="436"/>
      <c r="AE25" s="436"/>
      <c r="AF25" s="436"/>
      <c r="AG25" s="436"/>
      <c r="AH25" s="436">
        <f xml:space="preserve">
IF($A$4&lt;=12,SUMIFS('ON Data'!AN:AN,'ON Data'!$D:$D,$A$4,'ON Data'!$E:$E,10),SUMIFS('ON Data'!AN:AN,'ON Data'!$E:$E,10))</f>
        <v>0</v>
      </c>
      <c r="AI25" s="455"/>
      <c r="AJ25" s="459"/>
    </row>
    <row r="26" spans="1:36" x14ac:dyDescent="0.3">
      <c r="A26" s="219" t="s">
        <v>170</v>
      </c>
      <c r="B26" s="239">
        <f xml:space="preserve">
SUM(C26:AI26)</f>
        <v>15938.791880051829</v>
      </c>
      <c r="C26" s="461">
        <f xml:space="preserve">
IF($A$4&lt;=12,SUMIFS('ON Data'!H:H,'ON Data'!$D:$D,$A$4,'ON Data'!$E:$E,11),SUMIFS('ON Data'!H:H,'ON Data'!$E:$E,11))</f>
        <v>5938.7918800518291</v>
      </c>
      <c r="D26" s="435"/>
      <c r="E26" s="436"/>
      <c r="F26" s="437">
        <f xml:space="preserve">
IF($A$4&lt;=12,SUMIFS('ON Data'!K:K,'ON Data'!$D:$D,$A$4,'ON Data'!$E:$E,11),SUMIFS('ON Data'!K:K,'ON Data'!$E:$E,11))</f>
        <v>10000</v>
      </c>
      <c r="G26" s="437"/>
      <c r="H26" s="437"/>
      <c r="I26" s="437"/>
      <c r="J26" s="437"/>
      <c r="K26" s="437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X26" s="437"/>
      <c r="Y26" s="437"/>
      <c r="Z26" s="437"/>
      <c r="AA26" s="437"/>
      <c r="AB26" s="437"/>
      <c r="AC26" s="437"/>
      <c r="AD26" s="437"/>
      <c r="AE26" s="437"/>
      <c r="AF26" s="437"/>
      <c r="AG26" s="437"/>
      <c r="AH26" s="436">
        <f xml:space="preserve">
IF($A$4&lt;=12,SUMIFS('ON Data'!AN:AN,'ON Data'!$D:$D,$A$4,'ON Data'!$E:$E,11),SUMIFS('ON Data'!AN:AN,'ON Data'!$E:$E,11))</f>
        <v>0</v>
      </c>
      <c r="AI26" s="456"/>
      <c r="AJ26" s="459"/>
    </row>
    <row r="27" spans="1:36" x14ac:dyDescent="0.3">
      <c r="A27" s="219" t="s">
        <v>57</v>
      </c>
      <c r="B27" s="260">
        <f xml:space="preserve">
IF(B26=0,0,B25/B26)</f>
        <v>0.5081941003406627</v>
      </c>
      <c r="C27" s="462">
        <f xml:space="preserve">
IF(C26=0,0,C25/C26)</f>
        <v>1.3639137662337664</v>
      </c>
      <c r="D27" s="438"/>
      <c r="E27" s="439"/>
      <c r="F27" s="439">
        <f xml:space="preserve">
IF(F26=0,0,F25/F26)</f>
        <v>0</v>
      </c>
      <c r="G27" s="439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39"/>
      <c r="X27" s="439"/>
      <c r="Y27" s="439"/>
      <c r="Z27" s="439"/>
      <c r="AA27" s="439"/>
      <c r="AB27" s="439"/>
      <c r="AC27" s="439"/>
      <c r="AD27" s="439"/>
      <c r="AE27" s="439"/>
      <c r="AF27" s="439"/>
      <c r="AG27" s="439"/>
      <c r="AH27" s="439">
        <f xml:space="preserve">
IF(AH26=0,0,AH25/AH26)</f>
        <v>0</v>
      </c>
      <c r="AI27" s="457"/>
      <c r="AJ27" s="459"/>
    </row>
    <row r="28" spans="1:36" ht="15" thickBot="1" x14ac:dyDescent="0.35">
      <c r="A28" s="219" t="s">
        <v>169</v>
      </c>
      <c r="B28" s="239">
        <f xml:space="preserve">
SUM(C28:AI28)</f>
        <v>7838.7918800518291</v>
      </c>
      <c r="C28" s="463">
        <f xml:space="preserve">
C26-C25</f>
        <v>-2161.2081199481709</v>
      </c>
      <c r="D28" s="440"/>
      <c r="E28" s="441"/>
      <c r="F28" s="441">
        <f xml:space="preserve">
F26-F25</f>
        <v>10000</v>
      </c>
      <c r="G28" s="441"/>
      <c r="H28" s="441"/>
      <c r="I28" s="441"/>
      <c r="J28" s="441"/>
      <c r="K28" s="441"/>
      <c r="L28" s="441"/>
      <c r="M28" s="441"/>
      <c r="N28" s="441"/>
      <c r="O28" s="441"/>
      <c r="P28" s="441"/>
      <c r="Q28" s="441"/>
      <c r="R28" s="441"/>
      <c r="S28" s="441"/>
      <c r="T28" s="441"/>
      <c r="U28" s="441"/>
      <c r="V28" s="441"/>
      <c r="W28" s="441"/>
      <c r="X28" s="441"/>
      <c r="Y28" s="441"/>
      <c r="Z28" s="441"/>
      <c r="AA28" s="441"/>
      <c r="AB28" s="441"/>
      <c r="AC28" s="441"/>
      <c r="AD28" s="441"/>
      <c r="AE28" s="441"/>
      <c r="AF28" s="441"/>
      <c r="AG28" s="441"/>
      <c r="AH28" s="441">
        <f xml:space="preserve">
AH26-AH25</f>
        <v>0</v>
      </c>
      <c r="AI28" s="458"/>
      <c r="AJ28" s="459"/>
    </row>
    <row r="29" spans="1:36" x14ac:dyDescent="0.3">
      <c r="A29" s="220"/>
      <c r="B29" s="220"/>
      <c r="C29" s="221"/>
      <c r="D29" s="220"/>
      <c r="E29" s="220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0"/>
      <c r="AG29" s="220"/>
      <c r="AH29" s="220"/>
      <c r="AI29" s="220"/>
    </row>
    <row r="30" spans="1:36" x14ac:dyDescent="0.3">
      <c r="A30" s="88" t="s">
        <v>124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24"/>
      <c r="AI30" s="124"/>
    </row>
    <row r="31" spans="1:36" x14ac:dyDescent="0.3">
      <c r="A31" s="89" t="s">
        <v>167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24"/>
      <c r="AI31" s="124"/>
    </row>
    <row r="32" spans="1:36" ht="14.4" customHeight="1" x14ac:dyDescent="0.3">
      <c r="A32" s="256" t="s">
        <v>164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</row>
    <row r="33" spans="1:1" x14ac:dyDescent="0.3">
      <c r="A33" s="258" t="s">
        <v>174</v>
      </c>
    </row>
    <row r="34" spans="1:1" x14ac:dyDescent="0.3">
      <c r="A34" s="258" t="s">
        <v>175</v>
      </c>
    </row>
    <row r="35" spans="1:1" x14ac:dyDescent="0.3">
      <c r="A35" s="258" t="s">
        <v>176</v>
      </c>
    </row>
    <row r="36" spans="1:1" x14ac:dyDescent="0.3">
      <c r="A36" s="258" t="s">
        <v>177</v>
      </c>
    </row>
  </sheetData>
  <mergeCells count="17">
    <mergeCell ref="C28:E28"/>
    <mergeCell ref="AH27:AI27"/>
    <mergeCell ref="AH28:AI28"/>
    <mergeCell ref="C27:E27"/>
    <mergeCell ref="F27:AG27"/>
    <mergeCell ref="F28:AG28"/>
    <mergeCell ref="AH26:AI26"/>
    <mergeCell ref="C25:E25"/>
    <mergeCell ref="C26:E26"/>
    <mergeCell ref="F24:AG24"/>
    <mergeCell ref="F25:AG25"/>
    <mergeCell ref="F26:AG26"/>
    <mergeCell ref="A1:AI1"/>
    <mergeCell ref="B3:B4"/>
    <mergeCell ref="AH24:AI24"/>
    <mergeCell ref="AH25:AI25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I22">
    <cfRule type="cellIs" dxfId="2" priority="2" operator="greaterThan">
      <formula>1</formula>
    </cfRule>
  </conditionalFormatting>
  <conditionalFormatting sqref="B23:AI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0"/>
  <sheetViews>
    <sheetView showGridLines="0" showRowColHeaders="0" workbookViewId="0"/>
  </sheetViews>
  <sheetFormatPr defaultRowHeight="14.4" x14ac:dyDescent="0.3"/>
  <cols>
    <col min="1" max="16384" width="8.88671875" style="199"/>
  </cols>
  <sheetData>
    <row r="1" spans="1:41" x14ac:dyDescent="0.3">
      <c r="A1" s="199" t="s">
        <v>560</v>
      </c>
    </row>
    <row r="2" spans="1:41" x14ac:dyDescent="0.3">
      <c r="A2" s="203" t="s">
        <v>242</v>
      </c>
    </row>
    <row r="3" spans="1:41" x14ac:dyDescent="0.3">
      <c r="A3" s="199" t="s">
        <v>133</v>
      </c>
      <c r="B3" s="224">
        <v>2015</v>
      </c>
      <c r="D3" s="200">
        <f>MAX(D5:D1048576)</f>
        <v>3</v>
      </c>
      <c r="F3" s="200">
        <f>SUMIF($E5:$E1048576,"&lt;10",F5:F1048576)</f>
        <v>3113251.4000000004</v>
      </c>
      <c r="G3" s="200">
        <f t="shared" ref="G3:AO3" si="0">SUMIF($E5:$E1048576,"&lt;10",G5:G1048576)</f>
        <v>341617</v>
      </c>
      <c r="H3" s="200">
        <f t="shared" si="0"/>
        <v>821383.4</v>
      </c>
      <c r="I3" s="200">
        <f t="shared" si="0"/>
        <v>0</v>
      </c>
      <c r="J3" s="200">
        <f t="shared" si="0"/>
        <v>0</v>
      </c>
      <c r="K3" s="200">
        <f t="shared" si="0"/>
        <v>0</v>
      </c>
      <c r="L3" s="200">
        <f t="shared" si="0"/>
        <v>0</v>
      </c>
      <c r="M3" s="200">
        <f t="shared" si="0"/>
        <v>0</v>
      </c>
      <c r="N3" s="200">
        <f t="shared" si="0"/>
        <v>0</v>
      </c>
      <c r="O3" s="200">
        <f t="shared" si="0"/>
        <v>669327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0</v>
      </c>
      <c r="X3" s="200">
        <f t="shared" si="0"/>
        <v>0</v>
      </c>
      <c r="Y3" s="200">
        <f t="shared" si="0"/>
        <v>0</v>
      </c>
      <c r="Z3" s="200">
        <f t="shared" si="0"/>
        <v>0</v>
      </c>
      <c r="AA3" s="200">
        <f t="shared" si="0"/>
        <v>754147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0</v>
      </c>
      <c r="AH3" s="200">
        <f t="shared" si="0"/>
        <v>8658</v>
      </c>
      <c r="AI3" s="200">
        <f t="shared" si="0"/>
        <v>323782</v>
      </c>
      <c r="AJ3" s="200">
        <f t="shared" si="0"/>
        <v>0</v>
      </c>
      <c r="AK3" s="200">
        <f t="shared" si="0"/>
        <v>0</v>
      </c>
      <c r="AL3" s="200">
        <f t="shared" si="0"/>
        <v>0</v>
      </c>
      <c r="AM3" s="200">
        <f t="shared" si="0"/>
        <v>0</v>
      </c>
      <c r="AN3" s="200">
        <f t="shared" si="0"/>
        <v>166737.5</v>
      </c>
      <c r="AO3" s="200">
        <f t="shared" si="0"/>
        <v>27599.5</v>
      </c>
    </row>
    <row r="4" spans="1:41" x14ac:dyDescent="0.3">
      <c r="A4" s="199" t="s">
        <v>134</v>
      </c>
      <c r="B4" s="224">
        <v>1</v>
      </c>
      <c r="C4" s="201" t="s">
        <v>5</v>
      </c>
      <c r="D4" s="202" t="s">
        <v>49</v>
      </c>
      <c r="E4" s="202" t="s">
        <v>128</v>
      </c>
      <c r="F4" s="202" t="s">
        <v>3</v>
      </c>
      <c r="G4" s="202" t="s">
        <v>129</v>
      </c>
      <c r="H4" s="202" t="s">
        <v>130</v>
      </c>
      <c r="I4" s="202" t="s">
        <v>131</v>
      </c>
      <c r="J4" s="202" t="s">
        <v>132</v>
      </c>
      <c r="K4" s="202">
        <v>305</v>
      </c>
      <c r="L4" s="202">
        <v>306</v>
      </c>
      <c r="M4" s="202">
        <v>407</v>
      </c>
      <c r="N4" s="202">
        <v>408</v>
      </c>
      <c r="O4" s="202">
        <v>409</v>
      </c>
      <c r="P4" s="202">
        <v>410</v>
      </c>
      <c r="Q4" s="202">
        <v>415</v>
      </c>
      <c r="R4" s="202">
        <v>416</v>
      </c>
      <c r="S4" s="202">
        <v>418</v>
      </c>
      <c r="T4" s="202">
        <v>419</v>
      </c>
      <c r="U4" s="202">
        <v>420</v>
      </c>
      <c r="V4" s="202">
        <v>421</v>
      </c>
      <c r="W4" s="202">
        <v>522</v>
      </c>
      <c r="X4" s="202">
        <v>523</v>
      </c>
      <c r="Y4" s="202">
        <v>524</v>
      </c>
      <c r="Z4" s="202">
        <v>525</v>
      </c>
      <c r="AA4" s="202">
        <v>526</v>
      </c>
      <c r="AB4" s="202">
        <v>527</v>
      </c>
      <c r="AC4" s="202">
        <v>528</v>
      </c>
      <c r="AD4" s="202">
        <v>629</v>
      </c>
      <c r="AE4" s="202">
        <v>630</v>
      </c>
      <c r="AF4" s="202">
        <v>636</v>
      </c>
      <c r="AG4" s="202">
        <v>637</v>
      </c>
      <c r="AH4" s="202">
        <v>640</v>
      </c>
      <c r="AI4" s="202">
        <v>642</v>
      </c>
      <c r="AJ4" s="202">
        <v>743</v>
      </c>
      <c r="AK4" s="202">
        <v>745</v>
      </c>
      <c r="AL4" s="202">
        <v>746</v>
      </c>
      <c r="AM4" s="202">
        <v>747</v>
      </c>
      <c r="AN4" s="202">
        <v>930</v>
      </c>
      <c r="AO4" s="202">
        <v>940</v>
      </c>
    </row>
    <row r="5" spans="1:41" x14ac:dyDescent="0.3">
      <c r="A5" s="199" t="s">
        <v>135</v>
      </c>
      <c r="B5" s="224">
        <v>2</v>
      </c>
      <c r="C5" s="199">
        <v>38</v>
      </c>
      <c r="D5" s="199">
        <v>1</v>
      </c>
      <c r="E5" s="199">
        <v>1</v>
      </c>
      <c r="F5" s="199">
        <v>26.8</v>
      </c>
      <c r="G5" s="199">
        <v>0</v>
      </c>
      <c r="H5" s="199">
        <v>5.8</v>
      </c>
      <c r="I5" s="199">
        <v>0</v>
      </c>
      <c r="J5" s="199">
        <v>0</v>
      </c>
      <c r="K5" s="199">
        <v>0</v>
      </c>
      <c r="L5" s="199">
        <v>0</v>
      </c>
      <c r="M5" s="199">
        <v>0</v>
      </c>
      <c r="N5" s="199">
        <v>0</v>
      </c>
      <c r="O5" s="199">
        <v>9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0</v>
      </c>
      <c r="X5" s="199">
        <v>0</v>
      </c>
      <c r="Y5" s="199">
        <v>0</v>
      </c>
      <c r="Z5" s="199">
        <v>0</v>
      </c>
      <c r="AA5" s="199">
        <v>4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0</v>
      </c>
      <c r="AI5" s="199">
        <v>5</v>
      </c>
      <c r="AJ5" s="199">
        <v>0</v>
      </c>
      <c r="AK5" s="199">
        <v>0</v>
      </c>
      <c r="AL5" s="199">
        <v>0</v>
      </c>
      <c r="AM5" s="199">
        <v>0</v>
      </c>
      <c r="AN5" s="199">
        <v>2.5</v>
      </c>
      <c r="AO5" s="199">
        <v>0.5</v>
      </c>
    </row>
    <row r="6" spans="1:41" x14ac:dyDescent="0.3">
      <c r="A6" s="199" t="s">
        <v>136</v>
      </c>
      <c r="B6" s="224">
        <v>3</v>
      </c>
      <c r="C6" s="199">
        <v>38</v>
      </c>
      <c r="D6" s="199">
        <v>1</v>
      </c>
      <c r="E6" s="199">
        <v>2</v>
      </c>
      <c r="F6" s="199">
        <v>4260</v>
      </c>
      <c r="G6" s="199">
        <v>0</v>
      </c>
      <c r="H6" s="199">
        <v>1008</v>
      </c>
      <c r="I6" s="199">
        <v>0</v>
      </c>
      <c r="J6" s="199">
        <v>0</v>
      </c>
      <c r="K6" s="199">
        <v>0</v>
      </c>
      <c r="L6" s="199">
        <v>0</v>
      </c>
      <c r="M6" s="199">
        <v>0</v>
      </c>
      <c r="N6" s="199">
        <v>0</v>
      </c>
      <c r="O6" s="199">
        <v>1352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0</v>
      </c>
      <c r="X6" s="199">
        <v>0</v>
      </c>
      <c r="Y6" s="199">
        <v>0</v>
      </c>
      <c r="Z6" s="199">
        <v>0</v>
      </c>
      <c r="AA6" s="199">
        <v>592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0</v>
      </c>
      <c r="AI6" s="199">
        <v>824</v>
      </c>
      <c r="AJ6" s="199">
        <v>0</v>
      </c>
      <c r="AK6" s="199">
        <v>0</v>
      </c>
      <c r="AL6" s="199">
        <v>0</v>
      </c>
      <c r="AM6" s="199">
        <v>0</v>
      </c>
      <c r="AN6" s="199">
        <v>396</v>
      </c>
      <c r="AO6" s="199">
        <v>88</v>
      </c>
    </row>
    <row r="7" spans="1:41" x14ac:dyDescent="0.3">
      <c r="A7" s="199" t="s">
        <v>137</v>
      </c>
      <c r="B7" s="224">
        <v>4</v>
      </c>
      <c r="C7" s="199">
        <v>38</v>
      </c>
      <c r="D7" s="199">
        <v>1</v>
      </c>
      <c r="E7" s="199">
        <v>3</v>
      </c>
      <c r="F7" s="199">
        <v>32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  <c r="Z7" s="199">
        <v>0</v>
      </c>
      <c r="AA7" s="199">
        <v>32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  <c r="AO7" s="199">
        <v>0</v>
      </c>
    </row>
    <row r="8" spans="1:41" x14ac:dyDescent="0.3">
      <c r="A8" s="199" t="s">
        <v>138</v>
      </c>
      <c r="B8" s="224">
        <v>5</v>
      </c>
      <c r="C8" s="199">
        <v>38</v>
      </c>
      <c r="D8" s="199">
        <v>1</v>
      </c>
      <c r="E8" s="199">
        <v>4</v>
      </c>
      <c r="F8" s="199">
        <v>109.5</v>
      </c>
      <c r="G8" s="199">
        <v>0</v>
      </c>
      <c r="H8" s="199">
        <v>0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0</v>
      </c>
      <c r="Z8" s="199">
        <v>0</v>
      </c>
      <c r="AA8" s="199">
        <v>88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3</v>
      </c>
      <c r="AI8" s="199">
        <v>18.5</v>
      </c>
      <c r="AJ8" s="199">
        <v>0</v>
      </c>
      <c r="AK8" s="199">
        <v>0</v>
      </c>
      <c r="AL8" s="199">
        <v>0</v>
      </c>
      <c r="AM8" s="199">
        <v>0</v>
      </c>
      <c r="AN8" s="199">
        <v>0</v>
      </c>
      <c r="AO8" s="199">
        <v>0</v>
      </c>
    </row>
    <row r="9" spans="1:41" x14ac:dyDescent="0.3">
      <c r="A9" s="199" t="s">
        <v>139</v>
      </c>
      <c r="B9" s="224">
        <v>6</v>
      </c>
      <c r="C9" s="199">
        <v>38</v>
      </c>
      <c r="D9" s="199">
        <v>1</v>
      </c>
      <c r="E9" s="199">
        <v>5</v>
      </c>
      <c r="F9" s="199">
        <v>863</v>
      </c>
      <c r="G9" s="199">
        <v>863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199">
        <v>0</v>
      </c>
      <c r="AN9" s="199">
        <v>0</v>
      </c>
      <c r="AO9" s="199">
        <v>0</v>
      </c>
    </row>
    <row r="10" spans="1:41" x14ac:dyDescent="0.3">
      <c r="A10" s="199" t="s">
        <v>140</v>
      </c>
      <c r="B10" s="224">
        <v>7</v>
      </c>
      <c r="C10" s="199">
        <v>38</v>
      </c>
      <c r="D10" s="199">
        <v>1</v>
      </c>
      <c r="E10" s="199">
        <v>6</v>
      </c>
      <c r="F10" s="199">
        <v>1041360</v>
      </c>
      <c r="G10" s="199">
        <v>115440</v>
      </c>
      <c r="H10" s="199">
        <v>274440</v>
      </c>
      <c r="I10" s="199">
        <v>0</v>
      </c>
      <c r="J10" s="199">
        <v>0</v>
      </c>
      <c r="K10" s="199">
        <v>0</v>
      </c>
      <c r="L10" s="199">
        <v>0</v>
      </c>
      <c r="M10" s="199">
        <v>0</v>
      </c>
      <c r="N10" s="199">
        <v>0</v>
      </c>
      <c r="O10" s="199">
        <v>223139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0</v>
      </c>
      <c r="X10" s="199">
        <v>0</v>
      </c>
      <c r="Y10" s="199">
        <v>0</v>
      </c>
      <c r="Z10" s="199">
        <v>0</v>
      </c>
      <c r="AA10" s="199">
        <v>260563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3043</v>
      </c>
      <c r="AI10" s="199">
        <v>100266</v>
      </c>
      <c r="AJ10" s="199">
        <v>0</v>
      </c>
      <c r="AK10" s="199">
        <v>0</v>
      </c>
      <c r="AL10" s="199">
        <v>0</v>
      </c>
      <c r="AM10" s="199">
        <v>0</v>
      </c>
      <c r="AN10" s="199">
        <v>55509</v>
      </c>
      <c r="AO10" s="199">
        <v>8960</v>
      </c>
    </row>
    <row r="11" spans="1:41" x14ac:dyDescent="0.3">
      <c r="A11" s="199" t="s">
        <v>141</v>
      </c>
      <c r="B11" s="224">
        <v>8</v>
      </c>
      <c r="C11" s="199">
        <v>38</v>
      </c>
      <c r="D11" s="199">
        <v>1</v>
      </c>
      <c r="E11" s="199">
        <v>9</v>
      </c>
      <c r="F11" s="199">
        <v>16456</v>
      </c>
      <c r="G11" s="199">
        <v>0</v>
      </c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0</v>
      </c>
      <c r="X11" s="199">
        <v>0</v>
      </c>
      <c r="Y11" s="199">
        <v>0</v>
      </c>
      <c r="Z11" s="199">
        <v>0</v>
      </c>
      <c r="AA11" s="199">
        <v>7258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1540</v>
      </c>
      <c r="AI11" s="199">
        <v>7658</v>
      </c>
      <c r="AJ11" s="199">
        <v>0</v>
      </c>
      <c r="AK11" s="199">
        <v>0</v>
      </c>
      <c r="AL11" s="199">
        <v>0</v>
      </c>
      <c r="AM11" s="199">
        <v>0</v>
      </c>
      <c r="AN11" s="199">
        <v>0</v>
      </c>
      <c r="AO11" s="199">
        <v>0</v>
      </c>
    </row>
    <row r="12" spans="1:41" x14ac:dyDescent="0.3">
      <c r="A12" s="199" t="s">
        <v>142</v>
      </c>
      <c r="B12" s="224">
        <v>9</v>
      </c>
      <c r="C12" s="199">
        <v>38</v>
      </c>
      <c r="D12" s="199">
        <v>1</v>
      </c>
      <c r="E12" s="199">
        <v>11</v>
      </c>
      <c r="F12" s="199">
        <v>5312.930626683943</v>
      </c>
      <c r="G12" s="199">
        <v>0</v>
      </c>
      <c r="H12" s="199">
        <v>1979.5972933506098</v>
      </c>
      <c r="I12" s="199">
        <v>0</v>
      </c>
      <c r="J12" s="199">
        <v>0</v>
      </c>
      <c r="K12" s="199">
        <v>3333.3333333333335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199">
        <v>0</v>
      </c>
      <c r="AN12" s="199">
        <v>0</v>
      </c>
      <c r="AO12" s="199">
        <v>0</v>
      </c>
    </row>
    <row r="13" spans="1:41" x14ac:dyDescent="0.3">
      <c r="A13" s="199" t="s">
        <v>143</v>
      </c>
      <c r="B13" s="224">
        <v>10</v>
      </c>
      <c r="C13" s="199">
        <v>38</v>
      </c>
      <c r="D13" s="199">
        <v>2</v>
      </c>
      <c r="E13" s="199">
        <v>1</v>
      </c>
      <c r="F13" s="199">
        <v>26.8</v>
      </c>
      <c r="G13" s="199">
        <v>0</v>
      </c>
      <c r="H13" s="199">
        <v>5.8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v>0</v>
      </c>
      <c r="O13" s="199">
        <v>9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4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5</v>
      </c>
      <c r="AJ13" s="199">
        <v>0</v>
      </c>
      <c r="AK13" s="199">
        <v>0</v>
      </c>
      <c r="AL13" s="199">
        <v>0</v>
      </c>
      <c r="AM13" s="199">
        <v>0</v>
      </c>
      <c r="AN13" s="199">
        <v>2.5</v>
      </c>
      <c r="AO13" s="199">
        <v>0.5</v>
      </c>
    </row>
    <row r="14" spans="1:41" x14ac:dyDescent="0.3">
      <c r="A14" s="199" t="s">
        <v>144</v>
      </c>
      <c r="B14" s="224">
        <v>11</v>
      </c>
      <c r="C14" s="199">
        <v>38</v>
      </c>
      <c r="D14" s="199">
        <v>2</v>
      </c>
      <c r="E14" s="199">
        <v>2</v>
      </c>
      <c r="F14" s="199">
        <v>3898.4</v>
      </c>
      <c r="G14" s="199">
        <v>0</v>
      </c>
      <c r="H14" s="199">
        <v>904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0</v>
      </c>
      <c r="O14" s="199">
        <v>1240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0</v>
      </c>
      <c r="Y14" s="199">
        <v>0</v>
      </c>
      <c r="Z14" s="199">
        <v>0</v>
      </c>
      <c r="AA14" s="199">
        <v>526.4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784</v>
      </c>
      <c r="AJ14" s="199">
        <v>0</v>
      </c>
      <c r="AK14" s="199">
        <v>0</v>
      </c>
      <c r="AL14" s="199">
        <v>0</v>
      </c>
      <c r="AM14" s="199">
        <v>0</v>
      </c>
      <c r="AN14" s="199">
        <v>364</v>
      </c>
      <c r="AO14" s="199">
        <v>80</v>
      </c>
    </row>
    <row r="15" spans="1:41" x14ac:dyDescent="0.3">
      <c r="A15" s="199" t="s">
        <v>145</v>
      </c>
      <c r="B15" s="224">
        <v>12</v>
      </c>
      <c r="C15" s="199">
        <v>38</v>
      </c>
      <c r="D15" s="199">
        <v>2</v>
      </c>
      <c r="E15" s="199">
        <v>3</v>
      </c>
      <c r="F15" s="199">
        <v>33.6</v>
      </c>
      <c r="G15" s="199">
        <v>0</v>
      </c>
      <c r="H15" s="199">
        <v>0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0</v>
      </c>
      <c r="X15" s="199">
        <v>0</v>
      </c>
      <c r="Y15" s="199">
        <v>0</v>
      </c>
      <c r="Z15" s="199">
        <v>0</v>
      </c>
      <c r="AA15" s="199">
        <v>33.6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0</v>
      </c>
      <c r="AM15" s="199">
        <v>0</v>
      </c>
      <c r="AN15" s="199">
        <v>0</v>
      </c>
      <c r="AO15" s="199">
        <v>0</v>
      </c>
    </row>
    <row r="16" spans="1:41" x14ac:dyDescent="0.3">
      <c r="A16" s="199" t="s">
        <v>133</v>
      </c>
      <c r="B16" s="224">
        <v>2015</v>
      </c>
      <c r="C16" s="199">
        <v>38</v>
      </c>
      <c r="D16" s="199">
        <v>2</v>
      </c>
      <c r="E16" s="199">
        <v>4</v>
      </c>
      <c r="F16" s="199">
        <v>101.5</v>
      </c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0</v>
      </c>
      <c r="Z16" s="199">
        <v>0</v>
      </c>
      <c r="AA16" s="199">
        <v>79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6</v>
      </c>
      <c r="AI16" s="199">
        <v>16.5</v>
      </c>
      <c r="AJ16" s="199">
        <v>0</v>
      </c>
      <c r="AK16" s="199">
        <v>0</v>
      </c>
      <c r="AL16" s="199">
        <v>0</v>
      </c>
      <c r="AM16" s="199">
        <v>0</v>
      </c>
      <c r="AN16" s="199">
        <v>0</v>
      </c>
      <c r="AO16" s="199">
        <v>0</v>
      </c>
    </row>
    <row r="17" spans="3:41" x14ac:dyDescent="0.3">
      <c r="C17" s="199">
        <v>38</v>
      </c>
      <c r="D17" s="199">
        <v>2</v>
      </c>
      <c r="E17" s="199">
        <v>5</v>
      </c>
      <c r="F17" s="199">
        <v>803</v>
      </c>
      <c r="G17" s="199">
        <v>803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199">
        <v>0</v>
      </c>
      <c r="Y17" s="199">
        <v>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0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  <c r="AO17" s="199">
        <v>0</v>
      </c>
    </row>
    <row r="18" spans="3:41" x14ac:dyDescent="0.3">
      <c r="C18" s="199">
        <v>38</v>
      </c>
      <c r="D18" s="199">
        <v>2</v>
      </c>
      <c r="E18" s="199">
        <v>6</v>
      </c>
      <c r="F18" s="199">
        <v>1003885</v>
      </c>
      <c r="G18" s="199">
        <v>105270</v>
      </c>
      <c r="H18" s="199">
        <v>277682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99">
        <v>0</v>
      </c>
      <c r="O18" s="199">
        <v>218248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  <c r="Z18" s="199">
        <v>0</v>
      </c>
      <c r="AA18" s="199">
        <v>236944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3023</v>
      </c>
      <c r="AI18" s="199">
        <v>98735</v>
      </c>
      <c r="AJ18" s="199">
        <v>0</v>
      </c>
      <c r="AK18" s="199">
        <v>0</v>
      </c>
      <c r="AL18" s="199">
        <v>0</v>
      </c>
      <c r="AM18" s="199">
        <v>0</v>
      </c>
      <c r="AN18" s="199">
        <v>55023</v>
      </c>
      <c r="AO18" s="199">
        <v>8960</v>
      </c>
    </row>
    <row r="19" spans="3:41" x14ac:dyDescent="0.3">
      <c r="C19" s="199">
        <v>38</v>
      </c>
      <c r="D19" s="199">
        <v>2</v>
      </c>
      <c r="E19" s="199">
        <v>9</v>
      </c>
      <c r="F19" s="199">
        <v>14763</v>
      </c>
      <c r="G19" s="199">
        <v>0</v>
      </c>
      <c r="H19" s="199">
        <v>0</v>
      </c>
      <c r="I19" s="199">
        <v>0</v>
      </c>
      <c r="J19" s="199">
        <v>0</v>
      </c>
      <c r="K19" s="199">
        <v>0</v>
      </c>
      <c r="L19" s="199">
        <v>0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199">
        <v>0</v>
      </c>
      <c r="Y19" s="199">
        <v>0</v>
      </c>
      <c r="Z19" s="199">
        <v>0</v>
      </c>
      <c r="AA19" s="199">
        <v>6550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0</v>
      </c>
      <c r="AH19" s="199">
        <v>1043</v>
      </c>
      <c r="AI19" s="199">
        <v>7170</v>
      </c>
      <c r="AJ19" s="199">
        <v>0</v>
      </c>
      <c r="AK19" s="199">
        <v>0</v>
      </c>
      <c r="AL19" s="199">
        <v>0</v>
      </c>
      <c r="AM19" s="199">
        <v>0</v>
      </c>
      <c r="AN19" s="199">
        <v>0</v>
      </c>
      <c r="AO19" s="199">
        <v>0</v>
      </c>
    </row>
    <row r="20" spans="3:41" x14ac:dyDescent="0.3">
      <c r="C20" s="199">
        <v>38</v>
      </c>
      <c r="D20" s="199">
        <v>2</v>
      </c>
      <c r="E20" s="199">
        <v>10</v>
      </c>
      <c r="F20" s="199">
        <v>7900</v>
      </c>
      <c r="G20" s="199">
        <v>0</v>
      </c>
      <c r="H20" s="199">
        <v>7900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0</v>
      </c>
      <c r="Z20" s="199">
        <v>0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0</v>
      </c>
      <c r="AH20" s="199">
        <v>0</v>
      </c>
      <c r="AI20" s="199">
        <v>0</v>
      </c>
      <c r="AJ20" s="199">
        <v>0</v>
      </c>
      <c r="AK20" s="199">
        <v>0</v>
      </c>
      <c r="AL20" s="199">
        <v>0</v>
      </c>
      <c r="AM20" s="199">
        <v>0</v>
      </c>
      <c r="AN20" s="199">
        <v>0</v>
      </c>
      <c r="AO20" s="199">
        <v>0</v>
      </c>
    </row>
    <row r="21" spans="3:41" x14ac:dyDescent="0.3">
      <c r="C21" s="199">
        <v>38</v>
      </c>
      <c r="D21" s="199">
        <v>2</v>
      </c>
      <c r="E21" s="199">
        <v>11</v>
      </c>
      <c r="F21" s="199">
        <v>5312.930626683943</v>
      </c>
      <c r="G21" s="199">
        <v>0</v>
      </c>
      <c r="H21" s="199">
        <v>1979.5972933506098</v>
      </c>
      <c r="I21" s="199">
        <v>0</v>
      </c>
      <c r="J21" s="199">
        <v>0</v>
      </c>
      <c r="K21" s="199">
        <v>3333.3333333333335</v>
      </c>
      <c r="L21" s="199">
        <v>0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  <c r="Y21" s="199">
        <v>0</v>
      </c>
      <c r="Z21" s="199">
        <v>0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0</v>
      </c>
      <c r="AI21" s="199">
        <v>0</v>
      </c>
      <c r="AJ21" s="199">
        <v>0</v>
      </c>
      <c r="AK21" s="199">
        <v>0</v>
      </c>
      <c r="AL21" s="199">
        <v>0</v>
      </c>
      <c r="AM21" s="199">
        <v>0</v>
      </c>
      <c r="AN21" s="199">
        <v>0</v>
      </c>
      <c r="AO21" s="199">
        <v>0</v>
      </c>
    </row>
    <row r="22" spans="3:41" x14ac:dyDescent="0.3">
      <c r="C22" s="199">
        <v>38</v>
      </c>
      <c r="D22" s="199">
        <v>3</v>
      </c>
      <c r="E22" s="199">
        <v>1</v>
      </c>
      <c r="F22" s="199">
        <v>26.8</v>
      </c>
      <c r="G22" s="199">
        <v>0</v>
      </c>
      <c r="H22" s="199">
        <v>5.8</v>
      </c>
      <c r="I22" s="199">
        <v>0</v>
      </c>
      <c r="J22" s="199">
        <v>0</v>
      </c>
      <c r="K22" s="199">
        <v>0</v>
      </c>
      <c r="L22" s="199">
        <v>0</v>
      </c>
      <c r="M22" s="199">
        <v>0</v>
      </c>
      <c r="N22" s="199">
        <v>0</v>
      </c>
      <c r="O22" s="199">
        <v>9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  <c r="Y22" s="199">
        <v>0</v>
      </c>
      <c r="Z22" s="199">
        <v>0</v>
      </c>
      <c r="AA22" s="199">
        <v>4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5</v>
      </c>
      <c r="AJ22" s="199">
        <v>0</v>
      </c>
      <c r="AK22" s="199">
        <v>0</v>
      </c>
      <c r="AL22" s="199">
        <v>0</v>
      </c>
      <c r="AM22" s="199">
        <v>0</v>
      </c>
      <c r="AN22" s="199">
        <v>2.5</v>
      </c>
      <c r="AO22" s="199">
        <v>0.5</v>
      </c>
    </row>
    <row r="23" spans="3:41" x14ac:dyDescent="0.3">
      <c r="C23" s="199">
        <v>38</v>
      </c>
      <c r="D23" s="199">
        <v>3</v>
      </c>
      <c r="E23" s="199">
        <v>2</v>
      </c>
      <c r="F23" s="199">
        <v>4394.3999999999996</v>
      </c>
      <c r="G23" s="199">
        <v>0</v>
      </c>
      <c r="H23" s="199">
        <v>952</v>
      </c>
      <c r="I23" s="199">
        <v>0</v>
      </c>
      <c r="J23" s="199">
        <v>0</v>
      </c>
      <c r="K23" s="199">
        <v>0</v>
      </c>
      <c r="L23" s="199">
        <v>0</v>
      </c>
      <c r="M23" s="199">
        <v>0</v>
      </c>
      <c r="N23" s="199">
        <v>0</v>
      </c>
      <c r="O23" s="199">
        <v>1480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0</v>
      </c>
      <c r="Z23" s="199">
        <v>0</v>
      </c>
      <c r="AA23" s="199">
        <v>662.4</v>
      </c>
      <c r="AB23" s="199">
        <v>0</v>
      </c>
      <c r="AC23" s="199">
        <v>0</v>
      </c>
      <c r="AD23" s="199">
        <v>0</v>
      </c>
      <c r="AE23" s="199">
        <v>0</v>
      </c>
      <c r="AF23" s="199">
        <v>0</v>
      </c>
      <c r="AG23" s="199">
        <v>0</v>
      </c>
      <c r="AH23" s="199">
        <v>0</v>
      </c>
      <c r="AI23" s="199">
        <v>820</v>
      </c>
      <c r="AJ23" s="199">
        <v>0</v>
      </c>
      <c r="AK23" s="199">
        <v>0</v>
      </c>
      <c r="AL23" s="199">
        <v>0</v>
      </c>
      <c r="AM23" s="199">
        <v>0</v>
      </c>
      <c r="AN23" s="199">
        <v>432</v>
      </c>
      <c r="AO23" s="199">
        <v>48</v>
      </c>
    </row>
    <row r="24" spans="3:41" x14ac:dyDescent="0.3">
      <c r="C24" s="199">
        <v>38</v>
      </c>
      <c r="D24" s="199">
        <v>3</v>
      </c>
      <c r="E24" s="199">
        <v>3</v>
      </c>
      <c r="F24" s="199">
        <v>41.6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0</v>
      </c>
      <c r="Z24" s="199">
        <v>0</v>
      </c>
      <c r="AA24" s="199">
        <v>41.6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199">
        <v>0</v>
      </c>
      <c r="AI24" s="199">
        <v>0</v>
      </c>
      <c r="AJ24" s="199">
        <v>0</v>
      </c>
      <c r="AK24" s="199">
        <v>0</v>
      </c>
      <c r="AL24" s="199">
        <v>0</v>
      </c>
      <c r="AM24" s="199">
        <v>0</v>
      </c>
      <c r="AN24" s="199">
        <v>0</v>
      </c>
      <c r="AO24" s="199">
        <v>0</v>
      </c>
    </row>
    <row r="25" spans="3:41" x14ac:dyDescent="0.3">
      <c r="C25" s="199">
        <v>38</v>
      </c>
      <c r="D25" s="199">
        <v>3</v>
      </c>
      <c r="E25" s="199">
        <v>4</v>
      </c>
      <c r="F25" s="199">
        <v>88</v>
      </c>
      <c r="G25" s="199">
        <v>0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0</v>
      </c>
      <c r="X25" s="199">
        <v>0</v>
      </c>
      <c r="Y25" s="199">
        <v>0</v>
      </c>
      <c r="Z25" s="199">
        <v>0</v>
      </c>
      <c r="AA25" s="199">
        <v>78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199">
        <v>0</v>
      </c>
      <c r="AI25" s="199">
        <v>10</v>
      </c>
      <c r="AJ25" s="199">
        <v>0</v>
      </c>
      <c r="AK25" s="199">
        <v>0</v>
      </c>
      <c r="AL25" s="199">
        <v>0</v>
      </c>
      <c r="AM25" s="199">
        <v>0</v>
      </c>
      <c r="AN25" s="199">
        <v>0</v>
      </c>
      <c r="AO25" s="199">
        <v>0</v>
      </c>
    </row>
    <row r="26" spans="3:41" x14ac:dyDescent="0.3">
      <c r="C26" s="199">
        <v>38</v>
      </c>
      <c r="D26" s="199">
        <v>3</v>
      </c>
      <c r="E26" s="199">
        <v>5</v>
      </c>
      <c r="F26" s="199">
        <v>901</v>
      </c>
      <c r="G26" s="199">
        <v>901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0</v>
      </c>
      <c r="AM26" s="199">
        <v>0</v>
      </c>
      <c r="AN26" s="199">
        <v>0</v>
      </c>
      <c r="AO26" s="199">
        <v>0</v>
      </c>
    </row>
    <row r="27" spans="3:41" x14ac:dyDescent="0.3">
      <c r="C27" s="199">
        <v>38</v>
      </c>
      <c r="D27" s="199">
        <v>3</v>
      </c>
      <c r="E27" s="199">
        <v>6</v>
      </c>
      <c r="F27" s="199">
        <v>1006847</v>
      </c>
      <c r="G27" s="199">
        <v>118340</v>
      </c>
      <c r="H27" s="199">
        <v>266380</v>
      </c>
      <c r="I27" s="199">
        <v>0</v>
      </c>
      <c r="J27" s="199">
        <v>0</v>
      </c>
      <c r="K27" s="199">
        <v>0</v>
      </c>
      <c r="L27" s="199">
        <v>0</v>
      </c>
      <c r="M27" s="199">
        <v>0</v>
      </c>
      <c r="N27" s="199">
        <v>0</v>
      </c>
      <c r="O27" s="199">
        <v>223841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0</v>
      </c>
      <c r="Z27" s="199">
        <v>0</v>
      </c>
      <c r="AA27" s="199">
        <v>234072</v>
      </c>
      <c r="AB27" s="199">
        <v>0</v>
      </c>
      <c r="AC27" s="199">
        <v>0</v>
      </c>
      <c r="AD27" s="199">
        <v>0</v>
      </c>
      <c r="AE27" s="199">
        <v>0</v>
      </c>
      <c r="AF27" s="199">
        <v>0</v>
      </c>
      <c r="AG27" s="199">
        <v>0</v>
      </c>
      <c r="AH27" s="199">
        <v>0</v>
      </c>
      <c r="AI27" s="199">
        <v>99746</v>
      </c>
      <c r="AJ27" s="199">
        <v>0</v>
      </c>
      <c r="AK27" s="199">
        <v>0</v>
      </c>
      <c r="AL27" s="199">
        <v>0</v>
      </c>
      <c r="AM27" s="199">
        <v>0</v>
      </c>
      <c r="AN27" s="199">
        <v>55006</v>
      </c>
      <c r="AO27" s="199">
        <v>9462</v>
      </c>
    </row>
    <row r="28" spans="3:41" x14ac:dyDescent="0.3">
      <c r="C28" s="199">
        <v>38</v>
      </c>
      <c r="D28" s="199">
        <v>3</v>
      </c>
      <c r="E28" s="199">
        <v>9</v>
      </c>
      <c r="F28" s="199">
        <v>14334</v>
      </c>
      <c r="G28" s="199">
        <v>0</v>
      </c>
      <c r="H28" s="199">
        <v>0</v>
      </c>
      <c r="I28" s="199">
        <v>0</v>
      </c>
      <c r="J28" s="199">
        <v>0</v>
      </c>
      <c r="K28" s="199">
        <v>0</v>
      </c>
      <c r="L28" s="199">
        <v>0</v>
      </c>
      <c r="M28" s="199">
        <v>0</v>
      </c>
      <c r="N28" s="199">
        <v>0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0</v>
      </c>
      <c r="AA28" s="199">
        <v>6615</v>
      </c>
      <c r="AB28" s="199">
        <v>0</v>
      </c>
      <c r="AC28" s="199">
        <v>0</v>
      </c>
      <c r="AD28" s="199">
        <v>0</v>
      </c>
      <c r="AE28" s="199">
        <v>0</v>
      </c>
      <c r="AF28" s="199">
        <v>0</v>
      </c>
      <c r="AG28" s="199">
        <v>0</v>
      </c>
      <c r="AH28" s="199">
        <v>0</v>
      </c>
      <c r="AI28" s="199">
        <v>7719</v>
      </c>
      <c r="AJ28" s="199">
        <v>0</v>
      </c>
      <c r="AK28" s="199">
        <v>0</v>
      </c>
      <c r="AL28" s="199">
        <v>0</v>
      </c>
      <c r="AM28" s="199">
        <v>0</v>
      </c>
      <c r="AN28" s="199">
        <v>0</v>
      </c>
      <c r="AO28" s="199">
        <v>0</v>
      </c>
    </row>
    <row r="29" spans="3:41" x14ac:dyDescent="0.3">
      <c r="C29" s="199">
        <v>38</v>
      </c>
      <c r="D29" s="199">
        <v>3</v>
      </c>
      <c r="E29" s="199">
        <v>10</v>
      </c>
      <c r="F29" s="199">
        <v>200</v>
      </c>
      <c r="G29" s="199">
        <v>0</v>
      </c>
      <c r="H29" s="199">
        <v>200</v>
      </c>
      <c r="I29" s="199">
        <v>0</v>
      </c>
      <c r="J29" s="199">
        <v>0</v>
      </c>
      <c r="K29" s="199">
        <v>0</v>
      </c>
      <c r="L29" s="199">
        <v>0</v>
      </c>
      <c r="M29" s="199">
        <v>0</v>
      </c>
      <c r="N29" s="199">
        <v>0</v>
      </c>
      <c r="O29" s="199">
        <v>0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0</v>
      </c>
      <c r="V29" s="199">
        <v>0</v>
      </c>
      <c r="W29" s="199">
        <v>0</v>
      </c>
      <c r="X29" s="199">
        <v>0</v>
      </c>
      <c r="Y29" s="199">
        <v>0</v>
      </c>
      <c r="Z29" s="199">
        <v>0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0</v>
      </c>
      <c r="AH29" s="199">
        <v>0</v>
      </c>
      <c r="AI29" s="199">
        <v>0</v>
      </c>
      <c r="AJ29" s="199">
        <v>0</v>
      </c>
      <c r="AK29" s="199">
        <v>0</v>
      </c>
      <c r="AL29" s="199">
        <v>0</v>
      </c>
      <c r="AM29" s="199">
        <v>0</v>
      </c>
      <c r="AN29" s="199">
        <v>0</v>
      </c>
      <c r="AO29" s="199">
        <v>0</v>
      </c>
    </row>
    <row r="30" spans="3:41" x14ac:dyDescent="0.3">
      <c r="C30" s="199">
        <v>38</v>
      </c>
      <c r="D30" s="199">
        <v>3</v>
      </c>
      <c r="E30" s="199">
        <v>11</v>
      </c>
      <c r="F30" s="199">
        <v>5312.930626683943</v>
      </c>
      <c r="G30" s="199">
        <v>0</v>
      </c>
      <c r="H30" s="199">
        <v>1979.5972933506098</v>
      </c>
      <c r="I30" s="199">
        <v>0</v>
      </c>
      <c r="J30" s="199">
        <v>0</v>
      </c>
      <c r="K30" s="199">
        <v>3333.3333333333335</v>
      </c>
      <c r="L30" s="199">
        <v>0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0</v>
      </c>
      <c r="X30" s="199">
        <v>0</v>
      </c>
      <c r="Y30" s="199">
        <v>0</v>
      </c>
      <c r="Z30" s="199">
        <v>0</v>
      </c>
      <c r="AA30" s="199">
        <v>0</v>
      </c>
      <c r="AB30" s="199">
        <v>0</v>
      </c>
      <c r="AC30" s="199">
        <v>0</v>
      </c>
      <c r="AD30" s="199">
        <v>0</v>
      </c>
      <c r="AE30" s="199">
        <v>0</v>
      </c>
      <c r="AF30" s="199">
        <v>0</v>
      </c>
      <c r="AG30" s="199">
        <v>0</v>
      </c>
      <c r="AH30" s="199">
        <v>0</v>
      </c>
      <c r="AI30" s="199">
        <v>0</v>
      </c>
      <c r="AJ30" s="199">
        <v>0</v>
      </c>
      <c r="AK30" s="199">
        <v>0</v>
      </c>
      <c r="AL30" s="199">
        <v>0</v>
      </c>
      <c r="AM30" s="199">
        <v>0</v>
      </c>
      <c r="AN30" s="199">
        <v>0</v>
      </c>
      <c r="AO30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38" t="s">
        <v>566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9" t="s">
        <v>108</v>
      </c>
      <c r="B3" s="190">
        <f>SUBTOTAL(9,B6:B1048576)</f>
        <v>4981268</v>
      </c>
      <c r="C3" s="191">
        <f t="shared" ref="C3:R3" si="0">SUBTOTAL(9,C6:C1048576)</f>
        <v>2</v>
      </c>
      <c r="D3" s="191">
        <f t="shared" si="0"/>
        <v>3894433</v>
      </c>
      <c r="E3" s="191">
        <f t="shared" si="0"/>
        <v>1.717148405557142</v>
      </c>
      <c r="F3" s="191">
        <f t="shared" si="0"/>
        <v>4576536</v>
      </c>
      <c r="G3" s="192">
        <f>IF(B3&lt;&gt;0,F3/B3,"")</f>
        <v>0.91874920201041177</v>
      </c>
      <c r="H3" s="193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4" t="str">
        <f>IF(H3&lt;&gt;0,L3/H3,"")</f>
        <v/>
      </c>
      <c r="N3" s="190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39" t="s">
        <v>81</v>
      </c>
      <c r="B4" s="340" t="s">
        <v>82</v>
      </c>
      <c r="C4" s="341"/>
      <c r="D4" s="341"/>
      <c r="E4" s="341"/>
      <c r="F4" s="341"/>
      <c r="G4" s="342"/>
      <c r="H4" s="340" t="s">
        <v>83</v>
      </c>
      <c r="I4" s="341"/>
      <c r="J4" s="341"/>
      <c r="K4" s="341"/>
      <c r="L4" s="341"/>
      <c r="M4" s="342"/>
      <c r="N4" s="340" t="s">
        <v>84</v>
      </c>
      <c r="O4" s="341"/>
      <c r="P4" s="341"/>
      <c r="Q4" s="341"/>
      <c r="R4" s="341"/>
      <c r="S4" s="342"/>
    </row>
    <row r="5" spans="1:19" ht="14.4" customHeight="1" thickBot="1" x14ac:dyDescent="0.35">
      <c r="A5" s="464"/>
      <c r="B5" s="465">
        <v>2013</v>
      </c>
      <c r="C5" s="466"/>
      <c r="D5" s="466">
        <v>2014</v>
      </c>
      <c r="E5" s="466"/>
      <c r="F5" s="466">
        <v>2015</v>
      </c>
      <c r="G5" s="467" t="s">
        <v>2</v>
      </c>
      <c r="H5" s="465">
        <v>2013</v>
      </c>
      <c r="I5" s="466"/>
      <c r="J5" s="466">
        <v>2014</v>
      </c>
      <c r="K5" s="466"/>
      <c r="L5" s="466">
        <v>2015</v>
      </c>
      <c r="M5" s="467" t="s">
        <v>2</v>
      </c>
      <c r="N5" s="465">
        <v>2013</v>
      </c>
      <c r="O5" s="466"/>
      <c r="P5" s="466">
        <v>2014</v>
      </c>
      <c r="Q5" s="466"/>
      <c r="R5" s="466">
        <v>2015</v>
      </c>
      <c r="S5" s="467" t="s">
        <v>2</v>
      </c>
    </row>
    <row r="6" spans="1:19" ht="14.4" customHeight="1" x14ac:dyDescent="0.3">
      <c r="A6" s="397" t="s">
        <v>561</v>
      </c>
      <c r="B6" s="468">
        <v>3898960</v>
      </c>
      <c r="C6" s="420">
        <v>1</v>
      </c>
      <c r="D6" s="468">
        <v>2818270</v>
      </c>
      <c r="E6" s="420">
        <v>0.72282608695652173</v>
      </c>
      <c r="F6" s="468">
        <v>3539250</v>
      </c>
      <c r="G6" s="399">
        <v>0.90774206455054685</v>
      </c>
      <c r="H6" s="468"/>
      <c r="I6" s="420"/>
      <c r="J6" s="468"/>
      <c r="K6" s="420"/>
      <c r="L6" s="468"/>
      <c r="M6" s="399"/>
      <c r="N6" s="468"/>
      <c r="O6" s="420"/>
      <c r="P6" s="468"/>
      <c r="Q6" s="420"/>
      <c r="R6" s="468"/>
      <c r="S6" s="400"/>
    </row>
    <row r="7" spans="1:19" ht="14.4" customHeight="1" thickBot="1" x14ac:dyDescent="0.35">
      <c r="A7" s="470" t="s">
        <v>562</v>
      </c>
      <c r="B7" s="469">
        <v>1082308</v>
      </c>
      <c r="C7" s="430">
        <v>1</v>
      </c>
      <c r="D7" s="469">
        <v>1076163</v>
      </c>
      <c r="E7" s="430">
        <v>0.99432231860062015</v>
      </c>
      <c r="F7" s="469">
        <v>1037286</v>
      </c>
      <c r="G7" s="402">
        <v>0.95840185972939307</v>
      </c>
      <c r="H7" s="469"/>
      <c r="I7" s="430"/>
      <c r="J7" s="469"/>
      <c r="K7" s="430"/>
      <c r="L7" s="469"/>
      <c r="M7" s="402"/>
      <c r="N7" s="469"/>
      <c r="O7" s="430"/>
      <c r="P7" s="469"/>
      <c r="Q7" s="430"/>
      <c r="R7" s="469"/>
      <c r="S7" s="403"/>
    </row>
    <row r="8" spans="1:19" ht="14.4" customHeight="1" x14ac:dyDescent="0.3">
      <c r="A8" s="471" t="s">
        <v>563</v>
      </c>
    </row>
    <row r="9" spans="1:19" ht="14.4" customHeight="1" x14ac:dyDescent="0.3">
      <c r="A9" s="472" t="s">
        <v>564</v>
      </c>
    </row>
    <row r="10" spans="1:19" ht="14.4" customHeight="1" x14ac:dyDescent="0.3">
      <c r="A10" s="471" t="s">
        <v>565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1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38" t="s">
        <v>568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3" t="s">
        <v>242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9" t="s">
        <v>108</v>
      </c>
      <c r="B3" s="283">
        <f t="shared" ref="B3:G3" si="0">SUBTOTAL(9,B6:B1048576)</f>
        <v>2267</v>
      </c>
      <c r="C3" s="284">
        <f t="shared" si="0"/>
        <v>2010</v>
      </c>
      <c r="D3" s="284">
        <f t="shared" si="0"/>
        <v>2306</v>
      </c>
      <c r="E3" s="193">
        <f t="shared" si="0"/>
        <v>4981268</v>
      </c>
      <c r="F3" s="191">
        <f t="shared" si="0"/>
        <v>3894433</v>
      </c>
      <c r="G3" s="285">
        <f t="shared" si="0"/>
        <v>4576536</v>
      </c>
    </row>
    <row r="4" spans="1:7" ht="14.4" customHeight="1" x14ac:dyDescent="0.3">
      <c r="A4" s="339" t="s">
        <v>109</v>
      </c>
      <c r="B4" s="340" t="s">
        <v>218</v>
      </c>
      <c r="C4" s="341"/>
      <c r="D4" s="341"/>
      <c r="E4" s="343" t="s">
        <v>82</v>
      </c>
      <c r="F4" s="344"/>
      <c r="G4" s="345"/>
    </row>
    <row r="5" spans="1:7" ht="14.4" customHeight="1" thickBot="1" x14ac:dyDescent="0.35">
      <c r="A5" s="464"/>
      <c r="B5" s="465">
        <v>2013</v>
      </c>
      <c r="C5" s="466">
        <v>2014</v>
      </c>
      <c r="D5" s="466">
        <v>2015</v>
      </c>
      <c r="E5" s="465">
        <v>2013</v>
      </c>
      <c r="F5" s="466">
        <v>2014</v>
      </c>
      <c r="G5" s="473">
        <v>2015</v>
      </c>
    </row>
    <row r="6" spans="1:7" ht="14.4" customHeight="1" thickBot="1" x14ac:dyDescent="0.35">
      <c r="A6" s="477" t="s">
        <v>567</v>
      </c>
      <c r="B6" s="474">
        <v>2267</v>
      </c>
      <c r="C6" s="474">
        <v>2010</v>
      </c>
      <c r="D6" s="474">
        <v>2306</v>
      </c>
      <c r="E6" s="475">
        <v>4981268</v>
      </c>
      <c r="F6" s="475">
        <v>3894433</v>
      </c>
      <c r="G6" s="476">
        <v>4576536</v>
      </c>
    </row>
    <row r="7" spans="1:7" ht="14.4" customHeight="1" x14ac:dyDescent="0.3">
      <c r="A7" s="471" t="s">
        <v>563</v>
      </c>
    </row>
    <row r="8" spans="1:7" ht="14.4" customHeight="1" x14ac:dyDescent="0.3">
      <c r="A8" s="472" t="s">
        <v>564</v>
      </c>
    </row>
    <row r="9" spans="1:7" ht="14.4" customHeight="1" x14ac:dyDescent="0.3">
      <c r="A9" s="471" t="s">
        <v>565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5" bestFit="1" customWidth="1"/>
    <col min="2" max="2" width="2.109375" style="105" bestFit="1" customWidth="1"/>
    <col min="3" max="3" width="8" style="105" customWidth="1"/>
    <col min="4" max="4" width="50.88671875" style="105" bestFit="1" customWidth="1"/>
    <col min="5" max="6" width="11.109375" style="181" customWidth="1"/>
    <col min="7" max="8" width="9.33203125" style="105" hidden="1" customWidth="1"/>
    <col min="9" max="10" width="11.109375" style="181" customWidth="1"/>
    <col min="11" max="12" width="9.33203125" style="105" hidden="1" customWidth="1"/>
    <col min="13" max="14" width="11.109375" style="181" customWidth="1"/>
    <col min="15" max="15" width="11.109375" style="184" customWidth="1"/>
    <col min="16" max="16" width="11.109375" style="181" customWidth="1"/>
    <col min="17" max="16384" width="8.88671875" style="105"/>
  </cols>
  <sheetData>
    <row r="1" spans="1:16" ht="18.600000000000001" customHeight="1" thickBot="1" x14ac:dyDescent="0.4">
      <c r="A1" s="293" t="s">
        <v>626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1:16" ht="14.4" customHeight="1" thickBot="1" x14ac:dyDescent="0.35">
      <c r="A2" s="203" t="s">
        <v>242</v>
      </c>
      <c r="B2" s="106"/>
      <c r="C2" s="282"/>
      <c r="D2" s="106"/>
      <c r="E2" s="197"/>
      <c r="F2" s="197"/>
      <c r="G2" s="106"/>
      <c r="H2" s="106"/>
      <c r="I2" s="197"/>
      <c r="J2" s="197"/>
      <c r="K2" s="106"/>
      <c r="L2" s="106"/>
      <c r="M2" s="197"/>
      <c r="N2" s="197"/>
      <c r="O2" s="198"/>
      <c r="P2" s="197"/>
    </row>
    <row r="3" spans="1:16" ht="14.4" customHeight="1" thickBot="1" x14ac:dyDescent="0.35">
      <c r="D3" s="63" t="s">
        <v>108</v>
      </c>
      <c r="E3" s="77">
        <f t="shared" ref="E3:N3" si="0">SUBTOTAL(9,E6:E1048576)</f>
        <v>2267</v>
      </c>
      <c r="F3" s="78">
        <f t="shared" si="0"/>
        <v>4981268</v>
      </c>
      <c r="G3" s="58"/>
      <c r="H3" s="58"/>
      <c r="I3" s="78">
        <f t="shared" si="0"/>
        <v>2010</v>
      </c>
      <c r="J3" s="78">
        <f t="shared" si="0"/>
        <v>3894433</v>
      </c>
      <c r="K3" s="58"/>
      <c r="L3" s="58"/>
      <c r="M3" s="78">
        <f t="shared" si="0"/>
        <v>2306</v>
      </c>
      <c r="N3" s="78">
        <f t="shared" si="0"/>
        <v>4576536</v>
      </c>
      <c r="O3" s="59">
        <f>IF(F3=0,0,N3/F3)</f>
        <v>0.91874920201041177</v>
      </c>
      <c r="P3" s="79">
        <f>IF(M3=0,0,N3/M3)</f>
        <v>1984.620988725065</v>
      </c>
    </row>
    <row r="4" spans="1:16" ht="14.4" customHeight="1" x14ac:dyDescent="0.3">
      <c r="A4" s="347" t="s">
        <v>77</v>
      </c>
      <c r="B4" s="348" t="s">
        <v>78</v>
      </c>
      <c r="C4" s="353" t="s">
        <v>53</v>
      </c>
      <c r="D4" s="349" t="s">
        <v>52</v>
      </c>
      <c r="E4" s="350">
        <v>2013</v>
      </c>
      <c r="F4" s="351"/>
      <c r="G4" s="76"/>
      <c r="H4" s="76"/>
      <c r="I4" s="350">
        <v>2014</v>
      </c>
      <c r="J4" s="351"/>
      <c r="K4" s="76"/>
      <c r="L4" s="76"/>
      <c r="M4" s="350">
        <v>2015</v>
      </c>
      <c r="N4" s="351"/>
      <c r="O4" s="352" t="s">
        <v>2</v>
      </c>
      <c r="P4" s="346" t="s">
        <v>80</v>
      </c>
    </row>
    <row r="5" spans="1:16" ht="14.4" customHeight="1" thickBot="1" x14ac:dyDescent="0.35">
      <c r="A5" s="478"/>
      <c r="B5" s="479"/>
      <c r="C5" s="480"/>
      <c r="D5" s="481"/>
      <c r="E5" s="482" t="s">
        <v>54</v>
      </c>
      <c r="F5" s="483" t="s">
        <v>10</v>
      </c>
      <c r="G5" s="484"/>
      <c r="H5" s="484"/>
      <c r="I5" s="482" t="s">
        <v>54</v>
      </c>
      <c r="J5" s="483" t="s">
        <v>10</v>
      </c>
      <c r="K5" s="484"/>
      <c r="L5" s="484"/>
      <c r="M5" s="482" t="s">
        <v>54</v>
      </c>
      <c r="N5" s="483" t="s">
        <v>10</v>
      </c>
      <c r="O5" s="485"/>
      <c r="P5" s="486"/>
    </row>
    <row r="6" spans="1:16" ht="14.4" customHeight="1" x14ac:dyDescent="0.3">
      <c r="A6" s="419" t="s">
        <v>569</v>
      </c>
      <c r="B6" s="420" t="s">
        <v>570</v>
      </c>
      <c r="C6" s="420" t="s">
        <v>571</v>
      </c>
      <c r="D6" s="420" t="s">
        <v>572</v>
      </c>
      <c r="E6" s="398">
        <v>368</v>
      </c>
      <c r="F6" s="398">
        <v>3898960</v>
      </c>
      <c r="G6" s="420">
        <v>1</v>
      </c>
      <c r="H6" s="420">
        <v>10595</v>
      </c>
      <c r="I6" s="398">
        <v>266</v>
      </c>
      <c r="J6" s="398">
        <v>2818270</v>
      </c>
      <c r="K6" s="420">
        <v>0.72282608695652173</v>
      </c>
      <c r="L6" s="420">
        <v>10595</v>
      </c>
      <c r="M6" s="398">
        <v>330</v>
      </c>
      <c r="N6" s="398">
        <v>3539250</v>
      </c>
      <c r="O6" s="399">
        <v>0.90774206455054685</v>
      </c>
      <c r="P6" s="410">
        <v>10725</v>
      </c>
    </row>
    <row r="7" spans="1:16" ht="14.4" customHeight="1" x14ac:dyDescent="0.3">
      <c r="A7" s="423" t="s">
        <v>573</v>
      </c>
      <c r="B7" s="424" t="s">
        <v>570</v>
      </c>
      <c r="C7" s="424" t="s">
        <v>574</v>
      </c>
      <c r="D7" s="424" t="s">
        <v>575</v>
      </c>
      <c r="E7" s="427">
        <v>9</v>
      </c>
      <c r="F7" s="427">
        <v>1134</v>
      </c>
      <c r="G7" s="424">
        <v>1</v>
      </c>
      <c r="H7" s="424">
        <v>126</v>
      </c>
      <c r="I7" s="427">
        <v>8</v>
      </c>
      <c r="J7" s="427">
        <v>1008</v>
      </c>
      <c r="K7" s="424">
        <v>0.88888888888888884</v>
      </c>
      <c r="L7" s="424">
        <v>126</v>
      </c>
      <c r="M7" s="427">
        <v>3</v>
      </c>
      <c r="N7" s="427">
        <v>384</v>
      </c>
      <c r="O7" s="487">
        <v>0.33862433862433861</v>
      </c>
      <c r="P7" s="428">
        <v>128</v>
      </c>
    </row>
    <row r="8" spans="1:16" ht="14.4" customHeight="1" x14ac:dyDescent="0.3">
      <c r="A8" s="423" t="s">
        <v>573</v>
      </c>
      <c r="B8" s="424" t="s">
        <v>570</v>
      </c>
      <c r="C8" s="424" t="s">
        <v>576</v>
      </c>
      <c r="D8" s="424" t="s">
        <v>577</v>
      </c>
      <c r="E8" s="427">
        <v>3</v>
      </c>
      <c r="F8" s="427">
        <v>3660</v>
      </c>
      <c r="G8" s="424">
        <v>1</v>
      </c>
      <c r="H8" s="424">
        <v>1220</v>
      </c>
      <c r="I8" s="427">
        <v>13</v>
      </c>
      <c r="J8" s="427">
        <v>15860</v>
      </c>
      <c r="K8" s="424">
        <v>4.333333333333333</v>
      </c>
      <c r="L8" s="424">
        <v>1220</v>
      </c>
      <c r="M8" s="427">
        <v>4</v>
      </c>
      <c r="N8" s="427">
        <v>4912</v>
      </c>
      <c r="O8" s="487">
        <v>1.3420765027322403</v>
      </c>
      <c r="P8" s="428">
        <v>1228</v>
      </c>
    </row>
    <row r="9" spans="1:16" ht="14.4" customHeight="1" x14ac:dyDescent="0.3">
      <c r="A9" s="423" t="s">
        <v>573</v>
      </c>
      <c r="B9" s="424" t="s">
        <v>570</v>
      </c>
      <c r="C9" s="424" t="s">
        <v>578</v>
      </c>
      <c r="D9" s="424" t="s">
        <v>579</v>
      </c>
      <c r="E9" s="427">
        <v>75</v>
      </c>
      <c r="F9" s="427">
        <v>165975</v>
      </c>
      <c r="G9" s="424">
        <v>1</v>
      </c>
      <c r="H9" s="424">
        <v>2213</v>
      </c>
      <c r="I9" s="427">
        <v>35</v>
      </c>
      <c r="J9" s="427">
        <v>77455</v>
      </c>
      <c r="K9" s="424">
        <v>0.46666666666666667</v>
      </c>
      <c r="L9" s="424">
        <v>2213</v>
      </c>
      <c r="M9" s="427">
        <v>10</v>
      </c>
      <c r="N9" s="427">
        <v>22360</v>
      </c>
      <c r="O9" s="487">
        <v>0.13471908419942763</v>
      </c>
      <c r="P9" s="428">
        <v>2236</v>
      </c>
    </row>
    <row r="10" spans="1:16" ht="14.4" customHeight="1" x14ac:dyDescent="0.3">
      <c r="A10" s="423" t="s">
        <v>573</v>
      </c>
      <c r="B10" s="424" t="s">
        <v>570</v>
      </c>
      <c r="C10" s="424" t="s">
        <v>580</v>
      </c>
      <c r="D10" s="424" t="s">
        <v>581</v>
      </c>
      <c r="E10" s="427">
        <v>13</v>
      </c>
      <c r="F10" s="427">
        <v>13455</v>
      </c>
      <c r="G10" s="424">
        <v>1</v>
      </c>
      <c r="H10" s="424">
        <v>1035</v>
      </c>
      <c r="I10" s="427">
        <v>10</v>
      </c>
      <c r="J10" s="427">
        <v>10350</v>
      </c>
      <c r="K10" s="424">
        <v>0.76923076923076927</v>
      </c>
      <c r="L10" s="424">
        <v>1035</v>
      </c>
      <c r="M10" s="427">
        <v>4</v>
      </c>
      <c r="N10" s="427">
        <v>4172</v>
      </c>
      <c r="O10" s="487">
        <v>0.31007060572277961</v>
      </c>
      <c r="P10" s="428">
        <v>1043</v>
      </c>
    </row>
    <row r="11" spans="1:16" ht="14.4" customHeight="1" x14ac:dyDescent="0.3">
      <c r="A11" s="423" t="s">
        <v>573</v>
      </c>
      <c r="B11" s="424" t="s">
        <v>570</v>
      </c>
      <c r="C11" s="424" t="s">
        <v>582</v>
      </c>
      <c r="D11" s="424" t="s">
        <v>583</v>
      </c>
      <c r="E11" s="427">
        <v>33</v>
      </c>
      <c r="F11" s="427">
        <v>122034</v>
      </c>
      <c r="G11" s="424">
        <v>1</v>
      </c>
      <c r="H11" s="424">
        <v>3698</v>
      </c>
      <c r="I11" s="427">
        <v>34</v>
      </c>
      <c r="J11" s="427">
        <v>125732</v>
      </c>
      <c r="K11" s="424">
        <v>1.0303030303030303</v>
      </c>
      <c r="L11" s="424">
        <v>3698</v>
      </c>
      <c r="M11" s="427">
        <v>23</v>
      </c>
      <c r="N11" s="427">
        <v>85583</v>
      </c>
      <c r="O11" s="487">
        <v>0.70130455446842688</v>
      </c>
      <c r="P11" s="428">
        <v>3721</v>
      </c>
    </row>
    <row r="12" spans="1:16" ht="14.4" customHeight="1" x14ac:dyDescent="0.3">
      <c r="A12" s="423" t="s">
        <v>573</v>
      </c>
      <c r="B12" s="424" t="s">
        <v>570</v>
      </c>
      <c r="C12" s="424" t="s">
        <v>584</v>
      </c>
      <c r="D12" s="424" t="s">
        <v>585</v>
      </c>
      <c r="E12" s="427">
        <v>431</v>
      </c>
      <c r="F12" s="427">
        <v>188778</v>
      </c>
      <c r="G12" s="424">
        <v>1</v>
      </c>
      <c r="H12" s="424">
        <v>438</v>
      </c>
      <c r="I12" s="427">
        <v>332</v>
      </c>
      <c r="J12" s="427">
        <v>145416</v>
      </c>
      <c r="K12" s="424">
        <v>0.77030162412993042</v>
      </c>
      <c r="L12" s="424">
        <v>438</v>
      </c>
      <c r="M12" s="427">
        <v>428</v>
      </c>
      <c r="N12" s="427">
        <v>187892</v>
      </c>
      <c r="O12" s="487">
        <v>0.99530665649599004</v>
      </c>
      <c r="P12" s="428">
        <v>439</v>
      </c>
    </row>
    <row r="13" spans="1:16" ht="14.4" customHeight="1" x14ac:dyDescent="0.3">
      <c r="A13" s="423" t="s">
        <v>573</v>
      </c>
      <c r="B13" s="424" t="s">
        <v>570</v>
      </c>
      <c r="C13" s="424" t="s">
        <v>586</v>
      </c>
      <c r="D13" s="424" t="s">
        <v>587</v>
      </c>
      <c r="E13" s="427">
        <v>15</v>
      </c>
      <c r="F13" s="427">
        <v>12480</v>
      </c>
      <c r="G13" s="424">
        <v>1</v>
      </c>
      <c r="H13" s="424">
        <v>832</v>
      </c>
      <c r="I13" s="427">
        <v>26</v>
      </c>
      <c r="J13" s="427">
        <v>21632</v>
      </c>
      <c r="K13" s="424">
        <v>1.7333333333333334</v>
      </c>
      <c r="L13" s="424">
        <v>832</v>
      </c>
      <c r="M13" s="427">
        <v>33</v>
      </c>
      <c r="N13" s="427">
        <v>27588</v>
      </c>
      <c r="O13" s="487">
        <v>2.210576923076923</v>
      </c>
      <c r="P13" s="428">
        <v>836</v>
      </c>
    </row>
    <row r="14" spans="1:16" ht="14.4" customHeight="1" x14ac:dyDescent="0.3">
      <c r="A14" s="423" t="s">
        <v>573</v>
      </c>
      <c r="B14" s="424" t="s">
        <v>570</v>
      </c>
      <c r="C14" s="424" t="s">
        <v>588</v>
      </c>
      <c r="D14" s="424" t="s">
        <v>589</v>
      </c>
      <c r="E14" s="427"/>
      <c r="F14" s="427"/>
      <c r="G14" s="424"/>
      <c r="H14" s="424"/>
      <c r="I14" s="427">
        <v>43</v>
      </c>
      <c r="J14" s="427">
        <v>69359</v>
      </c>
      <c r="K14" s="424"/>
      <c r="L14" s="424">
        <v>1613</v>
      </c>
      <c r="M14" s="427">
        <v>24</v>
      </c>
      <c r="N14" s="427">
        <v>38904</v>
      </c>
      <c r="O14" s="487"/>
      <c r="P14" s="428">
        <v>1621</v>
      </c>
    </row>
    <row r="15" spans="1:16" ht="14.4" customHeight="1" x14ac:dyDescent="0.3">
      <c r="A15" s="423" t="s">
        <v>573</v>
      </c>
      <c r="B15" s="424" t="s">
        <v>570</v>
      </c>
      <c r="C15" s="424" t="s">
        <v>590</v>
      </c>
      <c r="D15" s="424" t="s">
        <v>591</v>
      </c>
      <c r="E15" s="427">
        <v>3</v>
      </c>
      <c r="F15" s="427">
        <v>4611</v>
      </c>
      <c r="G15" s="424">
        <v>1</v>
      </c>
      <c r="H15" s="424">
        <v>1537</v>
      </c>
      <c r="I15" s="427"/>
      <c r="J15" s="427"/>
      <c r="K15" s="424"/>
      <c r="L15" s="424"/>
      <c r="M15" s="427">
        <v>1</v>
      </c>
      <c r="N15" s="427">
        <v>1553</v>
      </c>
      <c r="O15" s="487">
        <v>0.33680329646497503</v>
      </c>
      <c r="P15" s="428">
        <v>1553</v>
      </c>
    </row>
    <row r="16" spans="1:16" ht="14.4" customHeight="1" x14ac:dyDescent="0.3">
      <c r="A16" s="423" t="s">
        <v>573</v>
      </c>
      <c r="B16" s="424" t="s">
        <v>570</v>
      </c>
      <c r="C16" s="424" t="s">
        <v>592</v>
      </c>
      <c r="D16" s="424" t="s">
        <v>593</v>
      </c>
      <c r="E16" s="427">
        <v>48</v>
      </c>
      <c r="F16" s="427">
        <v>39312</v>
      </c>
      <c r="G16" s="424">
        <v>1</v>
      </c>
      <c r="H16" s="424">
        <v>819</v>
      </c>
      <c r="I16" s="427">
        <v>15</v>
      </c>
      <c r="J16" s="427">
        <v>12285</v>
      </c>
      <c r="K16" s="424">
        <v>0.3125</v>
      </c>
      <c r="L16" s="424">
        <v>819</v>
      </c>
      <c r="M16" s="427">
        <v>8</v>
      </c>
      <c r="N16" s="427">
        <v>6584</v>
      </c>
      <c r="O16" s="487">
        <v>0.16748066748066748</v>
      </c>
      <c r="P16" s="428">
        <v>823</v>
      </c>
    </row>
    <row r="17" spans="1:16" ht="14.4" customHeight="1" x14ac:dyDescent="0.3">
      <c r="A17" s="423" t="s">
        <v>573</v>
      </c>
      <c r="B17" s="424" t="s">
        <v>570</v>
      </c>
      <c r="C17" s="424" t="s">
        <v>594</v>
      </c>
      <c r="D17" s="424" t="s">
        <v>595</v>
      </c>
      <c r="E17" s="427">
        <v>56</v>
      </c>
      <c r="F17" s="427">
        <v>81032</v>
      </c>
      <c r="G17" s="424">
        <v>1</v>
      </c>
      <c r="H17" s="424">
        <v>1447</v>
      </c>
      <c r="I17" s="427">
        <v>43</v>
      </c>
      <c r="J17" s="427">
        <v>62221</v>
      </c>
      <c r="K17" s="424">
        <v>0.7678571428571429</v>
      </c>
      <c r="L17" s="424">
        <v>1447</v>
      </c>
      <c r="M17" s="427">
        <v>47</v>
      </c>
      <c r="N17" s="427">
        <v>68667</v>
      </c>
      <c r="O17" s="487">
        <v>0.84740596307631555</v>
      </c>
      <c r="P17" s="428">
        <v>1461</v>
      </c>
    </row>
    <row r="18" spans="1:16" ht="14.4" customHeight="1" x14ac:dyDescent="0.3">
      <c r="A18" s="423" t="s">
        <v>573</v>
      </c>
      <c r="B18" s="424" t="s">
        <v>570</v>
      </c>
      <c r="C18" s="424" t="s">
        <v>596</v>
      </c>
      <c r="D18" s="424" t="s">
        <v>597</v>
      </c>
      <c r="E18" s="427">
        <v>1</v>
      </c>
      <c r="F18" s="427">
        <v>3078</v>
      </c>
      <c r="G18" s="424">
        <v>1</v>
      </c>
      <c r="H18" s="424">
        <v>3078</v>
      </c>
      <c r="I18" s="427">
        <v>2</v>
      </c>
      <c r="J18" s="427">
        <v>6156</v>
      </c>
      <c r="K18" s="424">
        <v>2</v>
      </c>
      <c r="L18" s="424">
        <v>3078</v>
      </c>
      <c r="M18" s="427"/>
      <c r="N18" s="427"/>
      <c r="O18" s="487"/>
      <c r="P18" s="428"/>
    </row>
    <row r="19" spans="1:16" ht="14.4" customHeight="1" x14ac:dyDescent="0.3">
      <c r="A19" s="423" t="s">
        <v>573</v>
      </c>
      <c r="B19" s="424" t="s">
        <v>570</v>
      </c>
      <c r="C19" s="424" t="s">
        <v>598</v>
      </c>
      <c r="D19" s="424" t="s">
        <v>599</v>
      </c>
      <c r="E19" s="427">
        <v>80</v>
      </c>
      <c r="F19" s="427">
        <v>1280</v>
      </c>
      <c r="G19" s="424">
        <v>1</v>
      </c>
      <c r="H19" s="424">
        <v>16</v>
      </c>
      <c r="I19" s="427">
        <v>48</v>
      </c>
      <c r="J19" s="427">
        <v>768</v>
      </c>
      <c r="K19" s="424">
        <v>0.6</v>
      </c>
      <c r="L19" s="424">
        <v>16</v>
      </c>
      <c r="M19" s="427">
        <v>24</v>
      </c>
      <c r="N19" s="427">
        <v>384</v>
      </c>
      <c r="O19" s="487">
        <v>0.3</v>
      </c>
      <c r="P19" s="428">
        <v>16</v>
      </c>
    </row>
    <row r="20" spans="1:16" ht="14.4" customHeight="1" x14ac:dyDescent="0.3">
      <c r="A20" s="423" t="s">
        <v>573</v>
      </c>
      <c r="B20" s="424" t="s">
        <v>570</v>
      </c>
      <c r="C20" s="424" t="s">
        <v>600</v>
      </c>
      <c r="D20" s="424" t="s">
        <v>585</v>
      </c>
      <c r="E20" s="427">
        <v>89</v>
      </c>
      <c r="F20" s="427">
        <v>61232</v>
      </c>
      <c r="G20" s="424">
        <v>1</v>
      </c>
      <c r="H20" s="424">
        <v>688</v>
      </c>
      <c r="I20" s="427">
        <v>62</v>
      </c>
      <c r="J20" s="427">
        <v>42656</v>
      </c>
      <c r="K20" s="424">
        <v>0.6966292134831461</v>
      </c>
      <c r="L20" s="424">
        <v>688</v>
      </c>
      <c r="M20" s="427">
        <v>33</v>
      </c>
      <c r="N20" s="427">
        <v>22968</v>
      </c>
      <c r="O20" s="487">
        <v>0.3750979879801411</v>
      </c>
      <c r="P20" s="428">
        <v>696</v>
      </c>
    </row>
    <row r="21" spans="1:16" ht="14.4" customHeight="1" x14ac:dyDescent="0.3">
      <c r="A21" s="423" t="s">
        <v>573</v>
      </c>
      <c r="B21" s="424" t="s">
        <v>570</v>
      </c>
      <c r="C21" s="424" t="s">
        <v>601</v>
      </c>
      <c r="D21" s="424" t="s">
        <v>587</v>
      </c>
      <c r="E21" s="427">
        <v>46</v>
      </c>
      <c r="F21" s="427">
        <v>63250</v>
      </c>
      <c r="G21" s="424">
        <v>1</v>
      </c>
      <c r="H21" s="424">
        <v>1375</v>
      </c>
      <c r="I21" s="427">
        <v>55</v>
      </c>
      <c r="J21" s="427">
        <v>75625</v>
      </c>
      <c r="K21" s="424">
        <v>1.1956521739130435</v>
      </c>
      <c r="L21" s="424">
        <v>1375</v>
      </c>
      <c r="M21" s="427">
        <v>35</v>
      </c>
      <c r="N21" s="427">
        <v>48545</v>
      </c>
      <c r="O21" s="487">
        <v>0.76750988142292487</v>
      </c>
      <c r="P21" s="428">
        <v>1387</v>
      </c>
    </row>
    <row r="22" spans="1:16" ht="14.4" customHeight="1" x14ac:dyDescent="0.3">
      <c r="A22" s="423" t="s">
        <v>573</v>
      </c>
      <c r="B22" s="424" t="s">
        <v>570</v>
      </c>
      <c r="C22" s="424" t="s">
        <v>602</v>
      </c>
      <c r="D22" s="424" t="s">
        <v>603</v>
      </c>
      <c r="E22" s="427">
        <v>27</v>
      </c>
      <c r="F22" s="427">
        <v>62613</v>
      </c>
      <c r="G22" s="424">
        <v>1</v>
      </c>
      <c r="H22" s="424">
        <v>2319</v>
      </c>
      <c r="I22" s="427">
        <v>29</v>
      </c>
      <c r="J22" s="427">
        <v>67251</v>
      </c>
      <c r="K22" s="424">
        <v>1.0740740740740742</v>
      </c>
      <c r="L22" s="424">
        <v>2319</v>
      </c>
      <c r="M22" s="427">
        <v>21</v>
      </c>
      <c r="N22" s="427">
        <v>49161</v>
      </c>
      <c r="O22" s="487">
        <v>0.78515643716161176</v>
      </c>
      <c r="P22" s="428">
        <v>2341</v>
      </c>
    </row>
    <row r="23" spans="1:16" ht="14.4" customHeight="1" x14ac:dyDescent="0.3">
      <c r="A23" s="423" t="s">
        <v>573</v>
      </c>
      <c r="B23" s="424" t="s">
        <v>570</v>
      </c>
      <c r="C23" s="424" t="s">
        <v>604</v>
      </c>
      <c r="D23" s="424" t="s">
        <v>605</v>
      </c>
      <c r="E23" s="427">
        <v>520</v>
      </c>
      <c r="F23" s="427">
        <v>33800</v>
      </c>
      <c r="G23" s="424">
        <v>1</v>
      </c>
      <c r="H23" s="424">
        <v>65</v>
      </c>
      <c r="I23" s="427">
        <v>399</v>
      </c>
      <c r="J23" s="427">
        <v>25935</v>
      </c>
      <c r="K23" s="424">
        <v>0.76730769230769236</v>
      </c>
      <c r="L23" s="424">
        <v>65</v>
      </c>
      <c r="M23" s="427">
        <v>461</v>
      </c>
      <c r="N23" s="427">
        <v>30426</v>
      </c>
      <c r="O23" s="487">
        <v>0.90017751479289942</v>
      </c>
      <c r="P23" s="428">
        <v>66</v>
      </c>
    </row>
    <row r="24" spans="1:16" ht="14.4" customHeight="1" x14ac:dyDescent="0.3">
      <c r="A24" s="423" t="s">
        <v>573</v>
      </c>
      <c r="B24" s="424" t="s">
        <v>570</v>
      </c>
      <c r="C24" s="424" t="s">
        <v>606</v>
      </c>
      <c r="D24" s="424" t="s">
        <v>607</v>
      </c>
      <c r="E24" s="427">
        <v>56</v>
      </c>
      <c r="F24" s="427">
        <v>22176</v>
      </c>
      <c r="G24" s="424">
        <v>1</v>
      </c>
      <c r="H24" s="424">
        <v>396</v>
      </c>
      <c r="I24" s="427">
        <v>43</v>
      </c>
      <c r="J24" s="427">
        <v>17028</v>
      </c>
      <c r="K24" s="424">
        <v>0.7678571428571429</v>
      </c>
      <c r="L24" s="424">
        <v>396</v>
      </c>
      <c r="M24" s="427">
        <v>47</v>
      </c>
      <c r="N24" s="427">
        <v>18847</v>
      </c>
      <c r="O24" s="487">
        <v>0.8498827561327561</v>
      </c>
      <c r="P24" s="428">
        <v>401</v>
      </c>
    </row>
    <row r="25" spans="1:16" ht="14.4" customHeight="1" x14ac:dyDescent="0.3">
      <c r="A25" s="423" t="s">
        <v>573</v>
      </c>
      <c r="B25" s="424" t="s">
        <v>570</v>
      </c>
      <c r="C25" s="424" t="s">
        <v>608</v>
      </c>
      <c r="D25" s="424" t="s">
        <v>609</v>
      </c>
      <c r="E25" s="427">
        <v>10</v>
      </c>
      <c r="F25" s="427">
        <v>16010</v>
      </c>
      <c r="G25" s="424">
        <v>1</v>
      </c>
      <c r="H25" s="424">
        <v>1601</v>
      </c>
      <c r="I25" s="427">
        <v>17</v>
      </c>
      <c r="J25" s="427">
        <v>27217</v>
      </c>
      <c r="K25" s="424">
        <v>1.7</v>
      </c>
      <c r="L25" s="424">
        <v>1601</v>
      </c>
      <c r="M25" s="427">
        <v>32</v>
      </c>
      <c r="N25" s="427">
        <v>51616</v>
      </c>
      <c r="O25" s="487">
        <v>3.2239850093691444</v>
      </c>
      <c r="P25" s="428">
        <v>1613</v>
      </c>
    </row>
    <row r="26" spans="1:16" ht="14.4" customHeight="1" x14ac:dyDescent="0.3">
      <c r="A26" s="423" t="s">
        <v>573</v>
      </c>
      <c r="B26" s="424" t="s">
        <v>570</v>
      </c>
      <c r="C26" s="424" t="s">
        <v>610</v>
      </c>
      <c r="D26" s="424" t="s">
        <v>611</v>
      </c>
      <c r="E26" s="427">
        <v>134</v>
      </c>
      <c r="F26" s="427">
        <v>73700</v>
      </c>
      <c r="G26" s="424">
        <v>1</v>
      </c>
      <c r="H26" s="424">
        <v>550</v>
      </c>
      <c r="I26" s="427">
        <v>118</v>
      </c>
      <c r="J26" s="427">
        <v>64900</v>
      </c>
      <c r="K26" s="424">
        <v>0.88059701492537312</v>
      </c>
      <c r="L26" s="424">
        <v>550</v>
      </c>
      <c r="M26" s="427">
        <v>88</v>
      </c>
      <c r="N26" s="427">
        <v>48576</v>
      </c>
      <c r="O26" s="487">
        <v>0.65910447761194035</v>
      </c>
      <c r="P26" s="428">
        <v>552</v>
      </c>
    </row>
    <row r="27" spans="1:16" ht="14.4" customHeight="1" x14ac:dyDescent="0.3">
      <c r="A27" s="423" t="s">
        <v>573</v>
      </c>
      <c r="B27" s="424" t="s">
        <v>570</v>
      </c>
      <c r="C27" s="424" t="s">
        <v>612</v>
      </c>
      <c r="D27" s="424" t="s">
        <v>613</v>
      </c>
      <c r="E27" s="427">
        <v>1</v>
      </c>
      <c r="F27" s="427">
        <v>1234</v>
      </c>
      <c r="G27" s="424">
        <v>1</v>
      </c>
      <c r="H27" s="424">
        <v>1234</v>
      </c>
      <c r="I27" s="427">
        <v>2</v>
      </c>
      <c r="J27" s="427">
        <v>2468</v>
      </c>
      <c r="K27" s="424">
        <v>2</v>
      </c>
      <c r="L27" s="424">
        <v>1234</v>
      </c>
      <c r="M27" s="427"/>
      <c r="N27" s="427"/>
      <c r="O27" s="487"/>
      <c r="P27" s="428"/>
    </row>
    <row r="28" spans="1:16" ht="14.4" customHeight="1" x14ac:dyDescent="0.3">
      <c r="A28" s="423" t="s">
        <v>573</v>
      </c>
      <c r="B28" s="424" t="s">
        <v>570</v>
      </c>
      <c r="C28" s="424" t="s">
        <v>614</v>
      </c>
      <c r="D28" s="424" t="s">
        <v>615</v>
      </c>
      <c r="E28" s="427"/>
      <c r="F28" s="427"/>
      <c r="G28" s="424"/>
      <c r="H28" s="424"/>
      <c r="I28" s="427">
        <v>85</v>
      </c>
      <c r="J28" s="427">
        <v>2975</v>
      </c>
      <c r="K28" s="424"/>
      <c r="L28" s="424">
        <v>35</v>
      </c>
      <c r="M28" s="427">
        <v>136</v>
      </c>
      <c r="N28" s="427">
        <v>4896</v>
      </c>
      <c r="O28" s="487"/>
      <c r="P28" s="428">
        <v>36</v>
      </c>
    </row>
    <row r="29" spans="1:16" ht="14.4" customHeight="1" x14ac:dyDescent="0.3">
      <c r="A29" s="423" t="s">
        <v>573</v>
      </c>
      <c r="B29" s="424" t="s">
        <v>570</v>
      </c>
      <c r="C29" s="424" t="s">
        <v>616</v>
      </c>
      <c r="D29" s="424" t="s">
        <v>617</v>
      </c>
      <c r="E29" s="427">
        <v>1</v>
      </c>
      <c r="F29" s="427">
        <v>122</v>
      </c>
      <c r="G29" s="424">
        <v>1</v>
      </c>
      <c r="H29" s="424">
        <v>122</v>
      </c>
      <c r="I29" s="427">
        <v>8</v>
      </c>
      <c r="J29" s="427">
        <v>976</v>
      </c>
      <c r="K29" s="424">
        <v>8</v>
      </c>
      <c r="L29" s="424">
        <v>122</v>
      </c>
      <c r="M29" s="427">
        <v>3</v>
      </c>
      <c r="N29" s="427">
        <v>369</v>
      </c>
      <c r="O29" s="487">
        <v>3.0245901639344264</v>
      </c>
      <c r="P29" s="428">
        <v>123</v>
      </c>
    </row>
    <row r="30" spans="1:16" ht="14.4" customHeight="1" x14ac:dyDescent="0.3">
      <c r="A30" s="423" t="s">
        <v>573</v>
      </c>
      <c r="B30" s="424" t="s">
        <v>570</v>
      </c>
      <c r="C30" s="424" t="s">
        <v>618</v>
      </c>
      <c r="D30" s="424" t="s">
        <v>619</v>
      </c>
      <c r="E30" s="427">
        <v>236</v>
      </c>
      <c r="F30" s="427">
        <v>100300</v>
      </c>
      <c r="G30" s="424">
        <v>1</v>
      </c>
      <c r="H30" s="424">
        <v>425</v>
      </c>
      <c r="I30" s="427">
        <v>258</v>
      </c>
      <c r="J30" s="427">
        <v>109650</v>
      </c>
      <c r="K30" s="424">
        <v>1.0932203389830508</v>
      </c>
      <c r="L30" s="424">
        <v>425</v>
      </c>
      <c r="M30" s="427">
        <v>430</v>
      </c>
      <c r="N30" s="427">
        <v>183180</v>
      </c>
      <c r="O30" s="487">
        <v>1.8263210368893319</v>
      </c>
      <c r="P30" s="428">
        <v>426</v>
      </c>
    </row>
    <row r="31" spans="1:16" ht="14.4" customHeight="1" x14ac:dyDescent="0.3">
      <c r="A31" s="423" t="s">
        <v>573</v>
      </c>
      <c r="B31" s="424" t="s">
        <v>570</v>
      </c>
      <c r="C31" s="424" t="s">
        <v>620</v>
      </c>
      <c r="D31" s="424" t="s">
        <v>621</v>
      </c>
      <c r="E31" s="427">
        <v>5</v>
      </c>
      <c r="F31" s="427">
        <v>6015</v>
      </c>
      <c r="G31" s="424">
        <v>1</v>
      </c>
      <c r="H31" s="424">
        <v>1203</v>
      </c>
      <c r="I31" s="427">
        <v>2</v>
      </c>
      <c r="J31" s="427">
        <v>2406</v>
      </c>
      <c r="K31" s="424">
        <v>0.4</v>
      </c>
      <c r="L31" s="424">
        <v>1203</v>
      </c>
      <c r="M31" s="427">
        <v>1</v>
      </c>
      <c r="N31" s="427">
        <v>1211</v>
      </c>
      <c r="O31" s="487">
        <v>0.20133000831255196</v>
      </c>
      <c r="P31" s="428">
        <v>1211</v>
      </c>
    </row>
    <row r="32" spans="1:16" ht="14.4" customHeight="1" x14ac:dyDescent="0.3">
      <c r="A32" s="423" t="s">
        <v>573</v>
      </c>
      <c r="B32" s="424" t="s">
        <v>570</v>
      </c>
      <c r="C32" s="424" t="s">
        <v>622</v>
      </c>
      <c r="D32" s="424" t="s">
        <v>581</v>
      </c>
      <c r="E32" s="427">
        <v>5</v>
      </c>
      <c r="F32" s="427">
        <v>4575</v>
      </c>
      <c r="G32" s="424">
        <v>1</v>
      </c>
      <c r="H32" s="424">
        <v>915</v>
      </c>
      <c r="I32" s="427">
        <v>2</v>
      </c>
      <c r="J32" s="427">
        <v>1830</v>
      </c>
      <c r="K32" s="424">
        <v>0.4</v>
      </c>
      <c r="L32" s="424">
        <v>915</v>
      </c>
      <c r="M32" s="427">
        <v>1</v>
      </c>
      <c r="N32" s="427">
        <v>923</v>
      </c>
      <c r="O32" s="487">
        <v>0.20174863387978142</v>
      </c>
      <c r="P32" s="428">
        <v>923</v>
      </c>
    </row>
    <row r="33" spans="1:16" ht="14.4" customHeight="1" x14ac:dyDescent="0.3">
      <c r="A33" s="423" t="s">
        <v>573</v>
      </c>
      <c r="B33" s="424" t="s">
        <v>570</v>
      </c>
      <c r="C33" s="424" t="s">
        <v>623</v>
      </c>
      <c r="D33" s="424" t="s">
        <v>624</v>
      </c>
      <c r="E33" s="427"/>
      <c r="F33" s="427"/>
      <c r="G33" s="424"/>
      <c r="H33" s="424"/>
      <c r="I33" s="427">
        <v>54</v>
      </c>
      <c r="J33" s="427">
        <v>86778</v>
      </c>
      <c r="K33" s="424"/>
      <c r="L33" s="424">
        <v>1607</v>
      </c>
      <c r="M33" s="427">
        <v>79</v>
      </c>
      <c r="N33" s="427">
        <v>127585</v>
      </c>
      <c r="O33" s="487"/>
      <c r="P33" s="428">
        <v>1615</v>
      </c>
    </row>
    <row r="34" spans="1:16" ht="14.4" customHeight="1" thickBot="1" x14ac:dyDescent="0.35">
      <c r="A34" s="429" t="s">
        <v>573</v>
      </c>
      <c r="B34" s="430" t="s">
        <v>570</v>
      </c>
      <c r="C34" s="430" t="s">
        <v>625</v>
      </c>
      <c r="D34" s="430" t="s">
        <v>617</v>
      </c>
      <c r="E34" s="401">
        <v>2</v>
      </c>
      <c r="F34" s="401">
        <v>452</v>
      </c>
      <c r="G34" s="430">
        <v>1</v>
      </c>
      <c r="H34" s="430">
        <v>226</v>
      </c>
      <c r="I34" s="401">
        <v>1</v>
      </c>
      <c r="J34" s="401">
        <v>226</v>
      </c>
      <c r="K34" s="430">
        <v>0.5</v>
      </c>
      <c r="L34" s="430">
        <v>226</v>
      </c>
      <c r="M34" s="401"/>
      <c r="N34" s="401"/>
      <c r="O34" s="402"/>
      <c r="P34" s="411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02" t="s">
        <v>107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242</v>
      </c>
      <c r="B2" s="195"/>
      <c r="C2" s="86"/>
      <c r="D2" s="195"/>
      <c r="E2" s="86"/>
      <c r="F2" s="195"/>
      <c r="G2" s="196"/>
      <c r="H2" s="195"/>
      <c r="I2" s="86"/>
      <c r="J2" s="195"/>
      <c r="K2" s="86"/>
      <c r="L2" s="195"/>
      <c r="M2" s="196"/>
      <c r="N2" s="195"/>
      <c r="O2" s="86"/>
      <c r="P2" s="195"/>
      <c r="Q2" s="86"/>
      <c r="R2" s="195"/>
      <c r="S2" s="196"/>
    </row>
    <row r="3" spans="1:19" ht="14.4" customHeight="1" thickBot="1" x14ac:dyDescent="0.35">
      <c r="A3" s="189" t="s">
        <v>108</v>
      </c>
      <c r="B3" s="190">
        <f>SUBTOTAL(9,B6:B1048576)</f>
        <v>870055</v>
      </c>
      <c r="C3" s="191">
        <f t="shared" ref="C3:R3" si="0">SUBTOTAL(9,C6:C1048576)</f>
        <v>12</v>
      </c>
      <c r="D3" s="191">
        <f t="shared" si="0"/>
        <v>889616</v>
      </c>
      <c r="E3" s="191">
        <f t="shared" si="0"/>
        <v>14.963101464027456</v>
      </c>
      <c r="F3" s="191">
        <f t="shared" si="0"/>
        <v>617102</v>
      </c>
      <c r="G3" s="194">
        <f>IF(B3&lt;&gt;0,F3/B3,"")</f>
        <v>0.70926780490888508</v>
      </c>
      <c r="H3" s="190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2" t="str">
        <f>IF(H3&lt;&gt;0,L3/H3,"")</f>
        <v/>
      </c>
      <c r="N3" s="193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39" t="s">
        <v>88</v>
      </c>
      <c r="B4" s="340" t="s">
        <v>82</v>
      </c>
      <c r="C4" s="341"/>
      <c r="D4" s="341"/>
      <c r="E4" s="341"/>
      <c r="F4" s="341"/>
      <c r="G4" s="342"/>
      <c r="H4" s="340" t="s">
        <v>83</v>
      </c>
      <c r="I4" s="341"/>
      <c r="J4" s="341"/>
      <c r="K4" s="341"/>
      <c r="L4" s="341"/>
      <c r="M4" s="342"/>
      <c r="N4" s="340" t="s">
        <v>84</v>
      </c>
      <c r="O4" s="341"/>
      <c r="P4" s="341"/>
      <c r="Q4" s="341"/>
      <c r="R4" s="341"/>
      <c r="S4" s="342"/>
    </row>
    <row r="5" spans="1:19" ht="14.4" customHeight="1" thickBot="1" x14ac:dyDescent="0.35">
      <c r="A5" s="464"/>
      <c r="B5" s="465">
        <v>2013</v>
      </c>
      <c r="C5" s="466"/>
      <c r="D5" s="466">
        <v>2014</v>
      </c>
      <c r="E5" s="466"/>
      <c r="F5" s="466">
        <v>2015</v>
      </c>
      <c r="G5" s="467" t="s">
        <v>2</v>
      </c>
      <c r="H5" s="465">
        <v>2013</v>
      </c>
      <c r="I5" s="466"/>
      <c r="J5" s="466">
        <v>2014</v>
      </c>
      <c r="K5" s="466"/>
      <c r="L5" s="466">
        <v>2015</v>
      </c>
      <c r="M5" s="467" t="s">
        <v>2</v>
      </c>
      <c r="N5" s="465">
        <v>2013</v>
      </c>
      <c r="O5" s="466"/>
      <c r="P5" s="466">
        <v>2014</v>
      </c>
      <c r="Q5" s="466"/>
      <c r="R5" s="466">
        <v>2015</v>
      </c>
      <c r="S5" s="467" t="s">
        <v>2</v>
      </c>
    </row>
    <row r="6" spans="1:19" ht="14.4" customHeight="1" x14ac:dyDescent="0.3">
      <c r="A6" s="397" t="s">
        <v>627</v>
      </c>
      <c r="B6" s="468"/>
      <c r="C6" s="420"/>
      <c r="D6" s="468">
        <v>47201</v>
      </c>
      <c r="E6" s="420"/>
      <c r="F6" s="468"/>
      <c r="G6" s="399"/>
      <c r="H6" s="468"/>
      <c r="I6" s="420"/>
      <c r="J6" s="468"/>
      <c r="K6" s="420"/>
      <c r="L6" s="468"/>
      <c r="M6" s="399"/>
      <c r="N6" s="468"/>
      <c r="O6" s="420"/>
      <c r="P6" s="468"/>
      <c r="Q6" s="420"/>
      <c r="R6" s="468"/>
      <c r="S6" s="400"/>
    </row>
    <row r="7" spans="1:19" ht="14.4" customHeight="1" x14ac:dyDescent="0.3">
      <c r="A7" s="490" t="s">
        <v>628</v>
      </c>
      <c r="B7" s="488">
        <v>114401</v>
      </c>
      <c r="C7" s="424">
        <v>1</v>
      </c>
      <c r="D7" s="488">
        <v>30235</v>
      </c>
      <c r="E7" s="424">
        <v>0.26428964781776382</v>
      </c>
      <c r="F7" s="488">
        <v>90337</v>
      </c>
      <c r="G7" s="487">
        <v>0.78965218835499684</v>
      </c>
      <c r="H7" s="488"/>
      <c r="I7" s="424"/>
      <c r="J7" s="488"/>
      <c r="K7" s="424"/>
      <c r="L7" s="488"/>
      <c r="M7" s="487"/>
      <c r="N7" s="488"/>
      <c r="O7" s="424"/>
      <c r="P7" s="488"/>
      <c r="Q7" s="424"/>
      <c r="R7" s="488"/>
      <c r="S7" s="489"/>
    </row>
    <row r="8" spans="1:19" ht="14.4" customHeight="1" x14ac:dyDescent="0.3">
      <c r="A8" s="490" t="s">
        <v>629</v>
      </c>
      <c r="B8" s="488">
        <v>160142</v>
      </c>
      <c r="C8" s="424">
        <v>1</v>
      </c>
      <c r="D8" s="488">
        <v>191931</v>
      </c>
      <c r="E8" s="424">
        <v>1.1985050767443894</v>
      </c>
      <c r="F8" s="488">
        <v>192604</v>
      </c>
      <c r="G8" s="487">
        <v>1.2027075970076557</v>
      </c>
      <c r="H8" s="488"/>
      <c r="I8" s="424"/>
      <c r="J8" s="488"/>
      <c r="K8" s="424"/>
      <c r="L8" s="488"/>
      <c r="M8" s="487"/>
      <c r="N8" s="488"/>
      <c r="O8" s="424"/>
      <c r="P8" s="488"/>
      <c r="Q8" s="424"/>
      <c r="R8" s="488"/>
      <c r="S8" s="489"/>
    </row>
    <row r="9" spans="1:19" ht="14.4" customHeight="1" x14ac:dyDescent="0.3">
      <c r="A9" s="490" t="s">
        <v>630</v>
      </c>
      <c r="B9" s="488">
        <v>40030</v>
      </c>
      <c r="C9" s="424">
        <v>1</v>
      </c>
      <c r="D9" s="488">
        <v>37087</v>
      </c>
      <c r="E9" s="424">
        <v>0.92648013989507871</v>
      </c>
      <c r="F9" s="488">
        <v>5062</v>
      </c>
      <c r="G9" s="487">
        <v>0.12645515863102674</v>
      </c>
      <c r="H9" s="488"/>
      <c r="I9" s="424"/>
      <c r="J9" s="488"/>
      <c r="K9" s="424"/>
      <c r="L9" s="488"/>
      <c r="M9" s="487"/>
      <c r="N9" s="488"/>
      <c r="O9" s="424"/>
      <c r="P9" s="488"/>
      <c r="Q9" s="424"/>
      <c r="R9" s="488"/>
      <c r="S9" s="489"/>
    </row>
    <row r="10" spans="1:19" ht="14.4" customHeight="1" x14ac:dyDescent="0.3">
      <c r="A10" s="490" t="s">
        <v>631</v>
      </c>
      <c r="B10" s="488">
        <v>198905</v>
      </c>
      <c r="C10" s="424">
        <v>1</v>
      </c>
      <c r="D10" s="488">
        <v>192732</v>
      </c>
      <c r="E10" s="424">
        <v>0.96896508383399105</v>
      </c>
      <c r="F10" s="488">
        <v>72127</v>
      </c>
      <c r="G10" s="487">
        <v>0.36262034639652097</v>
      </c>
      <c r="H10" s="488"/>
      <c r="I10" s="424"/>
      <c r="J10" s="488"/>
      <c r="K10" s="424"/>
      <c r="L10" s="488"/>
      <c r="M10" s="487"/>
      <c r="N10" s="488"/>
      <c r="O10" s="424"/>
      <c r="P10" s="488"/>
      <c r="Q10" s="424"/>
      <c r="R10" s="488"/>
      <c r="S10" s="489"/>
    </row>
    <row r="11" spans="1:19" ht="14.4" customHeight="1" x14ac:dyDescent="0.3">
      <c r="A11" s="490" t="s">
        <v>632</v>
      </c>
      <c r="B11" s="488">
        <v>7536</v>
      </c>
      <c r="C11" s="424">
        <v>1</v>
      </c>
      <c r="D11" s="488">
        <v>22312</v>
      </c>
      <c r="E11" s="424">
        <v>2.9607218683651806</v>
      </c>
      <c r="F11" s="488">
        <v>20317</v>
      </c>
      <c r="G11" s="487">
        <v>2.6959925690021231</v>
      </c>
      <c r="H11" s="488"/>
      <c r="I11" s="424"/>
      <c r="J11" s="488"/>
      <c r="K11" s="424"/>
      <c r="L11" s="488"/>
      <c r="M11" s="487"/>
      <c r="N11" s="488"/>
      <c r="O11" s="424"/>
      <c r="P11" s="488"/>
      <c r="Q11" s="424"/>
      <c r="R11" s="488"/>
      <c r="S11" s="489"/>
    </row>
    <row r="12" spans="1:19" ht="14.4" customHeight="1" x14ac:dyDescent="0.3">
      <c r="A12" s="490" t="s">
        <v>633</v>
      </c>
      <c r="B12" s="488">
        <v>10686</v>
      </c>
      <c r="C12" s="424">
        <v>1</v>
      </c>
      <c r="D12" s="488">
        <v>9554</v>
      </c>
      <c r="E12" s="424">
        <v>0.89406700355605462</v>
      </c>
      <c r="F12" s="488">
        <v>22967</v>
      </c>
      <c r="G12" s="487">
        <v>2.1492607149541456</v>
      </c>
      <c r="H12" s="488"/>
      <c r="I12" s="424"/>
      <c r="J12" s="488"/>
      <c r="K12" s="424"/>
      <c r="L12" s="488"/>
      <c r="M12" s="487"/>
      <c r="N12" s="488"/>
      <c r="O12" s="424"/>
      <c r="P12" s="488"/>
      <c r="Q12" s="424"/>
      <c r="R12" s="488"/>
      <c r="S12" s="489"/>
    </row>
    <row r="13" spans="1:19" ht="14.4" customHeight="1" x14ac:dyDescent="0.3">
      <c r="A13" s="490" t="s">
        <v>634</v>
      </c>
      <c r="B13" s="488">
        <v>181687</v>
      </c>
      <c r="C13" s="424">
        <v>1</v>
      </c>
      <c r="D13" s="488">
        <v>117564</v>
      </c>
      <c r="E13" s="424">
        <v>0.64706886018262177</v>
      </c>
      <c r="F13" s="488">
        <v>49797</v>
      </c>
      <c r="G13" s="487">
        <v>0.27408124962160196</v>
      </c>
      <c r="H13" s="488"/>
      <c r="I13" s="424"/>
      <c r="J13" s="488"/>
      <c r="K13" s="424"/>
      <c r="L13" s="488"/>
      <c r="M13" s="487"/>
      <c r="N13" s="488"/>
      <c r="O13" s="424"/>
      <c r="P13" s="488"/>
      <c r="Q13" s="424"/>
      <c r="R13" s="488"/>
      <c r="S13" s="489"/>
    </row>
    <row r="14" spans="1:19" ht="14.4" customHeight="1" x14ac:dyDescent="0.3">
      <c r="A14" s="490" t="s">
        <v>635</v>
      </c>
      <c r="B14" s="488"/>
      <c r="C14" s="424"/>
      <c r="D14" s="488"/>
      <c r="E14" s="424"/>
      <c r="F14" s="488">
        <v>11555</v>
      </c>
      <c r="G14" s="487"/>
      <c r="H14" s="488"/>
      <c r="I14" s="424"/>
      <c r="J14" s="488"/>
      <c r="K14" s="424"/>
      <c r="L14" s="488"/>
      <c r="M14" s="487"/>
      <c r="N14" s="488"/>
      <c r="O14" s="424"/>
      <c r="P14" s="488"/>
      <c r="Q14" s="424"/>
      <c r="R14" s="488"/>
      <c r="S14" s="489"/>
    </row>
    <row r="15" spans="1:19" ht="14.4" customHeight="1" x14ac:dyDescent="0.3">
      <c r="A15" s="490" t="s">
        <v>636</v>
      </c>
      <c r="B15" s="488">
        <v>31687</v>
      </c>
      <c r="C15" s="424">
        <v>1</v>
      </c>
      <c r="D15" s="488">
        <v>75951</v>
      </c>
      <c r="E15" s="424">
        <v>2.3969135607662446</v>
      </c>
      <c r="F15" s="488">
        <v>56981</v>
      </c>
      <c r="G15" s="487">
        <v>1.7982453372045317</v>
      </c>
      <c r="H15" s="488"/>
      <c r="I15" s="424"/>
      <c r="J15" s="488"/>
      <c r="K15" s="424"/>
      <c r="L15" s="488"/>
      <c r="M15" s="487"/>
      <c r="N15" s="488"/>
      <c r="O15" s="424"/>
      <c r="P15" s="488"/>
      <c r="Q15" s="424"/>
      <c r="R15" s="488"/>
      <c r="S15" s="489"/>
    </row>
    <row r="16" spans="1:19" ht="14.4" customHeight="1" x14ac:dyDescent="0.3">
      <c r="A16" s="490" t="s">
        <v>637</v>
      </c>
      <c r="B16" s="488">
        <v>80303</v>
      </c>
      <c r="C16" s="424">
        <v>1</v>
      </c>
      <c r="D16" s="488">
        <v>136669</v>
      </c>
      <c r="E16" s="424">
        <v>1.7019164912892419</v>
      </c>
      <c r="F16" s="488">
        <v>63468</v>
      </c>
      <c r="G16" s="487">
        <v>0.79035652466283945</v>
      </c>
      <c r="H16" s="488"/>
      <c r="I16" s="424"/>
      <c r="J16" s="488"/>
      <c r="K16" s="424"/>
      <c r="L16" s="488"/>
      <c r="M16" s="487"/>
      <c r="N16" s="488"/>
      <c r="O16" s="424"/>
      <c r="P16" s="488"/>
      <c r="Q16" s="424"/>
      <c r="R16" s="488"/>
      <c r="S16" s="489"/>
    </row>
    <row r="17" spans="1:19" ht="14.4" customHeight="1" x14ac:dyDescent="0.3">
      <c r="A17" s="490" t="s">
        <v>638</v>
      </c>
      <c r="B17" s="488">
        <v>19776</v>
      </c>
      <c r="C17" s="424">
        <v>1</v>
      </c>
      <c r="D17" s="488"/>
      <c r="E17" s="424"/>
      <c r="F17" s="488"/>
      <c r="G17" s="487"/>
      <c r="H17" s="488"/>
      <c r="I17" s="424"/>
      <c r="J17" s="488"/>
      <c r="K17" s="424"/>
      <c r="L17" s="488"/>
      <c r="M17" s="487"/>
      <c r="N17" s="488"/>
      <c r="O17" s="424"/>
      <c r="P17" s="488"/>
      <c r="Q17" s="424"/>
      <c r="R17" s="488"/>
      <c r="S17" s="489"/>
    </row>
    <row r="18" spans="1:19" ht="14.4" customHeight="1" x14ac:dyDescent="0.3">
      <c r="A18" s="490" t="s">
        <v>639</v>
      </c>
      <c r="B18" s="488">
        <v>17235</v>
      </c>
      <c r="C18" s="424">
        <v>1</v>
      </c>
      <c r="D18" s="488"/>
      <c r="E18" s="424"/>
      <c r="F18" s="488">
        <v>10725</v>
      </c>
      <c r="G18" s="487">
        <v>0.62228024369016532</v>
      </c>
      <c r="H18" s="488"/>
      <c r="I18" s="424"/>
      <c r="J18" s="488"/>
      <c r="K18" s="424"/>
      <c r="L18" s="488"/>
      <c r="M18" s="487"/>
      <c r="N18" s="488"/>
      <c r="O18" s="424"/>
      <c r="P18" s="488"/>
      <c r="Q18" s="424"/>
      <c r="R18" s="488"/>
      <c r="S18" s="489"/>
    </row>
    <row r="19" spans="1:19" ht="14.4" customHeight="1" x14ac:dyDescent="0.3">
      <c r="A19" s="490" t="s">
        <v>640</v>
      </c>
      <c r="B19" s="488"/>
      <c r="C19" s="424"/>
      <c r="D19" s="488">
        <v>5347</v>
      </c>
      <c r="E19" s="424"/>
      <c r="F19" s="488"/>
      <c r="G19" s="487"/>
      <c r="H19" s="488"/>
      <c r="I19" s="424"/>
      <c r="J19" s="488"/>
      <c r="K19" s="424"/>
      <c r="L19" s="488"/>
      <c r="M19" s="487"/>
      <c r="N19" s="488"/>
      <c r="O19" s="424"/>
      <c r="P19" s="488"/>
      <c r="Q19" s="424"/>
      <c r="R19" s="488"/>
      <c r="S19" s="489"/>
    </row>
    <row r="20" spans="1:19" ht="14.4" customHeight="1" x14ac:dyDescent="0.3">
      <c r="A20" s="490" t="s">
        <v>641</v>
      </c>
      <c r="B20" s="488"/>
      <c r="C20" s="424"/>
      <c r="D20" s="488"/>
      <c r="E20" s="424"/>
      <c r="F20" s="488">
        <v>10437</v>
      </c>
      <c r="G20" s="487"/>
      <c r="H20" s="488"/>
      <c r="I20" s="424"/>
      <c r="J20" s="488"/>
      <c r="K20" s="424"/>
      <c r="L20" s="488"/>
      <c r="M20" s="487"/>
      <c r="N20" s="488"/>
      <c r="O20" s="424"/>
      <c r="P20" s="488"/>
      <c r="Q20" s="424"/>
      <c r="R20" s="488"/>
      <c r="S20" s="489"/>
    </row>
    <row r="21" spans="1:19" ht="14.4" customHeight="1" thickBot="1" x14ac:dyDescent="0.35">
      <c r="A21" s="470" t="s">
        <v>642</v>
      </c>
      <c r="B21" s="469">
        <v>7667</v>
      </c>
      <c r="C21" s="430">
        <v>1</v>
      </c>
      <c r="D21" s="469">
        <v>23033</v>
      </c>
      <c r="E21" s="430">
        <v>3.0041737315768882</v>
      </c>
      <c r="F21" s="469">
        <v>10725</v>
      </c>
      <c r="G21" s="402">
        <v>1.3988522238163559</v>
      </c>
      <c r="H21" s="469"/>
      <c r="I21" s="430"/>
      <c r="J21" s="469"/>
      <c r="K21" s="430"/>
      <c r="L21" s="469"/>
      <c r="M21" s="402"/>
      <c r="N21" s="469"/>
      <c r="O21" s="430"/>
      <c r="P21" s="469"/>
      <c r="Q21" s="430"/>
      <c r="R21" s="469"/>
      <c r="S21" s="40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9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1" customWidth="1"/>
    <col min="8" max="9" width="9.33203125" style="181" hidden="1" customWidth="1"/>
    <col min="10" max="11" width="11.109375" style="181" customWidth="1"/>
    <col min="12" max="13" width="9.33203125" style="181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93" t="s">
        <v>659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3" t="s">
        <v>242</v>
      </c>
      <c r="B2" s="106"/>
      <c r="C2" s="106"/>
      <c r="D2" s="106"/>
      <c r="E2" s="106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8"/>
      <c r="Q2" s="197"/>
    </row>
    <row r="3" spans="1:17" ht="14.4" customHeight="1" thickBot="1" x14ac:dyDescent="0.35">
      <c r="E3" s="63" t="s">
        <v>108</v>
      </c>
      <c r="F3" s="77">
        <f t="shared" ref="F3:O3" si="0">SUBTOTAL(9,F6:F1048576)</f>
        <v>902</v>
      </c>
      <c r="G3" s="78">
        <f t="shared" si="0"/>
        <v>870055</v>
      </c>
      <c r="H3" s="78"/>
      <c r="I3" s="78"/>
      <c r="J3" s="78">
        <f t="shared" si="0"/>
        <v>893</v>
      </c>
      <c r="K3" s="78">
        <f t="shared" si="0"/>
        <v>889616</v>
      </c>
      <c r="L3" s="78"/>
      <c r="M3" s="78"/>
      <c r="N3" s="78">
        <f t="shared" si="0"/>
        <v>620</v>
      </c>
      <c r="O3" s="78">
        <f t="shared" si="0"/>
        <v>617102</v>
      </c>
      <c r="P3" s="59">
        <f>IF(G3=0,0,O3/G3)</f>
        <v>0.70926780490888508</v>
      </c>
      <c r="Q3" s="79">
        <f>IF(N3=0,0,O3/N3)</f>
        <v>995.32580645161295</v>
      </c>
    </row>
    <row r="4" spans="1:17" ht="14.4" customHeight="1" x14ac:dyDescent="0.3">
      <c r="A4" s="348" t="s">
        <v>51</v>
      </c>
      <c r="B4" s="347" t="s">
        <v>77</v>
      </c>
      <c r="C4" s="348" t="s">
        <v>78</v>
      </c>
      <c r="D4" s="356" t="s">
        <v>79</v>
      </c>
      <c r="E4" s="349" t="s">
        <v>52</v>
      </c>
      <c r="F4" s="354">
        <v>2013</v>
      </c>
      <c r="G4" s="355"/>
      <c r="H4" s="80"/>
      <c r="I4" s="80"/>
      <c r="J4" s="354">
        <v>2014</v>
      </c>
      <c r="K4" s="355"/>
      <c r="L4" s="80"/>
      <c r="M4" s="80"/>
      <c r="N4" s="354">
        <v>2015</v>
      </c>
      <c r="O4" s="355"/>
      <c r="P4" s="357" t="s">
        <v>2</v>
      </c>
      <c r="Q4" s="346" t="s">
        <v>80</v>
      </c>
    </row>
    <row r="5" spans="1:17" ht="14.4" customHeight="1" thickBot="1" x14ac:dyDescent="0.35">
      <c r="A5" s="479"/>
      <c r="B5" s="478"/>
      <c r="C5" s="479"/>
      <c r="D5" s="491"/>
      <c r="E5" s="481"/>
      <c r="F5" s="492" t="s">
        <v>54</v>
      </c>
      <c r="G5" s="493" t="s">
        <v>10</v>
      </c>
      <c r="H5" s="494"/>
      <c r="I5" s="494"/>
      <c r="J5" s="492" t="s">
        <v>54</v>
      </c>
      <c r="K5" s="493" t="s">
        <v>10</v>
      </c>
      <c r="L5" s="494"/>
      <c r="M5" s="494"/>
      <c r="N5" s="492" t="s">
        <v>54</v>
      </c>
      <c r="O5" s="493" t="s">
        <v>10</v>
      </c>
      <c r="P5" s="495"/>
      <c r="Q5" s="486"/>
    </row>
    <row r="6" spans="1:17" ht="14.4" customHeight="1" x14ac:dyDescent="0.3">
      <c r="A6" s="419" t="s">
        <v>643</v>
      </c>
      <c r="B6" s="420" t="s">
        <v>573</v>
      </c>
      <c r="C6" s="420" t="s">
        <v>570</v>
      </c>
      <c r="D6" s="420" t="s">
        <v>582</v>
      </c>
      <c r="E6" s="420" t="s">
        <v>583</v>
      </c>
      <c r="F6" s="398"/>
      <c r="G6" s="398"/>
      <c r="H6" s="398"/>
      <c r="I6" s="398"/>
      <c r="J6" s="398">
        <v>4</v>
      </c>
      <c r="K6" s="398">
        <v>14792</v>
      </c>
      <c r="L6" s="398"/>
      <c r="M6" s="398">
        <v>3698</v>
      </c>
      <c r="N6" s="398"/>
      <c r="O6" s="398"/>
      <c r="P6" s="399"/>
      <c r="Q6" s="410"/>
    </row>
    <row r="7" spans="1:17" ht="14.4" customHeight="1" x14ac:dyDescent="0.3">
      <c r="A7" s="423" t="s">
        <v>643</v>
      </c>
      <c r="B7" s="424" t="s">
        <v>573</v>
      </c>
      <c r="C7" s="424" t="s">
        <v>570</v>
      </c>
      <c r="D7" s="424" t="s">
        <v>588</v>
      </c>
      <c r="E7" s="424" t="s">
        <v>589</v>
      </c>
      <c r="F7" s="427"/>
      <c r="G7" s="427"/>
      <c r="H7" s="427"/>
      <c r="I7" s="427"/>
      <c r="J7" s="427">
        <v>2</v>
      </c>
      <c r="K7" s="427">
        <v>3226</v>
      </c>
      <c r="L7" s="427"/>
      <c r="M7" s="427">
        <v>1613</v>
      </c>
      <c r="N7" s="427"/>
      <c r="O7" s="427"/>
      <c r="P7" s="487"/>
      <c r="Q7" s="428"/>
    </row>
    <row r="8" spans="1:17" ht="14.4" customHeight="1" x14ac:dyDescent="0.3">
      <c r="A8" s="423" t="s">
        <v>643</v>
      </c>
      <c r="B8" s="424" t="s">
        <v>573</v>
      </c>
      <c r="C8" s="424" t="s">
        <v>570</v>
      </c>
      <c r="D8" s="424" t="s">
        <v>594</v>
      </c>
      <c r="E8" s="424" t="s">
        <v>595</v>
      </c>
      <c r="F8" s="427"/>
      <c r="G8" s="427"/>
      <c r="H8" s="427"/>
      <c r="I8" s="427"/>
      <c r="J8" s="427">
        <v>1</v>
      </c>
      <c r="K8" s="427">
        <v>1447</v>
      </c>
      <c r="L8" s="427"/>
      <c r="M8" s="427">
        <v>1447</v>
      </c>
      <c r="N8" s="427"/>
      <c r="O8" s="427"/>
      <c r="P8" s="487"/>
      <c r="Q8" s="428"/>
    </row>
    <row r="9" spans="1:17" ht="14.4" customHeight="1" x14ac:dyDescent="0.3">
      <c r="A9" s="423" t="s">
        <v>643</v>
      </c>
      <c r="B9" s="424" t="s">
        <v>573</v>
      </c>
      <c r="C9" s="424" t="s">
        <v>570</v>
      </c>
      <c r="D9" s="424" t="s">
        <v>601</v>
      </c>
      <c r="E9" s="424" t="s">
        <v>587</v>
      </c>
      <c r="F9" s="427"/>
      <c r="G9" s="427"/>
      <c r="H9" s="427"/>
      <c r="I9" s="427"/>
      <c r="J9" s="427">
        <v>8</v>
      </c>
      <c r="K9" s="427">
        <v>11000</v>
      </c>
      <c r="L9" s="427"/>
      <c r="M9" s="427">
        <v>1375</v>
      </c>
      <c r="N9" s="427"/>
      <c r="O9" s="427"/>
      <c r="P9" s="487"/>
      <c r="Q9" s="428"/>
    </row>
    <row r="10" spans="1:17" ht="14.4" customHeight="1" x14ac:dyDescent="0.3">
      <c r="A10" s="423" t="s">
        <v>643</v>
      </c>
      <c r="B10" s="424" t="s">
        <v>573</v>
      </c>
      <c r="C10" s="424" t="s">
        <v>570</v>
      </c>
      <c r="D10" s="424" t="s">
        <v>602</v>
      </c>
      <c r="E10" s="424" t="s">
        <v>603</v>
      </c>
      <c r="F10" s="427"/>
      <c r="G10" s="427"/>
      <c r="H10" s="427"/>
      <c r="I10" s="427"/>
      <c r="J10" s="427">
        <v>4</v>
      </c>
      <c r="K10" s="427">
        <v>9276</v>
      </c>
      <c r="L10" s="427"/>
      <c r="M10" s="427">
        <v>2319</v>
      </c>
      <c r="N10" s="427"/>
      <c r="O10" s="427"/>
      <c r="P10" s="487"/>
      <c r="Q10" s="428"/>
    </row>
    <row r="11" spans="1:17" ht="14.4" customHeight="1" x14ac:dyDescent="0.3">
      <c r="A11" s="423" t="s">
        <v>643</v>
      </c>
      <c r="B11" s="424" t="s">
        <v>573</v>
      </c>
      <c r="C11" s="424" t="s">
        <v>570</v>
      </c>
      <c r="D11" s="424" t="s">
        <v>606</v>
      </c>
      <c r="E11" s="424" t="s">
        <v>607</v>
      </c>
      <c r="F11" s="427"/>
      <c r="G11" s="427"/>
      <c r="H11" s="427"/>
      <c r="I11" s="427"/>
      <c r="J11" s="427">
        <v>1</v>
      </c>
      <c r="K11" s="427">
        <v>396</v>
      </c>
      <c r="L11" s="427"/>
      <c r="M11" s="427">
        <v>396</v>
      </c>
      <c r="N11" s="427"/>
      <c r="O11" s="427"/>
      <c r="P11" s="487"/>
      <c r="Q11" s="428"/>
    </row>
    <row r="12" spans="1:17" ht="14.4" customHeight="1" x14ac:dyDescent="0.3">
      <c r="A12" s="423" t="s">
        <v>643</v>
      </c>
      <c r="B12" s="424" t="s">
        <v>573</v>
      </c>
      <c r="C12" s="424" t="s">
        <v>570</v>
      </c>
      <c r="D12" s="424" t="s">
        <v>610</v>
      </c>
      <c r="E12" s="424" t="s">
        <v>611</v>
      </c>
      <c r="F12" s="427"/>
      <c r="G12" s="427"/>
      <c r="H12" s="427"/>
      <c r="I12" s="427"/>
      <c r="J12" s="427">
        <v>7</v>
      </c>
      <c r="K12" s="427">
        <v>3850</v>
      </c>
      <c r="L12" s="427"/>
      <c r="M12" s="427">
        <v>550</v>
      </c>
      <c r="N12" s="427"/>
      <c r="O12" s="427"/>
      <c r="P12" s="487"/>
      <c r="Q12" s="428"/>
    </row>
    <row r="13" spans="1:17" ht="14.4" customHeight="1" x14ac:dyDescent="0.3">
      <c r="A13" s="423" t="s">
        <v>643</v>
      </c>
      <c r="B13" s="424" t="s">
        <v>573</v>
      </c>
      <c r="C13" s="424" t="s">
        <v>570</v>
      </c>
      <c r="D13" s="424" t="s">
        <v>623</v>
      </c>
      <c r="E13" s="424" t="s">
        <v>624</v>
      </c>
      <c r="F13" s="427"/>
      <c r="G13" s="427"/>
      <c r="H13" s="427"/>
      <c r="I13" s="427"/>
      <c r="J13" s="427">
        <v>2</v>
      </c>
      <c r="K13" s="427">
        <v>3214</v>
      </c>
      <c r="L13" s="427"/>
      <c r="M13" s="427">
        <v>1607</v>
      </c>
      <c r="N13" s="427"/>
      <c r="O13" s="427"/>
      <c r="P13" s="487"/>
      <c r="Q13" s="428"/>
    </row>
    <row r="14" spans="1:17" ht="14.4" customHeight="1" x14ac:dyDescent="0.3">
      <c r="A14" s="423" t="s">
        <v>644</v>
      </c>
      <c r="B14" s="424" t="s">
        <v>573</v>
      </c>
      <c r="C14" s="424" t="s">
        <v>570</v>
      </c>
      <c r="D14" s="424" t="s">
        <v>574</v>
      </c>
      <c r="E14" s="424" t="s">
        <v>575</v>
      </c>
      <c r="F14" s="427">
        <v>1</v>
      </c>
      <c r="G14" s="427">
        <v>126</v>
      </c>
      <c r="H14" s="427">
        <v>1</v>
      </c>
      <c r="I14" s="427">
        <v>126</v>
      </c>
      <c r="J14" s="427"/>
      <c r="K14" s="427"/>
      <c r="L14" s="427"/>
      <c r="M14" s="427"/>
      <c r="N14" s="427"/>
      <c r="O14" s="427"/>
      <c r="P14" s="487"/>
      <c r="Q14" s="428"/>
    </row>
    <row r="15" spans="1:17" ht="14.4" customHeight="1" x14ac:dyDescent="0.3">
      <c r="A15" s="423" t="s">
        <v>644</v>
      </c>
      <c r="B15" s="424" t="s">
        <v>573</v>
      </c>
      <c r="C15" s="424" t="s">
        <v>570</v>
      </c>
      <c r="D15" s="424" t="s">
        <v>578</v>
      </c>
      <c r="E15" s="424" t="s">
        <v>579</v>
      </c>
      <c r="F15" s="427">
        <v>4</v>
      </c>
      <c r="G15" s="427">
        <v>8852</v>
      </c>
      <c r="H15" s="427">
        <v>1</v>
      </c>
      <c r="I15" s="427">
        <v>2213</v>
      </c>
      <c r="J15" s="427"/>
      <c r="K15" s="427"/>
      <c r="L15" s="427"/>
      <c r="M15" s="427"/>
      <c r="N15" s="427"/>
      <c r="O15" s="427"/>
      <c r="P15" s="487"/>
      <c r="Q15" s="428"/>
    </row>
    <row r="16" spans="1:17" ht="14.4" customHeight="1" x14ac:dyDescent="0.3">
      <c r="A16" s="423" t="s">
        <v>644</v>
      </c>
      <c r="B16" s="424" t="s">
        <v>573</v>
      </c>
      <c r="C16" s="424" t="s">
        <v>570</v>
      </c>
      <c r="D16" s="424" t="s">
        <v>582</v>
      </c>
      <c r="E16" s="424" t="s">
        <v>583</v>
      </c>
      <c r="F16" s="427">
        <v>7</v>
      </c>
      <c r="G16" s="427">
        <v>25886</v>
      </c>
      <c r="H16" s="427">
        <v>1</v>
      </c>
      <c r="I16" s="427">
        <v>3698</v>
      </c>
      <c r="J16" s="427">
        <v>1</v>
      </c>
      <c r="K16" s="427">
        <v>3698</v>
      </c>
      <c r="L16" s="427">
        <v>0.14285714285714285</v>
      </c>
      <c r="M16" s="427">
        <v>3698</v>
      </c>
      <c r="N16" s="427">
        <v>6</v>
      </c>
      <c r="O16" s="427">
        <v>22326</v>
      </c>
      <c r="P16" s="487">
        <v>0.8624739241288728</v>
      </c>
      <c r="Q16" s="428">
        <v>3721</v>
      </c>
    </row>
    <row r="17" spans="1:17" ht="14.4" customHeight="1" x14ac:dyDescent="0.3">
      <c r="A17" s="423" t="s">
        <v>644</v>
      </c>
      <c r="B17" s="424" t="s">
        <v>573</v>
      </c>
      <c r="C17" s="424" t="s">
        <v>570</v>
      </c>
      <c r="D17" s="424" t="s">
        <v>584</v>
      </c>
      <c r="E17" s="424" t="s">
        <v>585</v>
      </c>
      <c r="F17" s="427"/>
      <c r="G17" s="427"/>
      <c r="H17" s="427"/>
      <c r="I17" s="427"/>
      <c r="J17" s="427">
        <v>3</v>
      </c>
      <c r="K17" s="427">
        <v>1314</v>
      </c>
      <c r="L17" s="427"/>
      <c r="M17" s="427">
        <v>438</v>
      </c>
      <c r="N17" s="427"/>
      <c r="O17" s="427"/>
      <c r="P17" s="487"/>
      <c r="Q17" s="428"/>
    </row>
    <row r="18" spans="1:17" ht="14.4" customHeight="1" x14ac:dyDescent="0.3">
      <c r="A18" s="423" t="s">
        <v>644</v>
      </c>
      <c r="B18" s="424" t="s">
        <v>573</v>
      </c>
      <c r="C18" s="424" t="s">
        <v>570</v>
      </c>
      <c r="D18" s="424" t="s">
        <v>588</v>
      </c>
      <c r="E18" s="424" t="s">
        <v>589</v>
      </c>
      <c r="F18" s="427"/>
      <c r="G18" s="427"/>
      <c r="H18" s="427"/>
      <c r="I18" s="427"/>
      <c r="J18" s="427"/>
      <c r="K18" s="427"/>
      <c r="L18" s="427"/>
      <c r="M18" s="427"/>
      <c r="N18" s="427">
        <v>4</v>
      </c>
      <c r="O18" s="427">
        <v>6484</v>
      </c>
      <c r="P18" s="487"/>
      <c r="Q18" s="428">
        <v>1621</v>
      </c>
    </row>
    <row r="19" spans="1:17" ht="14.4" customHeight="1" x14ac:dyDescent="0.3">
      <c r="A19" s="423" t="s">
        <v>644</v>
      </c>
      <c r="B19" s="424" t="s">
        <v>573</v>
      </c>
      <c r="C19" s="424" t="s">
        <v>570</v>
      </c>
      <c r="D19" s="424" t="s">
        <v>592</v>
      </c>
      <c r="E19" s="424" t="s">
        <v>593</v>
      </c>
      <c r="F19" s="427">
        <v>2</v>
      </c>
      <c r="G19" s="427">
        <v>1638</v>
      </c>
      <c r="H19" s="427">
        <v>1</v>
      </c>
      <c r="I19" s="427">
        <v>819</v>
      </c>
      <c r="J19" s="427"/>
      <c r="K19" s="427"/>
      <c r="L19" s="427"/>
      <c r="M19" s="427"/>
      <c r="N19" s="427"/>
      <c r="O19" s="427"/>
      <c r="P19" s="487"/>
      <c r="Q19" s="428"/>
    </row>
    <row r="20" spans="1:17" ht="14.4" customHeight="1" x14ac:dyDescent="0.3">
      <c r="A20" s="423" t="s">
        <v>644</v>
      </c>
      <c r="B20" s="424" t="s">
        <v>573</v>
      </c>
      <c r="C20" s="424" t="s">
        <v>570</v>
      </c>
      <c r="D20" s="424" t="s">
        <v>594</v>
      </c>
      <c r="E20" s="424" t="s">
        <v>595</v>
      </c>
      <c r="F20" s="427">
        <v>2</v>
      </c>
      <c r="G20" s="427">
        <v>2894</v>
      </c>
      <c r="H20" s="427">
        <v>1</v>
      </c>
      <c r="I20" s="427">
        <v>1447</v>
      </c>
      <c r="J20" s="427"/>
      <c r="K20" s="427"/>
      <c r="L20" s="427"/>
      <c r="M20" s="427"/>
      <c r="N20" s="427"/>
      <c r="O20" s="427"/>
      <c r="P20" s="487"/>
      <c r="Q20" s="428"/>
    </row>
    <row r="21" spans="1:17" ht="14.4" customHeight="1" x14ac:dyDescent="0.3">
      <c r="A21" s="423" t="s">
        <v>644</v>
      </c>
      <c r="B21" s="424" t="s">
        <v>573</v>
      </c>
      <c r="C21" s="424" t="s">
        <v>570</v>
      </c>
      <c r="D21" s="424" t="s">
        <v>598</v>
      </c>
      <c r="E21" s="424" t="s">
        <v>599</v>
      </c>
      <c r="F21" s="427">
        <v>8</v>
      </c>
      <c r="G21" s="427">
        <v>128</v>
      </c>
      <c r="H21" s="427">
        <v>1</v>
      </c>
      <c r="I21" s="427">
        <v>16</v>
      </c>
      <c r="J21" s="427">
        <v>7</v>
      </c>
      <c r="K21" s="427">
        <v>112</v>
      </c>
      <c r="L21" s="427">
        <v>0.875</v>
      </c>
      <c r="M21" s="427">
        <v>16</v>
      </c>
      <c r="N21" s="427">
        <v>2</v>
      </c>
      <c r="O21" s="427">
        <v>32</v>
      </c>
      <c r="P21" s="487">
        <v>0.25</v>
      </c>
      <c r="Q21" s="428">
        <v>16</v>
      </c>
    </row>
    <row r="22" spans="1:17" ht="14.4" customHeight="1" x14ac:dyDescent="0.3">
      <c r="A22" s="423" t="s">
        <v>644</v>
      </c>
      <c r="B22" s="424" t="s">
        <v>573</v>
      </c>
      <c r="C22" s="424" t="s">
        <v>570</v>
      </c>
      <c r="D22" s="424" t="s">
        <v>600</v>
      </c>
      <c r="E22" s="424" t="s">
        <v>585</v>
      </c>
      <c r="F22" s="427">
        <v>15</v>
      </c>
      <c r="G22" s="427">
        <v>10320</v>
      </c>
      <c r="H22" s="427">
        <v>1</v>
      </c>
      <c r="I22" s="427">
        <v>688</v>
      </c>
      <c r="J22" s="427">
        <v>6</v>
      </c>
      <c r="K22" s="427">
        <v>4128</v>
      </c>
      <c r="L22" s="427">
        <v>0.4</v>
      </c>
      <c r="M22" s="427">
        <v>688</v>
      </c>
      <c r="N22" s="427">
        <v>4</v>
      </c>
      <c r="O22" s="427">
        <v>2784</v>
      </c>
      <c r="P22" s="487">
        <v>0.26976744186046514</v>
      </c>
      <c r="Q22" s="428">
        <v>696</v>
      </c>
    </row>
    <row r="23" spans="1:17" ht="14.4" customHeight="1" x14ac:dyDescent="0.3">
      <c r="A23" s="423" t="s">
        <v>644</v>
      </c>
      <c r="B23" s="424" t="s">
        <v>573</v>
      </c>
      <c r="C23" s="424" t="s">
        <v>570</v>
      </c>
      <c r="D23" s="424" t="s">
        <v>601</v>
      </c>
      <c r="E23" s="424" t="s">
        <v>587</v>
      </c>
      <c r="F23" s="427">
        <v>22</v>
      </c>
      <c r="G23" s="427">
        <v>30250</v>
      </c>
      <c r="H23" s="427">
        <v>1</v>
      </c>
      <c r="I23" s="427">
        <v>1375</v>
      </c>
      <c r="J23" s="427">
        <v>4</v>
      </c>
      <c r="K23" s="427">
        <v>5500</v>
      </c>
      <c r="L23" s="427">
        <v>0.18181818181818182</v>
      </c>
      <c r="M23" s="427">
        <v>1375</v>
      </c>
      <c r="N23" s="427">
        <v>17</v>
      </c>
      <c r="O23" s="427">
        <v>23579</v>
      </c>
      <c r="P23" s="487">
        <v>0.77947107438016527</v>
      </c>
      <c r="Q23" s="428">
        <v>1387</v>
      </c>
    </row>
    <row r="24" spans="1:17" ht="14.4" customHeight="1" x14ac:dyDescent="0.3">
      <c r="A24" s="423" t="s">
        <v>644</v>
      </c>
      <c r="B24" s="424" t="s">
        <v>573</v>
      </c>
      <c r="C24" s="424" t="s">
        <v>570</v>
      </c>
      <c r="D24" s="424" t="s">
        <v>602</v>
      </c>
      <c r="E24" s="424" t="s">
        <v>603</v>
      </c>
      <c r="F24" s="427">
        <v>10</v>
      </c>
      <c r="G24" s="427">
        <v>23190</v>
      </c>
      <c r="H24" s="427">
        <v>1</v>
      </c>
      <c r="I24" s="427">
        <v>2319</v>
      </c>
      <c r="J24" s="427">
        <v>4</v>
      </c>
      <c r="K24" s="427">
        <v>9276</v>
      </c>
      <c r="L24" s="427">
        <v>0.4</v>
      </c>
      <c r="M24" s="427">
        <v>2319</v>
      </c>
      <c r="N24" s="427">
        <v>7</v>
      </c>
      <c r="O24" s="427">
        <v>16387</v>
      </c>
      <c r="P24" s="487">
        <v>0.70664079344545061</v>
      </c>
      <c r="Q24" s="428">
        <v>2341</v>
      </c>
    </row>
    <row r="25" spans="1:17" ht="14.4" customHeight="1" x14ac:dyDescent="0.3">
      <c r="A25" s="423" t="s">
        <v>644</v>
      </c>
      <c r="B25" s="424" t="s">
        <v>573</v>
      </c>
      <c r="C25" s="424" t="s">
        <v>570</v>
      </c>
      <c r="D25" s="424" t="s">
        <v>604</v>
      </c>
      <c r="E25" s="424" t="s">
        <v>605</v>
      </c>
      <c r="F25" s="427">
        <v>15</v>
      </c>
      <c r="G25" s="427">
        <v>975</v>
      </c>
      <c r="H25" s="427">
        <v>1</v>
      </c>
      <c r="I25" s="427">
        <v>65</v>
      </c>
      <c r="J25" s="427">
        <v>9</v>
      </c>
      <c r="K25" s="427">
        <v>585</v>
      </c>
      <c r="L25" s="427">
        <v>0.6</v>
      </c>
      <c r="M25" s="427">
        <v>65</v>
      </c>
      <c r="N25" s="427">
        <v>4</v>
      </c>
      <c r="O25" s="427">
        <v>264</v>
      </c>
      <c r="P25" s="487">
        <v>0.27076923076923076</v>
      </c>
      <c r="Q25" s="428">
        <v>66</v>
      </c>
    </row>
    <row r="26" spans="1:17" ht="14.4" customHeight="1" x14ac:dyDescent="0.3">
      <c r="A26" s="423" t="s">
        <v>644</v>
      </c>
      <c r="B26" s="424" t="s">
        <v>573</v>
      </c>
      <c r="C26" s="424" t="s">
        <v>570</v>
      </c>
      <c r="D26" s="424" t="s">
        <v>606</v>
      </c>
      <c r="E26" s="424" t="s">
        <v>607</v>
      </c>
      <c r="F26" s="427">
        <v>2</v>
      </c>
      <c r="G26" s="427">
        <v>792</v>
      </c>
      <c r="H26" s="427">
        <v>1</v>
      </c>
      <c r="I26" s="427">
        <v>396</v>
      </c>
      <c r="J26" s="427"/>
      <c r="K26" s="427"/>
      <c r="L26" s="427"/>
      <c r="M26" s="427"/>
      <c r="N26" s="427"/>
      <c r="O26" s="427"/>
      <c r="P26" s="487"/>
      <c r="Q26" s="428"/>
    </row>
    <row r="27" spans="1:17" ht="14.4" customHeight="1" x14ac:dyDescent="0.3">
      <c r="A27" s="423" t="s">
        <v>644</v>
      </c>
      <c r="B27" s="424" t="s">
        <v>573</v>
      </c>
      <c r="C27" s="424" t="s">
        <v>570</v>
      </c>
      <c r="D27" s="424" t="s">
        <v>610</v>
      </c>
      <c r="E27" s="424" t="s">
        <v>611</v>
      </c>
      <c r="F27" s="427">
        <v>17</v>
      </c>
      <c r="G27" s="427">
        <v>9350</v>
      </c>
      <c r="H27" s="427">
        <v>1</v>
      </c>
      <c r="I27" s="427">
        <v>550</v>
      </c>
      <c r="J27" s="427">
        <v>10</v>
      </c>
      <c r="K27" s="427">
        <v>5500</v>
      </c>
      <c r="L27" s="427">
        <v>0.58823529411764708</v>
      </c>
      <c r="M27" s="427">
        <v>550</v>
      </c>
      <c r="N27" s="427">
        <v>13</v>
      </c>
      <c r="O27" s="427">
        <v>7176</v>
      </c>
      <c r="P27" s="487">
        <v>0.76748663101604275</v>
      </c>
      <c r="Q27" s="428">
        <v>552</v>
      </c>
    </row>
    <row r="28" spans="1:17" ht="14.4" customHeight="1" x14ac:dyDescent="0.3">
      <c r="A28" s="423" t="s">
        <v>644</v>
      </c>
      <c r="B28" s="424" t="s">
        <v>573</v>
      </c>
      <c r="C28" s="424" t="s">
        <v>570</v>
      </c>
      <c r="D28" s="424" t="s">
        <v>616</v>
      </c>
      <c r="E28" s="424" t="s">
        <v>617</v>
      </c>
      <c r="F28" s="427"/>
      <c r="G28" s="427"/>
      <c r="H28" s="427"/>
      <c r="I28" s="427"/>
      <c r="J28" s="427">
        <v>1</v>
      </c>
      <c r="K28" s="427">
        <v>122</v>
      </c>
      <c r="L28" s="427"/>
      <c r="M28" s="427">
        <v>122</v>
      </c>
      <c r="N28" s="427"/>
      <c r="O28" s="427"/>
      <c r="P28" s="487"/>
      <c r="Q28" s="428"/>
    </row>
    <row r="29" spans="1:17" ht="14.4" customHeight="1" x14ac:dyDescent="0.3">
      <c r="A29" s="423" t="s">
        <v>644</v>
      </c>
      <c r="B29" s="424" t="s">
        <v>573</v>
      </c>
      <c r="C29" s="424" t="s">
        <v>570</v>
      </c>
      <c r="D29" s="424" t="s">
        <v>623</v>
      </c>
      <c r="E29" s="424" t="s">
        <v>624</v>
      </c>
      <c r="F29" s="427"/>
      <c r="G29" s="427"/>
      <c r="H29" s="427"/>
      <c r="I29" s="427"/>
      <c r="J29" s="427"/>
      <c r="K29" s="427"/>
      <c r="L29" s="427"/>
      <c r="M29" s="427"/>
      <c r="N29" s="427">
        <v>7</v>
      </c>
      <c r="O29" s="427">
        <v>11305</v>
      </c>
      <c r="P29" s="487"/>
      <c r="Q29" s="428">
        <v>1615</v>
      </c>
    </row>
    <row r="30" spans="1:17" ht="14.4" customHeight="1" x14ac:dyDescent="0.3">
      <c r="A30" s="423" t="s">
        <v>645</v>
      </c>
      <c r="B30" s="424" t="s">
        <v>573</v>
      </c>
      <c r="C30" s="424" t="s">
        <v>570</v>
      </c>
      <c r="D30" s="424" t="s">
        <v>574</v>
      </c>
      <c r="E30" s="424" t="s">
        <v>575</v>
      </c>
      <c r="F30" s="427">
        <v>3</v>
      </c>
      <c r="G30" s="427">
        <v>378</v>
      </c>
      <c r="H30" s="427">
        <v>1</v>
      </c>
      <c r="I30" s="427">
        <v>126</v>
      </c>
      <c r="J30" s="427">
        <v>2</v>
      </c>
      <c r="K30" s="427">
        <v>252</v>
      </c>
      <c r="L30" s="427">
        <v>0.66666666666666663</v>
      </c>
      <c r="M30" s="427">
        <v>126</v>
      </c>
      <c r="N30" s="427">
        <v>1</v>
      </c>
      <c r="O30" s="427">
        <v>128</v>
      </c>
      <c r="P30" s="487">
        <v>0.33862433862433861</v>
      </c>
      <c r="Q30" s="428">
        <v>128</v>
      </c>
    </row>
    <row r="31" spans="1:17" ht="14.4" customHeight="1" x14ac:dyDescent="0.3">
      <c r="A31" s="423" t="s">
        <v>645</v>
      </c>
      <c r="B31" s="424" t="s">
        <v>573</v>
      </c>
      <c r="C31" s="424" t="s">
        <v>570</v>
      </c>
      <c r="D31" s="424" t="s">
        <v>578</v>
      </c>
      <c r="E31" s="424" t="s">
        <v>579</v>
      </c>
      <c r="F31" s="427">
        <v>13</v>
      </c>
      <c r="G31" s="427">
        <v>28769</v>
      </c>
      <c r="H31" s="427">
        <v>1</v>
      </c>
      <c r="I31" s="427">
        <v>2213</v>
      </c>
      <c r="J31" s="427">
        <v>1</v>
      </c>
      <c r="K31" s="427">
        <v>2213</v>
      </c>
      <c r="L31" s="427">
        <v>7.6923076923076927E-2</v>
      </c>
      <c r="M31" s="427">
        <v>2213</v>
      </c>
      <c r="N31" s="427"/>
      <c r="O31" s="427"/>
      <c r="P31" s="487"/>
      <c r="Q31" s="428"/>
    </row>
    <row r="32" spans="1:17" ht="14.4" customHeight="1" x14ac:dyDescent="0.3">
      <c r="A32" s="423" t="s">
        <v>645</v>
      </c>
      <c r="B32" s="424" t="s">
        <v>573</v>
      </c>
      <c r="C32" s="424" t="s">
        <v>570</v>
      </c>
      <c r="D32" s="424" t="s">
        <v>580</v>
      </c>
      <c r="E32" s="424" t="s">
        <v>581</v>
      </c>
      <c r="F32" s="427">
        <v>1</v>
      </c>
      <c r="G32" s="427">
        <v>1035</v>
      </c>
      <c r="H32" s="427">
        <v>1</v>
      </c>
      <c r="I32" s="427">
        <v>1035</v>
      </c>
      <c r="J32" s="427">
        <v>1</v>
      </c>
      <c r="K32" s="427">
        <v>1035</v>
      </c>
      <c r="L32" s="427">
        <v>1</v>
      </c>
      <c r="M32" s="427">
        <v>1035</v>
      </c>
      <c r="N32" s="427"/>
      <c r="O32" s="427"/>
      <c r="P32" s="487"/>
      <c r="Q32" s="428"/>
    </row>
    <row r="33" spans="1:17" ht="14.4" customHeight="1" x14ac:dyDescent="0.3">
      <c r="A33" s="423" t="s">
        <v>645</v>
      </c>
      <c r="B33" s="424" t="s">
        <v>573</v>
      </c>
      <c r="C33" s="424" t="s">
        <v>570</v>
      </c>
      <c r="D33" s="424" t="s">
        <v>582</v>
      </c>
      <c r="E33" s="424" t="s">
        <v>583</v>
      </c>
      <c r="F33" s="427">
        <v>6</v>
      </c>
      <c r="G33" s="427">
        <v>22188</v>
      </c>
      <c r="H33" s="427">
        <v>1</v>
      </c>
      <c r="I33" s="427">
        <v>3698</v>
      </c>
      <c r="J33" s="427">
        <v>15</v>
      </c>
      <c r="K33" s="427">
        <v>55470</v>
      </c>
      <c r="L33" s="427">
        <v>2.5</v>
      </c>
      <c r="M33" s="427">
        <v>3698</v>
      </c>
      <c r="N33" s="427">
        <v>12</v>
      </c>
      <c r="O33" s="427">
        <v>44652</v>
      </c>
      <c r="P33" s="487">
        <v>2.0124391563007031</v>
      </c>
      <c r="Q33" s="428">
        <v>3721</v>
      </c>
    </row>
    <row r="34" spans="1:17" ht="14.4" customHeight="1" x14ac:dyDescent="0.3">
      <c r="A34" s="423" t="s">
        <v>645</v>
      </c>
      <c r="B34" s="424" t="s">
        <v>573</v>
      </c>
      <c r="C34" s="424" t="s">
        <v>570</v>
      </c>
      <c r="D34" s="424" t="s">
        <v>588</v>
      </c>
      <c r="E34" s="424" t="s">
        <v>589</v>
      </c>
      <c r="F34" s="427"/>
      <c r="G34" s="427"/>
      <c r="H34" s="427"/>
      <c r="I34" s="427"/>
      <c r="J34" s="427">
        <v>3</v>
      </c>
      <c r="K34" s="427">
        <v>4839</v>
      </c>
      <c r="L34" s="427"/>
      <c r="M34" s="427">
        <v>1613</v>
      </c>
      <c r="N34" s="427">
        <v>3</v>
      </c>
      <c r="O34" s="427">
        <v>4863</v>
      </c>
      <c r="P34" s="487"/>
      <c r="Q34" s="428">
        <v>1621</v>
      </c>
    </row>
    <row r="35" spans="1:17" ht="14.4" customHeight="1" x14ac:dyDescent="0.3">
      <c r="A35" s="423" t="s">
        <v>645</v>
      </c>
      <c r="B35" s="424" t="s">
        <v>573</v>
      </c>
      <c r="C35" s="424" t="s">
        <v>570</v>
      </c>
      <c r="D35" s="424" t="s">
        <v>590</v>
      </c>
      <c r="E35" s="424" t="s">
        <v>591</v>
      </c>
      <c r="F35" s="427"/>
      <c r="G35" s="427"/>
      <c r="H35" s="427"/>
      <c r="I35" s="427"/>
      <c r="J35" s="427">
        <v>1</v>
      </c>
      <c r="K35" s="427">
        <v>1537</v>
      </c>
      <c r="L35" s="427"/>
      <c r="M35" s="427">
        <v>1537</v>
      </c>
      <c r="N35" s="427"/>
      <c r="O35" s="427"/>
      <c r="P35" s="487"/>
      <c r="Q35" s="428"/>
    </row>
    <row r="36" spans="1:17" ht="14.4" customHeight="1" x14ac:dyDescent="0.3">
      <c r="A36" s="423" t="s">
        <v>645</v>
      </c>
      <c r="B36" s="424" t="s">
        <v>573</v>
      </c>
      <c r="C36" s="424" t="s">
        <v>570</v>
      </c>
      <c r="D36" s="424" t="s">
        <v>592</v>
      </c>
      <c r="E36" s="424" t="s">
        <v>593</v>
      </c>
      <c r="F36" s="427">
        <v>8</v>
      </c>
      <c r="G36" s="427">
        <v>6552</v>
      </c>
      <c r="H36" s="427">
        <v>1</v>
      </c>
      <c r="I36" s="427">
        <v>819</v>
      </c>
      <c r="J36" s="427"/>
      <c r="K36" s="427"/>
      <c r="L36" s="427"/>
      <c r="M36" s="427"/>
      <c r="N36" s="427"/>
      <c r="O36" s="427"/>
      <c r="P36" s="487"/>
      <c r="Q36" s="428"/>
    </row>
    <row r="37" spans="1:17" ht="14.4" customHeight="1" x14ac:dyDescent="0.3">
      <c r="A37" s="423" t="s">
        <v>645</v>
      </c>
      <c r="B37" s="424" t="s">
        <v>573</v>
      </c>
      <c r="C37" s="424" t="s">
        <v>570</v>
      </c>
      <c r="D37" s="424" t="s">
        <v>594</v>
      </c>
      <c r="E37" s="424" t="s">
        <v>595</v>
      </c>
      <c r="F37" s="427">
        <v>3</v>
      </c>
      <c r="G37" s="427">
        <v>4341</v>
      </c>
      <c r="H37" s="427">
        <v>1</v>
      </c>
      <c r="I37" s="427">
        <v>1447</v>
      </c>
      <c r="J37" s="427"/>
      <c r="K37" s="427"/>
      <c r="L37" s="427"/>
      <c r="M37" s="427"/>
      <c r="N37" s="427">
        <v>4</v>
      </c>
      <c r="O37" s="427">
        <v>5844</v>
      </c>
      <c r="P37" s="487">
        <v>1.3462335867311679</v>
      </c>
      <c r="Q37" s="428">
        <v>1461</v>
      </c>
    </row>
    <row r="38" spans="1:17" ht="14.4" customHeight="1" x14ac:dyDescent="0.3">
      <c r="A38" s="423" t="s">
        <v>645</v>
      </c>
      <c r="B38" s="424" t="s">
        <v>573</v>
      </c>
      <c r="C38" s="424" t="s">
        <v>570</v>
      </c>
      <c r="D38" s="424" t="s">
        <v>598</v>
      </c>
      <c r="E38" s="424" t="s">
        <v>599</v>
      </c>
      <c r="F38" s="427">
        <v>22</v>
      </c>
      <c r="G38" s="427">
        <v>352</v>
      </c>
      <c r="H38" s="427">
        <v>1</v>
      </c>
      <c r="I38" s="427">
        <v>16</v>
      </c>
      <c r="J38" s="427">
        <v>13</v>
      </c>
      <c r="K38" s="427">
        <v>208</v>
      </c>
      <c r="L38" s="427">
        <v>0.59090909090909094</v>
      </c>
      <c r="M38" s="427">
        <v>16</v>
      </c>
      <c r="N38" s="427">
        <v>9</v>
      </c>
      <c r="O38" s="427">
        <v>144</v>
      </c>
      <c r="P38" s="487">
        <v>0.40909090909090912</v>
      </c>
      <c r="Q38" s="428">
        <v>16</v>
      </c>
    </row>
    <row r="39" spans="1:17" ht="14.4" customHeight="1" x14ac:dyDescent="0.3">
      <c r="A39" s="423" t="s">
        <v>645</v>
      </c>
      <c r="B39" s="424" t="s">
        <v>573</v>
      </c>
      <c r="C39" s="424" t="s">
        <v>570</v>
      </c>
      <c r="D39" s="424" t="s">
        <v>600</v>
      </c>
      <c r="E39" s="424" t="s">
        <v>585</v>
      </c>
      <c r="F39" s="427">
        <v>29</v>
      </c>
      <c r="G39" s="427">
        <v>19952</v>
      </c>
      <c r="H39" s="427">
        <v>1</v>
      </c>
      <c r="I39" s="427">
        <v>688</v>
      </c>
      <c r="J39" s="427">
        <v>21</v>
      </c>
      <c r="K39" s="427">
        <v>14448</v>
      </c>
      <c r="L39" s="427">
        <v>0.72413793103448276</v>
      </c>
      <c r="M39" s="427">
        <v>688</v>
      </c>
      <c r="N39" s="427">
        <v>17</v>
      </c>
      <c r="O39" s="427">
        <v>11832</v>
      </c>
      <c r="P39" s="487">
        <v>0.59302325581395354</v>
      </c>
      <c r="Q39" s="428">
        <v>696</v>
      </c>
    </row>
    <row r="40" spans="1:17" ht="14.4" customHeight="1" x14ac:dyDescent="0.3">
      <c r="A40" s="423" t="s">
        <v>645</v>
      </c>
      <c r="B40" s="424" t="s">
        <v>573</v>
      </c>
      <c r="C40" s="424" t="s">
        <v>570</v>
      </c>
      <c r="D40" s="424" t="s">
        <v>601</v>
      </c>
      <c r="E40" s="424" t="s">
        <v>587</v>
      </c>
      <c r="F40" s="427">
        <v>22</v>
      </c>
      <c r="G40" s="427">
        <v>30250</v>
      </c>
      <c r="H40" s="427">
        <v>1</v>
      </c>
      <c r="I40" s="427">
        <v>1375</v>
      </c>
      <c r="J40" s="427">
        <v>40</v>
      </c>
      <c r="K40" s="427">
        <v>55000</v>
      </c>
      <c r="L40" s="427">
        <v>1.8181818181818181</v>
      </c>
      <c r="M40" s="427">
        <v>1375</v>
      </c>
      <c r="N40" s="427">
        <v>34</v>
      </c>
      <c r="O40" s="427">
        <v>47158</v>
      </c>
      <c r="P40" s="487">
        <v>1.5589421487603305</v>
      </c>
      <c r="Q40" s="428">
        <v>1387</v>
      </c>
    </row>
    <row r="41" spans="1:17" ht="14.4" customHeight="1" x14ac:dyDescent="0.3">
      <c r="A41" s="423" t="s">
        <v>645</v>
      </c>
      <c r="B41" s="424" t="s">
        <v>573</v>
      </c>
      <c r="C41" s="424" t="s">
        <v>570</v>
      </c>
      <c r="D41" s="424" t="s">
        <v>602</v>
      </c>
      <c r="E41" s="424" t="s">
        <v>603</v>
      </c>
      <c r="F41" s="427">
        <v>12</v>
      </c>
      <c r="G41" s="427">
        <v>27828</v>
      </c>
      <c r="H41" s="427">
        <v>1</v>
      </c>
      <c r="I41" s="427">
        <v>2319</v>
      </c>
      <c r="J41" s="427">
        <v>12</v>
      </c>
      <c r="K41" s="427">
        <v>27828</v>
      </c>
      <c r="L41" s="427">
        <v>1</v>
      </c>
      <c r="M41" s="427">
        <v>2319</v>
      </c>
      <c r="N41" s="427">
        <v>16</v>
      </c>
      <c r="O41" s="427">
        <v>37456</v>
      </c>
      <c r="P41" s="487">
        <v>1.3459824637056201</v>
      </c>
      <c r="Q41" s="428">
        <v>2341</v>
      </c>
    </row>
    <row r="42" spans="1:17" ht="14.4" customHeight="1" x14ac:dyDescent="0.3">
      <c r="A42" s="423" t="s">
        <v>645</v>
      </c>
      <c r="B42" s="424" t="s">
        <v>573</v>
      </c>
      <c r="C42" s="424" t="s">
        <v>570</v>
      </c>
      <c r="D42" s="424" t="s">
        <v>604</v>
      </c>
      <c r="E42" s="424" t="s">
        <v>605</v>
      </c>
      <c r="F42" s="427">
        <v>29</v>
      </c>
      <c r="G42" s="427">
        <v>1885</v>
      </c>
      <c r="H42" s="427">
        <v>1</v>
      </c>
      <c r="I42" s="427">
        <v>65</v>
      </c>
      <c r="J42" s="427">
        <v>21</v>
      </c>
      <c r="K42" s="427">
        <v>1365</v>
      </c>
      <c r="L42" s="427">
        <v>0.72413793103448276</v>
      </c>
      <c r="M42" s="427">
        <v>65</v>
      </c>
      <c r="N42" s="427">
        <v>17</v>
      </c>
      <c r="O42" s="427">
        <v>1122</v>
      </c>
      <c r="P42" s="487">
        <v>0.59522546419098143</v>
      </c>
      <c r="Q42" s="428">
        <v>66</v>
      </c>
    </row>
    <row r="43" spans="1:17" ht="14.4" customHeight="1" x14ac:dyDescent="0.3">
      <c r="A43" s="423" t="s">
        <v>645</v>
      </c>
      <c r="B43" s="424" t="s">
        <v>573</v>
      </c>
      <c r="C43" s="424" t="s">
        <v>570</v>
      </c>
      <c r="D43" s="424" t="s">
        <v>606</v>
      </c>
      <c r="E43" s="424" t="s">
        <v>607</v>
      </c>
      <c r="F43" s="427">
        <v>3</v>
      </c>
      <c r="G43" s="427">
        <v>1188</v>
      </c>
      <c r="H43" s="427">
        <v>1</v>
      </c>
      <c r="I43" s="427">
        <v>396</v>
      </c>
      <c r="J43" s="427"/>
      <c r="K43" s="427"/>
      <c r="L43" s="427"/>
      <c r="M43" s="427"/>
      <c r="N43" s="427">
        <v>4</v>
      </c>
      <c r="O43" s="427">
        <v>1604</v>
      </c>
      <c r="P43" s="487">
        <v>1.3501683501683501</v>
      </c>
      <c r="Q43" s="428">
        <v>401</v>
      </c>
    </row>
    <row r="44" spans="1:17" ht="14.4" customHeight="1" x14ac:dyDescent="0.3">
      <c r="A44" s="423" t="s">
        <v>645</v>
      </c>
      <c r="B44" s="424" t="s">
        <v>573</v>
      </c>
      <c r="C44" s="424" t="s">
        <v>570</v>
      </c>
      <c r="D44" s="424" t="s">
        <v>610</v>
      </c>
      <c r="E44" s="424" t="s">
        <v>611</v>
      </c>
      <c r="F44" s="427">
        <v>27</v>
      </c>
      <c r="G44" s="427">
        <v>14850</v>
      </c>
      <c r="H44" s="427">
        <v>1</v>
      </c>
      <c r="I44" s="427">
        <v>550</v>
      </c>
      <c r="J44" s="427">
        <v>40</v>
      </c>
      <c r="K44" s="427">
        <v>22000</v>
      </c>
      <c r="L44" s="427">
        <v>1.4814814814814814</v>
      </c>
      <c r="M44" s="427">
        <v>550</v>
      </c>
      <c r="N44" s="427">
        <v>48</v>
      </c>
      <c r="O44" s="427">
        <v>26496</v>
      </c>
      <c r="P44" s="487">
        <v>1.7842424242424242</v>
      </c>
      <c r="Q44" s="428">
        <v>552</v>
      </c>
    </row>
    <row r="45" spans="1:17" ht="14.4" customHeight="1" x14ac:dyDescent="0.3">
      <c r="A45" s="423" t="s">
        <v>645</v>
      </c>
      <c r="B45" s="424" t="s">
        <v>573</v>
      </c>
      <c r="C45" s="424" t="s">
        <v>570</v>
      </c>
      <c r="D45" s="424" t="s">
        <v>616</v>
      </c>
      <c r="E45" s="424" t="s">
        <v>617</v>
      </c>
      <c r="F45" s="427">
        <v>1</v>
      </c>
      <c r="G45" s="427">
        <v>122</v>
      </c>
      <c r="H45" s="427">
        <v>1</v>
      </c>
      <c r="I45" s="427">
        <v>122</v>
      </c>
      <c r="J45" s="427"/>
      <c r="K45" s="427"/>
      <c r="L45" s="427"/>
      <c r="M45" s="427"/>
      <c r="N45" s="427"/>
      <c r="O45" s="427"/>
      <c r="P45" s="487"/>
      <c r="Q45" s="428"/>
    </row>
    <row r="46" spans="1:17" ht="14.4" customHeight="1" x14ac:dyDescent="0.3">
      <c r="A46" s="423" t="s">
        <v>645</v>
      </c>
      <c r="B46" s="424" t="s">
        <v>573</v>
      </c>
      <c r="C46" s="424" t="s">
        <v>570</v>
      </c>
      <c r="D46" s="424" t="s">
        <v>622</v>
      </c>
      <c r="E46" s="424" t="s">
        <v>581</v>
      </c>
      <c r="F46" s="427"/>
      <c r="G46" s="427"/>
      <c r="H46" s="427"/>
      <c r="I46" s="427"/>
      <c r="J46" s="427">
        <v>1</v>
      </c>
      <c r="K46" s="427">
        <v>915</v>
      </c>
      <c r="L46" s="427"/>
      <c r="M46" s="427">
        <v>915</v>
      </c>
      <c r="N46" s="427"/>
      <c r="O46" s="427"/>
      <c r="P46" s="487"/>
      <c r="Q46" s="428"/>
    </row>
    <row r="47" spans="1:17" ht="14.4" customHeight="1" x14ac:dyDescent="0.3">
      <c r="A47" s="423" t="s">
        <v>645</v>
      </c>
      <c r="B47" s="424" t="s">
        <v>573</v>
      </c>
      <c r="C47" s="424" t="s">
        <v>570</v>
      </c>
      <c r="D47" s="424" t="s">
        <v>623</v>
      </c>
      <c r="E47" s="424" t="s">
        <v>624</v>
      </c>
      <c r="F47" s="427"/>
      <c r="G47" s="427"/>
      <c r="H47" s="427"/>
      <c r="I47" s="427"/>
      <c r="J47" s="427">
        <v>3</v>
      </c>
      <c r="K47" s="427">
        <v>4821</v>
      </c>
      <c r="L47" s="427"/>
      <c r="M47" s="427">
        <v>1607</v>
      </c>
      <c r="N47" s="427">
        <v>7</v>
      </c>
      <c r="O47" s="427">
        <v>11305</v>
      </c>
      <c r="P47" s="487"/>
      <c r="Q47" s="428">
        <v>1615</v>
      </c>
    </row>
    <row r="48" spans="1:17" ht="14.4" customHeight="1" x14ac:dyDescent="0.3">
      <c r="A48" s="423" t="s">
        <v>645</v>
      </c>
      <c r="B48" s="424" t="s">
        <v>573</v>
      </c>
      <c r="C48" s="424" t="s">
        <v>570</v>
      </c>
      <c r="D48" s="424" t="s">
        <v>625</v>
      </c>
      <c r="E48" s="424" t="s">
        <v>617</v>
      </c>
      <c r="F48" s="427">
        <v>2</v>
      </c>
      <c r="G48" s="427">
        <v>452</v>
      </c>
      <c r="H48" s="427">
        <v>1</v>
      </c>
      <c r="I48" s="427">
        <v>226</v>
      </c>
      <c r="J48" s="427"/>
      <c r="K48" s="427"/>
      <c r="L48" s="427"/>
      <c r="M48" s="427"/>
      <c r="N48" s="427"/>
      <c r="O48" s="427"/>
      <c r="P48" s="487"/>
      <c r="Q48" s="428"/>
    </row>
    <row r="49" spans="1:17" ht="14.4" customHeight="1" x14ac:dyDescent="0.3">
      <c r="A49" s="423" t="s">
        <v>646</v>
      </c>
      <c r="B49" s="424" t="s">
        <v>569</v>
      </c>
      <c r="C49" s="424" t="s">
        <v>570</v>
      </c>
      <c r="D49" s="424" t="s">
        <v>571</v>
      </c>
      <c r="E49" s="424" t="s">
        <v>572</v>
      </c>
      <c r="F49" s="427">
        <v>2</v>
      </c>
      <c r="G49" s="427">
        <v>21190</v>
      </c>
      <c r="H49" s="427">
        <v>1</v>
      </c>
      <c r="I49" s="427">
        <v>10595</v>
      </c>
      <c r="J49" s="427"/>
      <c r="K49" s="427"/>
      <c r="L49" s="427"/>
      <c r="M49" s="427"/>
      <c r="N49" s="427"/>
      <c r="O49" s="427"/>
      <c r="P49" s="487"/>
      <c r="Q49" s="428"/>
    </row>
    <row r="50" spans="1:17" ht="14.4" customHeight="1" x14ac:dyDescent="0.3">
      <c r="A50" s="423" t="s">
        <v>646</v>
      </c>
      <c r="B50" s="424" t="s">
        <v>573</v>
      </c>
      <c r="C50" s="424" t="s">
        <v>570</v>
      </c>
      <c r="D50" s="424" t="s">
        <v>578</v>
      </c>
      <c r="E50" s="424" t="s">
        <v>579</v>
      </c>
      <c r="F50" s="427">
        <v>2</v>
      </c>
      <c r="G50" s="427">
        <v>4426</v>
      </c>
      <c r="H50" s="427">
        <v>1</v>
      </c>
      <c r="I50" s="427">
        <v>2213</v>
      </c>
      <c r="J50" s="427">
        <v>2</v>
      </c>
      <c r="K50" s="427">
        <v>4426</v>
      </c>
      <c r="L50" s="427">
        <v>1</v>
      </c>
      <c r="M50" s="427">
        <v>2213</v>
      </c>
      <c r="N50" s="427"/>
      <c r="O50" s="427"/>
      <c r="P50" s="487"/>
      <c r="Q50" s="428"/>
    </row>
    <row r="51" spans="1:17" ht="14.4" customHeight="1" x14ac:dyDescent="0.3">
      <c r="A51" s="423" t="s">
        <v>646</v>
      </c>
      <c r="B51" s="424" t="s">
        <v>573</v>
      </c>
      <c r="C51" s="424" t="s">
        <v>570</v>
      </c>
      <c r="D51" s="424" t="s">
        <v>582</v>
      </c>
      <c r="E51" s="424" t="s">
        <v>583</v>
      </c>
      <c r="F51" s="427">
        <v>1</v>
      </c>
      <c r="G51" s="427">
        <v>3698</v>
      </c>
      <c r="H51" s="427">
        <v>1</v>
      </c>
      <c r="I51" s="427">
        <v>3698</v>
      </c>
      <c r="J51" s="427">
        <v>2</v>
      </c>
      <c r="K51" s="427">
        <v>7396</v>
      </c>
      <c r="L51" s="427">
        <v>2</v>
      </c>
      <c r="M51" s="427">
        <v>3698</v>
      </c>
      <c r="N51" s="427"/>
      <c r="O51" s="427"/>
      <c r="P51" s="487"/>
      <c r="Q51" s="428"/>
    </row>
    <row r="52" spans="1:17" ht="14.4" customHeight="1" x14ac:dyDescent="0.3">
      <c r="A52" s="423" t="s">
        <v>646</v>
      </c>
      <c r="B52" s="424" t="s">
        <v>573</v>
      </c>
      <c r="C52" s="424" t="s">
        <v>570</v>
      </c>
      <c r="D52" s="424" t="s">
        <v>594</v>
      </c>
      <c r="E52" s="424" t="s">
        <v>595</v>
      </c>
      <c r="F52" s="427"/>
      <c r="G52" s="427"/>
      <c r="H52" s="427"/>
      <c r="I52" s="427"/>
      <c r="J52" s="427">
        <v>2</v>
      </c>
      <c r="K52" s="427">
        <v>2894</v>
      </c>
      <c r="L52" s="427"/>
      <c r="M52" s="427">
        <v>1447</v>
      </c>
      <c r="N52" s="427"/>
      <c r="O52" s="427"/>
      <c r="P52" s="487"/>
      <c r="Q52" s="428"/>
    </row>
    <row r="53" spans="1:17" ht="14.4" customHeight="1" x14ac:dyDescent="0.3">
      <c r="A53" s="423" t="s">
        <v>646</v>
      </c>
      <c r="B53" s="424" t="s">
        <v>573</v>
      </c>
      <c r="C53" s="424" t="s">
        <v>570</v>
      </c>
      <c r="D53" s="424" t="s">
        <v>598</v>
      </c>
      <c r="E53" s="424" t="s">
        <v>599</v>
      </c>
      <c r="F53" s="427">
        <v>1</v>
      </c>
      <c r="G53" s="427">
        <v>16</v>
      </c>
      <c r="H53" s="427">
        <v>1</v>
      </c>
      <c r="I53" s="427">
        <v>16</v>
      </c>
      <c r="J53" s="427">
        <v>3</v>
      </c>
      <c r="K53" s="427">
        <v>48</v>
      </c>
      <c r="L53" s="427">
        <v>3</v>
      </c>
      <c r="M53" s="427">
        <v>16</v>
      </c>
      <c r="N53" s="427">
        <v>1</v>
      </c>
      <c r="O53" s="427">
        <v>16</v>
      </c>
      <c r="P53" s="487">
        <v>1</v>
      </c>
      <c r="Q53" s="428">
        <v>16</v>
      </c>
    </row>
    <row r="54" spans="1:17" ht="14.4" customHeight="1" x14ac:dyDescent="0.3">
      <c r="A54" s="423" t="s">
        <v>646</v>
      </c>
      <c r="B54" s="424" t="s">
        <v>573</v>
      </c>
      <c r="C54" s="424" t="s">
        <v>570</v>
      </c>
      <c r="D54" s="424" t="s">
        <v>600</v>
      </c>
      <c r="E54" s="424" t="s">
        <v>585</v>
      </c>
      <c r="F54" s="427">
        <v>2</v>
      </c>
      <c r="G54" s="427">
        <v>1376</v>
      </c>
      <c r="H54" s="427">
        <v>1</v>
      </c>
      <c r="I54" s="427">
        <v>688</v>
      </c>
      <c r="J54" s="427">
        <v>6</v>
      </c>
      <c r="K54" s="427">
        <v>4128</v>
      </c>
      <c r="L54" s="427">
        <v>3</v>
      </c>
      <c r="M54" s="427">
        <v>688</v>
      </c>
      <c r="N54" s="427">
        <v>3</v>
      </c>
      <c r="O54" s="427">
        <v>2088</v>
      </c>
      <c r="P54" s="487">
        <v>1.5174418604651163</v>
      </c>
      <c r="Q54" s="428">
        <v>696</v>
      </c>
    </row>
    <row r="55" spans="1:17" ht="14.4" customHeight="1" x14ac:dyDescent="0.3">
      <c r="A55" s="423" t="s">
        <v>646</v>
      </c>
      <c r="B55" s="424" t="s">
        <v>573</v>
      </c>
      <c r="C55" s="424" t="s">
        <v>570</v>
      </c>
      <c r="D55" s="424" t="s">
        <v>601</v>
      </c>
      <c r="E55" s="424" t="s">
        <v>587</v>
      </c>
      <c r="F55" s="427">
        <v>3</v>
      </c>
      <c r="G55" s="427">
        <v>4125</v>
      </c>
      <c r="H55" s="427">
        <v>1</v>
      </c>
      <c r="I55" s="427">
        <v>1375</v>
      </c>
      <c r="J55" s="427">
        <v>3</v>
      </c>
      <c r="K55" s="427">
        <v>4125</v>
      </c>
      <c r="L55" s="427">
        <v>1</v>
      </c>
      <c r="M55" s="427">
        <v>1375</v>
      </c>
      <c r="N55" s="427"/>
      <c r="O55" s="427"/>
      <c r="P55" s="487"/>
      <c r="Q55" s="428"/>
    </row>
    <row r="56" spans="1:17" ht="14.4" customHeight="1" x14ac:dyDescent="0.3">
      <c r="A56" s="423" t="s">
        <v>646</v>
      </c>
      <c r="B56" s="424" t="s">
        <v>573</v>
      </c>
      <c r="C56" s="424" t="s">
        <v>570</v>
      </c>
      <c r="D56" s="424" t="s">
        <v>602</v>
      </c>
      <c r="E56" s="424" t="s">
        <v>603</v>
      </c>
      <c r="F56" s="427">
        <v>1</v>
      </c>
      <c r="G56" s="427">
        <v>2319</v>
      </c>
      <c r="H56" s="427">
        <v>1</v>
      </c>
      <c r="I56" s="427">
        <v>2319</v>
      </c>
      <c r="J56" s="427">
        <v>2</v>
      </c>
      <c r="K56" s="427">
        <v>4638</v>
      </c>
      <c r="L56" s="427">
        <v>2</v>
      </c>
      <c r="M56" s="427">
        <v>2319</v>
      </c>
      <c r="N56" s="427"/>
      <c r="O56" s="427"/>
      <c r="P56" s="487"/>
      <c r="Q56" s="428"/>
    </row>
    <row r="57" spans="1:17" ht="14.4" customHeight="1" x14ac:dyDescent="0.3">
      <c r="A57" s="423" t="s">
        <v>646</v>
      </c>
      <c r="B57" s="424" t="s">
        <v>573</v>
      </c>
      <c r="C57" s="424" t="s">
        <v>570</v>
      </c>
      <c r="D57" s="424" t="s">
        <v>604</v>
      </c>
      <c r="E57" s="424" t="s">
        <v>605</v>
      </c>
      <c r="F57" s="427">
        <v>2</v>
      </c>
      <c r="G57" s="427">
        <v>130</v>
      </c>
      <c r="H57" s="427">
        <v>1</v>
      </c>
      <c r="I57" s="427">
        <v>65</v>
      </c>
      <c r="J57" s="427">
        <v>6</v>
      </c>
      <c r="K57" s="427">
        <v>390</v>
      </c>
      <c r="L57" s="427">
        <v>3</v>
      </c>
      <c r="M57" s="427">
        <v>65</v>
      </c>
      <c r="N57" s="427">
        <v>3</v>
      </c>
      <c r="O57" s="427">
        <v>198</v>
      </c>
      <c r="P57" s="487">
        <v>1.523076923076923</v>
      </c>
      <c r="Q57" s="428">
        <v>66</v>
      </c>
    </row>
    <row r="58" spans="1:17" ht="14.4" customHeight="1" x14ac:dyDescent="0.3">
      <c r="A58" s="423" t="s">
        <v>646</v>
      </c>
      <c r="B58" s="424" t="s">
        <v>573</v>
      </c>
      <c r="C58" s="424" t="s">
        <v>570</v>
      </c>
      <c r="D58" s="424" t="s">
        <v>606</v>
      </c>
      <c r="E58" s="424" t="s">
        <v>607</v>
      </c>
      <c r="F58" s="427"/>
      <c r="G58" s="427"/>
      <c r="H58" s="427"/>
      <c r="I58" s="427"/>
      <c r="J58" s="427">
        <v>2</v>
      </c>
      <c r="K58" s="427">
        <v>792</v>
      </c>
      <c r="L58" s="427"/>
      <c r="M58" s="427">
        <v>396</v>
      </c>
      <c r="N58" s="427"/>
      <c r="O58" s="427"/>
      <c r="P58" s="487"/>
      <c r="Q58" s="428"/>
    </row>
    <row r="59" spans="1:17" ht="14.4" customHeight="1" x14ac:dyDescent="0.3">
      <c r="A59" s="423" t="s">
        <v>646</v>
      </c>
      <c r="B59" s="424" t="s">
        <v>573</v>
      </c>
      <c r="C59" s="424" t="s">
        <v>570</v>
      </c>
      <c r="D59" s="424" t="s">
        <v>610</v>
      </c>
      <c r="E59" s="424" t="s">
        <v>611</v>
      </c>
      <c r="F59" s="427">
        <v>5</v>
      </c>
      <c r="G59" s="427">
        <v>2750</v>
      </c>
      <c r="H59" s="427">
        <v>1</v>
      </c>
      <c r="I59" s="427">
        <v>550</v>
      </c>
      <c r="J59" s="427">
        <v>15</v>
      </c>
      <c r="K59" s="427">
        <v>8250</v>
      </c>
      <c r="L59" s="427">
        <v>3</v>
      </c>
      <c r="M59" s="427">
        <v>550</v>
      </c>
      <c r="N59" s="427">
        <v>5</v>
      </c>
      <c r="O59" s="427">
        <v>2760</v>
      </c>
      <c r="P59" s="487">
        <v>1.0036363636363637</v>
      </c>
      <c r="Q59" s="428">
        <v>552</v>
      </c>
    </row>
    <row r="60" spans="1:17" ht="14.4" customHeight="1" x14ac:dyDescent="0.3">
      <c r="A60" s="423" t="s">
        <v>647</v>
      </c>
      <c r="B60" s="424" t="s">
        <v>569</v>
      </c>
      <c r="C60" s="424" t="s">
        <v>570</v>
      </c>
      <c r="D60" s="424" t="s">
        <v>571</v>
      </c>
      <c r="E60" s="424" t="s">
        <v>572</v>
      </c>
      <c r="F60" s="427">
        <v>2</v>
      </c>
      <c r="G60" s="427">
        <v>21190</v>
      </c>
      <c r="H60" s="427">
        <v>1</v>
      </c>
      <c r="I60" s="427">
        <v>10595</v>
      </c>
      <c r="J60" s="427">
        <v>1</v>
      </c>
      <c r="K60" s="427">
        <v>10595</v>
      </c>
      <c r="L60" s="427">
        <v>0.5</v>
      </c>
      <c r="M60" s="427">
        <v>10595</v>
      </c>
      <c r="N60" s="427">
        <v>3</v>
      </c>
      <c r="O60" s="427">
        <v>32175</v>
      </c>
      <c r="P60" s="487">
        <v>1.51840490797546</v>
      </c>
      <c r="Q60" s="428">
        <v>10725</v>
      </c>
    </row>
    <row r="61" spans="1:17" ht="14.4" customHeight="1" x14ac:dyDescent="0.3">
      <c r="A61" s="423" t="s">
        <v>647</v>
      </c>
      <c r="B61" s="424" t="s">
        <v>573</v>
      </c>
      <c r="C61" s="424" t="s">
        <v>570</v>
      </c>
      <c r="D61" s="424" t="s">
        <v>574</v>
      </c>
      <c r="E61" s="424" t="s">
        <v>575</v>
      </c>
      <c r="F61" s="427">
        <v>2</v>
      </c>
      <c r="G61" s="427">
        <v>252</v>
      </c>
      <c r="H61" s="427">
        <v>1</v>
      </c>
      <c r="I61" s="427">
        <v>126</v>
      </c>
      <c r="J61" s="427">
        <v>4</v>
      </c>
      <c r="K61" s="427">
        <v>504</v>
      </c>
      <c r="L61" s="427">
        <v>2</v>
      </c>
      <c r="M61" s="427">
        <v>126</v>
      </c>
      <c r="N61" s="427"/>
      <c r="O61" s="427"/>
      <c r="P61" s="487"/>
      <c r="Q61" s="428"/>
    </row>
    <row r="62" spans="1:17" ht="14.4" customHeight="1" x14ac:dyDescent="0.3">
      <c r="A62" s="423" t="s">
        <v>647</v>
      </c>
      <c r="B62" s="424" t="s">
        <v>573</v>
      </c>
      <c r="C62" s="424" t="s">
        <v>570</v>
      </c>
      <c r="D62" s="424" t="s">
        <v>576</v>
      </c>
      <c r="E62" s="424" t="s">
        <v>577</v>
      </c>
      <c r="F62" s="427">
        <v>1</v>
      </c>
      <c r="G62" s="427">
        <v>1220</v>
      </c>
      <c r="H62" s="427">
        <v>1</v>
      </c>
      <c r="I62" s="427">
        <v>1220</v>
      </c>
      <c r="J62" s="427">
        <v>10</v>
      </c>
      <c r="K62" s="427">
        <v>12200</v>
      </c>
      <c r="L62" s="427">
        <v>10</v>
      </c>
      <c r="M62" s="427">
        <v>1220</v>
      </c>
      <c r="N62" s="427"/>
      <c r="O62" s="427"/>
      <c r="P62" s="487"/>
      <c r="Q62" s="428"/>
    </row>
    <row r="63" spans="1:17" ht="14.4" customHeight="1" x14ac:dyDescent="0.3">
      <c r="A63" s="423" t="s">
        <v>647</v>
      </c>
      <c r="B63" s="424" t="s">
        <v>573</v>
      </c>
      <c r="C63" s="424" t="s">
        <v>570</v>
      </c>
      <c r="D63" s="424" t="s">
        <v>578</v>
      </c>
      <c r="E63" s="424" t="s">
        <v>579</v>
      </c>
      <c r="F63" s="427">
        <v>4</v>
      </c>
      <c r="G63" s="427">
        <v>8852</v>
      </c>
      <c r="H63" s="427">
        <v>1</v>
      </c>
      <c r="I63" s="427">
        <v>2213</v>
      </c>
      <c r="J63" s="427">
        <v>11</v>
      </c>
      <c r="K63" s="427">
        <v>24343</v>
      </c>
      <c r="L63" s="427">
        <v>2.75</v>
      </c>
      <c r="M63" s="427">
        <v>2213</v>
      </c>
      <c r="N63" s="427"/>
      <c r="O63" s="427"/>
      <c r="P63" s="487"/>
      <c r="Q63" s="428"/>
    </row>
    <row r="64" spans="1:17" ht="14.4" customHeight="1" x14ac:dyDescent="0.3">
      <c r="A64" s="423" t="s">
        <v>647</v>
      </c>
      <c r="B64" s="424" t="s">
        <v>573</v>
      </c>
      <c r="C64" s="424" t="s">
        <v>570</v>
      </c>
      <c r="D64" s="424" t="s">
        <v>580</v>
      </c>
      <c r="E64" s="424" t="s">
        <v>581</v>
      </c>
      <c r="F64" s="427">
        <v>2</v>
      </c>
      <c r="G64" s="427">
        <v>2070</v>
      </c>
      <c r="H64" s="427">
        <v>1</v>
      </c>
      <c r="I64" s="427">
        <v>1035</v>
      </c>
      <c r="J64" s="427"/>
      <c r="K64" s="427"/>
      <c r="L64" s="427"/>
      <c r="M64" s="427"/>
      <c r="N64" s="427"/>
      <c r="O64" s="427"/>
      <c r="P64" s="487"/>
      <c r="Q64" s="428"/>
    </row>
    <row r="65" spans="1:17" ht="14.4" customHeight="1" x14ac:dyDescent="0.3">
      <c r="A65" s="423" t="s">
        <v>647</v>
      </c>
      <c r="B65" s="424" t="s">
        <v>573</v>
      </c>
      <c r="C65" s="424" t="s">
        <v>570</v>
      </c>
      <c r="D65" s="424" t="s">
        <v>582</v>
      </c>
      <c r="E65" s="424" t="s">
        <v>583</v>
      </c>
      <c r="F65" s="427">
        <v>13</v>
      </c>
      <c r="G65" s="427">
        <v>48074</v>
      </c>
      <c r="H65" s="427">
        <v>1</v>
      </c>
      <c r="I65" s="427">
        <v>3698</v>
      </c>
      <c r="J65" s="427">
        <v>11</v>
      </c>
      <c r="K65" s="427">
        <v>40678</v>
      </c>
      <c r="L65" s="427">
        <v>0.84615384615384615</v>
      </c>
      <c r="M65" s="427">
        <v>3698</v>
      </c>
      <c r="N65" s="427">
        <v>1</v>
      </c>
      <c r="O65" s="427">
        <v>3721</v>
      </c>
      <c r="P65" s="487">
        <v>7.7401506011565507E-2</v>
      </c>
      <c r="Q65" s="428">
        <v>3721</v>
      </c>
    </row>
    <row r="66" spans="1:17" ht="14.4" customHeight="1" x14ac:dyDescent="0.3">
      <c r="A66" s="423" t="s">
        <v>647</v>
      </c>
      <c r="B66" s="424" t="s">
        <v>573</v>
      </c>
      <c r="C66" s="424" t="s">
        <v>570</v>
      </c>
      <c r="D66" s="424" t="s">
        <v>584</v>
      </c>
      <c r="E66" s="424" t="s">
        <v>585</v>
      </c>
      <c r="F66" s="427"/>
      <c r="G66" s="427"/>
      <c r="H66" s="427"/>
      <c r="I66" s="427"/>
      <c r="J66" s="427">
        <v>1</v>
      </c>
      <c r="K66" s="427">
        <v>438</v>
      </c>
      <c r="L66" s="427"/>
      <c r="M66" s="427">
        <v>438</v>
      </c>
      <c r="N66" s="427"/>
      <c r="O66" s="427"/>
      <c r="P66" s="487"/>
      <c r="Q66" s="428"/>
    </row>
    <row r="67" spans="1:17" ht="14.4" customHeight="1" x14ac:dyDescent="0.3">
      <c r="A67" s="423" t="s">
        <v>647</v>
      </c>
      <c r="B67" s="424" t="s">
        <v>573</v>
      </c>
      <c r="C67" s="424" t="s">
        <v>570</v>
      </c>
      <c r="D67" s="424" t="s">
        <v>586</v>
      </c>
      <c r="E67" s="424" t="s">
        <v>587</v>
      </c>
      <c r="F67" s="427">
        <v>1</v>
      </c>
      <c r="G67" s="427">
        <v>832</v>
      </c>
      <c r="H67" s="427">
        <v>1</v>
      </c>
      <c r="I67" s="427">
        <v>832</v>
      </c>
      <c r="J67" s="427"/>
      <c r="K67" s="427"/>
      <c r="L67" s="427"/>
      <c r="M67" s="427"/>
      <c r="N67" s="427"/>
      <c r="O67" s="427"/>
      <c r="P67" s="487"/>
      <c r="Q67" s="428"/>
    </row>
    <row r="68" spans="1:17" ht="14.4" customHeight="1" x14ac:dyDescent="0.3">
      <c r="A68" s="423" t="s">
        <v>647</v>
      </c>
      <c r="B68" s="424" t="s">
        <v>573</v>
      </c>
      <c r="C68" s="424" t="s">
        <v>570</v>
      </c>
      <c r="D68" s="424" t="s">
        <v>588</v>
      </c>
      <c r="E68" s="424" t="s">
        <v>589</v>
      </c>
      <c r="F68" s="427"/>
      <c r="G68" s="427"/>
      <c r="H68" s="427"/>
      <c r="I68" s="427"/>
      <c r="J68" s="427">
        <v>2</v>
      </c>
      <c r="K68" s="427">
        <v>3226</v>
      </c>
      <c r="L68" s="427"/>
      <c r="M68" s="427">
        <v>1613</v>
      </c>
      <c r="N68" s="427">
        <v>1</v>
      </c>
      <c r="O68" s="427">
        <v>1621</v>
      </c>
      <c r="P68" s="487"/>
      <c r="Q68" s="428">
        <v>1621</v>
      </c>
    </row>
    <row r="69" spans="1:17" ht="14.4" customHeight="1" x14ac:dyDescent="0.3">
      <c r="A69" s="423" t="s">
        <v>647</v>
      </c>
      <c r="B69" s="424" t="s">
        <v>573</v>
      </c>
      <c r="C69" s="424" t="s">
        <v>570</v>
      </c>
      <c r="D69" s="424" t="s">
        <v>592</v>
      </c>
      <c r="E69" s="424" t="s">
        <v>593</v>
      </c>
      <c r="F69" s="427">
        <v>2</v>
      </c>
      <c r="G69" s="427">
        <v>1638</v>
      </c>
      <c r="H69" s="427">
        <v>1</v>
      </c>
      <c r="I69" s="427">
        <v>819</v>
      </c>
      <c r="J69" s="427">
        <v>3</v>
      </c>
      <c r="K69" s="427">
        <v>2457</v>
      </c>
      <c r="L69" s="427">
        <v>1.5</v>
      </c>
      <c r="M69" s="427">
        <v>819</v>
      </c>
      <c r="N69" s="427"/>
      <c r="O69" s="427"/>
      <c r="P69" s="487"/>
      <c r="Q69" s="428"/>
    </row>
    <row r="70" spans="1:17" ht="14.4" customHeight="1" x14ac:dyDescent="0.3">
      <c r="A70" s="423" t="s">
        <v>647</v>
      </c>
      <c r="B70" s="424" t="s">
        <v>573</v>
      </c>
      <c r="C70" s="424" t="s">
        <v>570</v>
      </c>
      <c r="D70" s="424" t="s">
        <v>594</v>
      </c>
      <c r="E70" s="424" t="s">
        <v>595</v>
      </c>
      <c r="F70" s="427"/>
      <c r="G70" s="427"/>
      <c r="H70" s="427"/>
      <c r="I70" s="427"/>
      <c r="J70" s="427">
        <v>1</v>
      </c>
      <c r="K70" s="427">
        <v>1447</v>
      </c>
      <c r="L70" s="427"/>
      <c r="M70" s="427">
        <v>1447</v>
      </c>
      <c r="N70" s="427"/>
      <c r="O70" s="427"/>
      <c r="P70" s="487"/>
      <c r="Q70" s="428"/>
    </row>
    <row r="71" spans="1:17" ht="14.4" customHeight="1" x14ac:dyDescent="0.3">
      <c r="A71" s="423" t="s">
        <v>647</v>
      </c>
      <c r="B71" s="424" t="s">
        <v>573</v>
      </c>
      <c r="C71" s="424" t="s">
        <v>570</v>
      </c>
      <c r="D71" s="424" t="s">
        <v>596</v>
      </c>
      <c r="E71" s="424" t="s">
        <v>597</v>
      </c>
      <c r="F71" s="427">
        <v>1</v>
      </c>
      <c r="G71" s="427">
        <v>3078</v>
      </c>
      <c r="H71" s="427">
        <v>1</v>
      </c>
      <c r="I71" s="427">
        <v>3078</v>
      </c>
      <c r="J71" s="427"/>
      <c r="K71" s="427"/>
      <c r="L71" s="427"/>
      <c r="M71" s="427"/>
      <c r="N71" s="427"/>
      <c r="O71" s="427"/>
      <c r="P71" s="487"/>
      <c r="Q71" s="428"/>
    </row>
    <row r="72" spans="1:17" ht="14.4" customHeight="1" x14ac:dyDescent="0.3">
      <c r="A72" s="423" t="s">
        <v>647</v>
      </c>
      <c r="B72" s="424" t="s">
        <v>573</v>
      </c>
      <c r="C72" s="424" t="s">
        <v>570</v>
      </c>
      <c r="D72" s="424" t="s">
        <v>598</v>
      </c>
      <c r="E72" s="424" t="s">
        <v>599</v>
      </c>
      <c r="F72" s="427">
        <v>12</v>
      </c>
      <c r="G72" s="427">
        <v>192</v>
      </c>
      <c r="H72" s="427">
        <v>1</v>
      </c>
      <c r="I72" s="427">
        <v>16</v>
      </c>
      <c r="J72" s="427">
        <v>19</v>
      </c>
      <c r="K72" s="427">
        <v>304</v>
      </c>
      <c r="L72" s="427">
        <v>1.5833333333333333</v>
      </c>
      <c r="M72" s="427">
        <v>16</v>
      </c>
      <c r="N72" s="427">
        <v>3</v>
      </c>
      <c r="O72" s="427">
        <v>48</v>
      </c>
      <c r="P72" s="487">
        <v>0.25</v>
      </c>
      <c r="Q72" s="428">
        <v>16</v>
      </c>
    </row>
    <row r="73" spans="1:17" ht="14.4" customHeight="1" x14ac:dyDescent="0.3">
      <c r="A73" s="423" t="s">
        <v>647</v>
      </c>
      <c r="B73" s="424" t="s">
        <v>573</v>
      </c>
      <c r="C73" s="424" t="s">
        <v>570</v>
      </c>
      <c r="D73" s="424" t="s">
        <v>600</v>
      </c>
      <c r="E73" s="424" t="s">
        <v>585</v>
      </c>
      <c r="F73" s="427">
        <v>22</v>
      </c>
      <c r="G73" s="427">
        <v>15136</v>
      </c>
      <c r="H73" s="427">
        <v>1</v>
      </c>
      <c r="I73" s="427">
        <v>688</v>
      </c>
      <c r="J73" s="427">
        <v>27</v>
      </c>
      <c r="K73" s="427">
        <v>18576</v>
      </c>
      <c r="L73" s="427">
        <v>1.2272727272727273</v>
      </c>
      <c r="M73" s="427">
        <v>688</v>
      </c>
      <c r="N73" s="427">
        <v>6</v>
      </c>
      <c r="O73" s="427">
        <v>4176</v>
      </c>
      <c r="P73" s="487">
        <v>0.27589852008456661</v>
      </c>
      <c r="Q73" s="428">
        <v>696</v>
      </c>
    </row>
    <row r="74" spans="1:17" ht="14.4" customHeight="1" x14ac:dyDescent="0.3">
      <c r="A74" s="423" t="s">
        <v>647</v>
      </c>
      <c r="B74" s="424" t="s">
        <v>573</v>
      </c>
      <c r="C74" s="424" t="s">
        <v>570</v>
      </c>
      <c r="D74" s="424" t="s">
        <v>601</v>
      </c>
      <c r="E74" s="424" t="s">
        <v>587</v>
      </c>
      <c r="F74" s="427">
        <v>34</v>
      </c>
      <c r="G74" s="427">
        <v>46750</v>
      </c>
      <c r="H74" s="427">
        <v>1</v>
      </c>
      <c r="I74" s="427">
        <v>1375</v>
      </c>
      <c r="J74" s="427">
        <v>21</v>
      </c>
      <c r="K74" s="427">
        <v>28875</v>
      </c>
      <c r="L74" s="427">
        <v>0.61764705882352944</v>
      </c>
      <c r="M74" s="427">
        <v>1375</v>
      </c>
      <c r="N74" s="427">
        <v>7</v>
      </c>
      <c r="O74" s="427">
        <v>9709</v>
      </c>
      <c r="P74" s="487">
        <v>0.20767914438502674</v>
      </c>
      <c r="Q74" s="428">
        <v>1387</v>
      </c>
    </row>
    <row r="75" spans="1:17" ht="14.4" customHeight="1" x14ac:dyDescent="0.3">
      <c r="A75" s="423" t="s">
        <v>647</v>
      </c>
      <c r="B75" s="424" t="s">
        <v>573</v>
      </c>
      <c r="C75" s="424" t="s">
        <v>570</v>
      </c>
      <c r="D75" s="424" t="s">
        <v>602</v>
      </c>
      <c r="E75" s="424" t="s">
        <v>603</v>
      </c>
      <c r="F75" s="427">
        <v>11</v>
      </c>
      <c r="G75" s="427">
        <v>25509</v>
      </c>
      <c r="H75" s="427">
        <v>1</v>
      </c>
      <c r="I75" s="427">
        <v>2319</v>
      </c>
      <c r="J75" s="427">
        <v>11</v>
      </c>
      <c r="K75" s="427">
        <v>25509</v>
      </c>
      <c r="L75" s="427">
        <v>1</v>
      </c>
      <c r="M75" s="427">
        <v>2319</v>
      </c>
      <c r="N75" s="427">
        <v>4</v>
      </c>
      <c r="O75" s="427">
        <v>9364</v>
      </c>
      <c r="P75" s="487">
        <v>0.36708612646516914</v>
      </c>
      <c r="Q75" s="428">
        <v>2341</v>
      </c>
    </row>
    <row r="76" spans="1:17" ht="14.4" customHeight="1" x14ac:dyDescent="0.3">
      <c r="A76" s="423" t="s">
        <v>647</v>
      </c>
      <c r="B76" s="424" t="s">
        <v>573</v>
      </c>
      <c r="C76" s="424" t="s">
        <v>570</v>
      </c>
      <c r="D76" s="424" t="s">
        <v>604</v>
      </c>
      <c r="E76" s="424" t="s">
        <v>605</v>
      </c>
      <c r="F76" s="427">
        <v>22</v>
      </c>
      <c r="G76" s="427">
        <v>1430</v>
      </c>
      <c r="H76" s="427">
        <v>1</v>
      </c>
      <c r="I76" s="427">
        <v>65</v>
      </c>
      <c r="J76" s="427">
        <v>28</v>
      </c>
      <c r="K76" s="427">
        <v>1820</v>
      </c>
      <c r="L76" s="427">
        <v>1.2727272727272727</v>
      </c>
      <c r="M76" s="427">
        <v>65</v>
      </c>
      <c r="N76" s="427">
        <v>6</v>
      </c>
      <c r="O76" s="427">
        <v>396</v>
      </c>
      <c r="P76" s="487">
        <v>0.27692307692307694</v>
      </c>
      <c r="Q76" s="428">
        <v>66</v>
      </c>
    </row>
    <row r="77" spans="1:17" ht="14.4" customHeight="1" x14ac:dyDescent="0.3">
      <c r="A77" s="423" t="s">
        <v>647</v>
      </c>
      <c r="B77" s="424" t="s">
        <v>573</v>
      </c>
      <c r="C77" s="424" t="s">
        <v>570</v>
      </c>
      <c r="D77" s="424" t="s">
        <v>606</v>
      </c>
      <c r="E77" s="424" t="s">
        <v>607</v>
      </c>
      <c r="F77" s="427"/>
      <c r="G77" s="427"/>
      <c r="H77" s="427"/>
      <c r="I77" s="427"/>
      <c r="J77" s="427">
        <v>1</v>
      </c>
      <c r="K77" s="427">
        <v>396</v>
      </c>
      <c r="L77" s="427"/>
      <c r="M77" s="427">
        <v>396</v>
      </c>
      <c r="N77" s="427"/>
      <c r="O77" s="427"/>
      <c r="P77" s="487"/>
      <c r="Q77" s="428"/>
    </row>
    <row r="78" spans="1:17" ht="14.4" customHeight="1" x14ac:dyDescent="0.3">
      <c r="A78" s="423" t="s">
        <v>647</v>
      </c>
      <c r="B78" s="424" t="s">
        <v>573</v>
      </c>
      <c r="C78" s="424" t="s">
        <v>570</v>
      </c>
      <c r="D78" s="424" t="s">
        <v>608</v>
      </c>
      <c r="E78" s="424" t="s">
        <v>609</v>
      </c>
      <c r="F78" s="427">
        <v>1</v>
      </c>
      <c r="G78" s="427">
        <v>1601</v>
      </c>
      <c r="H78" s="427">
        <v>1</v>
      </c>
      <c r="I78" s="427">
        <v>1601</v>
      </c>
      <c r="J78" s="427"/>
      <c r="K78" s="427"/>
      <c r="L78" s="427"/>
      <c r="M78" s="427"/>
      <c r="N78" s="427"/>
      <c r="O78" s="427"/>
      <c r="P78" s="487"/>
      <c r="Q78" s="428"/>
    </row>
    <row r="79" spans="1:17" ht="14.4" customHeight="1" x14ac:dyDescent="0.3">
      <c r="A79" s="423" t="s">
        <v>647</v>
      </c>
      <c r="B79" s="424" t="s">
        <v>573</v>
      </c>
      <c r="C79" s="424" t="s">
        <v>570</v>
      </c>
      <c r="D79" s="424" t="s">
        <v>610</v>
      </c>
      <c r="E79" s="424" t="s">
        <v>611</v>
      </c>
      <c r="F79" s="427">
        <v>32</v>
      </c>
      <c r="G79" s="427">
        <v>17600</v>
      </c>
      <c r="H79" s="427">
        <v>1</v>
      </c>
      <c r="I79" s="427">
        <v>550</v>
      </c>
      <c r="J79" s="427">
        <v>33</v>
      </c>
      <c r="K79" s="427">
        <v>18150</v>
      </c>
      <c r="L79" s="427">
        <v>1.03125</v>
      </c>
      <c r="M79" s="427">
        <v>550</v>
      </c>
      <c r="N79" s="427">
        <v>11</v>
      </c>
      <c r="O79" s="427">
        <v>6072</v>
      </c>
      <c r="P79" s="487">
        <v>0.34499999999999997</v>
      </c>
      <c r="Q79" s="428">
        <v>552</v>
      </c>
    </row>
    <row r="80" spans="1:17" ht="14.4" customHeight="1" x14ac:dyDescent="0.3">
      <c r="A80" s="423" t="s">
        <v>647</v>
      </c>
      <c r="B80" s="424" t="s">
        <v>573</v>
      </c>
      <c r="C80" s="424" t="s">
        <v>570</v>
      </c>
      <c r="D80" s="424" t="s">
        <v>612</v>
      </c>
      <c r="E80" s="424" t="s">
        <v>613</v>
      </c>
      <c r="F80" s="427">
        <v>1</v>
      </c>
      <c r="G80" s="427">
        <v>1234</v>
      </c>
      <c r="H80" s="427">
        <v>1</v>
      </c>
      <c r="I80" s="427">
        <v>1234</v>
      </c>
      <c r="J80" s="427"/>
      <c r="K80" s="427"/>
      <c r="L80" s="427"/>
      <c r="M80" s="427"/>
      <c r="N80" s="427"/>
      <c r="O80" s="427"/>
      <c r="P80" s="487"/>
      <c r="Q80" s="428"/>
    </row>
    <row r="81" spans="1:17" ht="14.4" customHeight="1" x14ac:dyDescent="0.3">
      <c r="A81" s="423" t="s">
        <v>647</v>
      </c>
      <c r="B81" s="424" t="s">
        <v>573</v>
      </c>
      <c r="C81" s="424" t="s">
        <v>570</v>
      </c>
      <c r="D81" s="424" t="s">
        <v>616</v>
      </c>
      <c r="E81" s="424" t="s">
        <v>617</v>
      </c>
      <c r="F81" s="427">
        <v>1</v>
      </c>
      <c r="G81" s="427">
        <v>122</v>
      </c>
      <c r="H81" s="427">
        <v>1</v>
      </c>
      <c r="I81" s="427">
        <v>122</v>
      </c>
      <c r="J81" s="427"/>
      <c r="K81" s="427"/>
      <c r="L81" s="427"/>
      <c r="M81" s="427"/>
      <c r="N81" s="427"/>
      <c r="O81" s="427"/>
      <c r="P81" s="487"/>
      <c r="Q81" s="428"/>
    </row>
    <row r="82" spans="1:17" ht="14.4" customHeight="1" x14ac:dyDescent="0.3">
      <c r="A82" s="423" t="s">
        <v>647</v>
      </c>
      <c r="B82" s="424" t="s">
        <v>573</v>
      </c>
      <c r="C82" s="424" t="s">
        <v>570</v>
      </c>
      <c r="D82" s="424" t="s">
        <v>618</v>
      </c>
      <c r="E82" s="424" t="s">
        <v>619</v>
      </c>
      <c r="F82" s="427">
        <v>5</v>
      </c>
      <c r="G82" s="427">
        <v>2125</v>
      </c>
      <c r="H82" s="427">
        <v>1</v>
      </c>
      <c r="I82" s="427">
        <v>425</v>
      </c>
      <c r="J82" s="427"/>
      <c r="K82" s="427"/>
      <c r="L82" s="427"/>
      <c r="M82" s="427"/>
      <c r="N82" s="427"/>
      <c r="O82" s="427"/>
      <c r="P82" s="487"/>
      <c r="Q82" s="428"/>
    </row>
    <row r="83" spans="1:17" ht="14.4" customHeight="1" x14ac:dyDescent="0.3">
      <c r="A83" s="423" t="s">
        <v>647</v>
      </c>
      <c r="B83" s="424" t="s">
        <v>573</v>
      </c>
      <c r="C83" s="424" t="s">
        <v>570</v>
      </c>
      <c r="D83" s="424" t="s">
        <v>623</v>
      </c>
      <c r="E83" s="424" t="s">
        <v>624</v>
      </c>
      <c r="F83" s="427"/>
      <c r="G83" s="427"/>
      <c r="H83" s="427"/>
      <c r="I83" s="427"/>
      <c r="J83" s="427">
        <v>2</v>
      </c>
      <c r="K83" s="427">
        <v>3214</v>
      </c>
      <c r="L83" s="427"/>
      <c r="M83" s="427">
        <v>1607</v>
      </c>
      <c r="N83" s="427">
        <v>3</v>
      </c>
      <c r="O83" s="427">
        <v>4845</v>
      </c>
      <c r="P83" s="487"/>
      <c r="Q83" s="428">
        <v>1615</v>
      </c>
    </row>
    <row r="84" spans="1:17" ht="14.4" customHeight="1" x14ac:dyDescent="0.3">
      <c r="A84" s="423" t="s">
        <v>648</v>
      </c>
      <c r="B84" s="424" t="s">
        <v>573</v>
      </c>
      <c r="C84" s="424" t="s">
        <v>570</v>
      </c>
      <c r="D84" s="424" t="s">
        <v>574</v>
      </c>
      <c r="E84" s="424" t="s">
        <v>575</v>
      </c>
      <c r="F84" s="427"/>
      <c r="G84" s="427"/>
      <c r="H84" s="427"/>
      <c r="I84" s="427"/>
      <c r="J84" s="427">
        <v>2</v>
      </c>
      <c r="K84" s="427">
        <v>252</v>
      </c>
      <c r="L84" s="427"/>
      <c r="M84" s="427">
        <v>126</v>
      </c>
      <c r="N84" s="427">
        <v>2</v>
      </c>
      <c r="O84" s="427">
        <v>256</v>
      </c>
      <c r="P84" s="487"/>
      <c r="Q84" s="428">
        <v>128</v>
      </c>
    </row>
    <row r="85" spans="1:17" ht="14.4" customHeight="1" x14ac:dyDescent="0.3">
      <c r="A85" s="423" t="s">
        <v>648</v>
      </c>
      <c r="B85" s="424" t="s">
        <v>573</v>
      </c>
      <c r="C85" s="424" t="s">
        <v>570</v>
      </c>
      <c r="D85" s="424" t="s">
        <v>594</v>
      </c>
      <c r="E85" s="424" t="s">
        <v>595</v>
      </c>
      <c r="F85" s="427">
        <v>2</v>
      </c>
      <c r="G85" s="427">
        <v>2894</v>
      </c>
      <c r="H85" s="427">
        <v>1</v>
      </c>
      <c r="I85" s="427">
        <v>1447</v>
      </c>
      <c r="J85" s="427">
        <v>4</v>
      </c>
      <c r="K85" s="427">
        <v>5788</v>
      </c>
      <c r="L85" s="427">
        <v>2</v>
      </c>
      <c r="M85" s="427">
        <v>1447</v>
      </c>
      <c r="N85" s="427">
        <v>4</v>
      </c>
      <c r="O85" s="427">
        <v>5844</v>
      </c>
      <c r="P85" s="487">
        <v>2.0193503800967521</v>
      </c>
      <c r="Q85" s="428">
        <v>1461</v>
      </c>
    </row>
    <row r="86" spans="1:17" ht="14.4" customHeight="1" x14ac:dyDescent="0.3">
      <c r="A86" s="423" t="s">
        <v>648</v>
      </c>
      <c r="B86" s="424" t="s">
        <v>573</v>
      </c>
      <c r="C86" s="424" t="s">
        <v>570</v>
      </c>
      <c r="D86" s="424" t="s">
        <v>600</v>
      </c>
      <c r="E86" s="424" t="s">
        <v>585</v>
      </c>
      <c r="F86" s="427"/>
      <c r="G86" s="427"/>
      <c r="H86" s="427"/>
      <c r="I86" s="427"/>
      <c r="J86" s="427"/>
      <c r="K86" s="427"/>
      <c r="L86" s="427"/>
      <c r="M86" s="427"/>
      <c r="N86" s="427">
        <v>1</v>
      </c>
      <c r="O86" s="427">
        <v>696</v>
      </c>
      <c r="P86" s="487"/>
      <c r="Q86" s="428">
        <v>696</v>
      </c>
    </row>
    <row r="87" spans="1:17" ht="14.4" customHeight="1" x14ac:dyDescent="0.3">
      <c r="A87" s="423" t="s">
        <v>648</v>
      </c>
      <c r="B87" s="424" t="s">
        <v>573</v>
      </c>
      <c r="C87" s="424" t="s">
        <v>570</v>
      </c>
      <c r="D87" s="424" t="s">
        <v>601</v>
      </c>
      <c r="E87" s="424" t="s">
        <v>587</v>
      </c>
      <c r="F87" s="427"/>
      <c r="G87" s="427"/>
      <c r="H87" s="427"/>
      <c r="I87" s="427"/>
      <c r="J87" s="427">
        <v>1</v>
      </c>
      <c r="K87" s="427">
        <v>1375</v>
      </c>
      <c r="L87" s="427"/>
      <c r="M87" s="427">
        <v>1375</v>
      </c>
      <c r="N87" s="427"/>
      <c r="O87" s="427"/>
      <c r="P87" s="487"/>
      <c r="Q87" s="428"/>
    </row>
    <row r="88" spans="1:17" ht="14.4" customHeight="1" x14ac:dyDescent="0.3">
      <c r="A88" s="423" t="s">
        <v>648</v>
      </c>
      <c r="B88" s="424" t="s">
        <v>573</v>
      </c>
      <c r="C88" s="424" t="s">
        <v>570</v>
      </c>
      <c r="D88" s="424" t="s">
        <v>602</v>
      </c>
      <c r="E88" s="424" t="s">
        <v>603</v>
      </c>
      <c r="F88" s="427"/>
      <c r="G88" s="427"/>
      <c r="H88" s="427"/>
      <c r="I88" s="427"/>
      <c r="J88" s="427">
        <v>2</v>
      </c>
      <c r="K88" s="427">
        <v>4638</v>
      </c>
      <c r="L88" s="427"/>
      <c r="M88" s="427">
        <v>2319</v>
      </c>
      <c r="N88" s="427"/>
      <c r="O88" s="427"/>
      <c r="P88" s="487"/>
      <c r="Q88" s="428"/>
    </row>
    <row r="89" spans="1:17" ht="14.4" customHeight="1" x14ac:dyDescent="0.3">
      <c r="A89" s="423" t="s">
        <v>648</v>
      </c>
      <c r="B89" s="424" t="s">
        <v>573</v>
      </c>
      <c r="C89" s="424" t="s">
        <v>570</v>
      </c>
      <c r="D89" s="424" t="s">
        <v>604</v>
      </c>
      <c r="E89" s="424" t="s">
        <v>605</v>
      </c>
      <c r="F89" s="427"/>
      <c r="G89" s="427"/>
      <c r="H89" s="427"/>
      <c r="I89" s="427"/>
      <c r="J89" s="427"/>
      <c r="K89" s="427"/>
      <c r="L89" s="427"/>
      <c r="M89" s="427"/>
      <c r="N89" s="427">
        <v>1</v>
      </c>
      <c r="O89" s="427">
        <v>66</v>
      </c>
      <c r="P89" s="487"/>
      <c r="Q89" s="428">
        <v>66</v>
      </c>
    </row>
    <row r="90" spans="1:17" ht="14.4" customHeight="1" x14ac:dyDescent="0.3">
      <c r="A90" s="423" t="s">
        <v>648</v>
      </c>
      <c r="B90" s="424" t="s">
        <v>573</v>
      </c>
      <c r="C90" s="424" t="s">
        <v>570</v>
      </c>
      <c r="D90" s="424" t="s">
        <v>606</v>
      </c>
      <c r="E90" s="424" t="s">
        <v>607</v>
      </c>
      <c r="F90" s="427">
        <v>2</v>
      </c>
      <c r="G90" s="427">
        <v>792</v>
      </c>
      <c r="H90" s="427">
        <v>1</v>
      </c>
      <c r="I90" s="427">
        <v>396</v>
      </c>
      <c r="J90" s="427">
        <v>4</v>
      </c>
      <c r="K90" s="427">
        <v>1584</v>
      </c>
      <c r="L90" s="427">
        <v>2</v>
      </c>
      <c r="M90" s="427">
        <v>396</v>
      </c>
      <c r="N90" s="427">
        <v>4</v>
      </c>
      <c r="O90" s="427">
        <v>1604</v>
      </c>
      <c r="P90" s="487">
        <v>2.0252525252525251</v>
      </c>
      <c r="Q90" s="428">
        <v>401</v>
      </c>
    </row>
    <row r="91" spans="1:17" ht="14.4" customHeight="1" x14ac:dyDescent="0.3">
      <c r="A91" s="423" t="s">
        <v>648</v>
      </c>
      <c r="B91" s="424" t="s">
        <v>573</v>
      </c>
      <c r="C91" s="424" t="s">
        <v>570</v>
      </c>
      <c r="D91" s="424" t="s">
        <v>610</v>
      </c>
      <c r="E91" s="424" t="s">
        <v>611</v>
      </c>
      <c r="F91" s="427">
        <v>7</v>
      </c>
      <c r="G91" s="427">
        <v>3850</v>
      </c>
      <c r="H91" s="427">
        <v>1</v>
      </c>
      <c r="I91" s="427">
        <v>550</v>
      </c>
      <c r="J91" s="427">
        <v>15</v>
      </c>
      <c r="K91" s="427">
        <v>8250</v>
      </c>
      <c r="L91" s="427">
        <v>2.1428571428571428</v>
      </c>
      <c r="M91" s="427">
        <v>550</v>
      </c>
      <c r="N91" s="427">
        <v>17</v>
      </c>
      <c r="O91" s="427">
        <v>9384</v>
      </c>
      <c r="P91" s="487">
        <v>2.4374025974025972</v>
      </c>
      <c r="Q91" s="428">
        <v>552</v>
      </c>
    </row>
    <row r="92" spans="1:17" ht="14.4" customHeight="1" x14ac:dyDescent="0.3">
      <c r="A92" s="423" t="s">
        <v>648</v>
      </c>
      <c r="B92" s="424" t="s">
        <v>573</v>
      </c>
      <c r="C92" s="424" t="s">
        <v>570</v>
      </c>
      <c r="D92" s="424" t="s">
        <v>618</v>
      </c>
      <c r="E92" s="424" t="s">
        <v>619</v>
      </c>
      <c r="F92" s="427"/>
      <c r="G92" s="427"/>
      <c r="H92" s="427"/>
      <c r="I92" s="427"/>
      <c r="J92" s="427">
        <v>1</v>
      </c>
      <c r="K92" s="427">
        <v>425</v>
      </c>
      <c r="L92" s="427"/>
      <c r="M92" s="427">
        <v>425</v>
      </c>
      <c r="N92" s="427">
        <v>2</v>
      </c>
      <c r="O92" s="427">
        <v>852</v>
      </c>
      <c r="P92" s="487"/>
      <c r="Q92" s="428">
        <v>426</v>
      </c>
    </row>
    <row r="93" spans="1:17" ht="14.4" customHeight="1" x14ac:dyDescent="0.3">
      <c r="A93" s="423" t="s">
        <v>648</v>
      </c>
      <c r="B93" s="424" t="s">
        <v>573</v>
      </c>
      <c r="C93" s="424" t="s">
        <v>570</v>
      </c>
      <c r="D93" s="424" t="s">
        <v>623</v>
      </c>
      <c r="E93" s="424" t="s">
        <v>624</v>
      </c>
      <c r="F93" s="427"/>
      <c r="G93" s="427"/>
      <c r="H93" s="427"/>
      <c r="I93" s="427"/>
      <c r="J93" s="427"/>
      <c r="K93" s="427"/>
      <c r="L93" s="427"/>
      <c r="M93" s="427"/>
      <c r="N93" s="427">
        <v>1</v>
      </c>
      <c r="O93" s="427">
        <v>1615</v>
      </c>
      <c r="P93" s="487"/>
      <c r="Q93" s="428">
        <v>1615</v>
      </c>
    </row>
    <row r="94" spans="1:17" ht="14.4" customHeight="1" x14ac:dyDescent="0.3">
      <c r="A94" s="423" t="s">
        <v>649</v>
      </c>
      <c r="B94" s="424" t="s">
        <v>573</v>
      </c>
      <c r="C94" s="424" t="s">
        <v>570</v>
      </c>
      <c r="D94" s="424" t="s">
        <v>574</v>
      </c>
      <c r="E94" s="424" t="s">
        <v>575</v>
      </c>
      <c r="F94" s="427"/>
      <c r="G94" s="427"/>
      <c r="H94" s="427"/>
      <c r="I94" s="427"/>
      <c r="J94" s="427"/>
      <c r="K94" s="427"/>
      <c r="L94" s="427"/>
      <c r="M94" s="427"/>
      <c r="N94" s="427">
        <v>4</v>
      </c>
      <c r="O94" s="427">
        <v>512</v>
      </c>
      <c r="P94" s="487"/>
      <c r="Q94" s="428">
        <v>128</v>
      </c>
    </row>
    <row r="95" spans="1:17" ht="14.4" customHeight="1" x14ac:dyDescent="0.3">
      <c r="A95" s="423" t="s">
        <v>649</v>
      </c>
      <c r="B95" s="424" t="s">
        <v>573</v>
      </c>
      <c r="C95" s="424" t="s">
        <v>570</v>
      </c>
      <c r="D95" s="424" t="s">
        <v>594</v>
      </c>
      <c r="E95" s="424" t="s">
        <v>595</v>
      </c>
      <c r="F95" s="427">
        <v>2</v>
      </c>
      <c r="G95" s="427">
        <v>2894</v>
      </c>
      <c r="H95" s="427">
        <v>1</v>
      </c>
      <c r="I95" s="427">
        <v>1447</v>
      </c>
      <c r="J95" s="427">
        <v>3</v>
      </c>
      <c r="K95" s="427">
        <v>4341</v>
      </c>
      <c r="L95" s="427">
        <v>1.5</v>
      </c>
      <c r="M95" s="427">
        <v>1447</v>
      </c>
      <c r="N95" s="427">
        <v>4</v>
      </c>
      <c r="O95" s="427">
        <v>5844</v>
      </c>
      <c r="P95" s="487">
        <v>2.0193503800967521</v>
      </c>
      <c r="Q95" s="428">
        <v>1461</v>
      </c>
    </row>
    <row r="96" spans="1:17" ht="14.4" customHeight="1" x14ac:dyDescent="0.3">
      <c r="A96" s="423" t="s">
        <v>649</v>
      </c>
      <c r="B96" s="424" t="s">
        <v>573</v>
      </c>
      <c r="C96" s="424" t="s">
        <v>570</v>
      </c>
      <c r="D96" s="424" t="s">
        <v>606</v>
      </c>
      <c r="E96" s="424" t="s">
        <v>607</v>
      </c>
      <c r="F96" s="427">
        <v>2</v>
      </c>
      <c r="G96" s="427">
        <v>792</v>
      </c>
      <c r="H96" s="427">
        <v>1</v>
      </c>
      <c r="I96" s="427">
        <v>396</v>
      </c>
      <c r="J96" s="427">
        <v>3</v>
      </c>
      <c r="K96" s="427">
        <v>1188</v>
      </c>
      <c r="L96" s="427">
        <v>1.5</v>
      </c>
      <c r="M96" s="427">
        <v>396</v>
      </c>
      <c r="N96" s="427">
        <v>4</v>
      </c>
      <c r="O96" s="427">
        <v>1604</v>
      </c>
      <c r="P96" s="487">
        <v>2.0252525252525251</v>
      </c>
      <c r="Q96" s="428">
        <v>401</v>
      </c>
    </row>
    <row r="97" spans="1:17" ht="14.4" customHeight="1" x14ac:dyDescent="0.3">
      <c r="A97" s="423" t="s">
        <v>649</v>
      </c>
      <c r="B97" s="424" t="s">
        <v>573</v>
      </c>
      <c r="C97" s="424" t="s">
        <v>570</v>
      </c>
      <c r="D97" s="424" t="s">
        <v>610</v>
      </c>
      <c r="E97" s="424" t="s">
        <v>611</v>
      </c>
      <c r="F97" s="427">
        <v>5</v>
      </c>
      <c r="G97" s="427">
        <v>2750</v>
      </c>
      <c r="H97" s="427">
        <v>1</v>
      </c>
      <c r="I97" s="427">
        <v>550</v>
      </c>
      <c r="J97" s="427">
        <v>5</v>
      </c>
      <c r="K97" s="427">
        <v>2750</v>
      </c>
      <c r="L97" s="427">
        <v>1</v>
      </c>
      <c r="M97" s="427">
        <v>550</v>
      </c>
      <c r="N97" s="427">
        <v>15</v>
      </c>
      <c r="O97" s="427">
        <v>8280</v>
      </c>
      <c r="P97" s="487">
        <v>3.0109090909090908</v>
      </c>
      <c r="Q97" s="428">
        <v>552</v>
      </c>
    </row>
    <row r="98" spans="1:17" ht="14.4" customHeight="1" x14ac:dyDescent="0.3">
      <c r="A98" s="423" t="s">
        <v>649</v>
      </c>
      <c r="B98" s="424" t="s">
        <v>573</v>
      </c>
      <c r="C98" s="424" t="s">
        <v>570</v>
      </c>
      <c r="D98" s="424" t="s">
        <v>618</v>
      </c>
      <c r="E98" s="424" t="s">
        <v>619</v>
      </c>
      <c r="F98" s="427">
        <v>10</v>
      </c>
      <c r="G98" s="427">
        <v>4250</v>
      </c>
      <c r="H98" s="427">
        <v>1</v>
      </c>
      <c r="I98" s="427">
        <v>425</v>
      </c>
      <c r="J98" s="427">
        <v>3</v>
      </c>
      <c r="K98" s="427">
        <v>1275</v>
      </c>
      <c r="L98" s="427">
        <v>0.3</v>
      </c>
      <c r="M98" s="427">
        <v>425</v>
      </c>
      <c r="N98" s="427">
        <v>12</v>
      </c>
      <c r="O98" s="427">
        <v>5112</v>
      </c>
      <c r="P98" s="487">
        <v>1.2028235294117646</v>
      </c>
      <c r="Q98" s="428">
        <v>426</v>
      </c>
    </row>
    <row r="99" spans="1:17" ht="14.4" customHeight="1" x14ac:dyDescent="0.3">
      <c r="A99" s="423" t="s">
        <v>649</v>
      </c>
      <c r="B99" s="424" t="s">
        <v>573</v>
      </c>
      <c r="C99" s="424" t="s">
        <v>570</v>
      </c>
      <c r="D99" s="424" t="s">
        <v>623</v>
      </c>
      <c r="E99" s="424" t="s">
        <v>624</v>
      </c>
      <c r="F99" s="427"/>
      <c r="G99" s="427"/>
      <c r="H99" s="427"/>
      <c r="I99" s="427"/>
      <c r="J99" s="427"/>
      <c r="K99" s="427"/>
      <c r="L99" s="427"/>
      <c r="M99" s="427"/>
      <c r="N99" s="427">
        <v>1</v>
      </c>
      <c r="O99" s="427">
        <v>1615</v>
      </c>
      <c r="P99" s="487"/>
      <c r="Q99" s="428">
        <v>1615</v>
      </c>
    </row>
    <row r="100" spans="1:17" ht="14.4" customHeight="1" x14ac:dyDescent="0.3">
      <c r="A100" s="423" t="s">
        <v>650</v>
      </c>
      <c r="B100" s="424" t="s">
        <v>573</v>
      </c>
      <c r="C100" s="424" t="s">
        <v>570</v>
      </c>
      <c r="D100" s="424" t="s">
        <v>574</v>
      </c>
      <c r="E100" s="424" t="s">
        <v>575</v>
      </c>
      <c r="F100" s="427">
        <v>5</v>
      </c>
      <c r="G100" s="427">
        <v>630</v>
      </c>
      <c r="H100" s="427">
        <v>1</v>
      </c>
      <c r="I100" s="427">
        <v>126</v>
      </c>
      <c r="J100" s="427">
        <v>4</v>
      </c>
      <c r="K100" s="427">
        <v>504</v>
      </c>
      <c r="L100" s="427">
        <v>0.8</v>
      </c>
      <c r="M100" s="427">
        <v>126</v>
      </c>
      <c r="N100" s="427">
        <v>2</v>
      </c>
      <c r="O100" s="427">
        <v>256</v>
      </c>
      <c r="P100" s="487">
        <v>0.40634920634920635</v>
      </c>
      <c r="Q100" s="428">
        <v>128</v>
      </c>
    </row>
    <row r="101" spans="1:17" ht="14.4" customHeight="1" x14ac:dyDescent="0.3">
      <c r="A101" s="423" t="s">
        <v>650</v>
      </c>
      <c r="B101" s="424" t="s">
        <v>573</v>
      </c>
      <c r="C101" s="424" t="s">
        <v>570</v>
      </c>
      <c r="D101" s="424" t="s">
        <v>580</v>
      </c>
      <c r="E101" s="424" t="s">
        <v>581</v>
      </c>
      <c r="F101" s="427">
        <v>1</v>
      </c>
      <c r="G101" s="427">
        <v>1035</v>
      </c>
      <c r="H101" s="427">
        <v>1</v>
      </c>
      <c r="I101" s="427">
        <v>1035</v>
      </c>
      <c r="J101" s="427"/>
      <c r="K101" s="427"/>
      <c r="L101" s="427"/>
      <c r="M101" s="427"/>
      <c r="N101" s="427"/>
      <c r="O101" s="427"/>
      <c r="P101" s="487"/>
      <c r="Q101" s="428"/>
    </row>
    <row r="102" spans="1:17" ht="14.4" customHeight="1" x14ac:dyDescent="0.3">
      <c r="A102" s="423" t="s">
        <v>650</v>
      </c>
      <c r="B102" s="424" t="s">
        <v>573</v>
      </c>
      <c r="C102" s="424" t="s">
        <v>570</v>
      </c>
      <c r="D102" s="424" t="s">
        <v>582</v>
      </c>
      <c r="E102" s="424" t="s">
        <v>583</v>
      </c>
      <c r="F102" s="427">
        <v>13</v>
      </c>
      <c r="G102" s="427">
        <v>48074</v>
      </c>
      <c r="H102" s="427">
        <v>1</v>
      </c>
      <c r="I102" s="427">
        <v>3698</v>
      </c>
      <c r="J102" s="427">
        <v>7</v>
      </c>
      <c r="K102" s="427">
        <v>25886</v>
      </c>
      <c r="L102" s="427">
        <v>0.53846153846153844</v>
      </c>
      <c r="M102" s="427">
        <v>3698</v>
      </c>
      <c r="N102" s="427"/>
      <c r="O102" s="427"/>
      <c r="P102" s="487"/>
      <c r="Q102" s="428"/>
    </row>
    <row r="103" spans="1:17" ht="14.4" customHeight="1" x14ac:dyDescent="0.3">
      <c r="A103" s="423" t="s">
        <v>650</v>
      </c>
      <c r="B103" s="424" t="s">
        <v>573</v>
      </c>
      <c r="C103" s="424" t="s">
        <v>570</v>
      </c>
      <c r="D103" s="424" t="s">
        <v>584</v>
      </c>
      <c r="E103" s="424" t="s">
        <v>585</v>
      </c>
      <c r="F103" s="427"/>
      <c r="G103" s="427"/>
      <c r="H103" s="427"/>
      <c r="I103" s="427"/>
      <c r="J103" s="427">
        <v>1</v>
      </c>
      <c r="K103" s="427">
        <v>438</v>
      </c>
      <c r="L103" s="427"/>
      <c r="M103" s="427">
        <v>438</v>
      </c>
      <c r="N103" s="427">
        <v>5</v>
      </c>
      <c r="O103" s="427">
        <v>2195</v>
      </c>
      <c r="P103" s="487"/>
      <c r="Q103" s="428">
        <v>439</v>
      </c>
    </row>
    <row r="104" spans="1:17" ht="14.4" customHeight="1" x14ac:dyDescent="0.3">
      <c r="A104" s="423" t="s">
        <v>650</v>
      </c>
      <c r="B104" s="424" t="s">
        <v>573</v>
      </c>
      <c r="C104" s="424" t="s">
        <v>570</v>
      </c>
      <c r="D104" s="424" t="s">
        <v>586</v>
      </c>
      <c r="E104" s="424" t="s">
        <v>587</v>
      </c>
      <c r="F104" s="427"/>
      <c r="G104" s="427"/>
      <c r="H104" s="427"/>
      <c r="I104" s="427"/>
      <c r="J104" s="427"/>
      <c r="K104" s="427"/>
      <c r="L104" s="427"/>
      <c r="M104" s="427"/>
      <c r="N104" s="427">
        <v>4</v>
      </c>
      <c r="O104" s="427">
        <v>3344</v>
      </c>
      <c r="P104" s="487"/>
      <c r="Q104" s="428">
        <v>836</v>
      </c>
    </row>
    <row r="105" spans="1:17" ht="14.4" customHeight="1" x14ac:dyDescent="0.3">
      <c r="A105" s="423" t="s">
        <v>650</v>
      </c>
      <c r="B105" s="424" t="s">
        <v>573</v>
      </c>
      <c r="C105" s="424" t="s">
        <v>570</v>
      </c>
      <c r="D105" s="424" t="s">
        <v>588</v>
      </c>
      <c r="E105" s="424" t="s">
        <v>589</v>
      </c>
      <c r="F105" s="427"/>
      <c r="G105" s="427"/>
      <c r="H105" s="427"/>
      <c r="I105" s="427"/>
      <c r="J105" s="427">
        <v>3</v>
      </c>
      <c r="K105" s="427">
        <v>4839</v>
      </c>
      <c r="L105" s="427"/>
      <c r="M105" s="427">
        <v>1613</v>
      </c>
      <c r="N105" s="427">
        <v>1</v>
      </c>
      <c r="O105" s="427">
        <v>1621</v>
      </c>
      <c r="P105" s="487"/>
      <c r="Q105" s="428">
        <v>1621</v>
      </c>
    </row>
    <row r="106" spans="1:17" ht="14.4" customHeight="1" x14ac:dyDescent="0.3">
      <c r="A106" s="423" t="s">
        <v>650</v>
      </c>
      <c r="B106" s="424" t="s">
        <v>573</v>
      </c>
      <c r="C106" s="424" t="s">
        <v>570</v>
      </c>
      <c r="D106" s="424" t="s">
        <v>594</v>
      </c>
      <c r="E106" s="424" t="s">
        <v>595</v>
      </c>
      <c r="F106" s="427">
        <v>6</v>
      </c>
      <c r="G106" s="427">
        <v>8682</v>
      </c>
      <c r="H106" s="427">
        <v>1</v>
      </c>
      <c r="I106" s="427">
        <v>1447</v>
      </c>
      <c r="J106" s="427">
        <v>2</v>
      </c>
      <c r="K106" s="427">
        <v>2894</v>
      </c>
      <c r="L106" s="427">
        <v>0.33333333333333331</v>
      </c>
      <c r="M106" s="427">
        <v>1447</v>
      </c>
      <c r="N106" s="427">
        <v>6</v>
      </c>
      <c r="O106" s="427">
        <v>8766</v>
      </c>
      <c r="P106" s="487">
        <v>1.009675190048376</v>
      </c>
      <c r="Q106" s="428">
        <v>1461</v>
      </c>
    </row>
    <row r="107" spans="1:17" ht="14.4" customHeight="1" x14ac:dyDescent="0.3">
      <c r="A107" s="423" t="s">
        <v>650</v>
      </c>
      <c r="B107" s="424" t="s">
        <v>573</v>
      </c>
      <c r="C107" s="424" t="s">
        <v>570</v>
      </c>
      <c r="D107" s="424" t="s">
        <v>598</v>
      </c>
      <c r="E107" s="424" t="s">
        <v>599</v>
      </c>
      <c r="F107" s="427">
        <v>2</v>
      </c>
      <c r="G107" s="427">
        <v>32</v>
      </c>
      <c r="H107" s="427">
        <v>1</v>
      </c>
      <c r="I107" s="427">
        <v>16</v>
      </c>
      <c r="J107" s="427">
        <v>2</v>
      </c>
      <c r="K107" s="427">
        <v>32</v>
      </c>
      <c r="L107" s="427">
        <v>1</v>
      </c>
      <c r="M107" s="427">
        <v>16</v>
      </c>
      <c r="N107" s="427">
        <v>5</v>
      </c>
      <c r="O107" s="427">
        <v>80</v>
      </c>
      <c r="P107" s="487">
        <v>2.5</v>
      </c>
      <c r="Q107" s="428">
        <v>16</v>
      </c>
    </row>
    <row r="108" spans="1:17" ht="14.4" customHeight="1" x14ac:dyDescent="0.3">
      <c r="A108" s="423" t="s">
        <v>650</v>
      </c>
      <c r="B108" s="424" t="s">
        <v>573</v>
      </c>
      <c r="C108" s="424" t="s">
        <v>570</v>
      </c>
      <c r="D108" s="424" t="s">
        <v>600</v>
      </c>
      <c r="E108" s="424" t="s">
        <v>585</v>
      </c>
      <c r="F108" s="427">
        <v>5</v>
      </c>
      <c r="G108" s="427">
        <v>3440</v>
      </c>
      <c r="H108" s="427">
        <v>1</v>
      </c>
      <c r="I108" s="427">
        <v>688</v>
      </c>
      <c r="J108" s="427">
        <v>7</v>
      </c>
      <c r="K108" s="427">
        <v>4816</v>
      </c>
      <c r="L108" s="427">
        <v>1.4</v>
      </c>
      <c r="M108" s="427">
        <v>688</v>
      </c>
      <c r="N108" s="427">
        <v>6</v>
      </c>
      <c r="O108" s="427">
        <v>4176</v>
      </c>
      <c r="P108" s="487">
        <v>1.213953488372093</v>
      </c>
      <c r="Q108" s="428">
        <v>696</v>
      </c>
    </row>
    <row r="109" spans="1:17" ht="14.4" customHeight="1" x14ac:dyDescent="0.3">
      <c r="A109" s="423" t="s">
        <v>650</v>
      </c>
      <c r="B109" s="424" t="s">
        <v>573</v>
      </c>
      <c r="C109" s="424" t="s">
        <v>570</v>
      </c>
      <c r="D109" s="424" t="s">
        <v>601</v>
      </c>
      <c r="E109" s="424" t="s">
        <v>587</v>
      </c>
      <c r="F109" s="427">
        <v>19</v>
      </c>
      <c r="G109" s="427">
        <v>26125</v>
      </c>
      <c r="H109" s="427">
        <v>1</v>
      </c>
      <c r="I109" s="427">
        <v>1375</v>
      </c>
      <c r="J109" s="427">
        <v>15</v>
      </c>
      <c r="K109" s="427">
        <v>20625</v>
      </c>
      <c r="L109" s="427">
        <v>0.78947368421052633</v>
      </c>
      <c r="M109" s="427">
        <v>1375</v>
      </c>
      <c r="N109" s="427"/>
      <c r="O109" s="427"/>
      <c r="P109" s="487"/>
      <c r="Q109" s="428"/>
    </row>
    <row r="110" spans="1:17" ht="14.4" customHeight="1" x14ac:dyDescent="0.3">
      <c r="A110" s="423" t="s">
        <v>650</v>
      </c>
      <c r="B110" s="424" t="s">
        <v>573</v>
      </c>
      <c r="C110" s="424" t="s">
        <v>570</v>
      </c>
      <c r="D110" s="424" t="s">
        <v>602</v>
      </c>
      <c r="E110" s="424" t="s">
        <v>603</v>
      </c>
      <c r="F110" s="427">
        <v>14</v>
      </c>
      <c r="G110" s="427">
        <v>32466</v>
      </c>
      <c r="H110" s="427">
        <v>1</v>
      </c>
      <c r="I110" s="427">
        <v>2319</v>
      </c>
      <c r="J110" s="427">
        <v>9</v>
      </c>
      <c r="K110" s="427">
        <v>20871</v>
      </c>
      <c r="L110" s="427">
        <v>0.6428571428571429</v>
      </c>
      <c r="M110" s="427">
        <v>2319</v>
      </c>
      <c r="N110" s="427"/>
      <c r="O110" s="427"/>
      <c r="P110" s="487"/>
      <c r="Q110" s="428"/>
    </row>
    <row r="111" spans="1:17" ht="14.4" customHeight="1" x14ac:dyDescent="0.3">
      <c r="A111" s="423" t="s">
        <v>650</v>
      </c>
      <c r="B111" s="424" t="s">
        <v>573</v>
      </c>
      <c r="C111" s="424" t="s">
        <v>570</v>
      </c>
      <c r="D111" s="424" t="s">
        <v>604</v>
      </c>
      <c r="E111" s="424" t="s">
        <v>605</v>
      </c>
      <c r="F111" s="427">
        <v>5</v>
      </c>
      <c r="G111" s="427">
        <v>325</v>
      </c>
      <c r="H111" s="427">
        <v>1</v>
      </c>
      <c r="I111" s="427">
        <v>65</v>
      </c>
      <c r="J111" s="427">
        <v>8</v>
      </c>
      <c r="K111" s="427">
        <v>520</v>
      </c>
      <c r="L111" s="427">
        <v>1.6</v>
      </c>
      <c r="M111" s="427">
        <v>65</v>
      </c>
      <c r="N111" s="427">
        <v>9</v>
      </c>
      <c r="O111" s="427">
        <v>594</v>
      </c>
      <c r="P111" s="487">
        <v>1.8276923076923077</v>
      </c>
      <c r="Q111" s="428">
        <v>66</v>
      </c>
    </row>
    <row r="112" spans="1:17" ht="14.4" customHeight="1" x14ac:dyDescent="0.3">
      <c r="A112" s="423" t="s">
        <v>650</v>
      </c>
      <c r="B112" s="424" t="s">
        <v>573</v>
      </c>
      <c r="C112" s="424" t="s">
        <v>570</v>
      </c>
      <c r="D112" s="424" t="s">
        <v>606</v>
      </c>
      <c r="E112" s="424" t="s">
        <v>607</v>
      </c>
      <c r="F112" s="427">
        <v>6</v>
      </c>
      <c r="G112" s="427">
        <v>2376</v>
      </c>
      <c r="H112" s="427">
        <v>1</v>
      </c>
      <c r="I112" s="427">
        <v>396</v>
      </c>
      <c r="J112" s="427">
        <v>2</v>
      </c>
      <c r="K112" s="427">
        <v>792</v>
      </c>
      <c r="L112" s="427">
        <v>0.33333333333333331</v>
      </c>
      <c r="M112" s="427">
        <v>396</v>
      </c>
      <c r="N112" s="427">
        <v>6</v>
      </c>
      <c r="O112" s="427">
        <v>2406</v>
      </c>
      <c r="P112" s="487">
        <v>1.0126262626262625</v>
      </c>
      <c r="Q112" s="428">
        <v>401</v>
      </c>
    </row>
    <row r="113" spans="1:17" ht="14.4" customHeight="1" x14ac:dyDescent="0.3">
      <c r="A113" s="423" t="s">
        <v>650</v>
      </c>
      <c r="B113" s="424" t="s">
        <v>573</v>
      </c>
      <c r="C113" s="424" t="s">
        <v>570</v>
      </c>
      <c r="D113" s="424" t="s">
        <v>608</v>
      </c>
      <c r="E113" s="424" t="s">
        <v>609</v>
      </c>
      <c r="F113" s="427">
        <v>2</v>
      </c>
      <c r="G113" s="427">
        <v>3202</v>
      </c>
      <c r="H113" s="427">
        <v>1</v>
      </c>
      <c r="I113" s="427">
        <v>1601</v>
      </c>
      <c r="J113" s="427">
        <v>1</v>
      </c>
      <c r="K113" s="427">
        <v>1601</v>
      </c>
      <c r="L113" s="427">
        <v>0.5</v>
      </c>
      <c r="M113" s="427">
        <v>1601</v>
      </c>
      <c r="N113" s="427">
        <v>1</v>
      </c>
      <c r="O113" s="427">
        <v>1613</v>
      </c>
      <c r="P113" s="487">
        <v>0.50374765771392882</v>
      </c>
      <c r="Q113" s="428">
        <v>1613</v>
      </c>
    </row>
    <row r="114" spans="1:17" ht="14.4" customHeight="1" x14ac:dyDescent="0.3">
      <c r="A114" s="423" t="s">
        <v>650</v>
      </c>
      <c r="B114" s="424" t="s">
        <v>573</v>
      </c>
      <c r="C114" s="424" t="s">
        <v>570</v>
      </c>
      <c r="D114" s="424" t="s">
        <v>610</v>
      </c>
      <c r="E114" s="424" t="s">
        <v>611</v>
      </c>
      <c r="F114" s="427">
        <v>65</v>
      </c>
      <c r="G114" s="427">
        <v>35750</v>
      </c>
      <c r="H114" s="427">
        <v>1</v>
      </c>
      <c r="I114" s="427">
        <v>550</v>
      </c>
      <c r="J114" s="427">
        <v>41</v>
      </c>
      <c r="K114" s="427">
        <v>22550</v>
      </c>
      <c r="L114" s="427">
        <v>0.63076923076923075</v>
      </c>
      <c r="M114" s="427">
        <v>550</v>
      </c>
      <c r="N114" s="427">
        <v>22</v>
      </c>
      <c r="O114" s="427">
        <v>12144</v>
      </c>
      <c r="P114" s="487">
        <v>0.33969230769230768</v>
      </c>
      <c r="Q114" s="428">
        <v>552</v>
      </c>
    </row>
    <row r="115" spans="1:17" ht="14.4" customHeight="1" x14ac:dyDescent="0.3">
      <c r="A115" s="423" t="s">
        <v>650</v>
      </c>
      <c r="B115" s="424" t="s">
        <v>573</v>
      </c>
      <c r="C115" s="424" t="s">
        <v>570</v>
      </c>
      <c r="D115" s="424" t="s">
        <v>618</v>
      </c>
      <c r="E115" s="424" t="s">
        <v>619</v>
      </c>
      <c r="F115" s="427">
        <v>46</v>
      </c>
      <c r="G115" s="427">
        <v>19550</v>
      </c>
      <c r="H115" s="427">
        <v>1</v>
      </c>
      <c r="I115" s="427">
        <v>425</v>
      </c>
      <c r="J115" s="427">
        <v>15</v>
      </c>
      <c r="K115" s="427">
        <v>6375</v>
      </c>
      <c r="L115" s="427">
        <v>0.32608695652173914</v>
      </c>
      <c r="M115" s="427">
        <v>425</v>
      </c>
      <c r="N115" s="427">
        <v>22</v>
      </c>
      <c r="O115" s="427">
        <v>9372</v>
      </c>
      <c r="P115" s="487">
        <v>0.479386189258312</v>
      </c>
      <c r="Q115" s="428">
        <v>426</v>
      </c>
    </row>
    <row r="116" spans="1:17" ht="14.4" customHeight="1" x14ac:dyDescent="0.3">
      <c r="A116" s="423" t="s">
        <v>650</v>
      </c>
      <c r="B116" s="424" t="s">
        <v>573</v>
      </c>
      <c r="C116" s="424" t="s">
        <v>570</v>
      </c>
      <c r="D116" s="424" t="s">
        <v>623</v>
      </c>
      <c r="E116" s="424" t="s">
        <v>624</v>
      </c>
      <c r="F116" s="427"/>
      <c r="G116" s="427"/>
      <c r="H116" s="427"/>
      <c r="I116" s="427"/>
      <c r="J116" s="427">
        <v>3</v>
      </c>
      <c r="K116" s="427">
        <v>4821</v>
      </c>
      <c r="L116" s="427"/>
      <c r="M116" s="427">
        <v>1607</v>
      </c>
      <c r="N116" s="427">
        <v>2</v>
      </c>
      <c r="O116" s="427">
        <v>3230</v>
      </c>
      <c r="P116" s="487"/>
      <c r="Q116" s="428">
        <v>1615</v>
      </c>
    </row>
    <row r="117" spans="1:17" ht="14.4" customHeight="1" x14ac:dyDescent="0.3">
      <c r="A117" s="423" t="s">
        <v>651</v>
      </c>
      <c r="B117" s="424" t="s">
        <v>573</v>
      </c>
      <c r="C117" s="424" t="s">
        <v>570</v>
      </c>
      <c r="D117" s="424" t="s">
        <v>582</v>
      </c>
      <c r="E117" s="424" t="s">
        <v>583</v>
      </c>
      <c r="F117" s="427"/>
      <c r="G117" s="427"/>
      <c r="H117" s="427"/>
      <c r="I117" s="427"/>
      <c r="J117" s="427"/>
      <c r="K117" s="427"/>
      <c r="L117" s="427"/>
      <c r="M117" s="427"/>
      <c r="N117" s="427">
        <v>1</v>
      </c>
      <c r="O117" s="427">
        <v>3721</v>
      </c>
      <c r="P117" s="487"/>
      <c r="Q117" s="428">
        <v>3721</v>
      </c>
    </row>
    <row r="118" spans="1:17" ht="14.4" customHeight="1" x14ac:dyDescent="0.3">
      <c r="A118" s="423" t="s">
        <v>651</v>
      </c>
      <c r="B118" s="424" t="s">
        <v>573</v>
      </c>
      <c r="C118" s="424" t="s">
        <v>570</v>
      </c>
      <c r="D118" s="424" t="s">
        <v>601</v>
      </c>
      <c r="E118" s="424" t="s">
        <v>587</v>
      </c>
      <c r="F118" s="427"/>
      <c r="G118" s="427"/>
      <c r="H118" s="427"/>
      <c r="I118" s="427"/>
      <c r="J118" s="427"/>
      <c r="K118" s="427"/>
      <c r="L118" s="427"/>
      <c r="M118" s="427"/>
      <c r="N118" s="427">
        <v>2</v>
      </c>
      <c r="O118" s="427">
        <v>2774</v>
      </c>
      <c r="P118" s="487"/>
      <c r="Q118" s="428">
        <v>1387</v>
      </c>
    </row>
    <row r="119" spans="1:17" ht="14.4" customHeight="1" x14ac:dyDescent="0.3">
      <c r="A119" s="423" t="s">
        <v>651</v>
      </c>
      <c r="B119" s="424" t="s">
        <v>573</v>
      </c>
      <c r="C119" s="424" t="s">
        <v>570</v>
      </c>
      <c r="D119" s="424" t="s">
        <v>602</v>
      </c>
      <c r="E119" s="424" t="s">
        <v>603</v>
      </c>
      <c r="F119" s="427"/>
      <c r="G119" s="427"/>
      <c r="H119" s="427"/>
      <c r="I119" s="427"/>
      <c r="J119" s="427"/>
      <c r="K119" s="427"/>
      <c r="L119" s="427"/>
      <c r="M119" s="427"/>
      <c r="N119" s="427">
        <v>1</v>
      </c>
      <c r="O119" s="427">
        <v>2341</v>
      </c>
      <c r="P119" s="487"/>
      <c r="Q119" s="428">
        <v>2341</v>
      </c>
    </row>
    <row r="120" spans="1:17" ht="14.4" customHeight="1" x14ac:dyDescent="0.3">
      <c r="A120" s="423" t="s">
        <v>651</v>
      </c>
      <c r="B120" s="424" t="s">
        <v>573</v>
      </c>
      <c r="C120" s="424" t="s">
        <v>570</v>
      </c>
      <c r="D120" s="424" t="s">
        <v>610</v>
      </c>
      <c r="E120" s="424" t="s">
        <v>611</v>
      </c>
      <c r="F120" s="427"/>
      <c r="G120" s="427"/>
      <c r="H120" s="427"/>
      <c r="I120" s="427"/>
      <c r="J120" s="427"/>
      <c r="K120" s="427"/>
      <c r="L120" s="427"/>
      <c r="M120" s="427"/>
      <c r="N120" s="427">
        <v>2</v>
      </c>
      <c r="O120" s="427">
        <v>1104</v>
      </c>
      <c r="P120" s="487"/>
      <c r="Q120" s="428">
        <v>552</v>
      </c>
    </row>
    <row r="121" spans="1:17" ht="14.4" customHeight="1" x14ac:dyDescent="0.3">
      <c r="A121" s="423" t="s">
        <v>651</v>
      </c>
      <c r="B121" s="424" t="s">
        <v>573</v>
      </c>
      <c r="C121" s="424" t="s">
        <v>570</v>
      </c>
      <c r="D121" s="424" t="s">
        <v>623</v>
      </c>
      <c r="E121" s="424" t="s">
        <v>624</v>
      </c>
      <c r="F121" s="427"/>
      <c r="G121" s="427"/>
      <c r="H121" s="427"/>
      <c r="I121" s="427"/>
      <c r="J121" s="427"/>
      <c r="K121" s="427"/>
      <c r="L121" s="427"/>
      <c r="M121" s="427"/>
      <c r="N121" s="427">
        <v>1</v>
      </c>
      <c r="O121" s="427">
        <v>1615</v>
      </c>
      <c r="P121" s="487"/>
      <c r="Q121" s="428">
        <v>1615</v>
      </c>
    </row>
    <row r="122" spans="1:17" ht="14.4" customHeight="1" x14ac:dyDescent="0.3">
      <c r="A122" s="423" t="s">
        <v>652</v>
      </c>
      <c r="B122" s="424" t="s">
        <v>573</v>
      </c>
      <c r="C122" s="424" t="s">
        <v>570</v>
      </c>
      <c r="D122" s="424" t="s">
        <v>574</v>
      </c>
      <c r="E122" s="424" t="s">
        <v>575</v>
      </c>
      <c r="F122" s="427">
        <v>2</v>
      </c>
      <c r="G122" s="427">
        <v>252</v>
      </c>
      <c r="H122" s="427">
        <v>1</v>
      </c>
      <c r="I122" s="427">
        <v>126</v>
      </c>
      <c r="J122" s="427">
        <v>1</v>
      </c>
      <c r="K122" s="427">
        <v>126</v>
      </c>
      <c r="L122" s="427">
        <v>0.5</v>
      </c>
      <c r="M122" s="427">
        <v>126</v>
      </c>
      <c r="N122" s="427"/>
      <c r="O122" s="427"/>
      <c r="P122" s="487"/>
      <c r="Q122" s="428"/>
    </row>
    <row r="123" spans="1:17" ht="14.4" customHeight="1" x14ac:dyDescent="0.3">
      <c r="A123" s="423" t="s">
        <v>652</v>
      </c>
      <c r="B123" s="424" t="s">
        <v>573</v>
      </c>
      <c r="C123" s="424" t="s">
        <v>570</v>
      </c>
      <c r="D123" s="424" t="s">
        <v>578</v>
      </c>
      <c r="E123" s="424" t="s">
        <v>579</v>
      </c>
      <c r="F123" s="427">
        <v>3</v>
      </c>
      <c r="G123" s="427">
        <v>6639</v>
      </c>
      <c r="H123" s="427">
        <v>1</v>
      </c>
      <c r="I123" s="427">
        <v>2213</v>
      </c>
      <c r="J123" s="427">
        <v>4</v>
      </c>
      <c r="K123" s="427">
        <v>8852</v>
      </c>
      <c r="L123" s="427">
        <v>1.3333333333333333</v>
      </c>
      <c r="M123" s="427">
        <v>2213</v>
      </c>
      <c r="N123" s="427">
        <v>2</v>
      </c>
      <c r="O123" s="427">
        <v>4472</v>
      </c>
      <c r="P123" s="487">
        <v>0.67359542099713809</v>
      </c>
      <c r="Q123" s="428">
        <v>2236</v>
      </c>
    </row>
    <row r="124" spans="1:17" ht="14.4" customHeight="1" x14ac:dyDescent="0.3">
      <c r="A124" s="423" t="s">
        <v>652</v>
      </c>
      <c r="B124" s="424" t="s">
        <v>573</v>
      </c>
      <c r="C124" s="424" t="s">
        <v>570</v>
      </c>
      <c r="D124" s="424" t="s">
        <v>582</v>
      </c>
      <c r="E124" s="424" t="s">
        <v>583</v>
      </c>
      <c r="F124" s="427">
        <v>1</v>
      </c>
      <c r="G124" s="427">
        <v>3698</v>
      </c>
      <c r="H124" s="427">
        <v>1</v>
      </c>
      <c r="I124" s="427">
        <v>3698</v>
      </c>
      <c r="J124" s="427">
        <v>4</v>
      </c>
      <c r="K124" s="427">
        <v>14792</v>
      </c>
      <c r="L124" s="427">
        <v>4</v>
      </c>
      <c r="M124" s="427">
        <v>3698</v>
      </c>
      <c r="N124" s="427">
        <v>2</v>
      </c>
      <c r="O124" s="427">
        <v>7442</v>
      </c>
      <c r="P124" s="487">
        <v>2.0124391563007031</v>
      </c>
      <c r="Q124" s="428">
        <v>3721</v>
      </c>
    </row>
    <row r="125" spans="1:17" ht="14.4" customHeight="1" x14ac:dyDescent="0.3">
      <c r="A125" s="423" t="s">
        <v>652</v>
      </c>
      <c r="B125" s="424" t="s">
        <v>573</v>
      </c>
      <c r="C125" s="424" t="s">
        <v>570</v>
      </c>
      <c r="D125" s="424" t="s">
        <v>588</v>
      </c>
      <c r="E125" s="424" t="s">
        <v>589</v>
      </c>
      <c r="F125" s="427"/>
      <c r="G125" s="427"/>
      <c r="H125" s="427"/>
      <c r="I125" s="427"/>
      <c r="J125" s="427">
        <v>2</v>
      </c>
      <c r="K125" s="427">
        <v>3226</v>
      </c>
      <c r="L125" s="427"/>
      <c r="M125" s="427">
        <v>1613</v>
      </c>
      <c r="N125" s="427"/>
      <c r="O125" s="427"/>
      <c r="P125" s="487"/>
      <c r="Q125" s="428"/>
    </row>
    <row r="126" spans="1:17" ht="14.4" customHeight="1" x14ac:dyDescent="0.3">
      <c r="A126" s="423" t="s">
        <v>652</v>
      </c>
      <c r="B126" s="424" t="s">
        <v>573</v>
      </c>
      <c r="C126" s="424" t="s">
        <v>570</v>
      </c>
      <c r="D126" s="424" t="s">
        <v>592</v>
      </c>
      <c r="E126" s="424" t="s">
        <v>593</v>
      </c>
      <c r="F126" s="427">
        <v>2</v>
      </c>
      <c r="G126" s="427">
        <v>1638</v>
      </c>
      <c r="H126" s="427">
        <v>1</v>
      </c>
      <c r="I126" s="427">
        <v>819</v>
      </c>
      <c r="J126" s="427">
        <v>1</v>
      </c>
      <c r="K126" s="427">
        <v>819</v>
      </c>
      <c r="L126" s="427">
        <v>0.5</v>
      </c>
      <c r="M126" s="427">
        <v>819</v>
      </c>
      <c r="N126" s="427"/>
      <c r="O126" s="427"/>
      <c r="P126" s="487"/>
      <c r="Q126" s="428"/>
    </row>
    <row r="127" spans="1:17" ht="14.4" customHeight="1" x14ac:dyDescent="0.3">
      <c r="A127" s="423" t="s">
        <v>652</v>
      </c>
      <c r="B127" s="424" t="s">
        <v>573</v>
      </c>
      <c r="C127" s="424" t="s">
        <v>570</v>
      </c>
      <c r="D127" s="424" t="s">
        <v>594</v>
      </c>
      <c r="E127" s="424" t="s">
        <v>595</v>
      </c>
      <c r="F127" s="427">
        <v>1</v>
      </c>
      <c r="G127" s="427">
        <v>1447</v>
      </c>
      <c r="H127" s="427">
        <v>1</v>
      </c>
      <c r="I127" s="427">
        <v>1447</v>
      </c>
      <c r="J127" s="427">
        <v>2</v>
      </c>
      <c r="K127" s="427">
        <v>2894</v>
      </c>
      <c r="L127" s="427">
        <v>2</v>
      </c>
      <c r="M127" s="427">
        <v>1447</v>
      </c>
      <c r="N127" s="427">
        <v>1</v>
      </c>
      <c r="O127" s="427">
        <v>1461</v>
      </c>
      <c r="P127" s="487">
        <v>1.009675190048376</v>
      </c>
      <c r="Q127" s="428">
        <v>1461</v>
      </c>
    </row>
    <row r="128" spans="1:17" ht="14.4" customHeight="1" x14ac:dyDescent="0.3">
      <c r="A128" s="423" t="s">
        <v>652</v>
      </c>
      <c r="B128" s="424" t="s">
        <v>573</v>
      </c>
      <c r="C128" s="424" t="s">
        <v>570</v>
      </c>
      <c r="D128" s="424" t="s">
        <v>598</v>
      </c>
      <c r="E128" s="424" t="s">
        <v>599</v>
      </c>
      <c r="F128" s="427">
        <v>5</v>
      </c>
      <c r="G128" s="427">
        <v>80</v>
      </c>
      <c r="H128" s="427">
        <v>1</v>
      </c>
      <c r="I128" s="427">
        <v>16</v>
      </c>
      <c r="J128" s="427">
        <v>5</v>
      </c>
      <c r="K128" s="427">
        <v>80</v>
      </c>
      <c r="L128" s="427">
        <v>1</v>
      </c>
      <c r="M128" s="427">
        <v>16</v>
      </c>
      <c r="N128" s="427">
        <v>5</v>
      </c>
      <c r="O128" s="427">
        <v>80</v>
      </c>
      <c r="P128" s="487">
        <v>1</v>
      </c>
      <c r="Q128" s="428">
        <v>16</v>
      </c>
    </row>
    <row r="129" spans="1:17" ht="14.4" customHeight="1" x14ac:dyDescent="0.3">
      <c r="A129" s="423" t="s">
        <v>652</v>
      </c>
      <c r="B129" s="424" t="s">
        <v>573</v>
      </c>
      <c r="C129" s="424" t="s">
        <v>570</v>
      </c>
      <c r="D129" s="424" t="s">
        <v>600</v>
      </c>
      <c r="E129" s="424" t="s">
        <v>585</v>
      </c>
      <c r="F129" s="427">
        <v>8</v>
      </c>
      <c r="G129" s="427">
        <v>5504</v>
      </c>
      <c r="H129" s="427">
        <v>1</v>
      </c>
      <c r="I129" s="427">
        <v>688</v>
      </c>
      <c r="J129" s="427">
        <v>8</v>
      </c>
      <c r="K129" s="427">
        <v>5504</v>
      </c>
      <c r="L129" s="427">
        <v>1</v>
      </c>
      <c r="M129" s="427">
        <v>688</v>
      </c>
      <c r="N129" s="427">
        <v>9</v>
      </c>
      <c r="O129" s="427">
        <v>6264</v>
      </c>
      <c r="P129" s="487">
        <v>1.1380813953488371</v>
      </c>
      <c r="Q129" s="428">
        <v>696</v>
      </c>
    </row>
    <row r="130" spans="1:17" ht="14.4" customHeight="1" x14ac:dyDescent="0.3">
      <c r="A130" s="423" t="s">
        <v>652</v>
      </c>
      <c r="B130" s="424" t="s">
        <v>573</v>
      </c>
      <c r="C130" s="424" t="s">
        <v>570</v>
      </c>
      <c r="D130" s="424" t="s">
        <v>601</v>
      </c>
      <c r="E130" s="424" t="s">
        <v>587</v>
      </c>
      <c r="F130" s="427">
        <v>1</v>
      </c>
      <c r="G130" s="427">
        <v>1375</v>
      </c>
      <c r="H130" s="427">
        <v>1</v>
      </c>
      <c r="I130" s="427">
        <v>1375</v>
      </c>
      <c r="J130" s="427">
        <v>7</v>
      </c>
      <c r="K130" s="427">
        <v>9625</v>
      </c>
      <c r="L130" s="427">
        <v>7</v>
      </c>
      <c r="M130" s="427">
        <v>1375</v>
      </c>
      <c r="N130" s="427">
        <v>10</v>
      </c>
      <c r="O130" s="427">
        <v>13870</v>
      </c>
      <c r="P130" s="487">
        <v>10.087272727272728</v>
      </c>
      <c r="Q130" s="428">
        <v>1387</v>
      </c>
    </row>
    <row r="131" spans="1:17" ht="14.4" customHeight="1" x14ac:dyDescent="0.3">
      <c r="A131" s="423" t="s">
        <v>652</v>
      </c>
      <c r="B131" s="424" t="s">
        <v>573</v>
      </c>
      <c r="C131" s="424" t="s">
        <v>570</v>
      </c>
      <c r="D131" s="424" t="s">
        <v>602</v>
      </c>
      <c r="E131" s="424" t="s">
        <v>603</v>
      </c>
      <c r="F131" s="427">
        <v>2</v>
      </c>
      <c r="G131" s="427">
        <v>4638</v>
      </c>
      <c r="H131" s="427">
        <v>1</v>
      </c>
      <c r="I131" s="427">
        <v>2319</v>
      </c>
      <c r="J131" s="427">
        <v>6</v>
      </c>
      <c r="K131" s="427">
        <v>13914</v>
      </c>
      <c r="L131" s="427">
        <v>3</v>
      </c>
      <c r="M131" s="427">
        <v>2319</v>
      </c>
      <c r="N131" s="427">
        <v>3</v>
      </c>
      <c r="O131" s="427">
        <v>7023</v>
      </c>
      <c r="P131" s="487">
        <v>1.5142302716688227</v>
      </c>
      <c r="Q131" s="428">
        <v>2341</v>
      </c>
    </row>
    <row r="132" spans="1:17" ht="14.4" customHeight="1" x14ac:dyDescent="0.3">
      <c r="A132" s="423" t="s">
        <v>652</v>
      </c>
      <c r="B132" s="424" t="s">
        <v>573</v>
      </c>
      <c r="C132" s="424" t="s">
        <v>570</v>
      </c>
      <c r="D132" s="424" t="s">
        <v>604</v>
      </c>
      <c r="E132" s="424" t="s">
        <v>605</v>
      </c>
      <c r="F132" s="427">
        <v>8</v>
      </c>
      <c r="G132" s="427">
        <v>520</v>
      </c>
      <c r="H132" s="427">
        <v>1</v>
      </c>
      <c r="I132" s="427">
        <v>65</v>
      </c>
      <c r="J132" s="427">
        <v>8</v>
      </c>
      <c r="K132" s="427">
        <v>520</v>
      </c>
      <c r="L132" s="427">
        <v>1</v>
      </c>
      <c r="M132" s="427">
        <v>65</v>
      </c>
      <c r="N132" s="427">
        <v>9</v>
      </c>
      <c r="O132" s="427">
        <v>594</v>
      </c>
      <c r="P132" s="487">
        <v>1.1423076923076922</v>
      </c>
      <c r="Q132" s="428">
        <v>66</v>
      </c>
    </row>
    <row r="133" spans="1:17" ht="14.4" customHeight="1" x14ac:dyDescent="0.3">
      <c r="A133" s="423" t="s">
        <v>652</v>
      </c>
      <c r="B133" s="424" t="s">
        <v>573</v>
      </c>
      <c r="C133" s="424" t="s">
        <v>570</v>
      </c>
      <c r="D133" s="424" t="s">
        <v>606</v>
      </c>
      <c r="E133" s="424" t="s">
        <v>607</v>
      </c>
      <c r="F133" s="427">
        <v>1</v>
      </c>
      <c r="G133" s="427">
        <v>396</v>
      </c>
      <c r="H133" s="427">
        <v>1</v>
      </c>
      <c r="I133" s="427">
        <v>396</v>
      </c>
      <c r="J133" s="427">
        <v>2</v>
      </c>
      <c r="K133" s="427">
        <v>792</v>
      </c>
      <c r="L133" s="427">
        <v>2</v>
      </c>
      <c r="M133" s="427">
        <v>396</v>
      </c>
      <c r="N133" s="427">
        <v>1</v>
      </c>
      <c r="O133" s="427">
        <v>401</v>
      </c>
      <c r="P133" s="487">
        <v>1.0126262626262625</v>
      </c>
      <c r="Q133" s="428">
        <v>401</v>
      </c>
    </row>
    <row r="134" spans="1:17" ht="14.4" customHeight="1" x14ac:dyDescent="0.3">
      <c r="A134" s="423" t="s">
        <v>652</v>
      </c>
      <c r="B134" s="424" t="s">
        <v>573</v>
      </c>
      <c r="C134" s="424" t="s">
        <v>570</v>
      </c>
      <c r="D134" s="424" t="s">
        <v>610</v>
      </c>
      <c r="E134" s="424" t="s">
        <v>611</v>
      </c>
      <c r="F134" s="427">
        <v>10</v>
      </c>
      <c r="G134" s="427">
        <v>5500</v>
      </c>
      <c r="H134" s="427">
        <v>1</v>
      </c>
      <c r="I134" s="427">
        <v>550</v>
      </c>
      <c r="J134" s="427">
        <v>24</v>
      </c>
      <c r="K134" s="427">
        <v>13200</v>
      </c>
      <c r="L134" s="427">
        <v>2.4</v>
      </c>
      <c r="M134" s="427">
        <v>550</v>
      </c>
      <c r="N134" s="427">
        <v>22</v>
      </c>
      <c r="O134" s="427">
        <v>12144</v>
      </c>
      <c r="P134" s="487">
        <v>2.2080000000000002</v>
      </c>
      <c r="Q134" s="428">
        <v>552</v>
      </c>
    </row>
    <row r="135" spans="1:17" ht="14.4" customHeight="1" x14ac:dyDescent="0.3">
      <c r="A135" s="423" t="s">
        <v>652</v>
      </c>
      <c r="B135" s="424" t="s">
        <v>573</v>
      </c>
      <c r="C135" s="424" t="s">
        <v>570</v>
      </c>
      <c r="D135" s="424" t="s">
        <v>623</v>
      </c>
      <c r="E135" s="424" t="s">
        <v>624</v>
      </c>
      <c r="F135" s="427"/>
      <c r="G135" s="427"/>
      <c r="H135" s="427"/>
      <c r="I135" s="427"/>
      <c r="J135" s="427">
        <v>1</v>
      </c>
      <c r="K135" s="427">
        <v>1607</v>
      </c>
      <c r="L135" s="427"/>
      <c r="M135" s="427">
        <v>1607</v>
      </c>
      <c r="N135" s="427">
        <v>2</v>
      </c>
      <c r="O135" s="427">
        <v>3230</v>
      </c>
      <c r="P135" s="487"/>
      <c r="Q135" s="428">
        <v>1615</v>
      </c>
    </row>
    <row r="136" spans="1:17" ht="14.4" customHeight="1" x14ac:dyDescent="0.3">
      <c r="A136" s="423" t="s">
        <v>653</v>
      </c>
      <c r="B136" s="424" t="s">
        <v>573</v>
      </c>
      <c r="C136" s="424" t="s">
        <v>570</v>
      </c>
      <c r="D136" s="424" t="s">
        <v>574</v>
      </c>
      <c r="E136" s="424" t="s">
        <v>575</v>
      </c>
      <c r="F136" s="427">
        <v>1</v>
      </c>
      <c r="G136" s="427">
        <v>126</v>
      </c>
      <c r="H136" s="427">
        <v>1</v>
      </c>
      <c r="I136" s="427">
        <v>126</v>
      </c>
      <c r="J136" s="427">
        <v>3</v>
      </c>
      <c r="K136" s="427">
        <v>378</v>
      </c>
      <c r="L136" s="427">
        <v>3</v>
      </c>
      <c r="M136" s="427">
        <v>126</v>
      </c>
      <c r="N136" s="427">
        <v>2</v>
      </c>
      <c r="O136" s="427">
        <v>256</v>
      </c>
      <c r="P136" s="487">
        <v>2.0317460317460316</v>
      </c>
      <c r="Q136" s="428">
        <v>128</v>
      </c>
    </row>
    <row r="137" spans="1:17" ht="14.4" customHeight="1" x14ac:dyDescent="0.3">
      <c r="A137" s="423" t="s">
        <v>653</v>
      </c>
      <c r="B137" s="424" t="s">
        <v>573</v>
      </c>
      <c r="C137" s="424" t="s">
        <v>570</v>
      </c>
      <c r="D137" s="424" t="s">
        <v>576</v>
      </c>
      <c r="E137" s="424" t="s">
        <v>577</v>
      </c>
      <c r="F137" s="427">
        <v>1</v>
      </c>
      <c r="G137" s="427">
        <v>1220</v>
      </c>
      <c r="H137" s="427">
        <v>1</v>
      </c>
      <c r="I137" s="427">
        <v>1220</v>
      </c>
      <c r="J137" s="427"/>
      <c r="K137" s="427"/>
      <c r="L137" s="427"/>
      <c r="M137" s="427"/>
      <c r="N137" s="427"/>
      <c r="O137" s="427"/>
      <c r="P137" s="487"/>
      <c r="Q137" s="428"/>
    </row>
    <row r="138" spans="1:17" ht="14.4" customHeight="1" x14ac:dyDescent="0.3">
      <c r="A138" s="423" t="s">
        <v>653</v>
      </c>
      <c r="B138" s="424" t="s">
        <v>573</v>
      </c>
      <c r="C138" s="424" t="s">
        <v>570</v>
      </c>
      <c r="D138" s="424" t="s">
        <v>580</v>
      </c>
      <c r="E138" s="424" t="s">
        <v>581</v>
      </c>
      <c r="F138" s="427">
        <v>1</v>
      </c>
      <c r="G138" s="427">
        <v>1035</v>
      </c>
      <c r="H138" s="427">
        <v>1</v>
      </c>
      <c r="I138" s="427">
        <v>1035</v>
      </c>
      <c r="J138" s="427"/>
      <c r="K138" s="427"/>
      <c r="L138" s="427"/>
      <c r="M138" s="427"/>
      <c r="N138" s="427"/>
      <c r="O138" s="427"/>
      <c r="P138" s="487"/>
      <c r="Q138" s="428"/>
    </row>
    <row r="139" spans="1:17" ht="14.4" customHeight="1" x14ac:dyDescent="0.3">
      <c r="A139" s="423" t="s">
        <v>653</v>
      </c>
      <c r="B139" s="424" t="s">
        <v>573</v>
      </c>
      <c r="C139" s="424" t="s">
        <v>570</v>
      </c>
      <c r="D139" s="424" t="s">
        <v>582</v>
      </c>
      <c r="E139" s="424" t="s">
        <v>583</v>
      </c>
      <c r="F139" s="427">
        <v>4</v>
      </c>
      <c r="G139" s="427">
        <v>14792</v>
      </c>
      <c r="H139" s="427">
        <v>1</v>
      </c>
      <c r="I139" s="427">
        <v>3698</v>
      </c>
      <c r="J139" s="427">
        <v>8</v>
      </c>
      <c r="K139" s="427">
        <v>29584</v>
      </c>
      <c r="L139" s="427">
        <v>2</v>
      </c>
      <c r="M139" s="427">
        <v>3698</v>
      </c>
      <c r="N139" s="427">
        <v>2</v>
      </c>
      <c r="O139" s="427">
        <v>7442</v>
      </c>
      <c r="P139" s="487">
        <v>0.50310978907517578</v>
      </c>
      <c r="Q139" s="428">
        <v>3721</v>
      </c>
    </row>
    <row r="140" spans="1:17" ht="14.4" customHeight="1" x14ac:dyDescent="0.3">
      <c r="A140" s="423" t="s">
        <v>653</v>
      </c>
      <c r="B140" s="424" t="s">
        <v>573</v>
      </c>
      <c r="C140" s="424" t="s">
        <v>570</v>
      </c>
      <c r="D140" s="424" t="s">
        <v>584</v>
      </c>
      <c r="E140" s="424" t="s">
        <v>585</v>
      </c>
      <c r="F140" s="427"/>
      <c r="G140" s="427"/>
      <c r="H140" s="427"/>
      <c r="I140" s="427"/>
      <c r="J140" s="427">
        <v>10</v>
      </c>
      <c r="K140" s="427">
        <v>4380</v>
      </c>
      <c r="L140" s="427"/>
      <c r="M140" s="427">
        <v>438</v>
      </c>
      <c r="N140" s="427">
        <v>1</v>
      </c>
      <c r="O140" s="427">
        <v>439</v>
      </c>
      <c r="P140" s="487"/>
      <c r="Q140" s="428">
        <v>439</v>
      </c>
    </row>
    <row r="141" spans="1:17" ht="14.4" customHeight="1" x14ac:dyDescent="0.3">
      <c r="A141" s="423" t="s">
        <v>653</v>
      </c>
      <c r="B141" s="424" t="s">
        <v>573</v>
      </c>
      <c r="C141" s="424" t="s">
        <v>570</v>
      </c>
      <c r="D141" s="424" t="s">
        <v>586</v>
      </c>
      <c r="E141" s="424" t="s">
        <v>587</v>
      </c>
      <c r="F141" s="427"/>
      <c r="G141" s="427"/>
      <c r="H141" s="427"/>
      <c r="I141" s="427"/>
      <c r="J141" s="427">
        <v>4</v>
      </c>
      <c r="K141" s="427">
        <v>3328</v>
      </c>
      <c r="L141" s="427"/>
      <c r="M141" s="427">
        <v>832</v>
      </c>
      <c r="N141" s="427">
        <v>2</v>
      </c>
      <c r="O141" s="427">
        <v>1672</v>
      </c>
      <c r="P141" s="487"/>
      <c r="Q141" s="428">
        <v>836</v>
      </c>
    </row>
    <row r="142" spans="1:17" ht="14.4" customHeight="1" x14ac:dyDescent="0.3">
      <c r="A142" s="423" t="s">
        <v>653</v>
      </c>
      <c r="B142" s="424" t="s">
        <v>573</v>
      </c>
      <c r="C142" s="424" t="s">
        <v>570</v>
      </c>
      <c r="D142" s="424" t="s">
        <v>594</v>
      </c>
      <c r="E142" s="424" t="s">
        <v>595</v>
      </c>
      <c r="F142" s="427">
        <v>11</v>
      </c>
      <c r="G142" s="427">
        <v>15917</v>
      </c>
      <c r="H142" s="427">
        <v>1</v>
      </c>
      <c r="I142" s="427">
        <v>1447</v>
      </c>
      <c r="J142" s="427">
        <v>15</v>
      </c>
      <c r="K142" s="427">
        <v>21705</v>
      </c>
      <c r="L142" s="427">
        <v>1.3636363636363635</v>
      </c>
      <c r="M142" s="427">
        <v>1447</v>
      </c>
      <c r="N142" s="427">
        <v>6</v>
      </c>
      <c r="O142" s="427">
        <v>8766</v>
      </c>
      <c r="P142" s="487">
        <v>0.55073192184456865</v>
      </c>
      <c r="Q142" s="428">
        <v>1461</v>
      </c>
    </row>
    <row r="143" spans="1:17" ht="14.4" customHeight="1" x14ac:dyDescent="0.3">
      <c r="A143" s="423" t="s">
        <v>653</v>
      </c>
      <c r="B143" s="424" t="s">
        <v>573</v>
      </c>
      <c r="C143" s="424" t="s">
        <v>570</v>
      </c>
      <c r="D143" s="424" t="s">
        <v>598</v>
      </c>
      <c r="E143" s="424" t="s">
        <v>599</v>
      </c>
      <c r="F143" s="427">
        <v>1</v>
      </c>
      <c r="G143" s="427">
        <v>16</v>
      </c>
      <c r="H143" s="427">
        <v>1</v>
      </c>
      <c r="I143" s="427">
        <v>16</v>
      </c>
      <c r="J143" s="427">
        <v>3</v>
      </c>
      <c r="K143" s="427">
        <v>48</v>
      </c>
      <c r="L143" s="427">
        <v>3</v>
      </c>
      <c r="M143" s="427">
        <v>16</v>
      </c>
      <c r="N143" s="427">
        <v>2</v>
      </c>
      <c r="O143" s="427">
        <v>32</v>
      </c>
      <c r="P143" s="487">
        <v>2</v>
      </c>
      <c r="Q143" s="428">
        <v>16</v>
      </c>
    </row>
    <row r="144" spans="1:17" ht="14.4" customHeight="1" x14ac:dyDescent="0.3">
      <c r="A144" s="423" t="s">
        <v>653</v>
      </c>
      <c r="B144" s="424" t="s">
        <v>573</v>
      </c>
      <c r="C144" s="424" t="s">
        <v>570</v>
      </c>
      <c r="D144" s="424" t="s">
        <v>600</v>
      </c>
      <c r="E144" s="424" t="s">
        <v>585</v>
      </c>
      <c r="F144" s="427">
        <v>3</v>
      </c>
      <c r="G144" s="427">
        <v>2064</v>
      </c>
      <c r="H144" s="427">
        <v>1</v>
      </c>
      <c r="I144" s="427">
        <v>688</v>
      </c>
      <c r="J144" s="427">
        <v>7</v>
      </c>
      <c r="K144" s="427">
        <v>4816</v>
      </c>
      <c r="L144" s="427">
        <v>2.3333333333333335</v>
      </c>
      <c r="M144" s="427">
        <v>688</v>
      </c>
      <c r="N144" s="427">
        <v>5</v>
      </c>
      <c r="O144" s="427">
        <v>3480</v>
      </c>
      <c r="P144" s="487">
        <v>1.6860465116279071</v>
      </c>
      <c r="Q144" s="428">
        <v>696</v>
      </c>
    </row>
    <row r="145" spans="1:17" ht="14.4" customHeight="1" x14ac:dyDescent="0.3">
      <c r="A145" s="423" t="s">
        <v>653</v>
      </c>
      <c r="B145" s="424" t="s">
        <v>573</v>
      </c>
      <c r="C145" s="424" t="s">
        <v>570</v>
      </c>
      <c r="D145" s="424" t="s">
        <v>601</v>
      </c>
      <c r="E145" s="424" t="s">
        <v>587</v>
      </c>
      <c r="F145" s="427">
        <v>7</v>
      </c>
      <c r="G145" s="427">
        <v>9625</v>
      </c>
      <c r="H145" s="427">
        <v>1</v>
      </c>
      <c r="I145" s="427">
        <v>1375</v>
      </c>
      <c r="J145" s="427">
        <v>8</v>
      </c>
      <c r="K145" s="427">
        <v>11000</v>
      </c>
      <c r="L145" s="427">
        <v>1.1428571428571428</v>
      </c>
      <c r="M145" s="427">
        <v>1375</v>
      </c>
      <c r="N145" s="427">
        <v>7</v>
      </c>
      <c r="O145" s="427">
        <v>9709</v>
      </c>
      <c r="P145" s="487">
        <v>1.0087272727272727</v>
      </c>
      <c r="Q145" s="428">
        <v>1387</v>
      </c>
    </row>
    <row r="146" spans="1:17" ht="14.4" customHeight="1" x14ac:dyDescent="0.3">
      <c r="A146" s="423" t="s">
        <v>653</v>
      </c>
      <c r="B146" s="424" t="s">
        <v>573</v>
      </c>
      <c r="C146" s="424" t="s">
        <v>570</v>
      </c>
      <c r="D146" s="424" t="s">
        <v>602</v>
      </c>
      <c r="E146" s="424" t="s">
        <v>603</v>
      </c>
      <c r="F146" s="427">
        <v>3</v>
      </c>
      <c r="G146" s="427">
        <v>6957</v>
      </c>
      <c r="H146" s="427">
        <v>1</v>
      </c>
      <c r="I146" s="427">
        <v>2319</v>
      </c>
      <c r="J146" s="427">
        <v>5</v>
      </c>
      <c r="K146" s="427">
        <v>11595</v>
      </c>
      <c r="L146" s="427">
        <v>1.6666666666666667</v>
      </c>
      <c r="M146" s="427">
        <v>2319</v>
      </c>
      <c r="N146" s="427">
        <v>2</v>
      </c>
      <c r="O146" s="427">
        <v>4682</v>
      </c>
      <c r="P146" s="487">
        <v>0.67299123185281007</v>
      </c>
      <c r="Q146" s="428">
        <v>2341</v>
      </c>
    </row>
    <row r="147" spans="1:17" ht="14.4" customHeight="1" x14ac:dyDescent="0.3">
      <c r="A147" s="423" t="s">
        <v>653</v>
      </c>
      <c r="B147" s="424" t="s">
        <v>573</v>
      </c>
      <c r="C147" s="424" t="s">
        <v>570</v>
      </c>
      <c r="D147" s="424" t="s">
        <v>604</v>
      </c>
      <c r="E147" s="424" t="s">
        <v>605</v>
      </c>
      <c r="F147" s="427">
        <v>3</v>
      </c>
      <c r="G147" s="427">
        <v>195</v>
      </c>
      <c r="H147" s="427">
        <v>1</v>
      </c>
      <c r="I147" s="427">
        <v>65</v>
      </c>
      <c r="J147" s="427">
        <v>7</v>
      </c>
      <c r="K147" s="427">
        <v>455</v>
      </c>
      <c r="L147" s="427">
        <v>2.3333333333333335</v>
      </c>
      <c r="M147" s="427">
        <v>65</v>
      </c>
      <c r="N147" s="427">
        <v>6</v>
      </c>
      <c r="O147" s="427">
        <v>396</v>
      </c>
      <c r="P147" s="487">
        <v>2.0307692307692307</v>
      </c>
      <c r="Q147" s="428">
        <v>66</v>
      </c>
    </row>
    <row r="148" spans="1:17" ht="14.4" customHeight="1" x14ac:dyDescent="0.3">
      <c r="A148" s="423" t="s">
        <v>653</v>
      </c>
      <c r="B148" s="424" t="s">
        <v>573</v>
      </c>
      <c r="C148" s="424" t="s">
        <v>570</v>
      </c>
      <c r="D148" s="424" t="s">
        <v>606</v>
      </c>
      <c r="E148" s="424" t="s">
        <v>607</v>
      </c>
      <c r="F148" s="427">
        <v>11</v>
      </c>
      <c r="G148" s="427">
        <v>4356</v>
      </c>
      <c r="H148" s="427">
        <v>1</v>
      </c>
      <c r="I148" s="427">
        <v>396</v>
      </c>
      <c r="J148" s="427">
        <v>15</v>
      </c>
      <c r="K148" s="427">
        <v>5940</v>
      </c>
      <c r="L148" s="427">
        <v>1.3636363636363635</v>
      </c>
      <c r="M148" s="427">
        <v>396</v>
      </c>
      <c r="N148" s="427">
        <v>6</v>
      </c>
      <c r="O148" s="427">
        <v>2406</v>
      </c>
      <c r="P148" s="487">
        <v>0.55234159779614322</v>
      </c>
      <c r="Q148" s="428">
        <v>401</v>
      </c>
    </row>
    <row r="149" spans="1:17" ht="14.4" customHeight="1" x14ac:dyDescent="0.3">
      <c r="A149" s="423" t="s">
        <v>653</v>
      </c>
      <c r="B149" s="424" t="s">
        <v>573</v>
      </c>
      <c r="C149" s="424" t="s">
        <v>570</v>
      </c>
      <c r="D149" s="424" t="s">
        <v>608</v>
      </c>
      <c r="E149" s="424" t="s">
        <v>609</v>
      </c>
      <c r="F149" s="427"/>
      <c r="G149" s="427"/>
      <c r="H149" s="427"/>
      <c r="I149" s="427"/>
      <c r="J149" s="427">
        <v>3</v>
      </c>
      <c r="K149" s="427">
        <v>4803</v>
      </c>
      <c r="L149" s="427"/>
      <c r="M149" s="427">
        <v>1601</v>
      </c>
      <c r="N149" s="427">
        <v>1</v>
      </c>
      <c r="O149" s="427">
        <v>1613</v>
      </c>
      <c r="P149" s="487"/>
      <c r="Q149" s="428">
        <v>1613</v>
      </c>
    </row>
    <row r="150" spans="1:17" ht="14.4" customHeight="1" x14ac:dyDescent="0.3">
      <c r="A150" s="423" t="s">
        <v>653</v>
      </c>
      <c r="B150" s="424" t="s">
        <v>573</v>
      </c>
      <c r="C150" s="424" t="s">
        <v>570</v>
      </c>
      <c r="D150" s="424" t="s">
        <v>610</v>
      </c>
      <c r="E150" s="424" t="s">
        <v>611</v>
      </c>
      <c r="F150" s="427">
        <v>22</v>
      </c>
      <c r="G150" s="427">
        <v>12100</v>
      </c>
      <c r="H150" s="427">
        <v>1</v>
      </c>
      <c r="I150" s="427">
        <v>550</v>
      </c>
      <c r="J150" s="427">
        <v>39</v>
      </c>
      <c r="K150" s="427">
        <v>21450</v>
      </c>
      <c r="L150" s="427">
        <v>1.7727272727272727</v>
      </c>
      <c r="M150" s="427">
        <v>550</v>
      </c>
      <c r="N150" s="427">
        <v>19</v>
      </c>
      <c r="O150" s="427">
        <v>10488</v>
      </c>
      <c r="P150" s="487">
        <v>0.86677685950413219</v>
      </c>
      <c r="Q150" s="428">
        <v>552</v>
      </c>
    </row>
    <row r="151" spans="1:17" ht="14.4" customHeight="1" x14ac:dyDescent="0.3">
      <c r="A151" s="423" t="s">
        <v>653</v>
      </c>
      <c r="B151" s="424" t="s">
        <v>573</v>
      </c>
      <c r="C151" s="424" t="s">
        <v>570</v>
      </c>
      <c r="D151" s="424" t="s">
        <v>616</v>
      </c>
      <c r="E151" s="424" t="s">
        <v>617</v>
      </c>
      <c r="F151" s="427"/>
      <c r="G151" s="427"/>
      <c r="H151" s="427"/>
      <c r="I151" s="427"/>
      <c r="J151" s="427">
        <v>1</v>
      </c>
      <c r="K151" s="427">
        <v>122</v>
      </c>
      <c r="L151" s="427"/>
      <c r="M151" s="427">
        <v>122</v>
      </c>
      <c r="N151" s="427"/>
      <c r="O151" s="427"/>
      <c r="P151" s="487"/>
      <c r="Q151" s="428"/>
    </row>
    <row r="152" spans="1:17" ht="14.4" customHeight="1" x14ac:dyDescent="0.3">
      <c r="A152" s="423" t="s">
        <v>653</v>
      </c>
      <c r="B152" s="424" t="s">
        <v>573</v>
      </c>
      <c r="C152" s="424" t="s">
        <v>570</v>
      </c>
      <c r="D152" s="424" t="s">
        <v>618</v>
      </c>
      <c r="E152" s="424" t="s">
        <v>619</v>
      </c>
      <c r="F152" s="427">
        <v>28</v>
      </c>
      <c r="G152" s="427">
        <v>11900</v>
      </c>
      <c r="H152" s="427">
        <v>1</v>
      </c>
      <c r="I152" s="427">
        <v>425</v>
      </c>
      <c r="J152" s="427">
        <v>38</v>
      </c>
      <c r="K152" s="427">
        <v>16150</v>
      </c>
      <c r="L152" s="427">
        <v>1.3571428571428572</v>
      </c>
      <c r="M152" s="427">
        <v>425</v>
      </c>
      <c r="N152" s="427">
        <v>17</v>
      </c>
      <c r="O152" s="427">
        <v>7242</v>
      </c>
      <c r="P152" s="487">
        <v>0.60857142857142854</v>
      </c>
      <c r="Q152" s="428">
        <v>426</v>
      </c>
    </row>
    <row r="153" spans="1:17" ht="14.4" customHeight="1" x14ac:dyDescent="0.3">
      <c r="A153" s="423" t="s">
        <v>653</v>
      </c>
      <c r="B153" s="424" t="s">
        <v>573</v>
      </c>
      <c r="C153" s="424" t="s">
        <v>570</v>
      </c>
      <c r="D153" s="424" t="s">
        <v>622</v>
      </c>
      <c r="E153" s="424" t="s">
        <v>581</v>
      </c>
      <c r="F153" s="427"/>
      <c r="G153" s="427"/>
      <c r="H153" s="427"/>
      <c r="I153" s="427"/>
      <c r="J153" s="427">
        <v>1</v>
      </c>
      <c r="K153" s="427">
        <v>915</v>
      </c>
      <c r="L153" s="427"/>
      <c r="M153" s="427">
        <v>915</v>
      </c>
      <c r="N153" s="427"/>
      <c r="O153" s="427"/>
      <c r="P153" s="487"/>
      <c r="Q153" s="428"/>
    </row>
    <row r="154" spans="1:17" ht="14.4" customHeight="1" x14ac:dyDescent="0.3">
      <c r="A154" s="423" t="s">
        <v>653</v>
      </c>
      <c r="B154" s="424" t="s">
        <v>573</v>
      </c>
      <c r="C154" s="424" t="s">
        <v>570</v>
      </c>
      <c r="D154" s="424" t="s">
        <v>623</v>
      </c>
      <c r="E154" s="424" t="s">
        <v>624</v>
      </c>
      <c r="F154" s="427"/>
      <c r="G154" s="427"/>
      <c r="H154" s="427"/>
      <c r="I154" s="427"/>
      <c r="J154" s="427"/>
      <c r="K154" s="427"/>
      <c r="L154" s="427"/>
      <c r="M154" s="427"/>
      <c r="N154" s="427">
        <v>3</v>
      </c>
      <c r="O154" s="427">
        <v>4845</v>
      </c>
      <c r="P154" s="487"/>
      <c r="Q154" s="428">
        <v>1615</v>
      </c>
    </row>
    <row r="155" spans="1:17" ht="14.4" customHeight="1" x14ac:dyDescent="0.3">
      <c r="A155" s="423" t="s">
        <v>654</v>
      </c>
      <c r="B155" s="424" t="s">
        <v>573</v>
      </c>
      <c r="C155" s="424" t="s">
        <v>570</v>
      </c>
      <c r="D155" s="424" t="s">
        <v>578</v>
      </c>
      <c r="E155" s="424" t="s">
        <v>579</v>
      </c>
      <c r="F155" s="427">
        <v>2</v>
      </c>
      <c r="G155" s="427">
        <v>4426</v>
      </c>
      <c r="H155" s="427">
        <v>1</v>
      </c>
      <c r="I155" s="427">
        <v>2213</v>
      </c>
      <c r="J155" s="427"/>
      <c r="K155" s="427"/>
      <c r="L155" s="427"/>
      <c r="M155" s="427"/>
      <c r="N155" s="427"/>
      <c r="O155" s="427"/>
      <c r="P155" s="487"/>
      <c r="Q155" s="428"/>
    </row>
    <row r="156" spans="1:17" ht="14.4" customHeight="1" x14ac:dyDescent="0.3">
      <c r="A156" s="423" t="s">
        <v>654</v>
      </c>
      <c r="B156" s="424" t="s">
        <v>573</v>
      </c>
      <c r="C156" s="424" t="s">
        <v>570</v>
      </c>
      <c r="D156" s="424" t="s">
        <v>582</v>
      </c>
      <c r="E156" s="424" t="s">
        <v>583</v>
      </c>
      <c r="F156" s="427">
        <v>1</v>
      </c>
      <c r="G156" s="427">
        <v>3698</v>
      </c>
      <c r="H156" s="427">
        <v>1</v>
      </c>
      <c r="I156" s="427">
        <v>3698</v>
      </c>
      <c r="J156" s="427"/>
      <c r="K156" s="427"/>
      <c r="L156" s="427"/>
      <c r="M156" s="427"/>
      <c r="N156" s="427"/>
      <c r="O156" s="427"/>
      <c r="P156" s="487"/>
      <c r="Q156" s="428"/>
    </row>
    <row r="157" spans="1:17" ht="14.4" customHeight="1" x14ac:dyDescent="0.3">
      <c r="A157" s="423" t="s">
        <v>654</v>
      </c>
      <c r="B157" s="424" t="s">
        <v>573</v>
      </c>
      <c r="C157" s="424" t="s">
        <v>570</v>
      </c>
      <c r="D157" s="424" t="s">
        <v>594</v>
      </c>
      <c r="E157" s="424" t="s">
        <v>595</v>
      </c>
      <c r="F157" s="427">
        <v>2</v>
      </c>
      <c r="G157" s="427">
        <v>2894</v>
      </c>
      <c r="H157" s="427">
        <v>1</v>
      </c>
      <c r="I157" s="427">
        <v>1447</v>
      </c>
      <c r="J157" s="427"/>
      <c r="K157" s="427"/>
      <c r="L157" s="427"/>
      <c r="M157" s="427"/>
      <c r="N157" s="427"/>
      <c r="O157" s="427"/>
      <c r="P157" s="487"/>
      <c r="Q157" s="428"/>
    </row>
    <row r="158" spans="1:17" ht="14.4" customHeight="1" x14ac:dyDescent="0.3">
      <c r="A158" s="423" t="s">
        <v>654</v>
      </c>
      <c r="B158" s="424" t="s">
        <v>573</v>
      </c>
      <c r="C158" s="424" t="s">
        <v>570</v>
      </c>
      <c r="D158" s="424" t="s">
        <v>598</v>
      </c>
      <c r="E158" s="424" t="s">
        <v>599</v>
      </c>
      <c r="F158" s="427">
        <v>1</v>
      </c>
      <c r="G158" s="427">
        <v>16</v>
      </c>
      <c r="H158" s="427">
        <v>1</v>
      </c>
      <c r="I158" s="427">
        <v>16</v>
      </c>
      <c r="J158" s="427"/>
      <c r="K158" s="427"/>
      <c r="L158" s="427"/>
      <c r="M158" s="427"/>
      <c r="N158" s="427"/>
      <c r="O158" s="427"/>
      <c r="P158" s="487"/>
      <c r="Q158" s="428"/>
    </row>
    <row r="159" spans="1:17" ht="14.4" customHeight="1" x14ac:dyDescent="0.3">
      <c r="A159" s="423" t="s">
        <v>654</v>
      </c>
      <c r="B159" s="424" t="s">
        <v>573</v>
      </c>
      <c r="C159" s="424" t="s">
        <v>570</v>
      </c>
      <c r="D159" s="424" t="s">
        <v>600</v>
      </c>
      <c r="E159" s="424" t="s">
        <v>585</v>
      </c>
      <c r="F159" s="427">
        <v>2</v>
      </c>
      <c r="G159" s="427">
        <v>1376</v>
      </c>
      <c r="H159" s="427">
        <v>1</v>
      </c>
      <c r="I159" s="427">
        <v>688</v>
      </c>
      <c r="J159" s="427"/>
      <c r="K159" s="427"/>
      <c r="L159" s="427"/>
      <c r="M159" s="427"/>
      <c r="N159" s="427"/>
      <c r="O159" s="427"/>
      <c r="P159" s="487"/>
      <c r="Q159" s="428"/>
    </row>
    <row r="160" spans="1:17" ht="14.4" customHeight="1" x14ac:dyDescent="0.3">
      <c r="A160" s="423" t="s">
        <v>654</v>
      </c>
      <c r="B160" s="424" t="s">
        <v>573</v>
      </c>
      <c r="C160" s="424" t="s">
        <v>570</v>
      </c>
      <c r="D160" s="424" t="s">
        <v>601</v>
      </c>
      <c r="E160" s="424" t="s">
        <v>587</v>
      </c>
      <c r="F160" s="427">
        <v>1</v>
      </c>
      <c r="G160" s="427">
        <v>1375</v>
      </c>
      <c r="H160" s="427">
        <v>1</v>
      </c>
      <c r="I160" s="427">
        <v>1375</v>
      </c>
      <c r="J160" s="427"/>
      <c r="K160" s="427"/>
      <c r="L160" s="427"/>
      <c r="M160" s="427"/>
      <c r="N160" s="427"/>
      <c r="O160" s="427"/>
      <c r="P160" s="487"/>
      <c r="Q160" s="428"/>
    </row>
    <row r="161" spans="1:17" ht="14.4" customHeight="1" x14ac:dyDescent="0.3">
      <c r="A161" s="423" t="s">
        <v>654</v>
      </c>
      <c r="B161" s="424" t="s">
        <v>573</v>
      </c>
      <c r="C161" s="424" t="s">
        <v>570</v>
      </c>
      <c r="D161" s="424" t="s">
        <v>602</v>
      </c>
      <c r="E161" s="424" t="s">
        <v>603</v>
      </c>
      <c r="F161" s="427">
        <v>1</v>
      </c>
      <c r="G161" s="427">
        <v>2319</v>
      </c>
      <c r="H161" s="427">
        <v>1</v>
      </c>
      <c r="I161" s="427">
        <v>2319</v>
      </c>
      <c r="J161" s="427"/>
      <c r="K161" s="427"/>
      <c r="L161" s="427"/>
      <c r="M161" s="427"/>
      <c r="N161" s="427"/>
      <c r="O161" s="427"/>
      <c r="P161" s="487"/>
      <c r="Q161" s="428"/>
    </row>
    <row r="162" spans="1:17" ht="14.4" customHeight="1" x14ac:dyDescent="0.3">
      <c r="A162" s="423" t="s">
        <v>654</v>
      </c>
      <c r="B162" s="424" t="s">
        <v>573</v>
      </c>
      <c r="C162" s="424" t="s">
        <v>570</v>
      </c>
      <c r="D162" s="424" t="s">
        <v>604</v>
      </c>
      <c r="E162" s="424" t="s">
        <v>605</v>
      </c>
      <c r="F162" s="427">
        <v>2</v>
      </c>
      <c r="G162" s="427">
        <v>130</v>
      </c>
      <c r="H162" s="427">
        <v>1</v>
      </c>
      <c r="I162" s="427">
        <v>65</v>
      </c>
      <c r="J162" s="427"/>
      <c r="K162" s="427"/>
      <c r="L162" s="427"/>
      <c r="M162" s="427"/>
      <c r="N162" s="427"/>
      <c r="O162" s="427"/>
      <c r="P162" s="487"/>
      <c r="Q162" s="428"/>
    </row>
    <row r="163" spans="1:17" ht="14.4" customHeight="1" x14ac:dyDescent="0.3">
      <c r="A163" s="423" t="s">
        <v>654</v>
      </c>
      <c r="B163" s="424" t="s">
        <v>573</v>
      </c>
      <c r="C163" s="424" t="s">
        <v>570</v>
      </c>
      <c r="D163" s="424" t="s">
        <v>606</v>
      </c>
      <c r="E163" s="424" t="s">
        <v>607</v>
      </c>
      <c r="F163" s="427">
        <v>2</v>
      </c>
      <c r="G163" s="427">
        <v>792</v>
      </c>
      <c r="H163" s="427">
        <v>1</v>
      </c>
      <c r="I163" s="427">
        <v>396</v>
      </c>
      <c r="J163" s="427"/>
      <c r="K163" s="427"/>
      <c r="L163" s="427"/>
      <c r="M163" s="427"/>
      <c r="N163" s="427"/>
      <c r="O163" s="427"/>
      <c r="P163" s="487"/>
      <c r="Q163" s="428"/>
    </row>
    <row r="164" spans="1:17" ht="14.4" customHeight="1" x14ac:dyDescent="0.3">
      <c r="A164" s="423" t="s">
        <v>654</v>
      </c>
      <c r="B164" s="424" t="s">
        <v>573</v>
      </c>
      <c r="C164" s="424" t="s">
        <v>570</v>
      </c>
      <c r="D164" s="424" t="s">
        <v>610</v>
      </c>
      <c r="E164" s="424" t="s">
        <v>611</v>
      </c>
      <c r="F164" s="427">
        <v>5</v>
      </c>
      <c r="G164" s="427">
        <v>2750</v>
      </c>
      <c r="H164" s="427">
        <v>1</v>
      </c>
      <c r="I164" s="427">
        <v>550</v>
      </c>
      <c r="J164" s="427"/>
      <c r="K164" s="427"/>
      <c r="L164" s="427"/>
      <c r="M164" s="427"/>
      <c r="N164" s="427"/>
      <c r="O164" s="427"/>
      <c r="P164" s="487"/>
      <c r="Q164" s="428"/>
    </row>
    <row r="165" spans="1:17" ht="14.4" customHeight="1" x14ac:dyDescent="0.3">
      <c r="A165" s="423" t="s">
        <v>655</v>
      </c>
      <c r="B165" s="424" t="s">
        <v>569</v>
      </c>
      <c r="C165" s="424" t="s">
        <v>570</v>
      </c>
      <c r="D165" s="424" t="s">
        <v>571</v>
      </c>
      <c r="E165" s="424" t="s">
        <v>572</v>
      </c>
      <c r="F165" s="427"/>
      <c r="G165" s="427"/>
      <c r="H165" s="427"/>
      <c r="I165" s="427"/>
      <c r="J165" s="427"/>
      <c r="K165" s="427"/>
      <c r="L165" s="427"/>
      <c r="M165" s="427"/>
      <c r="N165" s="427">
        <v>1</v>
      </c>
      <c r="O165" s="427">
        <v>10725</v>
      </c>
      <c r="P165" s="487"/>
      <c r="Q165" s="428">
        <v>10725</v>
      </c>
    </row>
    <row r="166" spans="1:17" ht="14.4" customHeight="1" x14ac:dyDescent="0.3">
      <c r="A166" s="423" t="s">
        <v>655</v>
      </c>
      <c r="B166" s="424" t="s">
        <v>573</v>
      </c>
      <c r="C166" s="424" t="s">
        <v>570</v>
      </c>
      <c r="D166" s="424" t="s">
        <v>576</v>
      </c>
      <c r="E166" s="424" t="s">
        <v>577</v>
      </c>
      <c r="F166" s="427">
        <v>1</v>
      </c>
      <c r="G166" s="427">
        <v>1220</v>
      </c>
      <c r="H166" s="427">
        <v>1</v>
      </c>
      <c r="I166" s="427">
        <v>1220</v>
      </c>
      <c r="J166" s="427"/>
      <c r="K166" s="427"/>
      <c r="L166" s="427"/>
      <c r="M166" s="427"/>
      <c r="N166" s="427"/>
      <c r="O166" s="427"/>
      <c r="P166" s="487"/>
      <c r="Q166" s="428"/>
    </row>
    <row r="167" spans="1:17" ht="14.4" customHeight="1" x14ac:dyDescent="0.3">
      <c r="A167" s="423" t="s">
        <v>655</v>
      </c>
      <c r="B167" s="424" t="s">
        <v>573</v>
      </c>
      <c r="C167" s="424" t="s">
        <v>570</v>
      </c>
      <c r="D167" s="424" t="s">
        <v>580</v>
      </c>
      <c r="E167" s="424" t="s">
        <v>581</v>
      </c>
      <c r="F167" s="427">
        <v>1</v>
      </c>
      <c r="G167" s="427">
        <v>1035</v>
      </c>
      <c r="H167" s="427">
        <v>1</v>
      </c>
      <c r="I167" s="427">
        <v>1035</v>
      </c>
      <c r="J167" s="427"/>
      <c r="K167" s="427"/>
      <c r="L167" s="427"/>
      <c r="M167" s="427"/>
      <c r="N167" s="427"/>
      <c r="O167" s="427"/>
      <c r="P167" s="487"/>
      <c r="Q167" s="428"/>
    </row>
    <row r="168" spans="1:17" ht="14.4" customHeight="1" x14ac:dyDescent="0.3">
      <c r="A168" s="423" t="s">
        <v>655</v>
      </c>
      <c r="B168" s="424" t="s">
        <v>573</v>
      </c>
      <c r="C168" s="424" t="s">
        <v>570</v>
      </c>
      <c r="D168" s="424" t="s">
        <v>594</v>
      </c>
      <c r="E168" s="424" t="s">
        <v>595</v>
      </c>
      <c r="F168" s="427">
        <v>2</v>
      </c>
      <c r="G168" s="427">
        <v>2894</v>
      </c>
      <c r="H168" s="427">
        <v>1</v>
      </c>
      <c r="I168" s="427">
        <v>1447</v>
      </c>
      <c r="J168" s="427"/>
      <c r="K168" s="427"/>
      <c r="L168" s="427"/>
      <c r="M168" s="427"/>
      <c r="N168" s="427"/>
      <c r="O168" s="427"/>
      <c r="P168" s="487"/>
      <c r="Q168" s="428"/>
    </row>
    <row r="169" spans="1:17" ht="14.4" customHeight="1" x14ac:dyDescent="0.3">
      <c r="A169" s="423" t="s">
        <v>655</v>
      </c>
      <c r="B169" s="424" t="s">
        <v>573</v>
      </c>
      <c r="C169" s="424" t="s">
        <v>570</v>
      </c>
      <c r="D169" s="424" t="s">
        <v>598</v>
      </c>
      <c r="E169" s="424" t="s">
        <v>599</v>
      </c>
      <c r="F169" s="427">
        <v>2</v>
      </c>
      <c r="G169" s="427">
        <v>32</v>
      </c>
      <c r="H169" s="427">
        <v>1</v>
      </c>
      <c r="I169" s="427">
        <v>16</v>
      </c>
      <c r="J169" s="427"/>
      <c r="K169" s="427"/>
      <c r="L169" s="427"/>
      <c r="M169" s="427"/>
      <c r="N169" s="427"/>
      <c r="O169" s="427"/>
      <c r="P169" s="487"/>
      <c r="Q169" s="428"/>
    </row>
    <row r="170" spans="1:17" ht="14.4" customHeight="1" x14ac:dyDescent="0.3">
      <c r="A170" s="423" t="s">
        <v>655</v>
      </c>
      <c r="B170" s="424" t="s">
        <v>573</v>
      </c>
      <c r="C170" s="424" t="s">
        <v>570</v>
      </c>
      <c r="D170" s="424" t="s">
        <v>600</v>
      </c>
      <c r="E170" s="424" t="s">
        <v>585</v>
      </c>
      <c r="F170" s="427">
        <v>4</v>
      </c>
      <c r="G170" s="427">
        <v>2752</v>
      </c>
      <c r="H170" s="427">
        <v>1</v>
      </c>
      <c r="I170" s="427">
        <v>688</v>
      </c>
      <c r="J170" s="427"/>
      <c r="K170" s="427"/>
      <c r="L170" s="427"/>
      <c r="M170" s="427"/>
      <c r="N170" s="427"/>
      <c r="O170" s="427"/>
      <c r="P170" s="487"/>
      <c r="Q170" s="428"/>
    </row>
    <row r="171" spans="1:17" ht="14.4" customHeight="1" x14ac:dyDescent="0.3">
      <c r="A171" s="423" t="s">
        <v>655</v>
      </c>
      <c r="B171" s="424" t="s">
        <v>573</v>
      </c>
      <c r="C171" s="424" t="s">
        <v>570</v>
      </c>
      <c r="D171" s="424" t="s">
        <v>604</v>
      </c>
      <c r="E171" s="424" t="s">
        <v>605</v>
      </c>
      <c r="F171" s="427">
        <v>4</v>
      </c>
      <c r="G171" s="427">
        <v>260</v>
      </c>
      <c r="H171" s="427">
        <v>1</v>
      </c>
      <c r="I171" s="427">
        <v>65</v>
      </c>
      <c r="J171" s="427"/>
      <c r="K171" s="427"/>
      <c r="L171" s="427"/>
      <c r="M171" s="427"/>
      <c r="N171" s="427"/>
      <c r="O171" s="427"/>
      <c r="P171" s="487"/>
      <c r="Q171" s="428"/>
    </row>
    <row r="172" spans="1:17" ht="14.4" customHeight="1" x14ac:dyDescent="0.3">
      <c r="A172" s="423" t="s">
        <v>655</v>
      </c>
      <c r="B172" s="424" t="s">
        <v>573</v>
      </c>
      <c r="C172" s="424" t="s">
        <v>570</v>
      </c>
      <c r="D172" s="424" t="s">
        <v>606</v>
      </c>
      <c r="E172" s="424" t="s">
        <v>607</v>
      </c>
      <c r="F172" s="427">
        <v>2</v>
      </c>
      <c r="G172" s="427">
        <v>792</v>
      </c>
      <c r="H172" s="427">
        <v>1</v>
      </c>
      <c r="I172" s="427">
        <v>396</v>
      </c>
      <c r="J172" s="427"/>
      <c r="K172" s="427"/>
      <c r="L172" s="427"/>
      <c r="M172" s="427"/>
      <c r="N172" s="427"/>
      <c r="O172" s="427"/>
      <c r="P172" s="487"/>
      <c r="Q172" s="428"/>
    </row>
    <row r="173" spans="1:17" ht="14.4" customHeight="1" x14ac:dyDescent="0.3">
      <c r="A173" s="423" t="s">
        <v>655</v>
      </c>
      <c r="B173" s="424" t="s">
        <v>573</v>
      </c>
      <c r="C173" s="424" t="s">
        <v>570</v>
      </c>
      <c r="D173" s="424" t="s">
        <v>610</v>
      </c>
      <c r="E173" s="424" t="s">
        <v>611</v>
      </c>
      <c r="F173" s="427">
        <v>15</v>
      </c>
      <c r="G173" s="427">
        <v>8250</v>
      </c>
      <c r="H173" s="427">
        <v>1</v>
      </c>
      <c r="I173" s="427">
        <v>550</v>
      </c>
      <c r="J173" s="427"/>
      <c r="K173" s="427"/>
      <c r="L173" s="427"/>
      <c r="M173" s="427"/>
      <c r="N173" s="427"/>
      <c r="O173" s="427"/>
      <c r="P173" s="487"/>
      <c r="Q173" s="428"/>
    </row>
    <row r="174" spans="1:17" ht="14.4" customHeight="1" x14ac:dyDescent="0.3">
      <c r="A174" s="423" t="s">
        <v>656</v>
      </c>
      <c r="B174" s="424" t="s">
        <v>573</v>
      </c>
      <c r="C174" s="424" t="s">
        <v>570</v>
      </c>
      <c r="D174" s="424" t="s">
        <v>578</v>
      </c>
      <c r="E174" s="424" t="s">
        <v>579</v>
      </c>
      <c r="F174" s="427"/>
      <c r="G174" s="427"/>
      <c r="H174" s="427"/>
      <c r="I174" s="427"/>
      <c r="J174" s="427">
        <v>1</v>
      </c>
      <c r="K174" s="427">
        <v>2213</v>
      </c>
      <c r="L174" s="427"/>
      <c r="M174" s="427">
        <v>2213</v>
      </c>
      <c r="N174" s="427"/>
      <c r="O174" s="427"/>
      <c r="P174" s="487"/>
      <c r="Q174" s="428"/>
    </row>
    <row r="175" spans="1:17" ht="14.4" customHeight="1" x14ac:dyDescent="0.3">
      <c r="A175" s="423" t="s">
        <v>656</v>
      </c>
      <c r="B175" s="424" t="s">
        <v>573</v>
      </c>
      <c r="C175" s="424" t="s">
        <v>570</v>
      </c>
      <c r="D175" s="424" t="s">
        <v>594</v>
      </c>
      <c r="E175" s="424" t="s">
        <v>595</v>
      </c>
      <c r="F175" s="427"/>
      <c r="G175" s="427"/>
      <c r="H175" s="427"/>
      <c r="I175" s="427"/>
      <c r="J175" s="427">
        <v>1</v>
      </c>
      <c r="K175" s="427">
        <v>1447</v>
      </c>
      <c r="L175" s="427"/>
      <c r="M175" s="427">
        <v>1447</v>
      </c>
      <c r="N175" s="427"/>
      <c r="O175" s="427"/>
      <c r="P175" s="487"/>
      <c r="Q175" s="428"/>
    </row>
    <row r="176" spans="1:17" ht="14.4" customHeight="1" x14ac:dyDescent="0.3">
      <c r="A176" s="423" t="s">
        <v>656</v>
      </c>
      <c r="B176" s="424" t="s">
        <v>573</v>
      </c>
      <c r="C176" s="424" t="s">
        <v>570</v>
      </c>
      <c r="D176" s="424" t="s">
        <v>598</v>
      </c>
      <c r="E176" s="424" t="s">
        <v>599</v>
      </c>
      <c r="F176" s="427"/>
      <c r="G176" s="427"/>
      <c r="H176" s="427"/>
      <c r="I176" s="427"/>
      <c r="J176" s="427">
        <v>1</v>
      </c>
      <c r="K176" s="427">
        <v>16</v>
      </c>
      <c r="L176" s="427"/>
      <c r="M176" s="427">
        <v>16</v>
      </c>
      <c r="N176" s="427"/>
      <c r="O176" s="427"/>
      <c r="P176" s="487"/>
      <c r="Q176" s="428"/>
    </row>
    <row r="177" spans="1:17" ht="14.4" customHeight="1" x14ac:dyDescent="0.3">
      <c r="A177" s="423" t="s">
        <v>656</v>
      </c>
      <c r="B177" s="424" t="s">
        <v>573</v>
      </c>
      <c r="C177" s="424" t="s">
        <v>570</v>
      </c>
      <c r="D177" s="424" t="s">
        <v>606</v>
      </c>
      <c r="E177" s="424" t="s">
        <v>607</v>
      </c>
      <c r="F177" s="427"/>
      <c r="G177" s="427"/>
      <c r="H177" s="427"/>
      <c r="I177" s="427"/>
      <c r="J177" s="427">
        <v>1</v>
      </c>
      <c r="K177" s="427">
        <v>396</v>
      </c>
      <c r="L177" s="427"/>
      <c r="M177" s="427">
        <v>396</v>
      </c>
      <c r="N177" s="427"/>
      <c r="O177" s="427"/>
      <c r="P177" s="487"/>
      <c r="Q177" s="428"/>
    </row>
    <row r="178" spans="1:17" ht="14.4" customHeight="1" x14ac:dyDescent="0.3">
      <c r="A178" s="423" t="s">
        <v>656</v>
      </c>
      <c r="B178" s="424" t="s">
        <v>573</v>
      </c>
      <c r="C178" s="424" t="s">
        <v>570</v>
      </c>
      <c r="D178" s="424" t="s">
        <v>618</v>
      </c>
      <c r="E178" s="424" t="s">
        <v>619</v>
      </c>
      <c r="F178" s="427"/>
      <c r="G178" s="427"/>
      <c r="H178" s="427"/>
      <c r="I178" s="427"/>
      <c r="J178" s="427">
        <v>3</v>
      </c>
      <c r="K178" s="427">
        <v>1275</v>
      </c>
      <c r="L178" s="427"/>
      <c r="M178" s="427">
        <v>425</v>
      </c>
      <c r="N178" s="427"/>
      <c r="O178" s="427"/>
      <c r="P178" s="487"/>
      <c r="Q178" s="428"/>
    </row>
    <row r="179" spans="1:17" ht="14.4" customHeight="1" x14ac:dyDescent="0.3">
      <c r="A179" s="423" t="s">
        <v>657</v>
      </c>
      <c r="B179" s="424" t="s">
        <v>573</v>
      </c>
      <c r="C179" s="424" t="s">
        <v>570</v>
      </c>
      <c r="D179" s="424" t="s">
        <v>582</v>
      </c>
      <c r="E179" s="424" t="s">
        <v>583</v>
      </c>
      <c r="F179" s="427"/>
      <c r="G179" s="427"/>
      <c r="H179" s="427"/>
      <c r="I179" s="427"/>
      <c r="J179" s="427"/>
      <c r="K179" s="427"/>
      <c r="L179" s="427"/>
      <c r="M179" s="427"/>
      <c r="N179" s="427">
        <v>1</v>
      </c>
      <c r="O179" s="427">
        <v>3721</v>
      </c>
      <c r="P179" s="487"/>
      <c r="Q179" s="428">
        <v>3721</v>
      </c>
    </row>
    <row r="180" spans="1:17" ht="14.4" customHeight="1" x14ac:dyDescent="0.3">
      <c r="A180" s="423" t="s">
        <v>657</v>
      </c>
      <c r="B180" s="424" t="s">
        <v>573</v>
      </c>
      <c r="C180" s="424" t="s">
        <v>570</v>
      </c>
      <c r="D180" s="424" t="s">
        <v>602</v>
      </c>
      <c r="E180" s="424" t="s">
        <v>603</v>
      </c>
      <c r="F180" s="427"/>
      <c r="G180" s="427"/>
      <c r="H180" s="427"/>
      <c r="I180" s="427"/>
      <c r="J180" s="427"/>
      <c r="K180" s="427"/>
      <c r="L180" s="427"/>
      <c r="M180" s="427"/>
      <c r="N180" s="427">
        <v>1</v>
      </c>
      <c r="O180" s="427">
        <v>2341</v>
      </c>
      <c r="P180" s="487"/>
      <c r="Q180" s="428">
        <v>2341</v>
      </c>
    </row>
    <row r="181" spans="1:17" ht="14.4" customHeight="1" x14ac:dyDescent="0.3">
      <c r="A181" s="423" t="s">
        <v>657</v>
      </c>
      <c r="B181" s="424" t="s">
        <v>573</v>
      </c>
      <c r="C181" s="424" t="s">
        <v>570</v>
      </c>
      <c r="D181" s="424" t="s">
        <v>610</v>
      </c>
      <c r="E181" s="424" t="s">
        <v>611</v>
      </c>
      <c r="F181" s="427"/>
      <c r="G181" s="427"/>
      <c r="H181" s="427"/>
      <c r="I181" s="427"/>
      <c r="J181" s="427"/>
      <c r="K181" s="427"/>
      <c r="L181" s="427"/>
      <c r="M181" s="427"/>
      <c r="N181" s="427">
        <v>5</v>
      </c>
      <c r="O181" s="427">
        <v>2760</v>
      </c>
      <c r="P181" s="487"/>
      <c r="Q181" s="428">
        <v>552</v>
      </c>
    </row>
    <row r="182" spans="1:17" ht="14.4" customHeight="1" x14ac:dyDescent="0.3">
      <c r="A182" s="423" t="s">
        <v>657</v>
      </c>
      <c r="B182" s="424" t="s">
        <v>573</v>
      </c>
      <c r="C182" s="424" t="s">
        <v>570</v>
      </c>
      <c r="D182" s="424" t="s">
        <v>623</v>
      </c>
      <c r="E182" s="424" t="s">
        <v>624</v>
      </c>
      <c r="F182" s="427"/>
      <c r="G182" s="427"/>
      <c r="H182" s="427"/>
      <c r="I182" s="427"/>
      <c r="J182" s="427"/>
      <c r="K182" s="427"/>
      <c r="L182" s="427"/>
      <c r="M182" s="427"/>
      <c r="N182" s="427">
        <v>1</v>
      </c>
      <c r="O182" s="427">
        <v>1615</v>
      </c>
      <c r="P182" s="487"/>
      <c r="Q182" s="428">
        <v>1615</v>
      </c>
    </row>
    <row r="183" spans="1:17" ht="14.4" customHeight="1" x14ac:dyDescent="0.3">
      <c r="A183" s="423" t="s">
        <v>658</v>
      </c>
      <c r="B183" s="424" t="s">
        <v>569</v>
      </c>
      <c r="C183" s="424" t="s">
        <v>570</v>
      </c>
      <c r="D183" s="424" t="s">
        <v>571</v>
      </c>
      <c r="E183" s="424" t="s">
        <v>572</v>
      </c>
      <c r="F183" s="427"/>
      <c r="G183" s="427"/>
      <c r="H183" s="427"/>
      <c r="I183" s="427"/>
      <c r="J183" s="427">
        <v>2</v>
      </c>
      <c r="K183" s="427">
        <v>21190</v>
      </c>
      <c r="L183" s="427"/>
      <c r="M183" s="427">
        <v>10595</v>
      </c>
      <c r="N183" s="427">
        <v>1</v>
      </c>
      <c r="O183" s="427">
        <v>10725</v>
      </c>
      <c r="P183" s="487"/>
      <c r="Q183" s="428">
        <v>10725</v>
      </c>
    </row>
    <row r="184" spans="1:17" ht="14.4" customHeight="1" x14ac:dyDescent="0.3">
      <c r="A184" s="423" t="s">
        <v>658</v>
      </c>
      <c r="B184" s="424" t="s">
        <v>573</v>
      </c>
      <c r="C184" s="424" t="s">
        <v>570</v>
      </c>
      <c r="D184" s="424" t="s">
        <v>574</v>
      </c>
      <c r="E184" s="424" t="s">
        <v>575</v>
      </c>
      <c r="F184" s="427">
        <v>1</v>
      </c>
      <c r="G184" s="427">
        <v>126</v>
      </c>
      <c r="H184" s="427">
        <v>1</v>
      </c>
      <c r="I184" s="427">
        <v>126</v>
      </c>
      <c r="J184" s="427"/>
      <c r="K184" s="427"/>
      <c r="L184" s="427"/>
      <c r="M184" s="427"/>
      <c r="N184" s="427"/>
      <c r="O184" s="427"/>
      <c r="P184" s="487"/>
      <c r="Q184" s="428"/>
    </row>
    <row r="185" spans="1:17" ht="14.4" customHeight="1" x14ac:dyDescent="0.3">
      <c r="A185" s="423" t="s">
        <v>658</v>
      </c>
      <c r="B185" s="424" t="s">
        <v>573</v>
      </c>
      <c r="C185" s="424" t="s">
        <v>570</v>
      </c>
      <c r="D185" s="424" t="s">
        <v>584</v>
      </c>
      <c r="E185" s="424" t="s">
        <v>585</v>
      </c>
      <c r="F185" s="427">
        <v>1</v>
      </c>
      <c r="G185" s="427">
        <v>438</v>
      </c>
      <c r="H185" s="427">
        <v>1</v>
      </c>
      <c r="I185" s="427">
        <v>438</v>
      </c>
      <c r="J185" s="427"/>
      <c r="K185" s="427"/>
      <c r="L185" s="427"/>
      <c r="M185" s="427"/>
      <c r="N185" s="427"/>
      <c r="O185" s="427"/>
      <c r="P185" s="487"/>
      <c r="Q185" s="428"/>
    </row>
    <row r="186" spans="1:17" ht="14.4" customHeight="1" x14ac:dyDescent="0.3">
      <c r="A186" s="423" t="s">
        <v>658</v>
      </c>
      <c r="B186" s="424" t="s">
        <v>573</v>
      </c>
      <c r="C186" s="424" t="s">
        <v>570</v>
      </c>
      <c r="D186" s="424" t="s">
        <v>594</v>
      </c>
      <c r="E186" s="424" t="s">
        <v>595</v>
      </c>
      <c r="F186" s="427"/>
      <c r="G186" s="427"/>
      <c r="H186" s="427"/>
      <c r="I186" s="427"/>
      <c r="J186" s="427">
        <v>1</v>
      </c>
      <c r="K186" s="427">
        <v>1447</v>
      </c>
      <c r="L186" s="427"/>
      <c r="M186" s="427">
        <v>1447</v>
      </c>
      <c r="N186" s="427"/>
      <c r="O186" s="427"/>
      <c r="P186" s="487"/>
      <c r="Q186" s="428"/>
    </row>
    <row r="187" spans="1:17" ht="14.4" customHeight="1" x14ac:dyDescent="0.3">
      <c r="A187" s="423" t="s">
        <v>658</v>
      </c>
      <c r="B187" s="424" t="s">
        <v>573</v>
      </c>
      <c r="C187" s="424" t="s">
        <v>570</v>
      </c>
      <c r="D187" s="424" t="s">
        <v>598</v>
      </c>
      <c r="E187" s="424" t="s">
        <v>599</v>
      </c>
      <c r="F187" s="427">
        <v>2</v>
      </c>
      <c r="G187" s="427">
        <v>32</v>
      </c>
      <c r="H187" s="427">
        <v>1</v>
      </c>
      <c r="I187" s="427">
        <v>16</v>
      </c>
      <c r="J187" s="427"/>
      <c r="K187" s="427"/>
      <c r="L187" s="427"/>
      <c r="M187" s="427"/>
      <c r="N187" s="427"/>
      <c r="O187" s="427"/>
      <c r="P187" s="487"/>
      <c r="Q187" s="428"/>
    </row>
    <row r="188" spans="1:17" ht="14.4" customHeight="1" x14ac:dyDescent="0.3">
      <c r="A188" s="423" t="s">
        <v>658</v>
      </c>
      <c r="B188" s="424" t="s">
        <v>573</v>
      </c>
      <c r="C188" s="424" t="s">
        <v>570</v>
      </c>
      <c r="D188" s="424" t="s">
        <v>600</v>
      </c>
      <c r="E188" s="424" t="s">
        <v>585</v>
      </c>
      <c r="F188" s="427">
        <v>2</v>
      </c>
      <c r="G188" s="427">
        <v>1376</v>
      </c>
      <c r="H188" s="427">
        <v>1</v>
      </c>
      <c r="I188" s="427">
        <v>688</v>
      </c>
      <c r="J188" s="427"/>
      <c r="K188" s="427"/>
      <c r="L188" s="427"/>
      <c r="M188" s="427"/>
      <c r="N188" s="427"/>
      <c r="O188" s="427"/>
      <c r="P188" s="487"/>
      <c r="Q188" s="428"/>
    </row>
    <row r="189" spans="1:17" ht="14.4" customHeight="1" x14ac:dyDescent="0.3">
      <c r="A189" s="423" t="s">
        <v>658</v>
      </c>
      <c r="B189" s="424" t="s">
        <v>573</v>
      </c>
      <c r="C189" s="424" t="s">
        <v>570</v>
      </c>
      <c r="D189" s="424" t="s">
        <v>604</v>
      </c>
      <c r="E189" s="424" t="s">
        <v>605</v>
      </c>
      <c r="F189" s="427">
        <v>3</v>
      </c>
      <c r="G189" s="427">
        <v>195</v>
      </c>
      <c r="H189" s="427">
        <v>1</v>
      </c>
      <c r="I189" s="427">
        <v>65</v>
      </c>
      <c r="J189" s="427"/>
      <c r="K189" s="427"/>
      <c r="L189" s="427"/>
      <c r="M189" s="427"/>
      <c r="N189" s="427"/>
      <c r="O189" s="427"/>
      <c r="P189" s="487"/>
      <c r="Q189" s="428"/>
    </row>
    <row r="190" spans="1:17" ht="14.4" customHeight="1" x14ac:dyDescent="0.3">
      <c r="A190" s="423" t="s">
        <v>658</v>
      </c>
      <c r="B190" s="424" t="s">
        <v>573</v>
      </c>
      <c r="C190" s="424" t="s">
        <v>570</v>
      </c>
      <c r="D190" s="424" t="s">
        <v>606</v>
      </c>
      <c r="E190" s="424" t="s">
        <v>607</v>
      </c>
      <c r="F190" s="427"/>
      <c r="G190" s="427"/>
      <c r="H190" s="427"/>
      <c r="I190" s="427"/>
      <c r="J190" s="427">
        <v>1</v>
      </c>
      <c r="K190" s="427">
        <v>396</v>
      </c>
      <c r="L190" s="427"/>
      <c r="M190" s="427">
        <v>396</v>
      </c>
      <c r="N190" s="427"/>
      <c r="O190" s="427"/>
      <c r="P190" s="487"/>
      <c r="Q190" s="428"/>
    </row>
    <row r="191" spans="1:17" ht="14.4" customHeight="1" thickBot="1" x14ac:dyDescent="0.35">
      <c r="A191" s="429" t="s">
        <v>658</v>
      </c>
      <c r="B191" s="430" t="s">
        <v>573</v>
      </c>
      <c r="C191" s="430" t="s">
        <v>570</v>
      </c>
      <c r="D191" s="430" t="s">
        <v>610</v>
      </c>
      <c r="E191" s="430" t="s">
        <v>611</v>
      </c>
      <c r="F191" s="401">
        <v>10</v>
      </c>
      <c r="G191" s="401">
        <v>5500</v>
      </c>
      <c r="H191" s="401">
        <v>1</v>
      </c>
      <c r="I191" s="401">
        <v>550</v>
      </c>
      <c r="J191" s="401"/>
      <c r="K191" s="401"/>
      <c r="L191" s="401"/>
      <c r="M191" s="401"/>
      <c r="N191" s="401"/>
      <c r="O191" s="401"/>
      <c r="P191" s="402"/>
      <c r="Q191" s="41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101</v>
      </c>
      <c r="B1" s="293"/>
      <c r="C1" s="294"/>
      <c r="D1" s="294"/>
      <c r="E1" s="294"/>
    </row>
    <row r="2" spans="1:5" ht="14.4" customHeight="1" thickBot="1" x14ac:dyDescent="0.35">
      <c r="A2" s="203" t="s">
        <v>242</v>
      </c>
      <c r="B2" s="125"/>
    </row>
    <row r="3" spans="1:5" ht="14.4" customHeight="1" thickBot="1" x14ac:dyDescent="0.35">
      <c r="A3" s="128"/>
      <c r="C3" s="129" t="s">
        <v>90</v>
      </c>
      <c r="D3" s="130" t="s">
        <v>55</v>
      </c>
      <c r="E3" s="131" t="s">
        <v>57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5715.5360639877999</v>
      </c>
      <c r="D4" s="134">
        <f ca="1">IF(ISERROR(VLOOKUP("Náklady celkem",INDIRECT("HI!$A:$G"),5,0)),0,VLOOKUP("Náklady celkem",INDIRECT("HI!$A:$G"),5,0))</f>
        <v>4864.3259899999994</v>
      </c>
      <c r="E4" s="135">
        <f ca="1">IF(C4=0,0,D4/C4)</f>
        <v>0.85107082442343984</v>
      </c>
    </row>
    <row r="5" spans="1:5" ht="14.4" customHeight="1" x14ac:dyDescent="0.3">
      <c r="A5" s="136" t="s">
        <v>116</v>
      </c>
      <c r="B5" s="137"/>
      <c r="C5" s="138"/>
      <c r="D5" s="138"/>
      <c r="E5" s="139"/>
    </row>
    <row r="6" spans="1:5" ht="14.4" customHeight="1" x14ac:dyDescent="0.3">
      <c r="A6" s="140" t="s">
        <v>121</v>
      </c>
      <c r="B6" s="141"/>
      <c r="C6" s="142"/>
      <c r="D6" s="142"/>
      <c r="E6" s="139"/>
    </row>
    <row r="7" spans="1:5" ht="14.4" customHeight="1" x14ac:dyDescent="0.3">
      <c r="A7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94</v>
      </c>
      <c r="C7" s="142">
        <f>IF(ISERROR(HI!F5),"",HI!F5)</f>
        <v>7.173929102216249</v>
      </c>
      <c r="D7" s="142">
        <f>IF(ISERROR(HI!E5),"",HI!E5)</f>
        <v>0</v>
      </c>
      <c r="E7" s="139">
        <f t="shared" ref="E7:E12" si="0">IF(C7=0,0,D7/C7)</f>
        <v>0</v>
      </c>
    </row>
    <row r="8" spans="1:5" ht="14.4" customHeight="1" x14ac:dyDescent="0.3">
      <c r="A8" s="280" t="str">
        <f>HYPERLINK("#'LŽ Statim'!A1","% podíl statimových žádanek")</f>
        <v>% podíl statimových žádanek</v>
      </c>
      <c r="B8" s="278" t="s">
        <v>216</v>
      </c>
      <c r="C8" s="279">
        <v>0.3</v>
      </c>
      <c r="D8" s="279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5" t="s">
        <v>117</v>
      </c>
      <c r="B9" s="141"/>
      <c r="C9" s="142"/>
      <c r="D9" s="142"/>
      <c r="E9" s="139"/>
    </row>
    <row r="10" spans="1:5" ht="14.4" customHeight="1" x14ac:dyDescent="0.3">
      <c r="A10" s="145" t="s">
        <v>118</v>
      </c>
      <c r="B10" s="141"/>
      <c r="C10" s="142"/>
      <c r="D10" s="142"/>
      <c r="E10" s="139"/>
    </row>
    <row r="11" spans="1:5" ht="14.4" customHeight="1" x14ac:dyDescent="0.3">
      <c r="A11" s="146" t="s">
        <v>122</v>
      </c>
      <c r="B11" s="141"/>
      <c r="C11" s="138"/>
      <c r="D11" s="138"/>
      <c r="E11" s="139"/>
    </row>
    <row r="12" spans="1:5" ht="14.4" customHeight="1" x14ac:dyDescent="0.3">
      <c r="A12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94</v>
      </c>
      <c r="C12" s="142">
        <f>IF(ISERROR(HI!F6),"",HI!F6)</f>
        <v>340.499989275075</v>
      </c>
      <c r="D12" s="142">
        <f>IF(ISERROR(HI!E6),"",HI!E6)</f>
        <v>161.85496999999998</v>
      </c>
      <c r="E12" s="139">
        <f t="shared" si="0"/>
        <v>0.47534500763007209</v>
      </c>
    </row>
    <row r="13" spans="1:5" ht="14.4" customHeight="1" thickBot="1" x14ac:dyDescent="0.35">
      <c r="A13" s="148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4768.9998497880497</v>
      </c>
      <c r="D13" s="138">
        <f ca="1">IF(ISERROR(VLOOKUP("Osobní náklady (Kč) *",INDIRECT("HI!$A:$G"),5,0)),0,VLOOKUP("Osobní náklady (Kč) *",INDIRECT("HI!$A:$G"),5,0))</f>
        <v>4104.4914800000006</v>
      </c>
      <c r="E13" s="139">
        <f ca="1">IF(C13=0,0,D13/C13)</f>
        <v>0.86066085327774078</v>
      </c>
    </row>
    <row r="14" spans="1:5" ht="14.4" customHeight="1" thickBot="1" x14ac:dyDescent="0.35">
      <c r="A14" s="152"/>
      <c r="B14" s="153"/>
      <c r="C14" s="154"/>
      <c r="D14" s="154"/>
      <c r="E14" s="155"/>
    </row>
    <row r="15" spans="1:5" ht="14.4" customHeight="1" thickBot="1" x14ac:dyDescent="0.35">
      <c r="A15" s="156" t="str">
        <f>HYPERLINK("#HI!A1","VÝNOSY CELKEM (v tisících)")</f>
        <v>VÝNOSY CELKEM (v tisících)</v>
      </c>
      <c r="B15" s="157"/>
      <c r="C15" s="158">
        <f ca="1">IF(ISERROR(VLOOKUP("Výnosy celkem",INDIRECT("HI!$A:$G"),6,0)),0,VLOOKUP("Výnosy celkem",INDIRECT("HI!$A:$G"),6,0))</f>
        <v>4981.268</v>
      </c>
      <c r="D15" s="158">
        <f ca="1">IF(ISERROR(VLOOKUP("Výnosy celkem",INDIRECT("HI!$A:$G"),5,0)),0,VLOOKUP("Výnosy celkem",INDIRECT("HI!$A:$G"),5,0))</f>
        <v>4576.5360000000001</v>
      </c>
      <c r="E15" s="159">
        <f t="shared" ref="E15:E18" ca="1" si="1">IF(C15=0,0,D15/C15)</f>
        <v>0.91874920201041177</v>
      </c>
    </row>
    <row r="16" spans="1:5" ht="14.4" customHeight="1" x14ac:dyDescent="0.3">
      <c r="A16" s="160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4981.268</v>
      </c>
      <c r="D16" s="138">
        <f ca="1">IF(ISERROR(VLOOKUP("Ambulance *",INDIRECT("HI!$A:$G"),5,0)),0,VLOOKUP("Ambulance *",INDIRECT("HI!$A:$G"),5,0))</f>
        <v>4576.5360000000001</v>
      </c>
      <c r="E16" s="139">
        <f t="shared" ca="1" si="1"/>
        <v>0.91874920201041177</v>
      </c>
    </row>
    <row r="17" spans="1:5" ht="14.4" customHeight="1" x14ac:dyDescent="0.3">
      <c r="A17" s="161" t="str">
        <f>HYPERLINK("#'ZV Vykáz.-A'!A1","Zdravotní výkony vykázané u ambulantních pacientů (min. 100 %)")</f>
        <v>Zdravotní výkony vykázané u ambulantních pacientů (min. 100 %)</v>
      </c>
      <c r="B17" s="124" t="s">
        <v>103</v>
      </c>
      <c r="C17" s="144">
        <v>1</v>
      </c>
      <c r="D17" s="144">
        <f>IF(ISERROR(VLOOKUP("Celkem:",'ZV Vykáz.-A'!$A:$S,7,0)),"",VLOOKUP("Celkem:",'ZV Vykáz.-A'!$A:$S,7,0))</f>
        <v>0.91874920201041177</v>
      </c>
      <c r="E17" s="139">
        <f t="shared" si="1"/>
        <v>0.91874920201041177</v>
      </c>
    </row>
    <row r="18" spans="1:5" ht="14.4" customHeight="1" x14ac:dyDescent="0.3">
      <c r="A18" s="161" t="str">
        <f>HYPERLINK("#'ZV Vykáz.-H'!A1","Zdravotní výkony vykázané u hospitalizovaných pacientů (max. 85 %)")</f>
        <v>Zdravotní výkony vykázané u hospitalizovaných pacientů (max. 85 %)</v>
      </c>
      <c r="B18" s="124" t="s">
        <v>105</v>
      </c>
      <c r="C18" s="144">
        <v>0.85</v>
      </c>
      <c r="D18" s="144">
        <f>IF(ISERROR(VLOOKUP("Celkem:",'ZV Vykáz.-H'!$A:$S,7,0)),"",VLOOKUP("Celkem:",'ZV Vykáz.-H'!$A:$S,7,0))</f>
        <v>0.70926780490888508</v>
      </c>
      <c r="E18" s="139">
        <f t="shared" si="1"/>
        <v>0.83443271165751187</v>
      </c>
    </row>
    <row r="19" spans="1:5" ht="14.4" customHeight="1" x14ac:dyDescent="0.3">
      <c r="A19" s="162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3" t="s">
        <v>119</v>
      </c>
      <c r="B20" s="149"/>
      <c r="C20" s="150"/>
      <c r="D20" s="150"/>
      <c r="E20" s="151"/>
    </row>
    <row r="21" spans="1:5" ht="14.4" customHeight="1" thickBot="1" x14ac:dyDescent="0.35">
      <c r="A21" s="164"/>
      <c r="B21" s="165"/>
      <c r="C21" s="166"/>
      <c r="D21" s="166"/>
      <c r="E21" s="167"/>
    </row>
    <row r="22" spans="1:5" ht="14.4" customHeight="1" thickBot="1" x14ac:dyDescent="0.35">
      <c r="A22" s="168" t="s">
        <v>120</v>
      </c>
      <c r="B22" s="169"/>
      <c r="C22" s="170"/>
      <c r="D22" s="170"/>
      <c r="E22" s="171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110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3" t="s">
        <v>242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2013</v>
      </c>
      <c r="C3" s="40">
        <v>2014</v>
      </c>
      <c r="D3" s="7"/>
      <c r="E3" s="299">
        <v>2015</v>
      </c>
      <c r="F3" s="300"/>
      <c r="G3" s="300"/>
      <c r="H3" s="301"/>
    </row>
    <row r="4" spans="1:8" ht="14.4" customHeight="1" thickBot="1" x14ac:dyDescent="0.35">
      <c r="A4" s="296"/>
      <c r="B4" s="297" t="s">
        <v>55</v>
      </c>
      <c r="C4" s="298"/>
      <c r="D4" s="7"/>
      <c r="E4" s="103" t="s">
        <v>55</v>
      </c>
      <c r="F4" s="84" t="s">
        <v>56</v>
      </c>
      <c r="G4" s="84" t="s">
        <v>50</v>
      </c>
      <c r="H4" s="85" t="s">
        <v>57</v>
      </c>
    </row>
    <row r="5" spans="1:8" ht="14.4" customHeight="1" x14ac:dyDescent="0.3">
      <c r="A5" s="87" t="str">
        <f>HYPERLINK("#'Léky Žádanky'!A1","Léky (Kč)")</f>
        <v>Léky (Kč)</v>
      </c>
      <c r="B5" s="27">
        <v>11.12007</v>
      </c>
      <c r="C5" s="29">
        <v>6.2616700000000005</v>
      </c>
      <c r="D5" s="8"/>
      <c r="E5" s="92">
        <v>0</v>
      </c>
      <c r="F5" s="28">
        <v>7.173929102216249</v>
      </c>
      <c r="G5" s="91">
        <f>E5-F5</f>
        <v>-7.173929102216249</v>
      </c>
      <c r="H5" s="97">
        <f>IF(F5&lt;0.00000001,"",E5/F5)</f>
        <v>0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220.40284999999997</v>
      </c>
      <c r="C6" s="31">
        <v>248.37626000000103</v>
      </c>
      <c r="D6" s="8"/>
      <c r="E6" s="93">
        <v>161.85496999999998</v>
      </c>
      <c r="F6" s="30">
        <v>340.499989275075</v>
      </c>
      <c r="G6" s="94">
        <f>E6-F6</f>
        <v>-178.64501927507501</v>
      </c>
      <c r="H6" s="98">
        <f>IF(F6&lt;0.00000001,"",E6/F6)</f>
        <v>0.47534500763007209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3697.1788299999998</v>
      </c>
      <c r="C7" s="31">
        <v>4076.3224100000098</v>
      </c>
      <c r="D7" s="8"/>
      <c r="E7" s="93">
        <v>4104.4914800000006</v>
      </c>
      <c r="F7" s="30">
        <v>4768.9998497880497</v>
      </c>
      <c r="G7" s="94">
        <f>E7-F7</f>
        <v>-664.50836978804909</v>
      </c>
      <c r="H7" s="98">
        <f>IF(F7&lt;0.00000001,"",E7/F7)</f>
        <v>0.86066085327774078</v>
      </c>
    </row>
    <row r="8" spans="1:8" ht="14.4" customHeight="1" thickBot="1" x14ac:dyDescent="0.35">
      <c r="A8" s="1" t="s">
        <v>58</v>
      </c>
      <c r="B8" s="11">
        <v>239.85394000000034</v>
      </c>
      <c r="C8" s="33">
        <v>600.98673999999914</v>
      </c>
      <c r="D8" s="8"/>
      <c r="E8" s="95">
        <v>597.97953999999879</v>
      </c>
      <c r="F8" s="32">
        <v>598.86229582245903</v>
      </c>
      <c r="G8" s="96">
        <f>E8-F8</f>
        <v>-0.88275582246023987</v>
      </c>
      <c r="H8" s="99">
        <f>IF(F8&lt;0.00000001,"",E8/F8)</f>
        <v>0.99852594523212068</v>
      </c>
    </row>
    <row r="9" spans="1:8" ht="14.4" customHeight="1" thickBot="1" x14ac:dyDescent="0.35">
      <c r="A9" s="2" t="s">
        <v>59</v>
      </c>
      <c r="B9" s="3">
        <v>4168.5556900000001</v>
      </c>
      <c r="C9" s="35">
        <v>4931.9470800000099</v>
      </c>
      <c r="D9" s="8"/>
      <c r="E9" s="3">
        <v>4864.3259899999994</v>
      </c>
      <c r="F9" s="34">
        <v>5715.5360639877999</v>
      </c>
      <c r="G9" s="34">
        <f>E9-F9</f>
        <v>-851.21007398780057</v>
      </c>
      <c r="H9" s="100">
        <f>IF(F9&lt;0.00000001,"",E9/F9)</f>
        <v>0.85107082442343984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4981.268</v>
      </c>
      <c r="C11" s="29">
        <f>IF(ISERROR(VLOOKUP("Celkem:",'ZV Vykáz.-A'!A:F,4,0)),0,VLOOKUP("Celkem:",'ZV Vykáz.-A'!A:F,4,0)/1000)</f>
        <v>3894.433</v>
      </c>
      <c r="D11" s="8"/>
      <c r="E11" s="92">
        <f>IF(ISERROR(VLOOKUP("Celkem:",'ZV Vykáz.-A'!A:F,6,0)),0,VLOOKUP("Celkem:",'ZV Vykáz.-A'!A:F,6,0)/1000)</f>
        <v>4576.5360000000001</v>
      </c>
      <c r="F11" s="28">
        <f>B11</f>
        <v>4981.268</v>
      </c>
      <c r="G11" s="91">
        <f>E11-F11</f>
        <v>-404.73199999999997</v>
      </c>
      <c r="H11" s="97">
        <f>IF(F11&lt;0.00000001,"",E11/F11)</f>
        <v>0.91874920201041177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62</v>
      </c>
      <c r="B13" s="5">
        <f>SUM(B11:B12)</f>
        <v>4981.268</v>
      </c>
      <c r="C13" s="37">
        <f>SUM(C11:C12)</f>
        <v>3894.433</v>
      </c>
      <c r="D13" s="8"/>
      <c r="E13" s="5">
        <f>SUM(E11:E12)</f>
        <v>4576.5360000000001</v>
      </c>
      <c r="F13" s="36">
        <f>SUM(F11:F12)</f>
        <v>4981.268</v>
      </c>
      <c r="G13" s="36">
        <f>E13-F13</f>
        <v>-404.73199999999997</v>
      </c>
      <c r="H13" s="101">
        <f>IF(F13&lt;0.00000001,"",E13/F13)</f>
        <v>0.91874920201041177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1.1949625650797051</v>
      </c>
      <c r="C15" s="39">
        <f>IF(C9=0,"",C13/C9)</f>
        <v>0.78963397960871717</v>
      </c>
      <c r="D15" s="8"/>
      <c r="E15" s="6">
        <f>IF(E9=0,"",E13/E9)</f>
        <v>0.94083661526969342</v>
      </c>
      <c r="F15" s="38">
        <f>IF(F9=0,"",F13/F9)</f>
        <v>0.8715311992143232</v>
      </c>
      <c r="G15" s="38">
        <f>IF(ISERROR(F15-E15),"",E15-F15)</f>
        <v>6.9305416055370217E-2</v>
      </c>
      <c r="H15" s="102">
        <f>IF(ISERROR(F15-E15),"",IF(F15&lt;0.00000001,"",E15/F15))</f>
        <v>1.0795214401020277</v>
      </c>
    </row>
    <row r="17" spans="1:8" ht="14.4" customHeight="1" x14ac:dyDescent="0.3">
      <c r="A17" s="88" t="s">
        <v>124</v>
      </c>
    </row>
    <row r="18" spans="1:8" ht="14.4" customHeight="1" x14ac:dyDescent="0.3">
      <c r="A18" s="256" t="s">
        <v>163</v>
      </c>
      <c r="B18" s="257"/>
      <c r="C18" s="257"/>
      <c r="D18" s="257"/>
      <c r="E18" s="257"/>
      <c r="F18" s="257"/>
      <c r="G18" s="257"/>
      <c r="H18" s="257"/>
    </row>
    <row r="19" spans="1:8" x14ac:dyDescent="0.3">
      <c r="A19" s="255" t="s">
        <v>162</v>
      </c>
      <c r="B19" s="257"/>
      <c r="C19" s="257"/>
      <c r="D19" s="257"/>
      <c r="E19" s="257"/>
      <c r="F19" s="257"/>
      <c r="G19" s="257"/>
      <c r="H19" s="257"/>
    </row>
    <row r="20" spans="1:8" ht="14.4" customHeight="1" x14ac:dyDescent="0.3">
      <c r="A20" s="89" t="s">
        <v>217</v>
      </c>
    </row>
    <row r="21" spans="1:8" ht="14.4" customHeight="1" x14ac:dyDescent="0.3">
      <c r="A21" s="89" t="s">
        <v>125</v>
      </c>
    </row>
    <row r="22" spans="1:8" ht="14.4" customHeight="1" x14ac:dyDescent="0.3">
      <c r="A22" s="90" t="s">
        <v>126</v>
      </c>
    </row>
    <row r="23" spans="1:8" ht="14.4" customHeight="1" x14ac:dyDescent="0.3">
      <c r="A23" s="90" t="s">
        <v>127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87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3" t="s">
        <v>242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2"/>
      <c r="B3" s="173" t="s">
        <v>64</v>
      </c>
      <c r="C3" s="174" t="s">
        <v>65</v>
      </c>
      <c r="D3" s="174" t="s">
        <v>66</v>
      </c>
      <c r="E3" s="173" t="s">
        <v>67</v>
      </c>
      <c r="F3" s="174" t="s">
        <v>68</v>
      </c>
      <c r="G3" s="174" t="s">
        <v>69</v>
      </c>
      <c r="H3" s="174" t="s">
        <v>70</v>
      </c>
      <c r="I3" s="174" t="s">
        <v>71</v>
      </c>
      <c r="J3" s="174" t="s">
        <v>72</v>
      </c>
      <c r="K3" s="174" t="s">
        <v>73</v>
      </c>
      <c r="L3" s="174" t="s">
        <v>74</v>
      </c>
      <c r="M3" s="174" t="s">
        <v>75</v>
      </c>
    </row>
    <row r="4" spans="1:13" ht="14.4" customHeight="1" x14ac:dyDescent="0.3">
      <c r="A4" s="172" t="s">
        <v>63</v>
      </c>
      <c r="B4" s="175">
        <f>(B10+B8)/B6</f>
        <v>1.0492922033921146</v>
      </c>
      <c r="C4" s="175">
        <f t="shared" ref="C4:M4" si="0">(C10+C8)/C6</f>
        <v>1.0501667892321036</v>
      </c>
      <c r="D4" s="175">
        <f t="shared" si="0"/>
        <v>0.94083661526969342</v>
      </c>
      <c r="E4" s="175">
        <f t="shared" si="0"/>
        <v>0.94083661526969342</v>
      </c>
      <c r="F4" s="175">
        <f t="shared" si="0"/>
        <v>0.94083661526969342</v>
      </c>
      <c r="G4" s="175">
        <f t="shared" si="0"/>
        <v>0.94083661526969342</v>
      </c>
      <c r="H4" s="175">
        <f t="shared" si="0"/>
        <v>0.94083661526969342</v>
      </c>
      <c r="I4" s="175">
        <f t="shared" si="0"/>
        <v>0.94083661526969342</v>
      </c>
      <c r="J4" s="175">
        <f t="shared" si="0"/>
        <v>0.94083661526969342</v>
      </c>
      <c r="K4" s="175">
        <f t="shared" si="0"/>
        <v>0.94083661526969342</v>
      </c>
      <c r="L4" s="175">
        <f t="shared" si="0"/>
        <v>0.94083661526969342</v>
      </c>
      <c r="M4" s="175">
        <f t="shared" si="0"/>
        <v>0.94083661526969342</v>
      </c>
    </row>
    <row r="5" spans="1:13" ht="14.4" customHeight="1" x14ac:dyDescent="0.3">
      <c r="A5" s="176" t="s">
        <v>35</v>
      </c>
      <c r="B5" s="175">
        <f>IF(ISERROR(VLOOKUP($A5,'Man Tab'!$A:$Q,COLUMN()+2,0)),0,VLOOKUP($A5,'Man Tab'!$A:$Q,COLUMN()+2,0))</f>
        <v>1638.5130799999999</v>
      </c>
      <c r="C5" s="175">
        <f>IF(ISERROR(VLOOKUP($A5,'Man Tab'!$A:$Q,COLUMN()+2,0)),0,VLOOKUP($A5,'Man Tab'!$A:$Q,COLUMN()+2,0))</f>
        <v>1593.4611500000001</v>
      </c>
      <c r="D5" s="175">
        <f>IF(ISERROR(VLOOKUP($A5,'Man Tab'!$A:$Q,COLUMN()+2,0)),0,VLOOKUP($A5,'Man Tab'!$A:$Q,COLUMN()+2,0))</f>
        <v>1632.35176</v>
      </c>
      <c r="E5" s="175">
        <f>IF(ISERROR(VLOOKUP($A5,'Man Tab'!$A:$Q,COLUMN()+2,0)),0,VLOOKUP($A5,'Man Tab'!$A:$Q,COLUMN()+2,0))</f>
        <v>0</v>
      </c>
      <c r="F5" s="175">
        <f>IF(ISERROR(VLOOKUP($A5,'Man Tab'!$A:$Q,COLUMN()+2,0)),0,VLOOKUP($A5,'Man Tab'!$A:$Q,COLUMN()+2,0))</f>
        <v>0</v>
      </c>
      <c r="G5" s="175">
        <f>IF(ISERROR(VLOOKUP($A5,'Man Tab'!$A:$Q,COLUMN()+2,0)),0,VLOOKUP($A5,'Man Tab'!$A:$Q,COLUMN()+2,0))</f>
        <v>0</v>
      </c>
      <c r="H5" s="175">
        <f>IF(ISERROR(VLOOKUP($A5,'Man Tab'!$A:$Q,COLUMN()+2,0)),0,VLOOKUP($A5,'Man Tab'!$A:$Q,COLUMN()+2,0))</f>
        <v>0</v>
      </c>
      <c r="I5" s="175">
        <f>IF(ISERROR(VLOOKUP($A5,'Man Tab'!$A:$Q,COLUMN()+2,0)),0,VLOOKUP($A5,'Man Tab'!$A:$Q,COLUMN()+2,0))</f>
        <v>0</v>
      </c>
      <c r="J5" s="175">
        <f>IF(ISERROR(VLOOKUP($A5,'Man Tab'!$A:$Q,COLUMN()+2,0)),0,VLOOKUP($A5,'Man Tab'!$A:$Q,COLUMN()+2,0))</f>
        <v>0</v>
      </c>
      <c r="K5" s="175">
        <f>IF(ISERROR(VLOOKUP($A5,'Man Tab'!$A:$Q,COLUMN()+2,0)),0,VLOOKUP($A5,'Man Tab'!$A:$Q,COLUMN()+2,0))</f>
        <v>0</v>
      </c>
      <c r="L5" s="175">
        <f>IF(ISERROR(VLOOKUP($A5,'Man Tab'!$A:$Q,COLUMN()+2,0)),0,VLOOKUP($A5,'Man Tab'!$A:$Q,COLUMN()+2,0))</f>
        <v>0</v>
      </c>
      <c r="M5" s="175">
        <f>IF(ISERROR(VLOOKUP($A5,'Man Tab'!$A:$Q,COLUMN()+2,0)),0,VLOOKUP($A5,'Man Tab'!$A:$Q,COLUMN()+2,0))</f>
        <v>0</v>
      </c>
    </row>
    <row r="6" spans="1:13" ht="14.4" customHeight="1" x14ac:dyDescent="0.3">
      <c r="A6" s="176" t="s">
        <v>59</v>
      </c>
      <c r="B6" s="177">
        <f>B5</f>
        <v>1638.5130799999999</v>
      </c>
      <c r="C6" s="177">
        <f t="shared" ref="C6:M6" si="1">C5+B6</f>
        <v>3231.9742299999998</v>
      </c>
      <c r="D6" s="177">
        <f t="shared" si="1"/>
        <v>4864.3259899999994</v>
      </c>
      <c r="E6" s="177">
        <f t="shared" si="1"/>
        <v>4864.3259899999994</v>
      </c>
      <c r="F6" s="177">
        <f t="shared" si="1"/>
        <v>4864.3259899999994</v>
      </c>
      <c r="G6" s="177">
        <f t="shared" si="1"/>
        <v>4864.3259899999994</v>
      </c>
      <c r="H6" s="177">
        <f t="shared" si="1"/>
        <v>4864.3259899999994</v>
      </c>
      <c r="I6" s="177">
        <f t="shared" si="1"/>
        <v>4864.3259899999994</v>
      </c>
      <c r="J6" s="177">
        <f t="shared" si="1"/>
        <v>4864.3259899999994</v>
      </c>
      <c r="K6" s="177">
        <f t="shared" si="1"/>
        <v>4864.3259899999994</v>
      </c>
      <c r="L6" s="177">
        <f t="shared" si="1"/>
        <v>4864.3259899999994</v>
      </c>
      <c r="M6" s="177">
        <f t="shared" si="1"/>
        <v>4864.3259899999994</v>
      </c>
    </row>
    <row r="7" spans="1:13" ht="14.4" customHeight="1" x14ac:dyDescent="0.3">
      <c r="A7" s="176" t="s">
        <v>85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ht="14.4" customHeight="1" x14ac:dyDescent="0.3">
      <c r="A8" s="176" t="s">
        <v>60</v>
      </c>
      <c r="B8" s="177">
        <f>B7*30</f>
        <v>0</v>
      </c>
      <c r="C8" s="177">
        <f t="shared" ref="C8:M8" si="2">C7*30</f>
        <v>0</v>
      </c>
      <c r="D8" s="177">
        <f t="shared" si="2"/>
        <v>0</v>
      </c>
      <c r="E8" s="177">
        <f t="shared" si="2"/>
        <v>0</v>
      </c>
      <c r="F8" s="177">
        <f t="shared" si="2"/>
        <v>0</v>
      </c>
      <c r="G8" s="177">
        <f t="shared" si="2"/>
        <v>0</v>
      </c>
      <c r="H8" s="177">
        <f t="shared" si="2"/>
        <v>0</v>
      </c>
      <c r="I8" s="177">
        <f t="shared" si="2"/>
        <v>0</v>
      </c>
      <c r="J8" s="177">
        <f t="shared" si="2"/>
        <v>0</v>
      </c>
      <c r="K8" s="177">
        <f t="shared" si="2"/>
        <v>0</v>
      </c>
      <c r="L8" s="177">
        <f t="shared" si="2"/>
        <v>0</v>
      </c>
      <c r="M8" s="177">
        <f t="shared" si="2"/>
        <v>0</v>
      </c>
    </row>
    <row r="9" spans="1:13" ht="14.4" customHeight="1" x14ac:dyDescent="0.3">
      <c r="A9" s="176" t="s">
        <v>86</v>
      </c>
      <c r="B9" s="176">
        <v>1719279</v>
      </c>
      <c r="C9" s="176">
        <v>1674833</v>
      </c>
      <c r="D9" s="176">
        <v>1182424</v>
      </c>
      <c r="E9" s="176">
        <v>0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</row>
    <row r="10" spans="1:13" ht="14.4" customHeight="1" x14ac:dyDescent="0.3">
      <c r="A10" s="176" t="s">
        <v>61</v>
      </c>
      <c r="B10" s="177">
        <f>B9/1000</f>
        <v>1719.279</v>
      </c>
      <c r="C10" s="177">
        <f t="shared" ref="C10:M10" si="3">C9/1000+B10</f>
        <v>3394.1120000000001</v>
      </c>
      <c r="D10" s="177">
        <f t="shared" si="3"/>
        <v>4576.5360000000001</v>
      </c>
      <c r="E10" s="177">
        <f t="shared" si="3"/>
        <v>4576.5360000000001</v>
      </c>
      <c r="F10" s="177">
        <f t="shared" si="3"/>
        <v>4576.5360000000001</v>
      </c>
      <c r="G10" s="177">
        <f t="shared" si="3"/>
        <v>4576.5360000000001</v>
      </c>
      <c r="H10" s="177">
        <f t="shared" si="3"/>
        <v>4576.5360000000001</v>
      </c>
      <c r="I10" s="177">
        <f t="shared" si="3"/>
        <v>4576.5360000000001</v>
      </c>
      <c r="J10" s="177">
        <f t="shared" si="3"/>
        <v>4576.5360000000001</v>
      </c>
      <c r="K10" s="177">
        <f t="shared" si="3"/>
        <v>4576.5360000000001</v>
      </c>
      <c r="L10" s="177">
        <f t="shared" si="3"/>
        <v>4576.5360000000001</v>
      </c>
      <c r="M10" s="177">
        <f t="shared" si="3"/>
        <v>4576.5360000000001</v>
      </c>
    </row>
    <row r="11" spans="1:13" ht="14.4" customHeight="1" x14ac:dyDescent="0.3">
      <c r="A11" s="172"/>
      <c r="B11" s="172" t="s">
        <v>76</v>
      </c>
      <c r="C11" s="172">
        <f ca="1">IF(MONTH(TODAY())=1,12,MONTH(TODAY())-1)</f>
        <v>3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4.4" customHeight="1" x14ac:dyDescent="0.3">
      <c r="A12" s="172">
        <v>0</v>
      </c>
      <c r="B12" s="175">
        <f>IF(ISERROR(HI!F15),#REF!,HI!F15)</f>
        <v>0.8715311992143232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4.4" customHeight="1" x14ac:dyDescent="0.3">
      <c r="A13" s="172">
        <v>1</v>
      </c>
      <c r="B13" s="175">
        <f>IF(ISERROR(HI!F15),#REF!,HI!F15)</f>
        <v>0.8715311992143232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8" customFormat="1" ht="18.600000000000001" customHeight="1" thickBot="1" x14ac:dyDescent="0.4">
      <c r="A1" s="302" t="s">
        <v>244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8" customFormat="1" ht="14.4" customHeight="1" thickBot="1" x14ac:dyDescent="0.3">
      <c r="A2" s="203" t="s">
        <v>242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4.4" customHeight="1" x14ac:dyDescent="0.3">
      <c r="A3" s="60"/>
      <c r="B3" s="303" t="s">
        <v>11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2015</v>
      </c>
      <c r="C4" s="114" t="s">
        <v>12</v>
      </c>
      <c r="D4" s="104" t="s">
        <v>220</v>
      </c>
      <c r="E4" s="104" t="s">
        <v>221</v>
      </c>
      <c r="F4" s="104" t="s">
        <v>222</v>
      </c>
      <c r="G4" s="104" t="s">
        <v>223</v>
      </c>
      <c r="H4" s="104" t="s">
        <v>224</v>
      </c>
      <c r="I4" s="104" t="s">
        <v>225</v>
      </c>
      <c r="J4" s="104" t="s">
        <v>226</v>
      </c>
      <c r="K4" s="104" t="s">
        <v>227</v>
      </c>
      <c r="L4" s="104" t="s">
        <v>228</v>
      </c>
      <c r="M4" s="104" t="s">
        <v>229</v>
      </c>
      <c r="N4" s="104" t="s">
        <v>230</v>
      </c>
      <c r="O4" s="104" t="s">
        <v>231</v>
      </c>
      <c r="P4" s="305" t="s">
        <v>3</v>
      </c>
      <c r="Q4" s="306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243</v>
      </c>
    </row>
    <row r="7" spans="1:17" ht="14.4" customHeight="1" x14ac:dyDescent="0.3">
      <c r="A7" s="15" t="s">
        <v>17</v>
      </c>
      <c r="B7" s="46">
        <v>28.695716408865</v>
      </c>
      <c r="C7" s="47">
        <v>2.3913097007380002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>
        <v>0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243</v>
      </c>
    </row>
    <row r="9" spans="1:17" ht="14.4" customHeight="1" x14ac:dyDescent="0.3">
      <c r="A9" s="15" t="s">
        <v>19</v>
      </c>
      <c r="B9" s="46">
        <v>1361.9999571003</v>
      </c>
      <c r="C9" s="47">
        <v>113.499996425025</v>
      </c>
      <c r="D9" s="47">
        <v>42.446179999999998</v>
      </c>
      <c r="E9" s="47">
        <v>66.134749999999997</v>
      </c>
      <c r="F9" s="47">
        <v>53.274039999999999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161.85497000000001</v>
      </c>
      <c r="Q9" s="71">
        <v>0.47534500762999998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243</v>
      </c>
    </row>
    <row r="11" spans="1:17" ht="14.4" customHeight="1" x14ac:dyDescent="0.3">
      <c r="A11" s="15" t="s">
        <v>21</v>
      </c>
      <c r="B11" s="46">
        <v>164.35015257124499</v>
      </c>
      <c r="C11" s="47">
        <v>13.695846047603</v>
      </c>
      <c r="D11" s="47">
        <v>9.1267399999999999</v>
      </c>
      <c r="E11" s="47">
        <v>14.944369999999999</v>
      </c>
      <c r="F11" s="47">
        <v>18.621690000000001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42.692799999999998</v>
      </c>
      <c r="Q11" s="71">
        <v>1.0390693122470001</v>
      </c>
    </row>
    <row r="12" spans="1:17" ht="14.4" customHeight="1" x14ac:dyDescent="0.3">
      <c r="A12" s="15" t="s">
        <v>22</v>
      </c>
      <c r="B12" s="46">
        <v>47.826104368656999</v>
      </c>
      <c r="C12" s="47">
        <v>3.9855086973880001</v>
      </c>
      <c r="D12" s="47">
        <v>0</v>
      </c>
      <c r="E12" s="47">
        <v>0</v>
      </c>
      <c r="F12" s="47">
        <v>0.501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0.501</v>
      </c>
      <c r="Q12" s="71">
        <v>4.1901802926000001E-2</v>
      </c>
    </row>
    <row r="13" spans="1:17" ht="14.4" customHeight="1" x14ac:dyDescent="0.3">
      <c r="A13" s="15" t="s">
        <v>23</v>
      </c>
      <c r="B13" s="46">
        <v>29.999999055071999</v>
      </c>
      <c r="C13" s="47">
        <v>2.4999999212559998</v>
      </c>
      <c r="D13" s="47">
        <v>1.79796</v>
      </c>
      <c r="E13" s="47">
        <v>2.0101</v>
      </c>
      <c r="F13" s="47">
        <v>4.0704399999999996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7.8784999999999998</v>
      </c>
      <c r="Q13" s="71">
        <v>1.0504666997530001</v>
      </c>
    </row>
    <row r="14" spans="1:17" ht="14.4" customHeight="1" x14ac:dyDescent="0.3">
      <c r="A14" s="15" t="s">
        <v>24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243</v>
      </c>
    </row>
    <row r="15" spans="1:17" ht="14.4" customHeight="1" x14ac:dyDescent="0.3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243</v>
      </c>
    </row>
    <row r="16" spans="1:17" ht="14.4" customHeight="1" x14ac:dyDescent="0.3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243</v>
      </c>
    </row>
    <row r="17" spans="1:17" ht="14.4" customHeight="1" x14ac:dyDescent="0.3">
      <c r="A17" s="15" t="s">
        <v>27</v>
      </c>
      <c r="B17" s="46">
        <v>16.72504391647</v>
      </c>
      <c r="C17" s="47">
        <v>1.393753659705</v>
      </c>
      <c r="D17" s="47">
        <v>4.7786499999999998</v>
      </c>
      <c r="E17" s="47">
        <v>1.722</v>
      </c>
      <c r="F17" s="47">
        <v>3.5215000000000001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10.02215</v>
      </c>
      <c r="Q17" s="71">
        <v>2.3969204625230001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0.51700000000000002</v>
      </c>
      <c r="E18" s="47">
        <v>1.59</v>
      </c>
      <c r="F18" s="47">
        <v>5.7930000000000001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7.9</v>
      </c>
      <c r="Q18" s="71" t="s">
        <v>243</v>
      </c>
    </row>
    <row r="19" spans="1:17" ht="14.4" customHeight="1" x14ac:dyDescent="0.3">
      <c r="A19" s="15" t="s">
        <v>29</v>
      </c>
      <c r="B19" s="46">
        <v>448.54793654629202</v>
      </c>
      <c r="C19" s="47">
        <v>37.378994712191002</v>
      </c>
      <c r="D19" s="47">
        <v>29.98977</v>
      </c>
      <c r="E19" s="47">
        <v>9.7065999999999999</v>
      </c>
      <c r="F19" s="47">
        <v>46.646909999999998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86.343279999999993</v>
      </c>
      <c r="Q19" s="71">
        <v>0.76998040088899999</v>
      </c>
    </row>
    <row r="20" spans="1:17" ht="14.4" customHeight="1" x14ac:dyDescent="0.3">
      <c r="A20" s="15" t="s">
        <v>30</v>
      </c>
      <c r="B20" s="46">
        <v>19075.999399152199</v>
      </c>
      <c r="C20" s="47">
        <v>1589.66661659602</v>
      </c>
      <c r="D20" s="47">
        <v>1401.27739</v>
      </c>
      <c r="E20" s="47">
        <v>1350.79306</v>
      </c>
      <c r="F20" s="47">
        <v>1352.42103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4104.4914799999997</v>
      </c>
      <c r="Q20" s="71">
        <v>0.86066085327700004</v>
      </c>
    </row>
    <row r="21" spans="1:17" ht="14.4" customHeight="1" x14ac:dyDescent="0.3">
      <c r="A21" s="16" t="s">
        <v>31</v>
      </c>
      <c r="B21" s="46">
        <v>1687.99994683206</v>
      </c>
      <c r="C21" s="47">
        <v>140.66666223600501</v>
      </c>
      <c r="D21" s="47">
        <v>140.679</v>
      </c>
      <c r="E21" s="47">
        <v>140.679</v>
      </c>
      <c r="F21" s="47">
        <v>140.679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422.03699999999998</v>
      </c>
      <c r="Q21" s="71">
        <v>1.000087709225</v>
      </c>
    </row>
    <row r="22" spans="1:17" ht="14.4" customHeight="1" x14ac:dyDescent="0.3">
      <c r="A22" s="15" t="s">
        <v>32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243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243</v>
      </c>
    </row>
    <row r="24" spans="1:17" ht="14.4" customHeight="1" x14ac:dyDescent="0.3">
      <c r="A24" s="16" t="s">
        <v>34</v>
      </c>
      <c r="B24" s="46">
        <v>-3.6379788070917101E-12</v>
      </c>
      <c r="C24" s="47">
        <v>-2.2737367544323201E-13</v>
      </c>
      <c r="D24" s="47">
        <v>7.9003899999999998</v>
      </c>
      <c r="E24" s="47">
        <v>5.8812699999999998</v>
      </c>
      <c r="F24" s="47">
        <v>6.82315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20.604810000000999</v>
      </c>
      <c r="Q24" s="71"/>
    </row>
    <row r="25" spans="1:17" ht="14.4" customHeight="1" x14ac:dyDescent="0.3">
      <c r="A25" s="17" t="s">
        <v>35</v>
      </c>
      <c r="B25" s="49">
        <v>22862.1442559512</v>
      </c>
      <c r="C25" s="50">
        <v>1905.17868799593</v>
      </c>
      <c r="D25" s="50">
        <v>1638.5130799999999</v>
      </c>
      <c r="E25" s="50">
        <v>1593.4611500000001</v>
      </c>
      <c r="F25" s="50">
        <v>1632.35176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4864.3259900000003</v>
      </c>
      <c r="Q25" s="72">
        <v>0.85107082442299997</v>
      </c>
    </row>
    <row r="26" spans="1:17" ht="14.4" customHeight="1" x14ac:dyDescent="0.3">
      <c r="A26" s="15" t="s">
        <v>36</v>
      </c>
      <c r="B26" s="46">
        <v>0</v>
      </c>
      <c r="C26" s="47">
        <v>0</v>
      </c>
      <c r="D26" s="47">
        <v>200.07755</v>
      </c>
      <c r="E26" s="47">
        <v>204.66768999999999</v>
      </c>
      <c r="F26" s="47">
        <v>222.64582999999999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627.39107000000001</v>
      </c>
      <c r="Q26" s="71" t="s">
        <v>243</v>
      </c>
    </row>
    <row r="27" spans="1:17" ht="14.4" customHeight="1" x14ac:dyDescent="0.3">
      <c r="A27" s="18" t="s">
        <v>37</v>
      </c>
      <c r="B27" s="49">
        <v>22862.1442559512</v>
      </c>
      <c r="C27" s="50">
        <v>1905.17868799593</v>
      </c>
      <c r="D27" s="50">
        <v>1838.5906299999999</v>
      </c>
      <c r="E27" s="50">
        <v>1798.1288400000001</v>
      </c>
      <c r="F27" s="50">
        <v>1854.9975899999999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5491.7170599999999</v>
      </c>
      <c r="Q27" s="72">
        <v>0.96084024289500003</v>
      </c>
    </row>
    <row r="28" spans="1:17" ht="14.4" customHeight="1" x14ac:dyDescent="0.3">
      <c r="A28" s="16" t="s">
        <v>38</v>
      </c>
      <c r="B28" s="46">
        <v>880.93786163617995</v>
      </c>
      <c r="C28" s="47">
        <v>73.411488469681004</v>
      </c>
      <c r="D28" s="47">
        <v>79.867410000000007</v>
      </c>
      <c r="E28" s="47">
        <v>67.310019999999994</v>
      </c>
      <c r="F28" s="47">
        <v>78.246139999999997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225.42357000000001</v>
      </c>
      <c r="Q28" s="71">
        <v>1.0235617280939999</v>
      </c>
    </row>
    <row r="29" spans="1:17" ht="14.4" customHeight="1" x14ac:dyDescent="0.3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243</v>
      </c>
    </row>
    <row r="30" spans="1:17" ht="14.4" customHeight="1" x14ac:dyDescent="0.3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243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124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240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43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3" t="s">
        <v>242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44</v>
      </c>
      <c r="C3" s="304"/>
      <c r="D3" s="304"/>
      <c r="E3" s="304"/>
      <c r="F3" s="310" t="s">
        <v>45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236</v>
      </c>
      <c r="G4" s="314" t="s">
        <v>46</v>
      </c>
      <c r="H4" s="116" t="s">
        <v>114</v>
      </c>
      <c r="I4" s="312" t="s">
        <v>47</v>
      </c>
      <c r="J4" s="314" t="s">
        <v>238</v>
      </c>
      <c r="K4" s="315" t="s">
        <v>239</v>
      </c>
    </row>
    <row r="5" spans="1:11" ht="42" thickBot="1" x14ac:dyDescent="0.35">
      <c r="A5" s="62"/>
      <c r="B5" s="24" t="s">
        <v>232</v>
      </c>
      <c r="C5" s="25" t="s">
        <v>233</v>
      </c>
      <c r="D5" s="26" t="s">
        <v>234</v>
      </c>
      <c r="E5" s="26" t="s">
        <v>235</v>
      </c>
      <c r="F5" s="313"/>
      <c r="G5" s="313"/>
      <c r="H5" s="25" t="s">
        <v>237</v>
      </c>
      <c r="I5" s="313"/>
      <c r="J5" s="313"/>
      <c r="K5" s="316"/>
    </row>
    <row r="6" spans="1:11" ht="14.4" customHeight="1" thickBot="1" x14ac:dyDescent="0.35">
      <c r="A6" s="376" t="s">
        <v>245</v>
      </c>
      <c r="B6" s="358">
        <v>21039.490011993101</v>
      </c>
      <c r="C6" s="358">
        <v>20714.260040000001</v>
      </c>
      <c r="D6" s="359">
        <v>-325.22997199312903</v>
      </c>
      <c r="E6" s="360">
        <v>0.98454192702300003</v>
      </c>
      <c r="F6" s="358">
        <v>22862.1442559512</v>
      </c>
      <c r="G6" s="359">
        <v>5715.5360639877999</v>
      </c>
      <c r="H6" s="361">
        <v>1632.35176</v>
      </c>
      <c r="I6" s="358">
        <v>4864.3259900000003</v>
      </c>
      <c r="J6" s="359">
        <v>-851.21007398779398</v>
      </c>
      <c r="K6" s="362">
        <v>0.21276770610500001</v>
      </c>
    </row>
    <row r="7" spans="1:11" ht="14.4" customHeight="1" thickBot="1" x14ac:dyDescent="0.35">
      <c r="A7" s="377" t="s">
        <v>246</v>
      </c>
      <c r="B7" s="358">
        <v>1454.9377172125201</v>
      </c>
      <c r="C7" s="358">
        <v>1390.81574</v>
      </c>
      <c r="D7" s="359">
        <v>-64.121977212523007</v>
      </c>
      <c r="E7" s="360">
        <v>0.955928026022</v>
      </c>
      <c r="F7" s="358">
        <v>1632.8719295041401</v>
      </c>
      <c r="G7" s="359">
        <v>408.21798237603502</v>
      </c>
      <c r="H7" s="361">
        <v>76.467169999999996</v>
      </c>
      <c r="I7" s="358">
        <v>212.92766</v>
      </c>
      <c r="J7" s="359">
        <v>-195.29032237603499</v>
      </c>
      <c r="K7" s="362">
        <v>0.130400710645</v>
      </c>
    </row>
    <row r="8" spans="1:11" ht="14.4" customHeight="1" thickBot="1" x14ac:dyDescent="0.35">
      <c r="A8" s="378" t="s">
        <v>247</v>
      </c>
      <c r="B8" s="358">
        <v>1454.9377172125201</v>
      </c>
      <c r="C8" s="358">
        <v>1390.81574</v>
      </c>
      <c r="D8" s="359">
        <v>-64.121977212523007</v>
      </c>
      <c r="E8" s="360">
        <v>0.955928026022</v>
      </c>
      <c r="F8" s="358">
        <v>1632.8719295041401</v>
      </c>
      <c r="G8" s="359">
        <v>408.21798237603502</v>
      </c>
      <c r="H8" s="361">
        <v>76.467169999999996</v>
      </c>
      <c r="I8" s="358">
        <v>212.92766</v>
      </c>
      <c r="J8" s="359">
        <v>-195.29032237603499</v>
      </c>
      <c r="K8" s="362">
        <v>0.130400710645</v>
      </c>
    </row>
    <row r="9" spans="1:11" ht="14.4" customHeight="1" thickBot="1" x14ac:dyDescent="0.35">
      <c r="A9" s="379" t="s">
        <v>248</v>
      </c>
      <c r="B9" s="363">
        <v>0</v>
      </c>
      <c r="C9" s="363">
        <v>8.5999999999999998E-4</v>
      </c>
      <c r="D9" s="364">
        <v>8.5999999999999998E-4</v>
      </c>
      <c r="E9" s="365" t="s">
        <v>243</v>
      </c>
      <c r="F9" s="363">
        <v>0</v>
      </c>
      <c r="G9" s="364">
        <v>0</v>
      </c>
      <c r="H9" s="366">
        <v>0</v>
      </c>
      <c r="I9" s="363">
        <v>3.8999999999999999E-4</v>
      </c>
      <c r="J9" s="364">
        <v>3.8999999999999999E-4</v>
      </c>
      <c r="K9" s="367" t="s">
        <v>243</v>
      </c>
    </row>
    <row r="10" spans="1:11" ht="14.4" customHeight="1" thickBot="1" x14ac:dyDescent="0.35">
      <c r="A10" s="380" t="s">
        <v>249</v>
      </c>
      <c r="B10" s="358">
        <v>0</v>
      </c>
      <c r="C10" s="358">
        <v>8.5999999999999998E-4</v>
      </c>
      <c r="D10" s="359">
        <v>8.5999999999999998E-4</v>
      </c>
      <c r="E10" s="368" t="s">
        <v>243</v>
      </c>
      <c r="F10" s="358">
        <v>0</v>
      </c>
      <c r="G10" s="359">
        <v>0</v>
      </c>
      <c r="H10" s="361">
        <v>0</v>
      </c>
      <c r="I10" s="358">
        <v>3.8999999999999999E-4</v>
      </c>
      <c r="J10" s="359">
        <v>3.8999999999999999E-4</v>
      </c>
      <c r="K10" s="369" t="s">
        <v>243</v>
      </c>
    </row>
    <row r="11" spans="1:11" ht="14.4" customHeight="1" thickBot="1" x14ac:dyDescent="0.35">
      <c r="A11" s="379" t="s">
        <v>250</v>
      </c>
      <c r="B11" s="363">
        <v>40.857189455970001</v>
      </c>
      <c r="C11" s="363">
        <v>13.706060000000001</v>
      </c>
      <c r="D11" s="364">
        <v>-27.15112945597</v>
      </c>
      <c r="E11" s="370">
        <v>0.33546262438699997</v>
      </c>
      <c r="F11" s="363">
        <v>28.695716408865</v>
      </c>
      <c r="G11" s="364">
        <v>7.1739291022160003</v>
      </c>
      <c r="H11" s="366">
        <v>0</v>
      </c>
      <c r="I11" s="363">
        <v>0</v>
      </c>
      <c r="J11" s="364">
        <v>-7.1739291022160003</v>
      </c>
      <c r="K11" s="371">
        <v>0</v>
      </c>
    </row>
    <row r="12" spans="1:11" ht="14.4" customHeight="1" thickBot="1" x14ac:dyDescent="0.35">
      <c r="A12" s="380" t="s">
        <v>251</v>
      </c>
      <c r="B12" s="358">
        <v>39.970374267769998</v>
      </c>
      <c r="C12" s="358">
        <v>13.706060000000001</v>
      </c>
      <c r="D12" s="359">
        <v>-26.264314267770001</v>
      </c>
      <c r="E12" s="360">
        <v>0.34290547064100002</v>
      </c>
      <c r="F12" s="358">
        <v>28.695716408865</v>
      </c>
      <c r="G12" s="359">
        <v>7.1739291022160003</v>
      </c>
      <c r="H12" s="361">
        <v>0</v>
      </c>
      <c r="I12" s="358">
        <v>0</v>
      </c>
      <c r="J12" s="359">
        <v>-7.1739291022160003</v>
      </c>
      <c r="K12" s="362">
        <v>0</v>
      </c>
    </row>
    <row r="13" spans="1:11" ht="14.4" customHeight="1" thickBot="1" x14ac:dyDescent="0.35">
      <c r="A13" s="380" t="s">
        <v>252</v>
      </c>
      <c r="B13" s="358">
        <v>7.2976624550999999E-2</v>
      </c>
      <c r="C13" s="358">
        <v>0</v>
      </c>
      <c r="D13" s="359">
        <v>-7.2976624550999999E-2</v>
      </c>
      <c r="E13" s="360">
        <v>0</v>
      </c>
      <c r="F13" s="358">
        <v>0</v>
      </c>
      <c r="G13" s="359">
        <v>0</v>
      </c>
      <c r="H13" s="361">
        <v>0</v>
      </c>
      <c r="I13" s="358">
        <v>0</v>
      </c>
      <c r="J13" s="359">
        <v>0</v>
      </c>
      <c r="K13" s="362">
        <v>3</v>
      </c>
    </row>
    <row r="14" spans="1:11" ht="14.4" customHeight="1" thickBot="1" x14ac:dyDescent="0.35">
      <c r="A14" s="380" t="s">
        <v>253</v>
      </c>
      <c r="B14" s="358">
        <v>0.39477555006699999</v>
      </c>
      <c r="C14" s="358">
        <v>0</v>
      </c>
      <c r="D14" s="359">
        <v>-0.39477555006699999</v>
      </c>
      <c r="E14" s="360">
        <v>0</v>
      </c>
      <c r="F14" s="358">
        <v>0</v>
      </c>
      <c r="G14" s="359">
        <v>0</v>
      </c>
      <c r="H14" s="361">
        <v>0</v>
      </c>
      <c r="I14" s="358">
        <v>0</v>
      </c>
      <c r="J14" s="359">
        <v>0</v>
      </c>
      <c r="K14" s="362">
        <v>3</v>
      </c>
    </row>
    <row r="15" spans="1:11" ht="14.4" customHeight="1" thickBot="1" x14ac:dyDescent="0.35">
      <c r="A15" s="380" t="s">
        <v>254</v>
      </c>
      <c r="B15" s="358">
        <v>0.41906301357999998</v>
      </c>
      <c r="C15" s="358">
        <v>0</v>
      </c>
      <c r="D15" s="359">
        <v>-0.41906301357999998</v>
      </c>
      <c r="E15" s="360">
        <v>0</v>
      </c>
      <c r="F15" s="358">
        <v>0</v>
      </c>
      <c r="G15" s="359">
        <v>0</v>
      </c>
      <c r="H15" s="361">
        <v>0</v>
      </c>
      <c r="I15" s="358">
        <v>0</v>
      </c>
      <c r="J15" s="359">
        <v>0</v>
      </c>
      <c r="K15" s="362">
        <v>3</v>
      </c>
    </row>
    <row r="16" spans="1:11" ht="14.4" customHeight="1" thickBot="1" x14ac:dyDescent="0.35">
      <c r="A16" s="379" t="s">
        <v>255</v>
      </c>
      <c r="B16" s="363">
        <v>1190.4647263627801</v>
      </c>
      <c r="C16" s="363">
        <v>1157.5146500000001</v>
      </c>
      <c r="D16" s="364">
        <v>-32.950076362777999</v>
      </c>
      <c r="E16" s="370">
        <v>0.97232166931599995</v>
      </c>
      <c r="F16" s="363">
        <v>1361.9999571003</v>
      </c>
      <c r="G16" s="364">
        <v>340.499989275075</v>
      </c>
      <c r="H16" s="366">
        <v>53.274039999999999</v>
      </c>
      <c r="I16" s="363">
        <v>161.85497000000001</v>
      </c>
      <c r="J16" s="364">
        <v>-178.64501927507499</v>
      </c>
      <c r="K16" s="371">
        <v>0.11883625190700001</v>
      </c>
    </row>
    <row r="17" spans="1:11" ht="14.4" customHeight="1" thickBot="1" x14ac:dyDescent="0.35">
      <c r="A17" s="380" t="s">
        <v>256</v>
      </c>
      <c r="B17" s="358">
        <v>956.77569307812905</v>
      </c>
      <c r="C17" s="358">
        <v>859.67827</v>
      </c>
      <c r="D17" s="359">
        <v>-97.097423078128003</v>
      </c>
      <c r="E17" s="360">
        <v>0.89851600141900001</v>
      </c>
      <c r="F17" s="358">
        <v>1024.9999677149799</v>
      </c>
      <c r="G17" s="359">
        <v>256.249991928746</v>
      </c>
      <c r="H17" s="361">
        <v>10.649010000000001</v>
      </c>
      <c r="I17" s="358">
        <v>84.44426</v>
      </c>
      <c r="J17" s="359">
        <v>-171.80573192874601</v>
      </c>
      <c r="K17" s="362">
        <v>8.2384646497000003E-2</v>
      </c>
    </row>
    <row r="18" spans="1:11" ht="14.4" customHeight="1" thickBot="1" x14ac:dyDescent="0.35">
      <c r="A18" s="380" t="s">
        <v>257</v>
      </c>
      <c r="B18" s="358">
        <v>34.001896546666998</v>
      </c>
      <c r="C18" s="358">
        <v>49.971359999999997</v>
      </c>
      <c r="D18" s="359">
        <v>15.969463453332001</v>
      </c>
      <c r="E18" s="360">
        <v>1.469663903347</v>
      </c>
      <c r="F18" s="358">
        <v>61.999998047150001</v>
      </c>
      <c r="G18" s="359">
        <v>15.499999511786999</v>
      </c>
      <c r="H18" s="361">
        <v>26.983000000000001</v>
      </c>
      <c r="I18" s="358">
        <v>32.438279999999999</v>
      </c>
      <c r="J18" s="359">
        <v>16.938280488212001</v>
      </c>
      <c r="K18" s="362">
        <v>0.52319808099499998</v>
      </c>
    </row>
    <row r="19" spans="1:11" ht="14.4" customHeight="1" thickBot="1" x14ac:dyDescent="0.35">
      <c r="A19" s="380" t="s">
        <v>258</v>
      </c>
      <c r="B19" s="358">
        <v>32.079515455878997</v>
      </c>
      <c r="C19" s="358">
        <v>36.336419999999997</v>
      </c>
      <c r="D19" s="359">
        <v>4.2569045441200002</v>
      </c>
      <c r="E19" s="360">
        <v>1.1326985300000001</v>
      </c>
      <c r="F19" s="358">
        <v>32.999998960580001</v>
      </c>
      <c r="G19" s="359">
        <v>8.2499997401440002</v>
      </c>
      <c r="H19" s="361">
        <v>2.0823999999999998</v>
      </c>
      <c r="I19" s="358">
        <v>5.9869000000000003</v>
      </c>
      <c r="J19" s="359">
        <v>-2.2630997401439998</v>
      </c>
      <c r="K19" s="362">
        <v>0.18142121783500001</v>
      </c>
    </row>
    <row r="20" spans="1:11" ht="14.4" customHeight="1" thickBot="1" x14ac:dyDescent="0.35">
      <c r="A20" s="380" t="s">
        <v>259</v>
      </c>
      <c r="B20" s="358">
        <v>125.807608756116</v>
      </c>
      <c r="C20" s="358">
        <v>165.39393999999999</v>
      </c>
      <c r="D20" s="359">
        <v>39.586331243883002</v>
      </c>
      <c r="E20" s="360">
        <v>1.314657687522</v>
      </c>
      <c r="F20" s="358">
        <v>199.99999370048499</v>
      </c>
      <c r="G20" s="359">
        <v>49.999998425120999</v>
      </c>
      <c r="H20" s="361">
        <v>9.3216300000000007</v>
      </c>
      <c r="I20" s="358">
        <v>28.663530000000002</v>
      </c>
      <c r="J20" s="359">
        <v>-21.336468425121002</v>
      </c>
      <c r="K20" s="362">
        <v>0.143317654514</v>
      </c>
    </row>
    <row r="21" spans="1:11" ht="14.4" customHeight="1" thickBot="1" x14ac:dyDescent="0.35">
      <c r="A21" s="380" t="s">
        <v>260</v>
      </c>
      <c r="B21" s="358">
        <v>6.1548945922999997E-2</v>
      </c>
      <c r="C21" s="358">
        <v>0.64800000000000002</v>
      </c>
      <c r="D21" s="359">
        <v>0.58645105407599996</v>
      </c>
      <c r="E21" s="360">
        <v>10.528206296232</v>
      </c>
      <c r="F21" s="358">
        <v>0</v>
      </c>
      <c r="G21" s="359">
        <v>0</v>
      </c>
      <c r="H21" s="361">
        <v>0</v>
      </c>
      <c r="I21" s="358">
        <v>0</v>
      </c>
      <c r="J21" s="359">
        <v>0</v>
      </c>
      <c r="K21" s="369" t="s">
        <v>243</v>
      </c>
    </row>
    <row r="22" spans="1:11" ht="14.4" customHeight="1" thickBot="1" x14ac:dyDescent="0.35">
      <c r="A22" s="380" t="s">
        <v>261</v>
      </c>
      <c r="B22" s="358">
        <v>41.738463580062003</v>
      </c>
      <c r="C22" s="358">
        <v>45.486660000000001</v>
      </c>
      <c r="D22" s="359">
        <v>3.7481964199369999</v>
      </c>
      <c r="E22" s="360">
        <v>1.0898019739689999</v>
      </c>
      <c r="F22" s="358">
        <v>41.999998677100997</v>
      </c>
      <c r="G22" s="359">
        <v>10.499999669275001</v>
      </c>
      <c r="H22" s="361">
        <v>4.2380000000000004</v>
      </c>
      <c r="I22" s="358">
        <v>10.321999999999999</v>
      </c>
      <c r="J22" s="359">
        <v>-0.17799966927499999</v>
      </c>
      <c r="K22" s="362">
        <v>0.245761912502</v>
      </c>
    </row>
    <row r="23" spans="1:11" ht="14.4" customHeight="1" thickBot="1" x14ac:dyDescent="0.35">
      <c r="A23" s="379" t="s">
        <v>262</v>
      </c>
      <c r="B23" s="363">
        <v>0</v>
      </c>
      <c r="C23" s="363">
        <v>0.68396999999999997</v>
      </c>
      <c r="D23" s="364">
        <v>0.68396999999999997</v>
      </c>
      <c r="E23" s="365" t="s">
        <v>243</v>
      </c>
      <c r="F23" s="363">
        <v>0</v>
      </c>
      <c r="G23" s="364">
        <v>0</v>
      </c>
      <c r="H23" s="366">
        <v>0</v>
      </c>
      <c r="I23" s="363">
        <v>0</v>
      </c>
      <c r="J23" s="364">
        <v>0</v>
      </c>
      <c r="K23" s="367" t="s">
        <v>243</v>
      </c>
    </row>
    <row r="24" spans="1:11" ht="14.4" customHeight="1" thickBot="1" x14ac:dyDescent="0.35">
      <c r="A24" s="380" t="s">
        <v>263</v>
      </c>
      <c r="B24" s="358">
        <v>0</v>
      </c>
      <c r="C24" s="358">
        <v>0.68396999999999997</v>
      </c>
      <c r="D24" s="359">
        <v>0.68396999999999997</v>
      </c>
      <c r="E24" s="368" t="s">
        <v>243</v>
      </c>
      <c r="F24" s="358">
        <v>0</v>
      </c>
      <c r="G24" s="359">
        <v>0</v>
      </c>
      <c r="H24" s="361">
        <v>0</v>
      </c>
      <c r="I24" s="358">
        <v>0</v>
      </c>
      <c r="J24" s="359">
        <v>0</v>
      </c>
      <c r="K24" s="369" t="s">
        <v>243</v>
      </c>
    </row>
    <row r="25" spans="1:11" ht="14.4" customHeight="1" thickBot="1" x14ac:dyDescent="0.35">
      <c r="A25" s="379" t="s">
        <v>264</v>
      </c>
      <c r="B25" s="363">
        <v>170.601841284606</v>
      </c>
      <c r="C25" s="363">
        <v>164.52529999999999</v>
      </c>
      <c r="D25" s="364">
        <v>-6.0765412846049998</v>
      </c>
      <c r="E25" s="370">
        <v>0.96438173680299999</v>
      </c>
      <c r="F25" s="363">
        <v>164.35015257124499</v>
      </c>
      <c r="G25" s="364">
        <v>41.087538142810999</v>
      </c>
      <c r="H25" s="366">
        <v>18.621690000000001</v>
      </c>
      <c r="I25" s="363">
        <v>42.692799999999998</v>
      </c>
      <c r="J25" s="364">
        <v>1.605261857188</v>
      </c>
      <c r="K25" s="371">
        <v>0.259767328061</v>
      </c>
    </row>
    <row r="26" spans="1:11" ht="14.4" customHeight="1" thickBot="1" x14ac:dyDescent="0.35">
      <c r="A26" s="380" t="s">
        <v>265</v>
      </c>
      <c r="B26" s="358">
        <v>2.8920952648710001</v>
      </c>
      <c r="C26" s="358">
        <v>0.91600000000000004</v>
      </c>
      <c r="D26" s="359">
        <v>-1.976095264871</v>
      </c>
      <c r="E26" s="360">
        <v>0.31672538976300002</v>
      </c>
      <c r="F26" s="358">
        <v>1.623618597786</v>
      </c>
      <c r="G26" s="359">
        <v>0.40590464944600002</v>
      </c>
      <c r="H26" s="361">
        <v>0</v>
      </c>
      <c r="I26" s="358">
        <v>0</v>
      </c>
      <c r="J26" s="359">
        <v>-0.40590464944600002</v>
      </c>
      <c r="K26" s="362">
        <v>0</v>
      </c>
    </row>
    <row r="27" spans="1:11" ht="14.4" customHeight="1" thickBot="1" x14ac:dyDescent="0.35">
      <c r="A27" s="380" t="s">
        <v>266</v>
      </c>
      <c r="B27" s="358">
        <v>13.696818428427999</v>
      </c>
      <c r="C27" s="358">
        <v>11.16095</v>
      </c>
      <c r="D27" s="359">
        <v>-2.535868428428</v>
      </c>
      <c r="E27" s="360">
        <v>0.81485711870300004</v>
      </c>
      <c r="F27" s="358">
        <v>8.9999997165209997</v>
      </c>
      <c r="G27" s="359">
        <v>2.2499999291299999</v>
      </c>
      <c r="H27" s="361">
        <v>0.69962000000000002</v>
      </c>
      <c r="I27" s="358">
        <v>1.62473</v>
      </c>
      <c r="J27" s="359">
        <v>-0.62526992913000001</v>
      </c>
      <c r="K27" s="362">
        <v>0.180525561241</v>
      </c>
    </row>
    <row r="28" spans="1:11" ht="14.4" customHeight="1" thickBot="1" x14ac:dyDescent="0.35">
      <c r="A28" s="380" t="s">
        <v>267</v>
      </c>
      <c r="B28" s="358">
        <v>25.309455717633998</v>
      </c>
      <c r="C28" s="358">
        <v>26.910019999999999</v>
      </c>
      <c r="D28" s="359">
        <v>1.6005642823649999</v>
      </c>
      <c r="E28" s="360">
        <v>1.0632397748969999</v>
      </c>
      <c r="F28" s="358">
        <v>34.704092678255002</v>
      </c>
      <c r="G28" s="359">
        <v>8.6760231695630008</v>
      </c>
      <c r="H28" s="361">
        <v>0</v>
      </c>
      <c r="I28" s="358">
        <v>3.5820799999999999</v>
      </c>
      <c r="J28" s="359">
        <v>-5.0939431695630004</v>
      </c>
      <c r="K28" s="362">
        <v>0.103217797197</v>
      </c>
    </row>
    <row r="29" spans="1:11" ht="14.4" customHeight="1" thickBot="1" x14ac:dyDescent="0.35">
      <c r="A29" s="380" t="s">
        <v>268</v>
      </c>
      <c r="B29" s="358">
        <v>30.404511458742</v>
      </c>
      <c r="C29" s="358">
        <v>30.72007</v>
      </c>
      <c r="D29" s="359">
        <v>0.315558541257</v>
      </c>
      <c r="E29" s="360">
        <v>1.0103786749429999</v>
      </c>
      <c r="F29" s="358">
        <v>33.999998929081997</v>
      </c>
      <c r="G29" s="359">
        <v>8.4999997322700001</v>
      </c>
      <c r="H29" s="361">
        <v>3.0817999999999999</v>
      </c>
      <c r="I29" s="358">
        <v>7.8477399999999999</v>
      </c>
      <c r="J29" s="359">
        <v>-0.65225973227</v>
      </c>
      <c r="K29" s="362">
        <v>0.23081588962300001</v>
      </c>
    </row>
    <row r="30" spans="1:11" ht="14.4" customHeight="1" thickBot="1" x14ac:dyDescent="0.35">
      <c r="A30" s="380" t="s">
        <v>269</v>
      </c>
      <c r="B30" s="358">
        <v>2.7159437498179999</v>
      </c>
      <c r="C30" s="358">
        <v>2.3887999999999998</v>
      </c>
      <c r="D30" s="359">
        <v>-0.32714374981799998</v>
      </c>
      <c r="E30" s="360">
        <v>0.87954693471099998</v>
      </c>
      <c r="F30" s="358">
        <v>2.6688119404289998</v>
      </c>
      <c r="G30" s="359">
        <v>0.66720298510700005</v>
      </c>
      <c r="H30" s="361">
        <v>0</v>
      </c>
      <c r="I30" s="358">
        <v>1.4923999999999999</v>
      </c>
      <c r="J30" s="359">
        <v>0.82519701489200004</v>
      </c>
      <c r="K30" s="362">
        <v>0.55920013598200002</v>
      </c>
    </row>
    <row r="31" spans="1:11" ht="14.4" customHeight="1" thickBot="1" x14ac:dyDescent="0.35">
      <c r="A31" s="380" t="s">
        <v>270</v>
      </c>
      <c r="B31" s="358">
        <v>0</v>
      </c>
      <c r="C31" s="358">
        <v>0.11654</v>
      </c>
      <c r="D31" s="359">
        <v>0.11654</v>
      </c>
      <c r="E31" s="368" t="s">
        <v>271</v>
      </c>
      <c r="F31" s="358">
        <v>0.10178383586799999</v>
      </c>
      <c r="G31" s="359">
        <v>2.5445958966999999E-2</v>
      </c>
      <c r="H31" s="361">
        <v>0</v>
      </c>
      <c r="I31" s="358">
        <v>0</v>
      </c>
      <c r="J31" s="359">
        <v>-2.5445958966999999E-2</v>
      </c>
      <c r="K31" s="362">
        <v>0</v>
      </c>
    </row>
    <row r="32" spans="1:11" ht="14.4" customHeight="1" thickBot="1" x14ac:dyDescent="0.35">
      <c r="A32" s="380" t="s">
        <v>272</v>
      </c>
      <c r="B32" s="358">
        <v>27.550664638493</v>
      </c>
      <c r="C32" s="358">
        <v>21.056570000000001</v>
      </c>
      <c r="D32" s="359">
        <v>-6.4940946384930003</v>
      </c>
      <c r="E32" s="360">
        <v>0.76428537301300004</v>
      </c>
      <c r="F32" s="358">
        <v>22.251848763154999</v>
      </c>
      <c r="G32" s="359">
        <v>5.5629621907880002</v>
      </c>
      <c r="H32" s="361">
        <v>2.1747700000000001</v>
      </c>
      <c r="I32" s="358">
        <v>6.0684800000000001</v>
      </c>
      <c r="J32" s="359">
        <v>0.50551780921099998</v>
      </c>
      <c r="K32" s="362">
        <v>0.27271801388599998</v>
      </c>
    </row>
    <row r="33" spans="1:11" ht="14.4" customHeight="1" thickBot="1" x14ac:dyDescent="0.35">
      <c r="A33" s="380" t="s">
        <v>273</v>
      </c>
      <c r="B33" s="358">
        <v>32.282513973188003</v>
      </c>
      <c r="C33" s="358">
        <v>40.339640000000003</v>
      </c>
      <c r="D33" s="359">
        <v>8.0571260268109999</v>
      </c>
      <c r="E33" s="360">
        <v>1.2495817405509999</v>
      </c>
      <c r="F33" s="358">
        <v>47.999998488115999</v>
      </c>
      <c r="G33" s="359">
        <v>11.999999622029</v>
      </c>
      <c r="H33" s="361">
        <v>2.5015000000000001</v>
      </c>
      <c r="I33" s="358">
        <v>9.8321699999999996</v>
      </c>
      <c r="J33" s="359">
        <v>-2.1678296220290001</v>
      </c>
      <c r="K33" s="362">
        <v>0.20483688145100001</v>
      </c>
    </row>
    <row r="34" spans="1:11" ht="14.4" customHeight="1" thickBot="1" x14ac:dyDescent="0.35">
      <c r="A34" s="380" t="s">
        <v>274</v>
      </c>
      <c r="B34" s="358">
        <v>35.749838053428</v>
      </c>
      <c r="C34" s="358">
        <v>30.916709999999998</v>
      </c>
      <c r="D34" s="359">
        <v>-4.833128053427</v>
      </c>
      <c r="E34" s="360">
        <v>0.86480699447599996</v>
      </c>
      <c r="F34" s="358">
        <v>11.999999622029</v>
      </c>
      <c r="G34" s="359">
        <v>2.9999999055069999</v>
      </c>
      <c r="H34" s="361">
        <v>10.164</v>
      </c>
      <c r="I34" s="358">
        <v>12.245200000000001</v>
      </c>
      <c r="J34" s="359">
        <v>9.2452000944920005</v>
      </c>
      <c r="K34" s="362">
        <v>1.0204333654740001</v>
      </c>
    </row>
    <row r="35" spans="1:11" ht="14.4" customHeight="1" thickBot="1" x14ac:dyDescent="0.35">
      <c r="A35" s="379" t="s">
        <v>275</v>
      </c>
      <c r="B35" s="363">
        <v>21.150116570289001</v>
      </c>
      <c r="C35" s="363">
        <v>29.311530000000001</v>
      </c>
      <c r="D35" s="364">
        <v>8.1614134297100005</v>
      </c>
      <c r="E35" s="370">
        <v>1.3858803048470001</v>
      </c>
      <c r="F35" s="363">
        <v>47.826104368656999</v>
      </c>
      <c r="G35" s="364">
        <v>11.956526092163999</v>
      </c>
      <c r="H35" s="366">
        <v>0.501</v>
      </c>
      <c r="I35" s="363">
        <v>0.501</v>
      </c>
      <c r="J35" s="364">
        <v>-11.455526092164</v>
      </c>
      <c r="K35" s="371">
        <v>1.0475450731000001E-2</v>
      </c>
    </row>
    <row r="36" spans="1:11" ht="14.4" customHeight="1" thickBot="1" x14ac:dyDescent="0.35">
      <c r="A36" s="380" t="s">
        <v>276</v>
      </c>
      <c r="B36" s="358">
        <v>0.448994692822</v>
      </c>
      <c r="C36" s="358">
        <v>0.32064999999999999</v>
      </c>
      <c r="D36" s="359">
        <v>-0.12834469282200001</v>
      </c>
      <c r="E36" s="360">
        <v>0.71415098023500001</v>
      </c>
      <c r="F36" s="358">
        <v>0</v>
      </c>
      <c r="G36" s="359">
        <v>0</v>
      </c>
      <c r="H36" s="361">
        <v>0</v>
      </c>
      <c r="I36" s="358">
        <v>0</v>
      </c>
      <c r="J36" s="359">
        <v>0</v>
      </c>
      <c r="K36" s="369" t="s">
        <v>243</v>
      </c>
    </row>
    <row r="37" spans="1:11" ht="14.4" customHeight="1" thickBot="1" x14ac:dyDescent="0.35">
      <c r="A37" s="380" t="s">
        <v>277</v>
      </c>
      <c r="B37" s="358">
        <v>20.701121877466001</v>
      </c>
      <c r="C37" s="358">
        <v>0</v>
      </c>
      <c r="D37" s="359">
        <v>-20.701121877466001</v>
      </c>
      <c r="E37" s="360">
        <v>0</v>
      </c>
      <c r="F37" s="358">
        <v>0</v>
      </c>
      <c r="G37" s="359">
        <v>0</v>
      </c>
      <c r="H37" s="361">
        <v>0</v>
      </c>
      <c r="I37" s="358">
        <v>0</v>
      </c>
      <c r="J37" s="359">
        <v>0</v>
      </c>
      <c r="K37" s="362">
        <v>3</v>
      </c>
    </row>
    <row r="38" spans="1:11" ht="14.4" customHeight="1" thickBot="1" x14ac:dyDescent="0.35">
      <c r="A38" s="380" t="s">
        <v>278</v>
      </c>
      <c r="B38" s="358">
        <v>0</v>
      </c>
      <c r="C38" s="358">
        <v>28.381</v>
      </c>
      <c r="D38" s="359">
        <v>28.381</v>
      </c>
      <c r="E38" s="368" t="s">
        <v>271</v>
      </c>
      <c r="F38" s="358">
        <v>47.826104368656999</v>
      </c>
      <c r="G38" s="359">
        <v>11.956526092163999</v>
      </c>
      <c r="H38" s="361">
        <v>0.501</v>
      </c>
      <c r="I38" s="358">
        <v>0.501</v>
      </c>
      <c r="J38" s="359">
        <v>-11.455526092164</v>
      </c>
      <c r="K38" s="362">
        <v>1.0475450731000001E-2</v>
      </c>
    </row>
    <row r="39" spans="1:11" ht="14.4" customHeight="1" thickBot="1" x14ac:dyDescent="0.35">
      <c r="A39" s="380" t="s">
        <v>279</v>
      </c>
      <c r="B39" s="358">
        <v>0</v>
      </c>
      <c r="C39" s="358">
        <v>0.60987999999999998</v>
      </c>
      <c r="D39" s="359">
        <v>0.60987999999999998</v>
      </c>
      <c r="E39" s="368" t="s">
        <v>271</v>
      </c>
      <c r="F39" s="358">
        <v>0</v>
      </c>
      <c r="G39" s="359">
        <v>0</v>
      </c>
      <c r="H39" s="361">
        <v>0</v>
      </c>
      <c r="I39" s="358">
        <v>0</v>
      </c>
      <c r="J39" s="359">
        <v>0</v>
      </c>
      <c r="K39" s="369" t="s">
        <v>243</v>
      </c>
    </row>
    <row r="40" spans="1:11" ht="14.4" customHeight="1" thickBot="1" x14ac:dyDescent="0.35">
      <c r="A40" s="379" t="s">
        <v>280</v>
      </c>
      <c r="B40" s="363">
        <v>31.863843538878999</v>
      </c>
      <c r="C40" s="363">
        <v>22.661370000000002</v>
      </c>
      <c r="D40" s="364">
        <v>-9.2024735388789995</v>
      </c>
      <c r="E40" s="370">
        <v>0.71119386373899995</v>
      </c>
      <c r="F40" s="363">
        <v>29.999999055071999</v>
      </c>
      <c r="G40" s="364">
        <v>7.4999997637679998</v>
      </c>
      <c r="H40" s="366">
        <v>4.0704399999999996</v>
      </c>
      <c r="I40" s="363">
        <v>7.8784999999999998</v>
      </c>
      <c r="J40" s="364">
        <v>0.37850023623099999</v>
      </c>
      <c r="K40" s="371">
        <v>0.26261667493800001</v>
      </c>
    </row>
    <row r="41" spans="1:11" ht="14.4" customHeight="1" thickBot="1" x14ac:dyDescent="0.35">
      <c r="A41" s="380" t="s">
        <v>281</v>
      </c>
      <c r="B41" s="358">
        <v>20.863713821836001</v>
      </c>
      <c r="C41" s="358">
        <v>10.74751</v>
      </c>
      <c r="D41" s="359">
        <v>-10.116203821836001</v>
      </c>
      <c r="E41" s="360">
        <v>0.51512928579100004</v>
      </c>
      <c r="F41" s="358">
        <v>14.999999527536</v>
      </c>
      <c r="G41" s="359">
        <v>3.7499998818839999</v>
      </c>
      <c r="H41" s="361">
        <v>3.5985399999999998</v>
      </c>
      <c r="I41" s="358">
        <v>5.7282099999999998</v>
      </c>
      <c r="J41" s="359">
        <v>1.978210118115</v>
      </c>
      <c r="K41" s="362">
        <v>0.381880678694</v>
      </c>
    </row>
    <row r="42" spans="1:11" ht="14.4" customHeight="1" thickBot="1" x14ac:dyDescent="0.35">
      <c r="A42" s="380" t="s">
        <v>282</v>
      </c>
      <c r="B42" s="358">
        <v>0</v>
      </c>
      <c r="C42" s="358">
        <v>0</v>
      </c>
      <c r="D42" s="359">
        <v>0</v>
      </c>
      <c r="E42" s="368" t="s">
        <v>243</v>
      </c>
      <c r="F42" s="358">
        <v>0</v>
      </c>
      <c r="G42" s="359">
        <v>0</v>
      </c>
      <c r="H42" s="361">
        <v>0</v>
      </c>
      <c r="I42" s="358">
        <v>0.45523000000000002</v>
      </c>
      <c r="J42" s="359">
        <v>0.45523000000000002</v>
      </c>
      <c r="K42" s="369" t="s">
        <v>271</v>
      </c>
    </row>
    <row r="43" spans="1:11" ht="14.4" customHeight="1" thickBot="1" x14ac:dyDescent="0.35">
      <c r="A43" s="380" t="s">
        <v>283</v>
      </c>
      <c r="B43" s="358">
        <v>7.0006733584010004</v>
      </c>
      <c r="C43" s="358">
        <v>7.9622000000000002</v>
      </c>
      <c r="D43" s="359">
        <v>0.96152664159800005</v>
      </c>
      <c r="E43" s="360">
        <v>1.1373477367630001</v>
      </c>
      <c r="F43" s="358">
        <v>9.9999996850239992</v>
      </c>
      <c r="G43" s="359">
        <v>2.4999999212559998</v>
      </c>
      <c r="H43" s="361">
        <v>0.47189999999999999</v>
      </c>
      <c r="I43" s="358">
        <v>1.2570600000000001</v>
      </c>
      <c r="J43" s="359">
        <v>-1.2429399212559999</v>
      </c>
      <c r="K43" s="362">
        <v>0.125706003959</v>
      </c>
    </row>
    <row r="44" spans="1:11" ht="14.4" customHeight="1" thickBot="1" x14ac:dyDescent="0.35">
      <c r="A44" s="380" t="s">
        <v>284</v>
      </c>
      <c r="B44" s="358">
        <v>3.999456358642</v>
      </c>
      <c r="C44" s="358">
        <v>3.95166</v>
      </c>
      <c r="D44" s="359">
        <v>-4.7796358641999999E-2</v>
      </c>
      <c r="E44" s="360">
        <v>0.98804928611300002</v>
      </c>
      <c r="F44" s="358">
        <v>4.9999998425119996</v>
      </c>
      <c r="G44" s="359">
        <v>1.2499999606279999</v>
      </c>
      <c r="H44" s="361">
        <v>0</v>
      </c>
      <c r="I44" s="358">
        <v>0.438</v>
      </c>
      <c r="J44" s="359">
        <v>-0.81199996062799995</v>
      </c>
      <c r="K44" s="362">
        <v>8.7600002758999998E-2</v>
      </c>
    </row>
    <row r="45" spans="1:11" ht="14.4" customHeight="1" thickBot="1" x14ac:dyDescent="0.35">
      <c r="A45" s="379" t="s">
        <v>285</v>
      </c>
      <c r="B45" s="363">
        <v>0</v>
      </c>
      <c r="C45" s="363">
        <v>2.4119999999999999</v>
      </c>
      <c r="D45" s="364">
        <v>2.4119999999999999</v>
      </c>
      <c r="E45" s="365" t="s">
        <v>243</v>
      </c>
      <c r="F45" s="363">
        <v>0</v>
      </c>
      <c r="G45" s="364">
        <v>0</v>
      </c>
      <c r="H45" s="366">
        <v>0</v>
      </c>
      <c r="I45" s="363">
        <v>0</v>
      </c>
      <c r="J45" s="364">
        <v>0</v>
      </c>
      <c r="K45" s="367" t="s">
        <v>243</v>
      </c>
    </row>
    <row r="46" spans="1:11" ht="14.4" customHeight="1" thickBot="1" x14ac:dyDescent="0.35">
      <c r="A46" s="380" t="s">
        <v>286</v>
      </c>
      <c r="B46" s="358">
        <v>0</v>
      </c>
      <c r="C46" s="358">
        <v>2.4119999999999999</v>
      </c>
      <c r="D46" s="359">
        <v>2.4119999999999999</v>
      </c>
      <c r="E46" s="368" t="s">
        <v>271</v>
      </c>
      <c r="F46" s="358">
        <v>0</v>
      </c>
      <c r="G46" s="359">
        <v>0</v>
      </c>
      <c r="H46" s="361">
        <v>0</v>
      </c>
      <c r="I46" s="358">
        <v>0</v>
      </c>
      <c r="J46" s="359">
        <v>0</v>
      </c>
      <c r="K46" s="369" t="s">
        <v>243</v>
      </c>
    </row>
    <row r="47" spans="1:11" ht="14.4" customHeight="1" thickBot="1" x14ac:dyDescent="0.35">
      <c r="A47" s="381" t="s">
        <v>287</v>
      </c>
      <c r="B47" s="363">
        <v>576.59639128680999</v>
      </c>
      <c r="C47" s="363">
        <v>399.73052999999999</v>
      </c>
      <c r="D47" s="364">
        <v>-176.86586128680901</v>
      </c>
      <c r="E47" s="370">
        <v>0.69325881333999995</v>
      </c>
      <c r="F47" s="363">
        <v>465.27298046276201</v>
      </c>
      <c r="G47" s="364">
        <v>116.318245115691</v>
      </c>
      <c r="H47" s="366">
        <v>55.961410000000001</v>
      </c>
      <c r="I47" s="363">
        <v>104.26542999999999</v>
      </c>
      <c r="J47" s="364">
        <v>-12.052815115690001</v>
      </c>
      <c r="K47" s="371">
        <v>0.224095175043</v>
      </c>
    </row>
    <row r="48" spans="1:11" ht="14.4" customHeight="1" thickBot="1" x14ac:dyDescent="0.35">
      <c r="A48" s="378" t="s">
        <v>27</v>
      </c>
      <c r="B48" s="358">
        <v>145.40613290015901</v>
      </c>
      <c r="C48" s="358">
        <v>16.396650000000001</v>
      </c>
      <c r="D48" s="359">
        <v>-129.00948290015901</v>
      </c>
      <c r="E48" s="360">
        <v>0.11276450087000001</v>
      </c>
      <c r="F48" s="358">
        <v>16.72504391647</v>
      </c>
      <c r="G48" s="359">
        <v>4.1812609791169999</v>
      </c>
      <c r="H48" s="361">
        <v>3.5215000000000001</v>
      </c>
      <c r="I48" s="358">
        <v>10.02215</v>
      </c>
      <c r="J48" s="359">
        <v>5.8408890208819999</v>
      </c>
      <c r="K48" s="362">
        <v>0.59923011562999995</v>
      </c>
    </row>
    <row r="49" spans="1:11" ht="14.4" customHeight="1" thickBot="1" x14ac:dyDescent="0.35">
      <c r="A49" s="382" t="s">
        <v>288</v>
      </c>
      <c r="B49" s="358">
        <v>145.40613290015901</v>
      </c>
      <c r="C49" s="358">
        <v>16.396650000000001</v>
      </c>
      <c r="D49" s="359">
        <v>-129.00948290015901</v>
      </c>
      <c r="E49" s="360">
        <v>0.11276450087000001</v>
      </c>
      <c r="F49" s="358">
        <v>16.72504391647</v>
      </c>
      <c r="G49" s="359">
        <v>4.1812609791169999</v>
      </c>
      <c r="H49" s="361">
        <v>3.5215000000000001</v>
      </c>
      <c r="I49" s="358">
        <v>10.02215</v>
      </c>
      <c r="J49" s="359">
        <v>5.8408890208819999</v>
      </c>
      <c r="K49" s="362">
        <v>0.59923011562999995</v>
      </c>
    </row>
    <row r="50" spans="1:11" ht="14.4" customHeight="1" thickBot="1" x14ac:dyDescent="0.35">
      <c r="A50" s="380" t="s">
        <v>289</v>
      </c>
      <c r="B50" s="358">
        <v>83.879879755079003</v>
      </c>
      <c r="C50" s="358">
        <v>15.96515</v>
      </c>
      <c r="D50" s="359">
        <v>-67.914729755078994</v>
      </c>
      <c r="E50" s="360">
        <v>0.19033348696499999</v>
      </c>
      <c r="F50" s="358">
        <v>16.318299009777999</v>
      </c>
      <c r="G50" s="359">
        <v>4.0795747524439996</v>
      </c>
      <c r="H50" s="361">
        <v>3.34</v>
      </c>
      <c r="I50" s="358">
        <v>4.2119999999999997</v>
      </c>
      <c r="J50" s="359">
        <v>0.13242524755499999</v>
      </c>
      <c r="K50" s="362">
        <v>0.25811513794800001</v>
      </c>
    </row>
    <row r="51" spans="1:11" ht="14.4" customHeight="1" thickBot="1" x14ac:dyDescent="0.35">
      <c r="A51" s="380" t="s">
        <v>290</v>
      </c>
      <c r="B51" s="358">
        <v>55.834531247377001</v>
      </c>
      <c r="C51" s="358">
        <v>0.43149999999999999</v>
      </c>
      <c r="D51" s="359">
        <v>-55.403031247377001</v>
      </c>
      <c r="E51" s="360">
        <v>7.7281923989999998E-3</v>
      </c>
      <c r="F51" s="358">
        <v>0.406744906691</v>
      </c>
      <c r="G51" s="359">
        <v>0.101686226672</v>
      </c>
      <c r="H51" s="361">
        <v>0.18149999999999999</v>
      </c>
      <c r="I51" s="358">
        <v>1.0315000000000001</v>
      </c>
      <c r="J51" s="359">
        <v>0.92981377332699999</v>
      </c>
      <c r="K51" s="362">
        <v>2.5359875023130001</v>
      </c>
    </row>
    <row r="52" spans="1:11" ht="14.4" customHeight="1" thickBot="1" x14ac:dyDescent="0.35">
      <c r="A52" s="380" t="s">
        <v>291</v>
      </c>
      <c r="B52" s="358">
        <v>5.6917218977020001</v>
      </c>
      <c r="C52" s="358">
        <v>0</v>
      </c>
      <c r="D52" s="359">
        <v>-5.6917218977020001</v>
      </c>
      <c r="E52" s="360">
        <v>0</v>
      </c>
      <c r="F52" s="358">
        <v>0</v>
      </c>
      <c r="G52" s="359">
        <v>0</v>
      </c>
      <c r="H52" s="361">
        <v>0</v>
      </c>
      <c r="I52" s="358">
        <v>4.7786499999999998</v>
      </c>
      <c r="J52" s="359">
        <v>4.7786499999999998</v>
      </c>
      <c r="K52" s="369" t="s">
        <v>271</v>
      </c>
    </row>
    <row r="53" spans="1:11" ht="14.4" customHeight="1" thickBot="1" x14ac:dyDescent="0.35">
      <c r="A53" s="383" t="s">
        <v>28</v>
      </c>
      <c r="B53" s="363">
        <v>0</v>
      </c>
      <c r="C53" s="363">
        <v>30.241</v>
      </c>
      <c r="D53" s="364">
        <v>30.241</v>
      </c>
      <c r="E53" s="365" t="s">
        <v>243</v>
      </c>
      <c r="F53" s="363">
        <v>0</v>
      </c>
      <c r="G53" s="364">
        <v>0</v>
      </c>
      <c r="H53" s="366">
        <v>5.7930000000000001</v>
      </c>
      <c r="I53" s="363">
        <v>7.9</v>
      </c>
      <c r="J53" s="364">
        <v>7.9</v>
      </c>
      <c r="K53" s="367" t="s">
        <v>243</v>
      </c>
    </row>
    <row r="54" spans="1:11" ht="14.4" customHeight="1" thickBot="1" x14ac:dyDescent="0.35">
      <c r="A54" s="379" t="s">
        <v>292</v>
      </c>
      <c r="B54" s="363">
        <v>0</v>
      </c>
      <c r="C54" s="363">
        <v>21.204000000000001</v>
      </c>
      <c r="D54" s="364">
        <v>21.204000000000001</v>
      </c>
      <c r="E54" s="365" t="s">
        <v>243</v>
      </c>
      <c r="F54" s="363">
        <v>0</v>
      </c>
      <c r="G54" s="364">
        <v>0</v>
      </c>
      <c r="H54" s="366">
        <v>5.7930000000000001</v>
      </c>
      <c r="I54" s="363">
        <v>7.9</v>
      </c>
      <c r="J54" s="364">
        <v>7.9</v>
      </c>
      <c r="K54" s="367" t="s">
        <v>243</v>
      </c>
    </row>
    <row r="55" spans="1:11" ht="14.4" customHeight="1" thickBot="1" x14ac:dyDescent="0.35">
      <c r="A55" s="380" t="s">
        <v>293</v>
      </c>
      <c r="B55" s="358">
        <v>0</v>
      </c>
      <c r="C55" s="358">
        <v>21.204000000000001</v>
      </c>
      <c r="D55" s="359">
        <v>21.204000000000001</v>
      </c>
      <c r="E55" s="368" t="s">
        <v>243</v>
      </c>
      <c r="F55" s="358">
        <v>0</v>
      </c>
      <c r="G55" s="359">
        <v>0</v>
      </c>
      <c r="H55" s="361">
        <v>5.7930000000000001</v>
      </c>
      <c r="I55" s="358">
        <v>7.9</v>
      </c>
      <c r="J55" s="359">
        <v>7.9</v>
      </c>
      <c r="K55" s="369" t="s">
        <v>243</v>
      </c>
    </row>
    <row r="56" spans="1:11" ht="14.4" customHeight="1" thickBot="1" x14ac:dyDescent="0.35">
      <c r="A56" s="379" t="s">
        <v>294</v>
      </c>
      <c r="B56" s="363">
        <v>0</v>
      </c>
      <c r="C56" s="363">
        <v>9.0370000000000008</v>
      </c>
      <c r="D56" s="364">
        <v>9.0370000000000008</v>
      </c>
      <c r="E56" s="365" t="s">
        <v>243</v>
      </c>
      <c r="F56" s="363">
        <v>0</v>
      </c>
      <c r="G56" s="364">
        <v>0</v>
      </c>
      <c r="H56" s="366">
        <v>0</v>
      </c>
      <c r="I56" s="363">
        <v>0</v>
      </c>
      <c r="J56" s="364">
        <v>0</v>
      </c>
      <c r="K56" s="371">
        <v>3</v>
      </c>
    </row>
    <row r="57" spans="1:11" ht="14.4" customHeight="1" thickBot="1" x14ac:dyDescent="0.35">
      <c r="A57" s="380" t="s">
        <v>295</v>
      </c>
      <c r="B57" s="358">
        <v>0</v>
      </c>
      <c r="C57" s="358">
        <v>9.0370000000000008</v>
      </c>
      <c r="D57" s="359">
        <v>9.0370000000000008</v>
      </c>
      <c r="E57" s="368" t="s">
        <v>243</v>
      </c>
      <c r="F57" s="358">
        <v>0</v>
      </c>
      <c r="G57" s="359">
        <v>0</v>
      </c>
      <c r="H57" s="361">
        <v>0</v>
      </c>
      <c r="I57" s="358">
        <v>0</v>
      </c>
      <c r="J57" s="359">
        <v>0</v>
      </c>
      <c r="K57" s="362">
        <v>3</v>
      </c>
    </row>
    <row r="58" spans="1:11" ht="14.4" customHeight="1" thickBot="1" x14ac:dyDescent="0.35">
      <c r="A58" s="378" t="s">
        <v>29</v>
      </c>
      <c r="B58" s="358">
        <v>431.19025838665101</v>
      </c>
      <c r="C58" s="358">
        <v>353.09287999999998</v>
      </c>
      <c r="D58" s="359">
        <v>-78.097378386650007</v>
      </c>
      <c r="E58" s="360">
        <v>0.81887953897900001</v>
      </c>
      <c r="F58" s="358">
        <v>448.54793654629202</v>
      </c>
      <c r="G58" s="359">
        <v>112.13698413657301</v>
      </c>
      <c r="H58" s="361">
        <v>46.646909999999998</v>
      </c>
      <c r="I58" s="358">
        <v>86.343279999999993</v>
      </c>
      <c r="J58" s="359">
        <v>-25.793704136572</v>
      </c>
      <c r="K58" s="362">
        <v>0.192495100222</v>
      </c>
    </row>
    <row r="59" spans="1:11" ht="14.4" customHeight="1" thickBot="1" x14ac:dyDescent="0.35">
      <c r="A59" s="379" t="s">
        <v>296</v>
      </c>
      <c r="B59" s="363">
        <v>2.0781818738269999</v>
      </c>
      <c r="C59" s="363">
        <v>6.9817999999999998</v>
      </c>
      <c r="D59" s="364">
        <v>4.9036181261719998</v>
      </c>
      <c r="E59" s="370">
        <v>3.3595712136309999</v>
      </c>
      <c r="F59" s="363">
        <v>6.9999997795160001</v>
      </c>
      <c r="G59" s="364">
        <v>1.749999944879</v>
      </c>
      <c r="H59" s="366">
        <v>0</v>
      </c>
      <c r="I59" s="363">
        <v>0</v>
      </c>
      <c r="J59" s="364">
        <v>-1.749999944879</v>
      </c>
      <c r="K59" s="371">
        <v>0</v>
      </c>
    </row>
    <row r="60" spans="1:11" ht="14.4" customHeight="1" thickBot="1" x14ac:dyDescent="0.35">
      <c r="A60" s="380" t="s">
        <v>297</v>
      </c>
      <c r="B60" s="358">
        <v>2.0781818738269999</v>
      </c>
      <c r="C60" s="358">
        <v>6.9817999999999998</v>
      </c>
      <c r="D60" s="359">
        <v>4.9036181261719998</v>
      </c>
      <c r="E60" s="360">
        <v>3.3595712136309999</v>
      </c>
      <c r="F60" s="358">
        <v>6.9999997795160001</v>
      </c>
      <c r="G60" s="359">
        <v>1.749999944879</v>
      </c>
      <c r="H60" s="361">
        <v>0</v>
      </c>
      <c r="I60" s="358">
        <v>0</v>
      </c>
      <c r="J60" s="359">
        <v>-1.749999944879</v>
      </c>
      <c r="K60" s="362">
        <v>0</v>
      </c>
    </row>
    <row r="61" spans="1:11" ht="14.4" customHeight="1" thickBot="1" x14ac:dyDescent="0.35">
      <c r="A61" s="379" t="s">
        <v>298</v>
      </c>
      <c r="B61" s="363">
        <v>44.350146169155003</v>
      </c>
      <c r="C61" s="363">
        <v>38.335239999999999</v>
      </c>
      <c r="D61" s="364">
        <v>-6.0149061691550001</v>
      </c>
      <c r="E61" s="370">
        <v>0.86437685805499997</v>
      </c>
      <c r="F61" s="363">
        <v>33.198399692080002</v>
      </c>
      <c r="G61" s="364">
        <v>8.2995999230200006</v>
      </c>
      <c r="H61" s="366">
        <v>10.868130000000001</v>
      </c>
      <c r="I61" s="363">
        <v>11.060930000000001</v>
      </c>
      <c r="J61" s="364">
        <v>2.7613300769790001</v>
      </c>
      <c r="K61" s="371">
        <v>0.333176601962</v>
      </c>
    </row>
    <row r="62" spans="1:11" ht="14.4" customHeight="1" thickBot="1" x14ac:dyDescent="0.35">
      <c r="A62" s="380" t="s">
        <v>299</v>
      </c>
      <c r="B62" s="358">
        <v>0.43988407792799999</v>
      </c>
      <c r="C62" s="358">
        <v>1.9E-2</v>
      </c>
      <c r="D62" s="359">
        <v>-0.42088407792799998</v>
      </c>
      <c r="E62" s="360">
        <v>4.3193197829000003E-2</v>
      </c>
      <c r="F62" s="358">
        <v>1.8464225194000001E-2</v>
      </c>
      <c r="G62" s="359">
        <v>4.616056298E-3</v>
      </c>
      <c r="H62" s="361">
        <v>0</v>
      </c>
      <c r="I62" s="358">
        <v>0</v>
      </c>
      <c r="J62" s="359">
        <v>-4.616056298E-3</v>
      </c>
      <c r="K62" s="362">
        <v>0</v>
      </c>
    </row>
    <row r="63" spans="1:11" ht="14.4" customHeight="1" thickBot="1" x14ac:dyDescent="0.35">
      <c r="A63" s="380" t="s">
        <v>300</v>
      </c>
      <c r="B63" s="358">
        <v>39.989183536014998</v>
      </c>
      <c r="C63" s="358">
        <v>33.273000000000003</v>
      </c>
      <c r="D63" s="359">
        <v>-6.7161835360150004</v>
      </c>
      <c r="E63" s="360">
        <v>0.83204999596999996</v>
      </c>
      <c r="F63" s="358">
        <v>27.434868072655998</v>
      </c>
      <c r="G63" s="359">
        <v>6.8587170181639996</v>
      </c>
      <c r="H63" s="361">
        <v>10.561</v>
      </c>
      <c r="I63" s="358">
        <v>10.561</v>
      </c>
      <c r="J63" s="359">
        <v>3.7022829818349998</v>
      </c>
      <c r="K63" s="362">
        <v>0.38494808766799998</v>
      </c>
    </row>
    <row r="64" spans="1:11" ht="14.4" customHeight="1" thickBot="1" x14ac:dyDescent="0.35">
      <c r="A64" s="380" t="s">
        <v>301</v>
      </c>
      <c r="B64" s="358">
        <v>3.921078555212</v>
      </c>
      <c r="C64" s="358">
        <v>5.0432399999999999</v>
      </c>
      <c r="D64" s="359">
        <v>1.1221614447870001</v>
      </c>
      <c r="E64" s="360">
        <v>1.2861869327490001</v>
      </c>
      <c r="F64" s="358">
        <v>5.7450673942280002</v>
      </c>
      <c r="G64" s="359">
        <v>1.436266848557</v>
      </c>
      <c r="H64" s="361">
        <v>0.30713000000000001</v>
      </c>
      <c r="I64" s="358">
        <v>0.49992999999999999</v>
      </c>
      <c r="J64" s="359">
        <v>-0.93633684855699995</v>
      </c>
      <c r="K64" s="362">
        <v>8.7018996592000006E-2</v>
      </c>
    </row>
    <row r="65" spans="1:11" ht="14.4" customHeight="1" thickBot="1" x14ac:dyDescent="0.35">
      <c r="A65" s="379" t="s">
        <v>302</v>
      </c>
      <c r="B65" s="363">
        <v>13.441202956276999</v>
      </c>
      <c r="C65" s="363">
        <v>14.5502</v>
      </c>
      <c r="D65" s="364">
        <v>1.108997043722</v>
      </c>
      <c r="E65" s="370">
        <v>1.082507276121</v>
      </c>
      <c r="F65" s="363">
        <v>16.99999946454</v>
      </c>
      <c r="G65" s="364">
        <v>4.249999866135</v>
      </c>
      <c r="H65" s="366">
        <v>0</v>
      </c>
      <c r="I65" s="363">
        <v>2.2682899999999999</v>
      </c>
      <c r="J65" s="364">
        <v>-1.9817098661350001</v>
      </c>
      <c r="K65" s="371">
        <v>0.13342882773199999</v>
      </c>
    </row>
    <row r="66" spans="1:11" ht="14.4" customHeight="1" thickBot="1" x14ac:dyDescent="0.35">
      <c r="A66" s="380" t="s">
        <v>303</v>
      </c>
      <c r="B66" s="358">
        <v>1.6780130766300001</v>
      </c>
      <c r="C66" s="358">
        <v>1.62</v>
      </c>
      <c r="D66" s="359">
        <v>-5.801307663E-2</v>
      </c>
      <c r="E66" s="360">
        <v>0.96542751815299999</v>
      </c>
      <c r="F66" s="358">
        <v>1.999999937004</v>
      </c>
      <c r="G66" s="359">
        <v>0.49999998425100001</v>
      </c>
      <c r="H66" s="361">
        <v>0</v>
      </c>
      <c r="I66" s="358">
        <v>0.40500000000000003</v>
      </c>
      <c r="J66" s="359">
        <v>-9.4999984250999994E-2</v>
      </c>
      <c r="K66" s="362">
        <v>0.202500006378</v>
      </c>
    </row>
    <row r="67" spans="1:11" ht="14.4" customHeight="1" thickBot="1" x14ac:dyDescent="0.35">
      <c r="A67" s="380" t="s">
        <v>304</v>
      </c>
      <c r="B67" s="358">
        <v>11.763189879645999</v>
      </c>
      <c r="C67" s="358">
        <v>12.930199999999999</v>
      </c>
      <c r="D67" s="359">
        <v>1.1670101203529999</v>
      </c>
      <c r="E67" s="360">
        <v>1.099208644278</v>
      </c>
      <c r="F67" s="358">
        <v>14.999999527536</v>
      </c>
      <c r="G67" s="359">
        <v>3.7499998818839999</v>
      </c>
      <c r="H67" s="361">
        <v>0</v>
      </c>
      <c r="I67" s="358">
        <v>1.8632899999999999</v>
      </c>
      <c r="J67" s="359">
        <v>-1.886709881884</v>
      </c>
      <c r="K67" s="362">
        <v>0.12421933724500001</v>
      </c>
    </row>
    <row r="68" spans="1:11" ht="14.4" customHeight="1" thickBot="1" x14ac:dyDescent="0.35">
      <c r="A68" s="379" t="s">
        <v>305</v>
      </c>
      <c r="B68" s="363">
        <v>55.319776613099002</v>
      </c>
      <c r="C68" s="363">
        <v>46.090060000000001</v>
      </c>
      <c r="D68" s="364">
        <v>-9.2297166130980006</v>
      </c>
      <c r="E68" s="370">
        <v>0.83315701584099999</v>
      </c>
      <c r="F68" s="363">
        <v>45.985110726770998</v>
      </c>
      <c r="G68" s="364">
        <v>11.496277681692</v>
      </c>
      <c r="H68" s="366">
        <v>4.7740400000000003</v>
      </c>
      <c r="I68" s="363">
        <v>12.78584</v>
      </c>
      <c r="J68" s="364">
        <v>1.289562318307</v>
      </c>
      <c r="K68" s="371">
        <v>0.27804304040799999</v>
      </c>
    </row>
    <row r="69" spans="1:11" ht="14.4" customHeight="1" thickBot="1" x14ac:dyDescent="0.35">
      <c r="A69" s="380" t="s">
        <v>306</v>
      </c>
      <c r="B69" s="358">
        <v>12.023745812851001</v>
      </c>
      <c r="C69" s="358">
        <v>0</v>
      </c>
      <c r="D69" s="359">
        <v>-12.023745812851001</v>
      </c>
      <c r="E69" s="360">
        <v>0</v>
      </c>
      <c r="F69" s="358">
        <v>0</v>
      </c>
      <c r="G69" s="359">
        <v>0</v>
      </c>
      <c r="H69" s="361">
        <v>0</v>
      </c>
      <c r="I69" s="358">
        <v>0</v>
      </c>
      <c r="J69" s="359">
        <v>0</v>
      </c>
      <c r="K69" s="369" t="s">
        <v>243</v>
      </c>
    </row>
    <row r="70" spans="1:11" ht="14.4" customHeight="1" thickBot="1" x14ac:dyDescent="0.35">
      <c r="A70" s="380" t="s">
        <v>307</v>
      </c>
      <c r="B70" s="358">
        <v>43.296030800247003</v>
      </c>
      <c r="C70" s="358">
        <v>45.718060000000001</v>
      </c>
      <c r="D70" s="359">
        <v>2.422029199752</v>
      </c>
      <c r="E70" s="360">
        <v>1.055941137212</v>
      </c>
      <c r="F70" s="358">
        <v>45.682370026051998</v>
      </c>
      <c r="G70" s="359">
        <v>11.420592506513</v>
      </c>
      <c r="H70" s="361">
        <v>4.7740400000000003</v>
      </c>
      <c r="I70" s="358">
        <v>12.78584</v>
      </c>
      <c r="J70" s="359">
        <v>1.3652474934859999</v>
      </c>
      <c r="K70" s="362">
        <v>0.27988565375800001</v>
      </c>
    </row>
    <row r="71" spans="1:11" ht="14.4" customHeight="1" thickBot="1" x14ac:dyDescent="0.35">
      <c r="A71" s="380" t="s">
        <v>308</v>
      </c>
      <c r="B71" s="358">
        <v>0</v>
      </c>
      <c r="C71" s="358">
        <v>0.372</v>
      </c>
      <c r="D71" s="359">
        <v>0.372</v>
      </c>
      <c r="E71" s="368" t="s">
        <v>243</v>
      </c>
      <c r="F71" s="358">
        <v>0.302740700719</v>
      </c>
      <c r="G71" s="359">
        <v>7.5685175179000003E-2</v>
      </c>
      <c r="H71" s="361">
        <v>0</v>
      </c>
      <c r="I71" s="358">
        <v>0</v>
      </c>
      <c r="J71" s="359">
        <v>-7.5685175179000003E-2</v>
      </c>
      <c r="K71" s="362">
        <v>0</v>
      </c>
    </row>
    <row r="72" spans="1:11" ht="14.4" customHeight="1" thickBot="1" x14ac:dyDescent="0.35">
      <c r="A72" s="379" t="s">
        <v>309</v>
      </c>
      <c r="B72" s="363">
        <v>236.00095077429299</v>
      </c>
      <c r="C72" s="363">
        <v>208.16094000000001</v>
      </c>
      <c r="D72" s="364">
        <v>-27.840010774292001</v>
      </c>
      <c r="E72" s="370">
        <v>0.88203432790000003</v>
      </c>
      <c r="F72" s="363">
        <v>230.364430505603</v>
      </c>
      <c r="G72" s="364">
        <v>57.591107626400003</v>
      </c>
      <c r="H72" s="366">
        <v>20.067260000000001</v>
      </c>
      <c r="I72" s="363">
        <v>35.516539999999999</v>
      </c>
      <c r="J72" s="364">
        <v>-22.0745676264</v>
      </c>
      <c r="K72" s="371">
        <v>0.15417545114</v>
      </c>
    </row>
    <row r="73" spans="1:11" ht="14.4" customHeight="1" thickBot="1" x14ac:dyDescent="0.35">
      <c r="A73" s="380" t="s">
        <v>310</v>
      </c>
      <c r="B73" s="358">
        <v>139.686553552552</v>
      </c>
      <c r="C73" s="358">
        <v>115.10892</v>
      </c>
      <c r="D73" s="359">
        <v>-24.577633552550999</v>
      </c>
      <c r="E73" s="360">
        <v>0.82405154306200001</v>
      </c>
      <c r="F73" s="358">
        <v>116.885885911087</v>
      </c>
      <c r="G73" s="359">
        <v>29.221471477771001</v>
      </c>
      <c r="H73" s="361">
        <v>20.067260000000001</v>
      </c>
      <c r="I73" s="358">
        <v>35.516539999999999</v>
      </c>
      <c r="J73" s="359">
        <v>6.2950685222280001</v>
      </c>
      <c r="K73" s="362">
        <v>0.303856532575</v>
      </c>
    </row>
    <row r="74" spans="1:11" ht="14.4" customHeight="1" thickBot="1" x14ac:dyDescent="0.35">
      <c r="A74" s="380" t="s">
        <v>311</v>
      </c>
      <c r="B74" s="358">
        <v>96.314397221739995</v>
      </c>
      <c r="C74" s="358">
        <v>93.052019999999999</v>
      </c>
      <c r="D74" s="359">
        <v>-3.26237722174</v>
      </c>
      <c r="E74" s="360">
        <v>0.966127834302</v>
      </c>
      <c r="F74" s="358">
        <v>113.47854459451599</v>
      </c>
      <c r="G74" s="359">
        <v>28.369636148628999</v>
      </c>
      <c r="H74" s="361">
        <v>0</v>
      </c>
      <c r="I74" s="358">
        <v>0</v>
      </c>
      <c r="J74" s="359">
        <v>-28.369636148628999</v>
      </c>
      <c r="K74" s="362">
        <v>0</v>
      </c>
    </row>
    <row r="75" spans="1:11" ht="14.4" customHeight="1" thickBot="1" x14ac:dyDescent="0.35">
      <c r="A75" s="379" t="s">
        <v>312</v>
      </c>
      <c r="B75" s="363">
        <v>79.999999999997996</v>
      </c>
      <c r="C75" s="363">
        <v>38.974640000000001</v>
      </c>
      <c r="D75" s="364">
        <v>-41.025359999998003</v>
      </c>
      <c r="E75" s="370">
        <v>0.48718299999999998</v>
      </c>
      <c r="F75" s="363">
        <v>114.999996377779</v>
      </c>
      <c r="G75" s="364">
        <v>28.749999094444</v>
      </c>
      <c r="H75" s="366">
        <v>10.937480000000001</v>
      </c>
      <c r="I75" s="363">
        <v>24.711680000000001</v>
      </c>
      <c r="J75" s="364">
        <v>-4.0383190944439997</v>
      </c>
      <c r="K75" s="371">
        <v>0.21488418068099999</v>
      </c>
    </row>
    <row r="76" spans="1:11" ht="14.4" customHeight="1" thickBot="1" x14ac:dyDescent="0.35">
      <c r="A76" s="380" t="s">
        <v>313</v>
      </c>
      <c r="B76" s="358">
        <v>0</v>
      </c>
      <c r="C76" s="358">
        <v>4.4089999999999998</v>
      </c>
      <c r="D76" s="359">
        <v>4.4089999999999998</v>
      </c>
      <c r="E76" s="368" t="s">
        <v>243</v>
      </c>
      <c r="F76" s="358">
        <v>0</v>
      </c>
      <c r="G76" s="359">
        <v>0</v>
      </c>
      <c r="H76" s="361">
        <v>0</v>
      </c>
      <c r="I76" s="358">
        <v>0</v>
      </c>
      <c r="J76" s="359">
        <v>0</v>
      </c>
      <c r="K76" s="369" t="s">
        <v>243</v>
      </c>
    </row>
    <row r="77" spans="1:11" ht="14.4" customHeight="1" thickBot="1" x14ac:dyDescent="0.35">
      <c r="A77" s="380" t="s">
        <v>314</v>
      </c>
      <c r="B77" s="358">
        <v>29.999999999999002</v>
      </c>
      <c r="C77" s="358">
        <v>34.565640000000002</v>
      </c>
      <c r="D77" s="359">
        <v>4.5656400000000001</v>
      </c>
      <c r="E77" s="360">
        <v>1.152188</v>
      </c>
      <c r="F77" s="358">
        <v>39.999998740095997</v>
      </c>
      <c r="G77" s="359">
        <v>9.9999996850239992</v>
      </c>
      <c r="H77" s="361">
        <v>10.937480000000001</v>
      </c>
      <c r="I77" s="358">
        <v>20.476680000000002</v>
      </c>
      <c r="J77" s="359">
        <v>10.476680314975001</v>
      </c>
      <c r="K77" s="362">
        <v>0.51191701612399998</v>
      </c>
    </row>
    <row r="78" spans="1:11" ht="14.4" customHeight="1" thickBot="1" x14ac:dyDescent="0.35">
      <c r="A78" s="380" t="s">
        <v>315</v>
      </c>
      <c r="B78" s="358">
        <v>49.999999999998998</v>
      </c>
      <c r="C78" s="358">
        <v>0</v>
      </c>
      <c r="D78" s="359">
        <v>-49.999999999998998</v>
      </c>
      <c r="E78" s="360">
        <v>0</v>
      </c>
      <c r="F78" s="358">
        <v>74.999997637681005</v>
      </c>
      <c r="G78" s="359">
        <v>18.749999409419999</v>
      </c>
      <c r="H78" s="361">
        <v>0</v>
      </c>
      <c r="I78" s="358">
        <v>4.2350000000000003</v>
      </c>
      <c r="J78" s="359">
        <v>-14.51499940942</v>
      </c>
      <c r="K78" s="362">
        <v>5.6466668445E-2</v>
      </c>
    </row>
    <row r="79" spans="1:11" ht="14.4" customHeight="1" thickBot="1" x14ac:dyDescent="0.35">
      <c r="A79" s="377" t="s">
        <v>30</v>
      </c>
      <c r="B79" s="358">
        <v>17309.079657865099</v>
      </c>
      <c r="C79" s="358">
        <v>17122.328819999999</v>
      </c>
      <c r="D79" s="359">
        <v>-186.75083786504501</v>
      </c>
      <c r="E79" s="360">
        <v>0.98921081642899999</v>
      </c>
      <c r="F79" s="358">
        <v>19075.999399152199</v>
      </c>
      <c r="G79" s="359">
        <v>4768.9998497880597</v>
      </c>
      <c r="H79" s="361">
        <v>1352.42103</v>
      </c>
      <c r="I79" s="358">
        <v>4104.4914799999997</v>
      </c>
      <c r="J79" s="359">
        <v>-664.50836978805501</v>
      </c>
      <c r="K79" s="362">
        <v>0.21516521331899999</v>
      </c>
    </row>
    <row r="80" spans="1:11" ht="14.4" customHeight="1" thickBot="1" x14ac:dyDescent="0.35">
      <c r="A80" s="383" t="s">
        <v>316</v>
      </c>
      <c r="B80" s="363">
        <v>13142.9999999998</v>
      </c>
      <c r="C80" s="363">
        <v>12737.364</v>
      </c>
      <c r="D80" s="364">
        <v>-405.63599999975099</v>
      </c>
      <c r="E80" s="370">
        <v>0.96913672677399998</v>
      </c>
      <c r="F80" s="363">
        <v>14490.9995435686</v>
      </c>
      <c r="G80" s="364">
        <v>3622.7498858921499</v>
      </c>
      <c r="H80" s="366">
        <v>1006.847</v>
      </c>
      <c r="I80" s="363">
        <v>3052.0920000000001</v>
      </c>
      <c r="J80" s="364">
        <v>-570.65788589215299</v>
      </c>
      <c r="K80" s="371">
        <v>0.21061983963299999</v>
      </c>
    </row>
    <row r="81" spans="1:11" ht="14.4" customHeight="1" thickBot="1" x14ac:dyDescent="0.35">
      <c r="A81" s="379" t="s">
        <v>317</v>
      </c>
      <c r="B81" s="363">
        <v>11903.9999999998</v>
      </c>
      <c r="C81" s="363">
        <v>11379.76</v>
      </c>
      <c r="D81" s="364">
        <v>-524.23999999977605</v>
      </c>
      <c r="E81" s="370">
        <v>0.95596102150499995</v>
      </c>
      <c r="F81" s="363">
        <v>13099.999587381801</v>
      </c>
      <c r="G81" s="364">
        <v>3274.9998968454402</v>
      </c>
      <c r="H81" s="366">
        <v>882.74800000000005</v>
      </c>
      <c r="I81" s="363">
        <v>2707.2829999999999</v>
      </c>
      <c r="J81" s="364">
        <v>-567.71689684543605</v>
      </c>
      <c r="K81" s="371">
        <v>0.20666283093599999</v>
      </c>
    </row>
    <row r="82" spans="1:11" ht="14.4" customHeight="1" thickBot="1" x14ac:dyDescent="0.35">
      <c r="A82" s="380" t="s">
        <v>318</v>
      </c>
      <c r="B82" s="358">
        <v>11903.9999999998</v>
      </c>
      <c r="C82" s="358">
        <v>11379.76</v>
      </c>
      <c r="D82" s="359">
        <v>-524.23999999977605</v>
      </c>
      <c r="E82" s="360">
        <v>0.95596102150499995</v>
      </c>
      <c r="F82" s="358">
        <v>13099.999587381801</v>
      </c>
      <c r="G82" s="359">
        <v>3274.9998968454402</v>
      </c>
      <c r="H82" s="361">
        <v>882.74800000000005</v>
      </c>
      <c r="I82" s="358">
        <v>2707.2829999999999</v>
      </c>
      <c r="J82" s="359">
        <v>-567.71689684543605</v>
      </c>
      <c r="K82" s="362">
        <v>0.20666283093599999</v>
      </c>
    </row>
    <row r="83" spans="1:11" ht="14.4" customHeight="1" thickBot="1" x14ac:dyDescent="0.35">
      <c r="A83" s="379" t="s">
        <v>319</v>
      </c>
      <c r="B83" s="363">
        <v>1201.99999999998</v>
      </c>
      <c r="C83" s="363">
        <v>1303.2</v>
      </c>
      <c r="D83" s="364">
        <v>101.200000000023</v>
      </c>
      <c r="E83" s="370">
        <v>1.084193011647</v>
      </c>
      <c r="F83" s="363">
        <v>1349.9999574782701</v>
      </c>
      <c r="G83" s="364">
        <v>337.49998936956803</v>
      </c>
      <c r="H83" s="366">
        <v>118.34</v>
      </c>
      <c r="I83" s="363">
        <v>339.05</v>
      </c>
      <c r="J83" s="364">
        <v>1.550010630432</v>
      </c>
      <c r="K83" s="371">
        <v>0.251148156058</v>
      </c>
    </row>
    <row r="84" spans="1:11" ht="14.4" customHeight="1" thickBot="1" x14ac:dyDescent="0.35">
      <c r="A84" s="380" t="s">
        <v>320</v>
      </c>
      <c r="B84" s="358">
        <v>1201.99999999998</v>
      </c>
      <c r="C84" s="358">
        <v>1303.2</v>
      </c>
      <c r="D84" s="359">
        <v>101.200000000023</v>
      </c>
      <c r="E84" s="360">
        <v>1.084193011647</v>
      </c>
      <c r="F84" s="358">
        <v>1349.9999574782701</v>
      </c>
      <c r="G84" s="359">
        <v>337.49998936956803</v>
      </c>
      <c r="H84" s="361">
        <v>118.34</v>
      </c>
      <c r="I84" s="358">
        <v>339.05</v>
      </c>
      <c r="J84" s="359">
        <v>1.550010630432</v>
      </c>
      <c r="K84" s="362">
        <v>0.251148156058</v>
      </c>
    </row>
    <row r="85" spans="1:11" ht="14.4" customHeight="1" thickBot="1" x14ac:dyDescent="0.35">
      <c r="A85" s="379" t="s">
        <v>321</v>
      </c>
      <c r="B85" s="363">
        <v>0</v>
      </c>
      <c r="C85" s="363">
        <v>43.265999999999998</v>
      </c>
      <c r="D85" s="364">
        <v>43.265999999999998</v>
      </c>
      <c r="E85" s="365" t="s">
        <v>271</v>
      </c>
      <c r="F85" s="363">
        <v>0</v>
      </c>
      <c r="G85" s="364">
        <v>0</v>
      </c>
      <c r="H85" s="366">
        <v>0</v>
      </c>
      <c r="I85" s="363">
        <v>0</v>
      </c>
      <c r="J85" s="364">
        <v>0</v>
      </c>
      <c r="K85" s="367" t="s">
        <v>243</v>
      </c>
    </row>
    <row r="86" spans="1:11" ht="14.4" customHeight="1" thickBot="1" x14ac:dyDescent="0.35">
      <c r="A86" s="380" t="s">
        <v>322</v>
      </c>
      <c r="B86" s="358">
        <v>0</v>
      </c>
      <c r="C86" s="358">
        <v>43.265999999999998</v>
      </c>
      <c r="D86" s="359">
        <v>43.265999999999998</v>
      </c>
      <c r="E86" s="368" t="s">
        <v>271</v>
      </c>
      <c r="F86" s="358">
        <v>0</v>
      </c>
      <c r="G86" s="359">
        <v>0</v>
      </c>
      <c r="H86" s="361">
        <v>0</v>
      </c>
      <c r="I86" s="358">
        <v>0</v>
      </c>
      <c r="J86" s="359">
        <v>0</v>
      </c>
      <c r="K86" s="369" t="s">
        <v>243</v>
      </c>
    </row>
    <row r="87" spans="1:11" ht="14.4" customHeight="1" thickBot="1" x14ac:dyDescent="0.35">
      <c r="A87" s="379" t="s">
        <v>323</v>
      </c>
      <c r="B87" s="363">
        <v>36.999999999998998</v>
      </c>
      <c r="C87" s="363">
        <v>11.138</v>
      </c>
      <c r="D87" s="364">
        <v>-25.861999999999</v>
      </c>
      <c r="E87" s="370">
        <v>0.30102702702700002</v>
      </c>
      <c r="F87" s="363">
        <v>40.999998708599001</v>
      </c>
      <c r="G87" s="364">
        <v>10.249999677149001</v>
      </c>
      <c r="H87" s="366">
        <v>5.7590000000000003</v>
      </c>
      <c r="I87" s="363">
        <v>5.7590000000000003</v>
      </c>
      <c r="J87" s="364">
        <v>-4.4909996771490004</v>
      </c>
      <c r="K87" s="371">
        <v>0.140463419058</v>
      </c>
    </row>
    <row r="88" spans="1:11" ht="14.4" customHeight="1" thickBot="1" x14ac:dyDescent="0.35">
      <c r="A88" s="380" t="s">
        <v>324</v>
      </c>
      <c r="B88" s="358">
        <v>36.999999999998998</v>
      </c>
      <c r="C88" s="358">
        <v>11.138</v>
      </c>
      <c r="D88" s="359">
        <v>-25.861999999999</v>
      </c>
      <c r="E88" s="360">
        <v>0.30102702702700002</v>
      </c>
      <c r="F88" s="358">
        <v>40.999998708599001</v>
      </c>
      <c r="G88" s="359">
        <v>10.249999677149001</v>
      </c>
      <c r="H88" s="361">
        <v>5.7590000000000003</v>
      </c>
      <c r="I88" s="358">
        <v>5.7590000000000003</v>
      </c>
      <c r="J88" s="359">
        <v>-4.4909996771490004</v>
      </c>
      <c r="K88" s="362">
        <v>0.140463419058</v>
      </c>
    </row>
    <row r="89" spans="1:11" ht="14.4" customHeight="1" thickBot="1" x14ac:dyDescent="0.35">
      <c r="A89" s="378" t="s">
        <v>325</v>
      </c>
      <c r="B89" s="358">
        <v>4047.0796578652999</v>
      </c>
      <c r="C89" s="358">
        <v>4271.0008399999997</v>
      </c>
      <c r="D89" s="359">
        <v>223.92118213470101</v>
      </c>
      <c r="E89" s="360">
        <v>1.055329077029</v>
      </c>
      <c r="F89" s="358">
        <v>4453.9998597097901</v>
      </c>
      <c r="G89" s="359">
        <v>1113.49996492745</v>
      </c>
      <c r="H89" s="361">
        <v>336.68914000000001</v>
      </c>
      <c r="I89" s="358">
        <v>1025.26919</v>
      </c>
      <c r="J89" s="359">
        <v>-88.230774927447001</v>
      </c>
      <c r="K89" s="362">
        <v>0.230190665086</v>
      </c>
    </row>
    <row r="90" spans="1:11" ht="14.4" customHeight="1" thickBot="1" x14ac:dyDescent="0.35">
      <c r="A90" s="379" t="s">
        <v>326</v>
      </c>
      <c r="B90" s="363">
        <v>1071.0796578653601</v>
      </c>
      <c r="C90" s="363">
        <v>1130.2608</v>
      </c>
      <c r="D90" s="364">
        <v>59.181142134639998</v>
      </c>
      <c r="E90" s="370">
        <v>1.055253726181</v>
      </c>
      <c r="F90" s="363">
        <v>1178.99996286436</v>
      </c>
      <c r="G90" s="364">
        <v>294.74999071608897</v>
      </c>
      <c r="H90" s="366">
        <v>88.917140000000003</v>
      </c>
      <c r="I90" s="363">
        <v>271.18592000000001</v>
      </c>
      <c r="J90" s="364">
        <v>-23.564070716088999</v>
      </c>
      <c r="K90" s="371">
        <v>0.23001351021300001</v>
      </c>
    </row>
    <row r="91" spans="1:11" ht="14.4" customHeight="1" thickBot="1" x14ac:dyDescent="0.35">
      <c r="A91" s="380" t="s">
        <v>327</v>
      </c>
      <c r="B91" s="358">
        <v>1071.0796578653601</v>
      </c>
      <c r="C91" s="358">
        <v>1130.2608</v>
      </c>
      <c r="D91" s="359">
        <v>59.181142134639998</v>
      </c>
      <c r="E91" s="360">
        <v>1.055253726181</v>
      </c>
      <c r="F91" s="358">
        <v>1178.99996286436</v>
      </c>
      <c r="G91" s="359">
        <v>294.74999071608897</v>
      </c>
      <c r="H91" s="361">
        <v>88.917140000000003</v>
      </c>
      <c r="I91" s="358">
        <v>271.18592000000001</v>
      </c>
      <c r="J91" s="359">
        <v>-23.564070716088999</v>
      </c>
      <c r="K91" s="362">
        <v>0.23001351021300001</v>
      </c>
    </row>
    <row r="92" spans="1:11" ht="14.4" customHeight="1" thickBot="1" x14ac:dyDescent="0.35">
      <c r="A92" s="379" t="s">
        <v>328</v>
      </c>
      <c r="B92" s="363">
        <v>2975.99999999994</v>
      </c>
      <c r="C92" s="363">
        <v>3140.7400400000001</v>
      </c>
      <c r="D92" s="364">
        <v>164.74004000006099</v>
      </c>
      <c r="E92" s="370">
        <v>1.0553561962360001</v>
      </c>
      <c r="F92" s="363">
        <v>3274.9998968454402</v>
      </c>
      <c r="G92" s="364">
        <v>818.74997421135902</v>
      </c>
      <c r="H92" s="366">
        <v>247.77199999999999</v>
      </c>
      <c r="I92" s="363">
        <v>754.08327000000099</v>
      </c>
      <c r="J92" s="364">
        <v>-64.666704211357995</v>
      </c>
      <c r="K92" s="371">
        <v>0.23025444083999999</v>
      </c>
    </row>
    <row r="93" spans="1:11" ht="14.4" customHeight="1" thickBot="1" x14ac:dyDescent="0.35">
      <c r="A93" s="380" t="s">
        <v>329</v>
      </c>
      <c r="B93" s="358">
        <v>2975.99999999994</v>
      </c>
      <c r="C93" s="358">
        <v>3140.7400400000001</v>
      </c>
      <c r="D93" s="359">
        <v>164.74004000006099</v>
      </c>
      <c r="E93" s="360">
        <v>1.0553561962360001</v>
      </c>
      <c r="F93" s="358">
        <v>3274.9998968454402</v>
      </c>
      <c r="G93" s="359">
        <v>818.74997421135902</v>
      </c>
      <c r="H93" s="361">
        <v>247.77199999999999</v>
      </c>
      <c r="I93" s="358">
        <v>754.08327000000099</v>
      </c>
      <c r="J93" s="359">
        <v>-64.666704211357995</v>
      </c>
      <c r="K93" s="362">
        <v>0.23025444083999999</v>
      </c>
    </row>
    <row r="94" spans="1:11" ht="14.4" customHeight="1" thickBot="1" x14ac:dyDescent="0.35">
      <c r="A94" s="378" t="s">
        <v>330</v>
      </c>
      <c r="B94" s="358">
        <v>118.999999999998</v>
      </c>
      <c r="C94" s="358">
        <v>113.96398000000001</v>
      </c>
      <c r="D94" s="359">
        <v>-5.0360199999970003</v>
      </c>
      <c r="E94" s="360">
        <v>0.95768050420100004</v>
      </c>
      <c r="F94" s="358">
        <v>130.999995873817</v>
      </c>
      <c r="G94" s="359">
        <v>32.749998968454001</v>
      </c>
      <c r="H94" s="361">
        <v>8.8848900000000004</v>
      </c>
      <c r="I94" s="358">
        <v>27.130289999999999</v>
      </c>
      <c r="J94" s="359">
        <v>-5.6197089684539998</v>
      </c>
      <c r="K94" s="362">
        <v>0.207101456904</v>
      </c>
    </row>
    <row r="95" spans="1:11" ht="14.4" customHeight="1" thickBot="1" x14ac:dyDescent="0.35">
      <c r="A95" s="379" t="s">
        <v>331</v>
      </c>
      <c r="B95" s="363">
        <v>118.999999999998</v>
      </c>
      <c r="C95" s="363">
        <v>113.96398000000001</v>
      </c>
      <c r="D95" s="364">
        <v>-5.0360199999970003</v>
      </c>
      <c r="E95" s="370">
        <v>0.95768050420100004</v>
      </c>
      <c r="F95" s="363">
        <v>130.999995873817</v>
      </c>
      <c r="G95" s="364">
        <v>32.749998968454001</v>
      </c>
      <c r="H95" s="366">
        <v>8.8848900000000004</v>
      </c>
      <c r="I95" s="363">
        <v>27.130289999999999</v>
      </c>
      <c r="J95" s="364">
        <v>-5.6197089684539998</v>
      </c>
      <c r="K95" s="371">
        <v>0.207101456904</v>
      </c>
    </row>
    <row r="96" spans="1:11" ht="14.4" customHeight="1" thickBot="1" x14ac:dyDescent="0.35">
      <c r="A96" s="380" t="s">
        <v>332</v>
      </c>
      <c r="B96" s="358">
        <v>118.999999999998</v>
      </c>
      <c r="C96" s="358">
        <v>113.96398000000001</v>
      </c>
      <c r="D96" s="359">
        <v>-5.0360199999970003</v>
      </c>
      <c r="E96" s="360">
        <v>0.95768050420100004</v>
      </c>
      <c r="F96" s="358">
        <v>130.999995873817</v>
      </c>
      <c r="G96" s="359">
        <v>32.749998968454001</v>
      </c>
      <c r="H96" s="361">
        <v>8.8848900000000004</v>
      </c>
      <c r="I96" s="358">
        <v>27.130289999999999</v>
      </c>
      <c r="J96" s="359">
        <v>-5.6197089684539998</v>
      </c>
      <c r="K96" s="362">
        <v>0.207101456904</v>
      </c>
    </row>
    <row r="97" spans="1:11" ht="14.4" customHeight="1" thickBot="1" x14ac:dyDescent="0.35">
      <c r="A97" s="377" t="s">
        <v>333</v>
      </c>
      <c r="B97" s="358">
        <v>34.876325088338</v>
      </c>
      <c r="C97" s="358">
        <v>76.518749999999997</v>
      </c>
      <c r="D97" s="359">
        <v>41.642424911661003</v>
      </c>
      <c r="E97" s="360">
        <v>2.1940026595740001</v>
      </c>
      <c r="F97" s="358">
        <v>0</v>
      </c>
      <c r="G97" s="359">
        <v>0</v>
      </c>
      <c r="H97" s="361">
        <v>6.734</v>
      </c>
      <c r="I97" s="358">
        <v>20.434000000000001</v>
      </c>
      <c r="J97" s="359">
        <v>20.434000000000001</v>
      </c>
      <c r="K97" s="369" t="s">
        <v>243</v>
      </c>
    </row>
    <row r="98" spans="1:11" ht="14.4" customHeight="1" thickBot="1" x14ac:dyDescent="0.35">
      <c r="A98" s="378" t="s">
        <v>334</v>
      </c>
      <c r="B98" s="358">
        <v>34.876325088338</v>
      </c>
      <c r="C98" s="358">
        <v>76.518749999999997</v>
      </c>
      <c r="D98" s="359">
        <v>41.642424911661003</v>
      </c>
      <c r="E98" s="360">
        <v>2.1940026595740001</v>
      </c>
      <c r="F98" s="358">
        <v>0</v>
      </c>
      <c r="G98" s="359">
        <v>0</v>
      </c>
      <c r="H98" s="361">
        <v>6.734</v>
      </c>
      <c r="I98" s="358">
        <v>20.434000000000001</v>
      </c>
      <c r="J98" s="359">
        <v>20.434000000000001</v>
      </c>
      <c r="K98" s="369" t="s">
        <v>243</v>
      </c>
    </row>
    <row r="99" spans="1:11" ht="14.4" customHeight="1" thickBot="1" x14ac:dyDescent="0.35">
      <c r="A99" s="379" t="s">
        <v>335</v>
      </c>
      <c r="B99" s="363">
        <v>0</v>
      </c>
      <c r="C99" s="363">
        <v>21.818000000000001</v>
      </c>
      <c r="D99" s="364">
        <v>21.818000000000001</v>
      </c>
      <c r="E99" s="365" t="s">
        <v>243</v>
      </c>
      <c r="F99" s="363">
        <v>0</v>
      </c>
      <c r="G99" s="364">
        <v>0</v>
      </c>
      <c r="H99" s="366">
        <v>6.734</v>
      </c>
      <c r="I99" s="363">
        <v>11.734</v>
      </c>
      <c r="J99" s="364">
        <v>11.734</v>
      </c>
      <c r="K99" s="367" t="s">
        <v>243</v>
      </c>
    </row>
    <row r="100" spans="1:11" ht="14.4" customHeight="1" thickBot="1" x14ac:dyDescent="0.35">
      <c r="A100" s="380" t="s">
        <v>336</v>
      </c>
      <c r="B100" s="358">
        <v>0</v>
      </c>
      <c r="C100" s="358">
        <v>-3.2919999999999998</v>
      </c>
      <c r="D100" s="359">
        <v>-3.2919999999999998</v>
      </c>
      <c r="E100" s="368" t="s">
        <v>271</v>
      </c>
      <c r="F100" s="358">
        <v>0</v>
      </c>
      <c r="G100" s="359">
        <v>0</v>
      </c>
      <c r="H100" s="361">
        <v>0</v>
      </c>
      <c r="I100" s="358">
        <v>0</v>
      </c>
      <c r="J100" s="359">
        <v>0</v>
      </c>
      <c r="K100" s="369" t="s">
        <v>243</v>
      </c>
    </row>
    <row r="101" spans="1:11" ht="14.4" customHeight="1" thickBot="1" x14ac:dyDescent="0.35">
      <c r="A101" s="380" t="s">
        <v>337</v>
      </c>
      <c r="B101" s="358">
        <v>0</v>
      </c>
      <c r="C101" s="358">
        <v>0</v>
      </c>
      <c r="D101" s="359">
        <v>0</v>
      </c>
      <c r="E101" s="360">
        <v>1</v>
      </c>
      <c r="F101" s="358">
        <v>0</v>
      </c>
      <c r="G101" s="359">
        <v>0</v>
      </c>
      <c r="H101" s="361">
        <v>6.5339999999999998</v>
      </c>
      <c r="I101" s="358">
        <v>11.534000000000001</v>
      </c>
      <c r="J101" s="359">
        <v>11.534000000000001</v>
      </c>
      <c r="K101" s="369" t="s">
        <v>271</v>
      </c>
    </row>
    <row r="102" spans="1:11" ht="14.4" customHeight="1" thickBot="1" x14ac:dyDescent="0.35">
      <c r="A102" s="380" t="s">
        <v>338</v>
      </c>
      <c r="B102" s="358">
        <v>0</v>
      </c>
      <c r="C102" s="358">
        <v>23.6</v>
      </c>
      <c r="D102" s="359">
        <v>23.6</v>
      </c>
      <c r="E102" s="368" t="s">
        <v>243</v>
      </c>
      <c r="F102" s="358">
        <v>0</v>
      </c>
      <c r="G102" s="359">
        <v>0</v>
      </c>
      <c r="H102" s="361">
        <v>0</v>
      </c>
      <c r="I102" s="358">
        <v>0</v>
      </c>
      <c r="J102" s="359">
        <v>0</v>
      </c>
      <c r="K102" s="369" t="s">
        <v>243</v>
      </c>
    </row>
    <row r="103" spans="1:11" ht="14.4" customHeight="1" thickBot="1" x14ac:dyDescent="0.35">
      <c r="A103" s="380" t="s">
        <v>339</v>
      </c>
      <c r="B103" s="358">
        <v>0</v>
      </c>
      <c r="C103" s="358">
        <v>1.51</v>
      </c>
      <c r="D103" s="359">
        <v>1.51</v>
      </c>
      <c r="E103" s="368" t="s">
        <v>243</v>
      </c>
      <c r="F103" s="358">
        <v>0</v>
      </c>
      <c r="G103" s="359">
        <v>0</v>
      </c>
      <c r="H103" s="361">
        <v>0.2</v>
      </c>
      <c r="I103" s="358">
        <v>0.2</v>
      </c>
      <c r="J103" s="359">
        <v>0.2</v>
      </c>
      <c r="K103" s="369" t="s">
        <v>243</v>
      </c>
    </row>
    <row r="104" spans="1:11" ht="14.4" customHeight="1" thickBot="1" x14ac:dyDescent="0.35">
      <c r="A104" s="379" t="s">
        <v>340</v>
      </c>
      <c r="B104" s="363">
        <v>34.876325088338</v>
      </c>
      <c r="C104" s="363">
        <v>39</v>
      </c>
      <c r="D104" s="364">
        <v>4.1236749116610003</v>
      </c>
      <c r="E104" s="370">
        <v>1.1182370820659999</v>
      </c>
      <c r="F104" s="363">
        <v>0</v>
      </c>
      <c r="G104" s="364">
        <v>0</v>
      </c>
      <c r="H104" s="366">
        <v>0</v>
      </c>
      <c r="I104" s="363">
        <v>5.8</v>
      </c>
      <c r="J104" s="364">
        <v>5.8</v>
      </c>
      <c r="K104" s="367" t="s">
        <v>243</v>
      </c>
    </row>
    <row r="105" spans="1:11" ht="14.4" customHeight="1" thickBot="1" x14ac:dyDescent="0.35">
      <c r="A105" s="380" t="s">
        <v>341</v>
      </c>
      <c r="B105" s="358">
        <v>34.876325088338</v>
      </c>
      <c r="C105" s="358">
        <v>39</v>
      </c>
      <c r="D105" s="359">
        <v>4.1236749116610003</v>
      </c>
      <c r="E105" s="360">
        <v>1.1182370820659999</v>
      </c>
      <c r="F105" s="358">
        <v>0</v>
      </c>
      <c r="G105" s="359">
        <v>0</v>
      </c>
      <c r="H105" s="361">
        <v>0</v>
      </c>
      <c r="I105" s="358">
        <v>5.8</v>
      </c>
      <c r="J105" s="359">
        <v>5.8</v>
      </c>
      <c r="K105" s="369" t="s">
        <v>243</v>
      </c>
    </row>
    <row r="106" spans="1:11" ht="14.4" customHeight="1" thickBot="1" x14ac:dyDescent="0.35">
      <c r="A106" s="379" t="s">
        <v>342</v>
      </c>
      <c r="B106" s="363">
        <v>0</v>
      </c>
      <c r="C106" s="363">
        <v>0.4</v>
      </c>
      <c r="D106" s="364">
        <v>0.4</v>
      </c>
      <c r="E106" s="365" t="s">
        <v>243</v>
      </c>
      <c r="F106" s="363">
        <v>0</v>
      </c>
      <c r="G106" s="364">
        <v>0</v>
      </c>
      <c r="H106" s="366">
        <v>0</v>
      </c>
      <c r="I106" s="363">
        <v>0</v>
      </c>
      <c r="J106" s="364">
        <v>0</v>
      </c>
      <c r="K106" s="371">
        <v>3</v>
      </c>
    </row>
    <row r="107" spans="1:11" ht="14.4" customHeight="1" thickBot="1" x14ac:dyDescent="0.35">
      <c r="A107" s="380" t="s">
        <v>343</v>
      </c>
      <c r="B107" s="358">
        <v>0</v>
      </c>
      <c r="C107" s="358">
        <v>0.4</v>
      </c>
      <c r="D107" s="359">
        <v>0.4</v>
      </c>
      <c r="E107" s="368" t="s">
        <v>243</v>
      </c>
      <c r="F107" s="358">
        <v>0</v>
      </c>
      <c r="G107" s="359">
        <v>0</v>
      </c>
      <c r="H107" s="361">
        <v>0</v>
      </c>
      <c r="I107" s="358">
        <v>0</v>
      </c>
      <c r="J107" s="359">
        <v>0</v>
      </c>
      <c r="K107" s="362">
        <v>3</v>
      </c>
    </row>
    <row r="108" spans="1:11" ht="14.4" customHeight="1" thickBot="1" x14ac:dyDescent="0.35">
      <c r="A108" s="382" t="s">
        <v>344</v>
      </c>
      <c r="B108" s="358">
        <v>0</v>
      </c>
      <c r="C108" s="358">
        <v>5.9630000000000001</v>
      </c>
      <c r="D108" s="359">
        <v>5.9630000000000001</v>
      </c>
      <c r="E108" s="368" t="s">
        <v>243</v>
      </c>
      <c r="F108" s="358">
        <v>0</v>
      </c>
      <c r="G108" s="359">
        <v>0</v>
      </c>
      <c r="H108" s="361">
        <v>0</v>
      </c>
      <c r="I108" s="358">
        <v>0</v>
      </c>
      <c r="J108" s="359">
        <v>0</v>
      </c>
      <c r="K108" s="369" t="s">
        <v>243</v>
      </c>
    </row>
    <row r="109" spans="1:11" ht="14.4" customHeight="1" thickBot="1" x14ac:dyDescent="0.35">
      <c r="A109" s="380" t="s">
        <v>345</v>
      </c>
      <c r="B109" s="358">
        <v>0</v>
      </c>
      <c r="C109" s="358">
        <v>5.9630000000000001</v>
      </c>
      <c r="D109" s="359">
        <v>5.9630000000000001</v>
      </c>
      <c r="E109" s="368" t="s">
        <v>243</v>
      </c>
      <c r="F109" s="358">
        <v>0</v>
      </c>
      <c r="G109" s="359">
        <v>0</v>
      </c>
      <c r="H109" s="361">
        <v>0</v>
      </c>
      <c r="I109" s="358">
        <v>0</v>
      </c>
      <c r="J109" s="359">
        <v>0</v>
      </c>
      <c r="K109" s="369" t="s">
        <v>243</v>
      </c>
    </row>
    <row r="110" spans="1:11" ht="14.4" customHeight="1" thickBot="1" x14ac:dyDescent="0.35">
      <c r="A110" s="379" t="s">
        <v>346</v>
      </c>
      <c r="B110" s="363">
        <v>0</v>
      </c>
      <c r="C110" s="363">
        <v>1.33775</v>
      </c>
      <c r="D110" s="364">
        <v>1.33775</v>
      </c>
      <c r="E110" s="365" t="s">
        <v>271</v>
      </c>
      <c r="F110" s="363">
        <v>0</v>
      </c>
      <c r="G110" s="364">
        <v>0</v>
      </c>
      <c r="H110" s="366">
        <v>0</v>
      </c>
      <c r="I110" s="363">
        <v>0</v>
      </c>
      <c r="J110" s="364">
        <v>0</v>
      </c>
      <c r="K110" s="367" t="s">
        <v>243</v>
      </c>
    </row>
    <row r="111" spans="1:11" ht="14.4" customHeight="1" thickBot="1" x14ac:dyDescent="0.35">
      <c r="A111" s="380" t="s">
        <v>347</v>
      </c>
      <c r="B111" s="358">
        <v>0</v>
      </c>
      <c r="C111" s="358">
        <v>1.33775</v>
      </c>
      <c r="D111" s="359">
        <v>1.33775</v>
      </c>
      <c r="E111" s="368" t="s">
        <v>271</v>
      </c>
      <c r="F111" s="358">
        <v>0</v>
      </c>
      <c r="G111" s="359">
        <v>0</v>
      </c>
      <c r="H111" s="361">
        <v>0</v>
      </c>
      <c r="I111" s="358">
        <v>0</v>
      </c>
      <c r="J111" s="359">
        <v>0</v>
      </c>
      <c r="K111" s="369" t="s">
        <v>243</v>
      </c>
    </row>
    <row r="112" spans="1:11" ht="14.4" customHeight="1" thickBot="1" x14ac:dyDescent="0.35">
      <c r="A112" s="382" t="s">
        <v>348</v>
      </c>
      <c r="B112" s="358">
        <v>0</v>
      </c>
      <c r="C112" s="358">
        <v>2</v>
      </c>
      <c r="D112" s="359">
        <v>2</v>
      </c>
      <c r="E112" s="368" t="s">
        <v>243</v>
      </c>
      <c r="F112" s="358">
        <v>0</v>
      </c>
      <c r="G112" s="359">
        <v>0</v>
      </c>
      <c r="H112" s="361">
        <v>0</v>
      </c>
      <c r="I112" s="358">
        <v>2.9</v>
      </c>
      <c r="J112" s="359">
        <v>2.9</v>
      </c>
      <c r="K112" s="369" t="s">
        <v>243</v>
      </c>
    </row>
    <row r="113" spans="1:11" ht="14.4" customHeight="1" thickBot="1" x14ac:dyDescent="0.35">
      <c r="A113" s="380" t="s">
        <v>349</v>
      </c>
      <c r="B113" s="358">
        <v>0</v>
      </c>
      <c r="C113" s="358">
        <v>2</v>
      </c>
      <c r="D113" s="359">
        <v>2</v>
      </c>
      <c r="E113" s="368" t="s">
        <v>243</v>
      </c>
      <c r="F113" s="358">
        <v>0</v>
      </c>
      <c r="G113" s="359">
        <v>0</v>
      </c>
      <c r="H113" s="361">
        <v>0</v>
      </c>
      <c r="I113" s="358">
        <v>2.9</v>
      </c>
      <c r="J113" s="359">
        <v>2.9</v>
      </c>
      <c r="K113" s="369" t="s">
        <v>243</v>
      </c>
    </row>
    <row r="114" spans="1:11" ht="14.4" customHeight="1" thickBot="1" x14ac:dyDescent="0.35">
      <c r="A114" s="382" t="s">
        <v>350</v>
      </c>
      <c r="B114" s="358">
        <v>0</v>
      </c>
      <c r="C114" s="358">
        <v>6</v>
      </c>
      <c r="D114" s="359">
        <v>6</v>
      </c>
      <c r="E114" s="368" t="s">
        <v>243</v>
      </c>
      <c r="F114" s="358">
        <v>0</v>
      </c>
      <c r="G114" s="359">
        <v>0</v>
      </c>
      <c r="H114" s="361">
        <v>0</v>
      </c>
      <c r="I114" s="358">
        <v>0</v>
      </c>
      <c r="J114" s="359">
        <v>0</v>
      </c>
      <c r="K114" s="369" t="s">
        <v>243</v>
      </c>
    </row>
    <row r="115" spans="1:11" ht="14.4" customHeight="1" thickBot="1" x14ac:dyDescent="0.35">
      <c r="A115" s="380" t="s">
        <v>351</v>
      </c>
      <c r="B115" s="358">
        <v>0</v>
      </c>
      <c r="C115" s="358">
        <v>6</v>
      </c>
      <c r="D115" s="359">
        <v>6</v>
      </c>
      <c r="E115" s="368" t="s">
        <v>243</v>
      </c>
      <c r="F115" s="358">
        <v>0</v>
      </c>
      <c r="G115" s="359">
        <v>0</v>
      </c>
      <c r="H115" s="361">
        <v>0</v>
      </c>
      <c r="I115" s="358">
        <v>0</v>
      </c>
      <c r="J115" s="359">
        <v>0</v>
      </c>
      <c r="K115" s="369" t="s">
        <v>243</v>
      </c>
    </row>
    <row r="116" spans="1:11" ht="14.4" customHeight="1" thickBot="1" x14ac:dyDescent="0.35">
      <c r="A116" s="377" t="s">
        <v>352</v>
      </c>
      <c r="B116" s="358">
        <v>1663.9999205404099</v>
      </c>
      <c r="C116" s="358">
        <v>1724.6339499999999</v>
      </c>
      <c r="D116" s="359">
        <v>60.634029459588</v>
      </c>
      <c r="E116" s="360">
        <v>1.0364387213670001</v>
      </c>
      <c r="F116" s="358">
        <v>1687.99994683206</v>
      </c>
      <c r="G116" s="359">
        <v>421.999986708015</v>
      </c>
      <c r="H116" s="361">
        <v>140.679</v>
      </c>
      <c r="I116" s="358">
        <v>422.03699999999998</v>
      </c>
      <c r="J116" s="359">
        <v>3.7013291985000002E-2</v>
      </c>
      <c r="K116" s="362">
        <v>0.25002192730599998</v>
      </c>
    </row>
    <row r="117" spans="1:11" ht="14.4" customHeight="1" thickBot="1" x14ac:dyDescent="0.35">
      <c r="A117" s="378" t="s">
        <v>353</v>
      </c>
      <c r="B117" s="358">
        <v>1663.9999205404099</v>
      </c>
      <c r="C117" s="358">
        <v>1715.617</v>
      </c>
      <c r="D117" s="359">
        <v>51.617079459587998</v>
      </c>
      <c r="E117" s="360">
        <v>1.0310198809640001</v>
      </c>
      <c r="F117" s="358">
        <v>1687.99994683206</v>
      </c>
      <c r="G117" s="359">
        <v>421.999986708015</v>
      </c>
      <c r="H117" s="361">
        <v>140.679</v>
      </c>
      <c r="I117" s="358">
        <v>422.03699999999998</v>
      </c>
      <c r="J117" s="359">
        <v>3.7013291985000002E-2</v>
      </c>
      <c r="K117" s="362">
        <v>0.25002192730599998</v>
      </c>
    </row>
    <row r="118" spans="1:11" ht="14.4" customHeight="1" thickBot="1" x14ac:dyDescent="0.35">
      <c r="A118" s="379" t="s">
        <v>354</v>
      </c>
      <c r="B118" s="363">
        <v>1663.9999205404099</v>
      </c>
      <c r="C118" s="363">
        <v>1715.617</v>
      </c>
      <c r="D118" s="364">
        <v>51.617079459587998</v>
      </c>
      <c r="E118" s="370">
        <v>1.0310198809640001</v>
      </c>
      <c r="F118" s="363">
        <v>1687.99994683206</v>
      </c>
      <c r="G118" s="364">
        <v>421.999986708015</v>
      </c>
      <c r="H118" s="366">
        <v>140.679</v>
      </c>
      <c r="I118" s="363">
        <v>422.03699999999998</v>
      </c>
      <c r="J118" s="364">
        <v>3.7013291985000002E-2</v>
      </c>
      <c r="K118" s="371">
        <v>0.25002192730599998</v>
      </c>
    </row>
    <row r="119" spans="1:11" ht="14.4" customHeight="1" thickBot="1" x14ac:dyDescent="0.35">
      <c r="A119" s="380" t="s">
        <v>355</v>
      </c>
      <c r="B119" s="358">
        <v>1.999920540443</v>
      </c>
      <c r="C119" s="358">
        <v>1.728</v>
      </c>
      <c r="D119" s="359">
        <v>-0.27192054044300001</v>
      </c>
      <c r="E119" s="360">
        <v>0.86403432789199996</v>
      </c>
      <c r="F119" s="358">
        <v>1.999999937004</v>
      </c>
      <c r="G119" s="359">
        <v>0.49999998425100001</v>
      </c>
      <c r="H119" s="361">
        <v>0.14399999999999999</v>
      </c>
      <c r="I119" s="358">
        <v>0.432</v>
      </c>
      <c r="J119" s="359">
        <v>-6.7999984250999998E-2</v>
      </c>
      <c r="K119" s="362">
        <v>0.21600000680299999</v>
      </c>
    </row>
    <row r="120" spans="1:11" ht="14.4" customHeight="1" thickBot="1" x14ac:dyDescent="0.35">
      <c r="A120" s="380" t="s">
        <v>356</v>
      </c>
      <c r="B120" s="358">
        <v>1661.99999999997</v>
      </c>
      <c r="C120" s="358">
        <v>1713.577</v>
      </c>
      <c r="D120" s="359">
        <v>51.577000000030999</v>
      </c>
      <c r="E120" s="360">
        <v>1.0310330926589999</v>
      </c>
      <c r="F120" s="358">
        <v>1685.99994689505</v>
      </c>
      <c r="G120" s="359">
        <v>421.49998672376302</v>
      </c>
      <c r="H120" s="361">
        <v>140.50899999999999</v>
      </c>
      <c r="I120" s="358">
        <v>421.52699999999999</v>
      </c>
      <c r="J120" s="359">
        <v>2.7013276236E-2</v>
      </c>
      <c r="K120" s="362">
        <v>0.25001602210899998</v>
      </c>
    </row>
    <row r="121" spans="1:11" ht="14.4" customHeight="1" thickBot="1" x14ac:dyDescent="0.35">
      <c r="A121" s="380" t="s">
        <v>357</v>
      </c>
      <c r="B121" s="358">
        <v>0</v>
      </c>
      <c r="C121" s="358">
        <v>0.312</v>
      </c>
      <c r="D121" s="359">
        <v>0.312</v>
      </c>
      <c r="E121" s="368" t="s">
        <v>243</v>
      </c>
      <c r="F121" s="358">
        <v>0</v>
      </c>
      <c r="G121" s="359">
        <v>0</v>
      </c>
      <c r="H121" s="361">
        <v>2.5999999999999999E-2</v>
      </c>
      <c r="I121" s="358">
        <v>7.8E-2</v>
      </c>
      <c r="J121" s="359">
        <v>7.8E-2</v>
      </c>
      <c r="K121" s="369" t="s">
        <v>243</v>
      </c>
    </row>
    <row r="122" spans="1:11" ht="14.4" customHeight="1" thickBot="1" x14ac:dyDescent="0.35">
      <c r="A122" s="378" t="s">
        <v>358</v>
      </c>
      <c r="B122" s="358">
        <v>0</v>
      </c>
      <c r="C122" s="358">
        <v>9.0169499999999996</v>
      </c>
      <c r="D122" s="359">
        <v>9.0169499999999996</v>
      </c>
      <c r="E122" s="368" t="s">
        <v>243</v>
      </c>
      <c r="F122" s="358">
        <v>0</v>
      </c>
      <c r="G122" s="359">
        <v>0</v>
      </c>
      <c r="H122" s="361">
        <v>0</v>
      </c>
      <c r="I122" s="358">
        <v>0</v>
      </c>
      <c r="J122" s="359">
        <v>0</v>
      </c>
      <c r="K122" s="369" t="s">
        <v>243</v>
      </c>
    </row>
    <row r="123" spans="1:11" ht="14.4" customHeight="1" thickBot="1" x14ac:dyDescent="0.35">
      <c r="A123" s="379" t="s">
        <v>359</v>
      </c>
      <c r="B123" s="363">
        <v>0</v>
      </c>
      <c r="C123" s="363">
        <v>9.0169499999999996</v>
      </c>
      <c r="D123" s="364">
        <v>9.0169499999999996</v>
      </c>
      <c r="E123" s="365" t="s">
        <v>271</v>
      </c>
      <c r="F123" s="363">
        <v>0</v>
      </c>
      <c r="G123" s="364">
        <v>0</v>
      </c>
      <c r="H123" s="366">
        <v>0</v>
      </c>
      <c r="I123" s="363">
        <v>0</v>
      </c>
      <c r="J123" s="364">
        <v>0</v>
      </c>
      <c r="K123" s="367" t="s">
        <v>243</v>
      </c>
    </row>
    <row r="124" spans="1:11" ht="14.4" customHeight="1" thickBot="1" x14ac:dyDescent="0.35">
      <c r="A124" s="380" t="s">
        <v>360</v>
      </c>
      <c r="B124" s="358">
        <v>0</v>
      </c>
      <c r="C124" s="358">
        <v>9.0169499999999996</v>
      </c>
      <c r="D124" s="359">
        <v>9.0169499999999996</v>
      </c>
      <c r="E124" s="368" t="s">
        <v>271</v>
      </c>
      <c r="F124" s="358">
        <v>0</v>
      </c>
      <c r="G124" s="359">
        <v>0</v>
      </c>
      <c r="H124" s="361">
        <v>0</v>
      </c>
      <c r="I124" s="358">
        <v>0</v>
      </c>
      <c r="J124" s="359">
        <v>0</v>
      </c>
      <c r="K124" s="369" t="s">
        <v>243</v>
      </c>
    </row>
    <row r="125" spans="1:11" ht="14.4" customHeight="1" thickBot="1" x14ac:dyDescent="0.35">
      <c r="A125" s="377" t="s">
        <v>361</v>
      </c>
      <c r="B125" s="358">
        <v>0</v>
      </c>
      <c r="C125" s="358">
        <v>0.23225000000000001</v>
      </c>
      <c r="D125" s="359">
        <v>0.23225000000000001</v>
      </c>
      <c r="E125" s="368" t="s">
        <v>243</v>
      </c>
      <c r="F125" s="358">
        <v>0</v>
      </c>
      <c r="G125" s="359">
        <v>0</v>
      </c>
      <c r="H125" s="361">
        <v>8.9149999999999993E-2</v>
      </c>
      <c r="I125" s="358">
        <v>0.17041999999999999</v>
      </c>
      <c r="J125" s="359">
        <v>0.17041999999999999</v>
      </c>
      <c r="K125" s="369" t="s">
        <v>271</v>
      </c>
    </row>
    <row r="126" spans="1:11" ht="14.4" customHeight="1" thickBot="1" x14ac:dyDescent="0.35">
      <c r="A126" s="378" t="s">
        <v>362</v>
      </c>
      <c r="B126" s="358">
        <v>0</v>
      </c>
      <c r="C126" s="358">
        <v>0.23225000000000001</v>
      </c>
      <c r="D126" s="359">
        <v>0.23225000000000001</v>
      </c>
      <c r="E126" s="368" t="s">
        <v>243</v>
      </c>
      <c r="F126" s="358">
        <v>0</v>
      </c>
      <c r="G126" s="359">
        <v>0</v>
      </c>
      <c r="H126" s="361">
        <v>8.9149999999999993E-2</v>
      </c>
      <c r="I126" s="358">
        <v>0.17041999999999999</v>
      </c>
      <c r="J126" s="359">
        <v>0.17041999999999999</v>
      </c>
      <c r="K126" s="369" t="s">
        <v>271</v>
      </c>
    </row>
    <row r="127" spans="1:11" ht="14.4" customHeight="1" thickBot="1" x14ac:dyDescent="0.35">
      <c r="A127" s="379" t="s">
        <v>363</v>
      </c>
      <c r="B127" s="363">
        <v>0</v>
      </c>
      <c r="C127" s="363">
        <v>0.23225000000000001</v>
      </c>
      <c r="D127" s="364">
        <v>0.23225000000000001</v>
      </c>
      <c r="E127" s="365" t="s">
        <v>243</v>
      </c>
      <c r="F127" s="363">
        <v>0</v>
      </c>
      <c r="G127" s="364">
        <v>0</v>
      </c>
      <c r="H127" s="366">
        <v>8.9149999999999993E-2</v>
      </c>
      <c r="I127" s="363">
        <v>0.17041999999999999</v>
      </c>
      <c r="J127" s="364">
        <v>0.17041999999999999</v>
      </c>
      <c r="K127" s="367" t="s">
        <v>271</v>
      </c>
    </row>
    <row r="128" spans="1:11" ht="14.4" customHeight="1" thickBot="1" x14ac:dyDescent="0.35">
      <c r="A128" s="380" t="s">
        <v>364</v>
      </c>
      <c r="B128" s="358">
        <v>0</v>
      </c>
      <c r="C128" s="358">
        <v>0.23225000000000001</v>
      </c>
      <c r="D128" s="359">
        <v>0.23225000000000001</v>
      </c>
      <c r="E128" s="368" t="s">
        <v>243</v>
      </c>
      <c r="F128" s="358">
        <v>0</v>
      </c>
      <c r="G128" s="359">
        <v>0</v>
      </c>
      <c r="H128" s="361">
        <v>8.9149999999999993E-2</v>
      </c>
      <c r="I128" s="358">
        <v>0.17041999999999999</v>
      </c>
      <c r="J128" s="359">
        <v>0.17041999999999999</v>
      </c>
      <c r="K128" s="369" t="s">
        <v>271</v>
      </c>
    </row>
    <row r="129" spans="1:11" ht="14.4" customHeight="1" thickBot="1" x14ac:dyDescent="0.35">
      <c r="A129" s="376" t="s">
        <v>365</v>
      </c>
      <c r="B129" s="358">
        <v>21713.570643185602</v>
      </c>
      <c r="C129" s="358">
        <v>23264.147499999999</v>
      </c>
      <c r="D129" s="359">
        <v>1550.5768568143999</v>
      </c>
      <c r="E129" s="360">
        <v>1.0714104963340001</v>
      </c>
      <c r="F129" s="358">
        <v>23275.8821712391</v>
      </c>
      <c r="G129" s="359">
        <v>5818.9705428097805</v>
      </c>
      <c r="H129" s="361">
        <v>1699.0532499999999</v>
      </c>
      <c r="I129" s="358">
        <v>6418.9318999999996</v>
      </c>
      <c r="J129" s="359">
        <v>599.961357190223</v>
      </c>
      <c r="K129" s="362">
        <v>0.275776095306</v>
      </c>
    </row>
    <row r="130" spans="1:11" ht="14.4" customHeight="1" thickBot="1" x14ac:dyDescent="0.35">
      <c r="A130" s="377" t="s">
        <v>366</v>
      </c>
      <c r="B130" s="358">
        <v>21608.098796025901</v>
      </c>
      <c r="C130" s="358">
        <v>23163.267589999999</v>
      </c>
      <c r="D130" s="359">
        <v>1555.16879397408</v>
      </c>
      <c r="E130" s="360">
        <v>1.071971569949</v>
      </c>
      <c r="F130" s="358">
        <v>23214.3826175465</v>
      </c>
      <c r="G130" s="359">
        <v>5803.5956543866296</v>
      </c>
      <c r="H130" s="361">
        <v>1697.14492</v>
      </c>
      <c r="I130" s="358">
        <v>6416.7933199999998</v>
      </c>
      <c r="J130" s="359">
        <v>613.19766561336803</v>
      </c>
      <c r="K130" s="362">
        <v>0.27641455841000001</v>
      </c>
    </row>
    <row r="131" spans="1:11" ht="14.4" customHeight="1" thickBot="1" x14ac:dyDescent="0.35">
      <c r="A131" s="378" t="s">
        <v>367</v>
      </c>
      <c r="B131" s="358">
        <v>20103.0239707742</v>
      </c>
      <c r="C131" s="358">
        <v>21406.2336</v>
      </c>
      <c r="D131" s="359">
        <v>1303.20962922581</v>
      </c>
      <c r="E131" s="360">
        <v>1.0648265470460001</v>
      </c>
      <c r="F131" s="358">
        <v>21464.9378616416</v>
      </c>
      <c r="G131" s="359">
        <v>5366.2344654103899</v>
      </c>
      <c r="H131" s="361">
        <v>1564.66849</v>
      </c>
      <c r="I131" s="358">
        <v>5827.5927199999996</v>
      </c>
      <c r="J131" s="359">
        <v>461.35825458961</v>
      </c>
      <c r="K131" s="362">
        <v>0.27149357512900002</v>
      </c>
    </row>
    <row r="132" spans="1:11" ht="14.4" customHeight="1" thickBot="1" x14ac:dyDescent="0.35">
      <c r="A132" s="379" t="s">
        <v>368</v>
      </c>
      <c r="B132" s="363">
        <v>1007.04727849767</v>
      </c>
      <c r="C132" s="363">
        <v>988.81303000000003</v>
      </c>
      <c r="D132" s="364">
        <v>-18.234248497673999</v>
      </c>
      <c r="E132" s="370">
        <v>0.98189335407800005</v>
      </c>
      <c r="F132" s="363">
        <v>880.93786163617995</v>
      </c>
      <c r="G132" s="364">
        <v>220.23446540904499</v>
      </c>
      <c r="H132" s="366">
        <v>78.246139999999997</v>
      </c>
      <c r="I132" s="363">
        <v>225.42357000000001</v>
      </c>
      <c r="J132" s="364">
        <v>5.189104590955</v>
      </c>
      <c r="K132" s="371">
        <v>0.25589043202299999</v>
      </c>
    </row>
    <row r="133" spans="1:11" ht="14.4" customHeight="1" thickBot="1" x14ac:dyDescent="0.35">
      <c r="A133" s="380" t="s">
        <v>369</v>
      </c>
      <c r="B133" s="358">
        <v>149.59395146692299</v>
      </c>
      <c r="C133" s="358">
        <v>102.9</v>
      </c>
      <c r="D133" s="359">
        <v>-46.693951466922002</v>
      </c>
      <c r="E133" s="360">
        <v>0.68786203580299998</v>
      </c>
      <c r="F133" s="358">
        <v>103</v>
      </c>
      <c r="G133" s="359">
        <v>25.75</v>
      </c>
      <c r="H133" s="361">
        <v>0.61040000000000005</v>
      </c>
      <c r="I133" s="358">
        <v>0.84179999999999999</v>
      </c>
      <c r="J133" s="359">
        <v>-24.908200000000001</v>
      </c>
      <c r="K133" s="362">
        <v>8.172815533E-3</v>
      </c>
    </row>
    <row r="134" spans="1:11" ht="14.4" customHeight="1" thickBot="1" x14ac:dyDescent="0.35">
      <c r="A134" s="380" t="s">
        <v>370</v>
      </c>
      <c r="B134" s="358">
        <v>243.49522280917</v>
      </c>
      <c r="C134" s="358">
        <v>210.32809</v>
      </c>
      <c r="D134" s="359">
        <v>-33.167132809168997</v>
      </c>
      <c r="E134" s="360">
        <v>0.86378733665999996</v>
      </c>
      <c r="F134" s="358">
        <v>168</v>
      </c>
      <c r="G134" s="359">
        <v>42</v>
      </c>
      <c r="H134" s="361">
        <v>25.36468</v>
      </c>
      <c r="I134" s="358">
        <v>64.526989999999998</v>
      </c>
      <c r="J134" s="359">
        <v>22.526990000000001</v>
      </c>
      <c r="K134" s="362">
        <v>0.38408922619000002</v>
      </c>
    </row>
    <row r="135" spans="1:11" ht="14.4" customHeight="1" thickBot="1" x14ac:dyDescent="0.35">
      <c r="A135" s="380" t="s">
        <v>371</v>
      </c>
      <c r="B135" s="358">
        <v>5.1874686730680004</v>
      </c>
      <c r="C135" s="358">
        <v>0</v>
      </c>
      <c r="D135" s="359">
        <v>-5.1874686730680004</v>
      </c>
      <c r="E135" s="360">
        <v>0</v>
      </c>
      <c r="F135" s="358">
        <v>0</v>
      </c>
      <c r="G135" s="359">
        <v>0</v>
      </c>
      <c r="H135" s="361">
        <v>0</v>
      </c>
      <c r="I135" s="358">
        <v>0</v>
      </c>
      <c r="J135" s="359">
        <v>0</v>
      </c>
      <c r="K135" s="362">
        <v>3</v>
      </c>
    </row>
    <row r="136" spans="1:11" ht="14.4" customHeight="1" thickBot="1" x14ac:dyDescent="0.35">
      <c r="A136" s="380" t="s">
        <v>372</v>
      </c>
      <c r="B136" s="358">
        <v>34.753447247171003</v>
      </c>
      <c r="C136" s="358">
        <v>58.447180000000003</v>
      </c>
      <c r="D136" s="359">
        <v>23.693732752828002</v>
      </c>
      <c r="E136" s="360">
        <v>1.6817664038989999</v>
      </c>
      <c r="F136" s="358">
        <v>58</v>
      </c>
      <c r="G136" s="359">
        <v>14.5</v>
      </c>
      <c r="H136" s="361">
        <v>0.23139999999999999</v>
      </c>
      <c r="I136" s="358">
        <v>14.93</v>
      </c>
      <c r="J136" s="359">
        <v>0.43</v>
      </c>
      <c r="K136" s="362">
        <v>0.257413793103</v>
      </c>
    </row>
    <row r="137" spans="1:11" ht="14.4" customHeight="1" thickBot="1" x14ac:dyDescent="0.35">
      <c r="A137" s="380" t="s">
        <v>373</v>
      </c>
      <c r="B137" s="358">
        <v>574.017188301342</v>
      </c>
      <c r="C137" s="358">
        <v>617.13775999999996</v>
      </c>
      <c r="D137" s="359">
        <v>43.120571698657997</v>
      </c>
      <c r="E137" s="360">
        <v>1.075120697737</v>
      </c>
      <c r="F137" s="358">
        <v>551.93786163617995</v>
      </c>
      <c r="G137" s="359">
        <v>137.98446540904499</v>
      </c>
      <c r="H137" s="361">
        <v>52.039659999999998</v>
      </c>
      <c r="I137" s="358">
        <v>145.12477999999999</v>
      </c>
      <c r="J137" s="359">
        <v>7.1403145909549997</v>
      </c>
      <c r="K137" s="362">
        <v>0.262936808809</v>
      </c>
    </row>
    <row r="138" spans="1:11" ht="14.4" customHeight="1" thickBot="1" x14ac:dyDescent="0.35">
      <c r="A138" s="379" t="s">
        <v>374</v>
      </c>
      <c r="B138" s="363">
        <v>0</v>
      </c>
      <c r="C138" s="363">
        <v>26.450869999999998</v>
      </c>
      <c r="D138" s="364">
        <v>26.450869999999998</v>
      </c>
      <c r="E138" s="365" t="s">
        <v>243</v>
      </c>
      <c r="F138" s="363">
        <v>25.000000000006001</v>
      </c>
      <c r="G138" s="364">
        <v>6.2500000000010001</v>
      </c>
      <c r="H138" s="366">
        <v>0</v>
      </c>
      <c r="I138" s="363">
        <v>12.907360000000001</v>
      </c>
      <c r="J138" s="364">
        <v>6.6573599999980004</v>
      </c>
      <c r="K138" s="371">
        <v>0.51629439999899995</v>
      </c>
    </row>
    <row r="139" spans="1:11" ht="14.4" customHeight="1" thickBot="1" x14ac:dyDescent="0.35">
      <c r="A139" s="380" t="s">
        <v>375</v>
      </c>
      <c r="B139" s="358">
        <v>0</v>
      </c>
      <c r="C139" s="358">
        <v>26.450869999999998</v>
      </c>
      <c r="D139" s="359">
        <v>26.450869999999998</v>
      </c>
      <c r="E139" s="368" t="s">
        <v>243</v>
      </c>
      <c r="F139" s="358">
        <v>25.000000000006001</v>
      </c>
      <c r="G139" s="359">
        <v>6.2500000000010001</v>
      </c>
      <c r="H139" s="361">
        <v>0</v>
      </c>
      <c r="I139" s="358">
        <v>12.907360000000001</v>
      </c>
      <c r="J139" s="359">
        <v>6.6573599999980004</v>
      </c>
      <c r="K139" s="362">
        <v>0.51629439999899995</v>
      </c>
    </row>
    <row r="140" spans="1:11" ht="14.4" customHeight="1" thickBot="1" x14ac:dyDescent="0.35">
      <c r="A140" s="379" t="s">
        <v>376</v>
      </c>
      <c r="B140" s="363">
        <v>3489.9766922765102</v>
      </c>
      <c r="C140" s="363">
        <v>822.91917000000001</v>
      </c>
      <c r="D140" s="364">
        <v>-2667.0575222765101</v>
      </c>
      <c r="E140" s="370">
        <v>0.23579503319299999</v>
      </c>
      <c r="F140" s="363">
        <v>1327.0000000003499</v>
      </c>
      <c r="G140" s="364">
        <v>331.75000000008703</v>
      </c>
      <c r="H140" s="366">
        <v>-86.373999999999995</v>
      </c>
      <c r="I140" s="363">
        <v>-6.8890000000000002</v>
      </c>
      <c r="J140" s="364">
        <v>-338.63900000008698</v>
      </c>
      <c r="K140" s="371">
        <v>-5.1914091929999998E-3</v>
      </c>
    </row>
    <row r="141" spans="1:11" ht="14.4" customHeight="1" thickBot="1" x14ac:dyDescent="0.35">
      <c r="A141" s="380" t="s">
        <v>377</v>
      </c>
      <c r="B141" s="358">
        <v>3489.9766922765102</v>
      </c>
      <c r="C141" s="358">
        <v>794.59875</v>
      </c>
      <c r="D141" s="359">
        <v>-2695.3779422765101</v>
      </c>
      <c r="E141" s="360">
        <v>0.22768024547499999</v>
      </c>
      <c r="F141" s="358">
        <v>1282.0000000003299</v>
      </c>
      <c r="G141" s="359">
        <v>320.50000000008401</v>
      </c>
      <c r="H141" s="361">
        <v>-86.373999999999995</v>
      </c>
      <c r="I141" s="358">
        <v>5.9459999999999997</v>
      </c>
      <c r="J141" s="359">
        <v>-314.55400000008399</v>
      </c>
      <c r="K141" s="362">
        <v>4.6380655219999999E-3</v>
      </c>
    </row>
    <row r="142" spans="1:11" ht="14.4" customHeight="1" thickBot="1" x14ac:dyDescent="0.35">
      <c r="A142" s="380" t="s">
        <v>378</v>
      </c>
      <c r="B142" s="358">
        <v>0</v>
      </c>
      <c r="C142" s="358">
        <v>28.320419999999999</v>
      </c>
      <c r="D142" s="359">
        <v>28.320419999999999</v>
      </c>
      <c r="E142" s="368" t="s">
        <v>243</v>
      </c>
      <c r="F142" s="358">
        <v>45.000000000010999</v>
      </c>
      <c r="G142" s="359">
        <v>11.250000000002</v>
      </c>
      <c r="H142" s="361">
        <v>0</v>
      </c>
      <c r="I142" s="358">
        <v>-12.835000000000001</v>
      </c>
      <c r="J142" s="359">
        <v>-24.085000000002001</v>
      </c>
      <c r="K142" s="362">
        <v>-0.285222222222</v>
      </c>
    </row>
    <row r="143" spans="1:11" ht="14.4" customHeight="1" thickBot="1" x14ac:dyDescent="0.35">
      <c r="A143" s="379" t="s">
        <v>379</v>
      </c>
      <c r="B143" s="363">
        <v>15606</v>
      </c>
      <c r="C143" s="363">
        <v>18747.842479999999</v>
      </c>
      <c r="D143" s="364">
        <v>3141.8424799999998</v>
      </c>
      <c r="E143" s="370">
        <v>1.2013227271560001</v>
      </c>
      <c r="F143" s="363">
        <v>19232.000000004999</v>
      </c>
      <c r="G143" s="364">
        <v>4808.0000000012597</v>
      </c>
      <c r="H143" s="366">
        <v>1572.7963500000001</v>
      </c>
      <c r="I143" s="363">
        <v>5602.2484999999997</v>
      </c>
      <c r="J143" s="364">
        <v>794.24849999874505</v>
      </c>
      <c r="K143" s="371">
        <v>0.29129827890999999</v>
      </c>
    </row>
    <row r="144" spans="1:11" ht="14.4" customHeight="1" thickBot="1" x14ac:dyDescent="0.35">
      <c r="A144" s="380" t="s">
        <v>380</v>
      </c>
      <c r="B144" s="358">
        <v>11965</v>
      </c>
      <c r="C144" s="358">
        <v>10773.172560000001</v>
      </c>
      <c r="D144" s="359">
        <v>-1191.82744</v>
      </c>
      <c r="E144" s="360">
        <v>0.90039051901300005</v>
      </c>
      <c r="F144" s="358">
        <v>12011.0000000031</v>
      </c>
      <c r="G144" s="359">
        <v>3002.7500000007799</v>
      </c>
      <c r="H144" s="361">
        <v>961.79079000000002</v>
      </c>
      <c r="I144" s="358">
        <v>3380.37192</v>
      </c>
      <c r="J144" s="359">
        <v>377.621919999216</v>
      </c>
      <c r="K144" s="362">
        <v>0.28143967363200001</v>
      </c>
    </row>
    <row r="145" spans="1:11" ht="14.4" customHeight="1" thickBot="1" x14ac:dyDescent="0.35">
      <c r="A145" s="380" t="s">
        <v>381</v>
      </c>
      <c r="B145" s="358">
        <v>3641</v>
      </c>
      <c r="C145" s="358">
        <v>7974.6699200000003</v>
      </c>
      <c r="D145" s="359">
        <v>4333.6699200000003</v>
      </c>
      <c r="E145" s="360">
        <v>2.1902416698699998</v>
      </c>
      <c r="F145" s="358">
        <v>7221.0000000018899</v>
      </c>
      <c r="G145" s="359">
        <v>1805.25000000047</v>
      </c>
      <c r="H145" s="361">
        <v>611.00555999999995</v>
      </c>
      <c r="I145" s="358">
        <v>2221.8765800000001</v>
      </c>
      <c r="J145" s="359">
        <v>416.62657999952802</v>
      </c>
      <c r="K145" s="362">
        <v>0.30769652125699998</v>
      </c>
    </row>
    <row r="146" spans="1:11" ht="14.4" customHeight="1" thickBot="1" x14ac:dyDescent="0.35">
      <c r="A146" s="379" t="s">
        <v>382</v>
      </c>
      <c r="B146" s="363">
        <v>0</v>
      </c>
      <c r="C146" s="363">
        <v>820.20804999999996</v>
      </c>
      <c r="D146" s="364">
        <v>820.20804999999996</v>
      </c>
      <c r="E146" s="365" t="s">
        <v>243</v>
      </c>
      <c r="F146" s="363">
        <v>0</v>
      </c>
      <c r="G146" s="364">
        <v>0</v>
      </c>
      <c r="H146" s="366">
        <v>0</v>
      </c>
      <c r="I146" s="363">
        <v>-6.0977100000000002</v>
      </c>
      <c r="J146" s="364">
        <v>-6.0977100000000002</v>
      </c>
      <c r="K146" s="367" t="s">
        <v>243</v>
      </c>
    </row>
    <row r="147" spans="1:11" ht="14.4" customHeight="1" thickBot="1" x14ac:dyDescent="0.35">
      <c r="A147" s="380" t="s">
        <v>383</v>
      </c>
      <c r="B147" s="358">
        <v>0</v>
      </c>
      <c r="C147" s="358">
        <v>85.117689999999996</v>
      </c>
      <c r="D147" s="359">
        <v>85.117689999999996</v>
      </c>
      <c r="E147" s="368" t="s">
        <v>243</v>
      </c>
      <c r="F147" s="358">
        <v>0</v>
      </c>
      <c r="G147" s="359">
        <v>0</v>
      </c>
      <c r="H147" s="361">
        <v>0</v>
      </c>
      <c r="I147" s="358">
        <v>0</v>
      </c>
      <c r="J147" s="359">
        <v>0</v>
      </c>
      <c r="K147" s="369" t="s">
        <v>243</v>
      </c>
    </row>
    <row r="148" spans="1:11" ht="14.4" customHeight="1" thickBot="1" x14ac:dyDescent="0.35">
      <c r="A148" s="380" t="s">
        <v>384</v>
      </c>
      <c r="B148" s="358">
        <v>0</v>
      </c>
      <c r="C148" s="358">
        <v>735.09036000000003</v>
      </c>
      <c r="D148" s="359">
        <v>735.09036000000003</v>
      </c>
      <c r="E148" s="368" t="s">
        <v>243</v>
      </c>
      <c r="F148" s="358">
        <v>0</v>
      </c>
      <c r="G148" s="359">
        <v>0</v>
      </c>
      <c r="H148" s="361">
        <v>0</v>
      </c>
      <c r="I148" s="358">
        <v>-6.0977100000000002</v>
      </c>
      <c r="J148" s="359">
        <v>-6.0977100000000002</v>
      </c>
      <c r="K148" s="369" t="s">
        <v>243</v>
      </c>
    </row>
    <row r="149" spans="1:11" ht="14.4" customHeight="1" thickBot="1" x14ac:dyDescent="0.35">
      <c r="A149" s="383" t="s">
        <v>385</v>
      </c>
      <c r="B149" s="363">
        <v>1505.0748252517301</v>
      </c>
      <c r="C149" s="363">
        <v>1757.0339899999999</v>
      </c>
      <c r="D149" s="364">
        <v>251.95916474826601</v>
      </c>
      <c r="E149" s="370">
        <v>1.1674064043329999</v>
      </c>
      <c r="F149" s="363">
        <v>1749.4447559049599</v>
      </c>
      <c r="G149" s="364">
        <v>437.36118897624101</v>
      </c>
      <c r="H149" s="366">
        <v>132.47642999999999</v>
      </c>
      <c r="I149" s="363">
        <v>589.20060000000001</v>
      </c>
      <c r="J149" s="364">
        <v>151.839411023759</v>
      </c>
      <c r="K149" s="371">
        <v>0.33679291558699997</v>
      </c>
    </row>
    <row r="150" spans="1:11" ht="14.4" customHeight="1" thickBot="1" x14ac:dyDescent="0.35">
      <c r="A150" s="379" t="s">
        <v>386</v>
      </c>
      <c r="B150" s="363">
        <v>1505.0748252517301</v>
      </c>
      <c r="C150" s="363">
        <v>1757.0339899999999</v>
      </c>
      <c r="D150" s="364">
        <v>251.95916474826601</v>
      </c>
      <c r="E150" s="370">
        <v>1.1674064043329999</v>
      </c>
      <c r="F150" s="363">
        <v>1749.4447559049599</v>
      </c>
      <c r="G150" s="364">
        <v>437.36118897624101</v>
      </c>
      <c r="H150" s="366">
        <v>132.47642999999999</v>
      </c>
      <c r="I150" s="363">
        <v>589.20060000000001</v>
      </c>
      <c r="J150" s="364">
        <v>151.839411023759</v>
      </c>
      <c r="K150" s="371">
        <v>0.33679291558699997</v>
      </c>
    </row>
    <row r="151" spans="1:11" ht="14.4" customHeight="1" thickBot="1" x14ac:dyDescent="0.35">
      <c r="A151" s="380" t="s">
        <v>387</v>
      </c>
      <c r="B151" s="358">
        <v>1505.0748252517301</v>
      </c>
      <c r="C151" s="358">
        <v>1757.0339899999999</v>
      </c>
      <c r="D151" s="359">
        <v>251.95916474826601</v>
      </c>
      <c r="E151" s="360">
        <v>1.1674064043329999</v>
      </c>
      <c r="F151" s="358">
        <v>1749.4447559049599</v>
      </c>
      <c r="G151" s="359">
        <v>437.36118897624101</v>
      </c>
      <c r="H151" s="361">
        <v>132.47642999999999</v>
      </c>
      <c r="I151" s="358">
        <v>589.20060000000001</v>
      </c>
      <c r="J151" s="359">
        <v>151.839411023759</v>
      </c>
      <c r="K151" s="362">
        <v>0.33679291558699997</v>
      </c>
    </row>
    <row r="152" spans="1:11" ht="14.4" customHeight="1" thickBot="1" x14ac:dyDescent="0.35">
      <c r="A152" s="377" t="s">
        <v>388</v>
      </c>
      <c r="B152" s="358">
        <v>105.47184715968601</v>
      </c>
      <c r="C152" s="358">
        <v>100.87991</v>
      </c>
      <c r="D152" s="359">
        <v>-4.591937159685</v>
      </c>
      <c r="E152" s="360">
        <v>0.95646291135100003</v>
      </c>
      <c r="F152" s="358">
        <v>61.499553692581998</v>
      </c>
      <c r="G152" s="359">
        <v>15.374888423145</v>
      </c>
      <c r="H152" s="361">
        <v>1.9083300000000001</v>
      </c>
      <c r="I152" s="358">
        <v>2.1385800000000001</v>
      </c>
      <c r="J152" s="359">
        <v>-13.236308423144999</v>
      </c>
      <c r="K152" s="362">
        <v>3.4773910891000001E-2</v>
      </c>
    </row>
    <row r="153" spans="1:11" ht="14.4" customHeight="1" thickBot="1" x14ac:dyDescent="0.35">
      <c r="A153" s="378" t="s">
        <v>389</v>
      </c>
      <c r="B153" s="358">
        <v>0</v>
      </c>
      <c r="C153" s="358">
        <v>0.05</v>
      </c>
      <c r="D153" s="359">
        <v>0.05</v>
      </c>
      <c r="E153" s="368" t="s">
        <v>271</v>
      </c>
      <c r="F153" s="358">
        <v>0</v>
      </c>
      <c r="G153" s="359">
        <v>0</v>
      </c>
      <c r="H153" s="361">
        <v>0</v>
      </c>
      <c r="I153" s="358">
        <v>0</v>
      </c>
      <c r="J153" s="359">
        <v>0</v>
      </c>
      <c r="K153" s="369" t="s">
        <v>243</v>
      </c>
    </row>
    <row r="154" spans="1:11" ht="14.4" customHeight="1" thickBot="1" x14ac:dyDescent="0.35">
      <c r="A154" s="379" t="s">
        <v>390</v>
      </c>
      <c r="B154" s="363">
        <v>0</v>
      </c>
      <c r="C154" s="363">
        <v>0.05</v>
      </c>
      <c r="D154" s="364">
        <v>0.05</v>
      </c>
      <c r="E154" s="365" t="s">
        <v>271</v>
      </c>
      <c r="F154" s="363">
        <v>0</v>
      </c>
      <c r="G154" s="364">
        <v>0</v>
      </c>
      <c r="H154" s="366">
        <v>0</v>
      </c>
      <c r="I154" s="363">
        <v>0</v>
      </c>
      <c r="J154" s="364">
        <v>0</v>
      </c>
      <c r="K154" s="367" t="s">
        <v>243</v>
      </c>
    </row>
    <row r="155" spans="1:11" ht="14.4" customHeight="1" thickBot="1" x14ac:dyDescent="0.35">
      <c r="A155" s="380" t="s">
        <v>391</v>
      </c>
      <c r="B155" s="358">
        <v>0</v>
      </c>
      <c r="C155" s="358">
        <v>0.05</v>
      </c>
      <c r="D155" s="359">
        <v>0.05</v>
      </c>
      <c r="E155" s="368" t="s">
        <v>271</v>
      </c>
      <c r="F155" s="358">
        <v>0</v>
      </c>
      <c r="G155" s="359">
        <v>0</v>
      </c>
      <c r="H155" s="361">
        <v>0</v>
      </c>
      <c r="I155" s="358">
        <v>0</v>
      </c>
      <c r="J155" s="359">
        <v>0</v>
      </c>
      <c r="K155" s="369" t="s">
        <v>243</v>
      </c>
    </row>
    <row r="156" spans="1:11" ht="14.4" customHeight="1" thickBot="1" x14ac:dyDescent="0.35">
      <c r="A156" s="378" t="s">
        <v>392</v>
      </c>
      <c r="B156" s="358">
        <v>0</v>
      </c>
      <c r="C156" s="358">
        <v>11.42895</v>
      </c>
      <c r="D156" s="359">
        <v>11.42895</v>
      </c>
      <c r="E156" s="368" t="s">
        <v>243</v>
      </c>
      <c r="F156" s="358">
        <v>0</v>
      </c>
      <c r="G156" s="359">
        <v>0</v>
      </c>
      <c r="H156" s="361">
        <v>0</v>
      </c>
      <c r="I156" s="358">
        <v>0</v>
      </c>
      <c r="J156" s="359">
        <v>0</v>
      </c>
      <c r="K156" s="369" t="s">
        <v>243</v>
      </c>
    </row>
    <row r="157" spans="1:11" ht="14.4" customHeight="1" thickBot="1" x14ac:dyDescent="0.35">
      <c r="A157" s="379" t="s">
        <v>393</v>
      </c>
      <c r="B157" s="363">
        <v>0</v>
      </c>
      <c r="C157" s="363">
        <v>11.42895</v>
      </c>
      <c r="D157" s="364">
        <v>11.42895</v>
      </c>
      <c r="E157" s="365" t="s">
        <v>271</v>
      </c>
      <c r="F157" s="363">
        <v>0</v>
      </c>
      <c r="G157" s="364">
        <v>0</v>
      </c>
      <c r="H157" s="366">
        <v>0</v>
      </c>
      <c r="I157" s="363">
        <v>0</v>
      </c>
      <c r="J157" s="364">
        <v>0</v>
      </c>
      <c r="K157" s="367" t="s">
        <v>243</v>
      </c>
    </row>
    <row r="158" spans="1:11" ht="14.4" customHeight="1" thickBot="1" x14ac:dyDescent="0.35">
      <c r="A158" s="380" t="s">
        <v>394</v>
      </c>
      <c r="B158" s="358">
        <v>0</v>
      </c>
      <c r="C158" s="358">
        <v>11.42895</v>
      </c>
      <c r="D158" s="359">
        <v>11.42895</v>
      </c>
      <c r="E158" s="368" t="s">
        <v>271</v>
      </c>
      <c r="F158" s="358">
        <v>0</v>
      </c>
      <c r="G158" s="359">
        <v>0</v>
      </c>
      <c r="H158" s="361">
        <v>0</v>
      </c>
      <c r="I158" s="358">
        <v>0</v>
      </c>
      <c r="J158" s="359">
        <v>0</v>
      </c>
      <c r="K158" s="369" t="s">
        <v>243</v>
      </c>
    </row>
    <row r="159" spans="1:11" ht="14.4" customHeight="1" thickBot="1" x14ac:dyDescent="0.35">
      <c r="A159" s="383" t="s">
        <v>395</v>
      </c>
      <c r="B159" s="363">
        <v>105.47184715968601</v>
      </c>
      <c r="C159" s="363">
        <v>89.400959999999998</v>
      </c>
      <c r="D159" s="364">
        <v>-16.070887159685</v>
      </c>
      <c r="E159" s="370">
        <v>0.84762865548900002</v>
      </c>
      <c r="F159" s="363">
        <v>61.499553692581998</v>
      </c>
      <c r="G159" s="364">
        <v>15.374888423145</v>
      </c>
      <c r="H159" s="366">
        <v>1.9083300000000001</v>
      </c>
      <c r="I159" s="363">
        <v>2.1385800000000001</v>
      </c>
      <c r="J159" s="364">
        <v>-13.236308423144999</v>
      </c>
      <c r="K159" s="371">
        <v>3.4773910891000001E-2</v>
      </c>
    </row>
    <row r="160" spans="1:11" ht="14.4" customHeight="1" thickBot="1" x14ac:dyDescent="0.35">
      <c r="A160" s="379" t="s">
        <v>396</v>
      </c>
      <c r="B160" s="363">
        <v>0</v>
      </c>
      <c r="C160" s="363">
        <v>21.28351</v>
      </c>
      <c r="D160" s="364">
        <v>21.28351</v>
      </c>
      <c r="E160" s="365" t="s">
        <v>243</v>
      </c>
      <c r="F160" s="363">
        <v>0</v>
      </c>
      <c r="G160" s="364">
        <v>0</v>
      </c>
      <c r="H160" s="366">
        <v>2.2329999999999999E-2</v>
      </c>
      <c r="I160" s="363">
        <v>5.858E-2</v>
      </c>
      <c r="J160" s="364">
        <v>5.858E-2</v>
      </c>
      <c r="K160" s="367" t="s">
        <v>243</v>
      </c>
    </row>
    <row r="161" spans="1:11" ht="14.4" customHeight="1" thickBot="1" x14ac:dyDescent="0.35">
      <c r="A161" s="380" t="s">
        <v>397</v>
      </c>
      <c r="B161" s="358">
        <v>0</v>
      </c>
      <c r="C161" s="358">
        <v>0.20071</v>
      </c>
      <c r="D161" s="359">
        <v>0.20071</v>
      </c>
      <c r="E161" s="368" t="s">
        <v>243</v>
      </c>
      <c r="F161" s="358">
        <v>0</v>
      </c>
      <c r="G161" s="359">
        <v>0</v>
      </c>
      <c r="H161" s="361">
        <v>2.2329999999999999E-2</v>
      </c>
      <c r="I161" s="358">
        <v>5.858E-2</v>
      </c>
      <c r="J161" s="359">
        <v>5.858E-2</v>
      </c>
      <c r="K161" s="369" t="s">
        <v>243</v>
      </c>
    </row>
    <row r="162" spans="1:11" ht="14.4" customHeight="1" thickBot="1" x14ac:dyDescent="0.35">
      <c r="A162" s="380" t="s">
        <v>398</v>
      </c>
      <c r="B162" s="358">
        <v>0</v>
      </c>
      <c r="C162" s="358">
        <v>14.719799999999999</v>
      </c>
      <c r="D162" s="359">
        <v>14.719799999999999</v>
      </c>
      <c r="E162" s="368" t="s">
        <v>271</v>
      </c>
      <c r="F162" s="358">
        <v>0</v>
      </c>
      <c r="G162" s="359">
        <v>0</v>
      </c>
      <c r="H162" s="361">
        <v>0</v>
      </c>
      <c r="I162" s="358">
        <v>0</v>
      </c>
      <c r="J162" s="359">
        <v>0</v>
      </c>
      <c r="K162" s="369" t="s">
        <v>243</v>
      </c>
    </row>
    <row r="163" spans="1:11" ht="14.4" customHeight="1" thickBot="1" x14ac:dyDescent="0.35">
      <c r="A163" s="380" t="s">
        <v>399</v>
      </c>
      <c r="B163" s="358">
        <v>0</v>
      </c>
      <c r="C163" s="358">
        <v>6.3630000000000004</v>
      </c>
      <c r="D163" s="359">
        <v>6.3630000000000004</v>
      </c>
      <c r="E163" s="368" t="s">
        <v>243</v>
      </c>
      <c r="F163" s="358">
        <v>0</v>
      </c>
      <c r="G163" s="359">
        <v>0</v>
      </c>
      <c r="H163" s="361">
        <v>0</v>
      </c>
      <c r="I163" s="358">
        <v>0</v>
      </c>
      <c r="J163" s="359">
        <v>0</v>
      </c>
      <c r="K163" s="362">
        <v>3</v>
      </c>
    </row>
    <row r="164" spans="1:11" ht="14.4" customHeight="1" thickBot="1" x14ac:dyDescent="0.35">
      <c r="A164" s="379" t="s">
        <v>400</v>
      </c>
      <c r="B164" s="363">
        <v>105.47184715968601</v>
      </c>
      <c r="C164" s="363">
        <v>68.117450000000005</v>
      </c>
      <c r="D164" s="364">
        <v>-37.354397159685</v>
      </c>
      <c r="E164" s="370">
        <v>0.64583537535699997</v>
      </c>
      <c r="F164" s="363">
        <v>61.499553692581998</v>
      </c>
      <c r="G164" s="364">
        <v>15.374888423145</v>
      </c>
      <c r="H164" s="366">
        <v>1.8859999999999999</v>
      </c>
      <c r="I164" s="363">
        <v>2.08</v>
      </c>
      <c r="J164" s="364">
        <v>-13.294888423145</v>
      </c>
      <c r="K164" s="371">
        <v>3.3821383654000003E-2</v>
      </c>
    </row>
    <row r="165" spans="1:11" ht="14.4" customHeight="1" thickBot="1" x14ac:dyDescent="0.35">
      <c r="A165" s="380" t="s">
        <v>401</v>
      </c>
      <c r="B165" s="358">
        <v>80.845345025952</v>
      </c>
      <c r="C165" s="358">
        <v>22.42088</v>
      </c>
      <c r="D165" s="359">
        <v>-58.424465025952003</v>
      </c>
      <c r="E165" s="360">
        <v>0.27733050051000002</v>
      </c>
      <c r="F165" s="358">
        <v>19</v>
      </c>
      <c r="G165" s="359">
        <v>4.75</v>
      </c>
      <c r="H165" s="361">
        <v>1.75</v>
      </c>
      <c r="I165" s="358">
        <v>1.75</v>
      </c>
      <c r="J165" s="359">
        <v>-3</v>
      </c>
      <c r="K165" s="362">
        <v>9.2105263157000003E-2</v>
      </c>
    </row>
    <row r="166" spans="1:11" ht="14.4" customHeight="1" thickBot="1" x14ac:dyDescent="0.35">
      <c r="A166" s="380" t="s">
        <v>402</v>
      </c>
      <c r="B166" s="358">
        <v>18.193902871321999</v>
      </c>
      <c r="C166" s="358">
        <v>2.3490000000000002</v>
      </c>
      <c r="D166" s="359">
        <v>-15.844902871322001</v>
      </c>
      <c r="E166" s="360">
        <v>0.12910918655600001</v>
      </c>
      <c r="F166" s="358">
        <v>5.4995536925820003</v>
      </c>
      <c r="G166" s="359">
        <v>1.374888423145</v>
      </c>
      <c r="H166" s="361">
        <v>0.13600000000000001</v>
      </c>
      <c r="I166" s="358">
        <v>0.33</v>
      </c>
      <c r="J166" s="359">
        <v>-1.044888423145</v>
      </c>
      <c r="K166" s="362">
        <v>6.0004869203000001E-2</v>
      </c>
    </row>
    <row r="167" spans="1:11" ht="14.4" customHeight="1" thickBot="1" x14ac:dyDescent="0.35">
      <c r="A167" s="380" t="s">
        <v>403</v>
      </c>
      <c r="B167" s="358">
        <v>6.4325992624110002</v>
      </c>
      <c r="C167" s="358">
        <v>43.347569999999997</v>
      </c>
      <c r="D167" s="359">
        <v>36.914970737588</v>
      </c>
      <c r="E167" s="360">
        <v>6.7387331670570001</v>
      </c>
      <c r="F167" s="358">
        <v>37</v>
      </c>
      <c r="G167" s="359">
        <v>9.25</v>
      </c>
      <c r="H167" s="361">
        <v>0</v>
      </c>
      <c r="I167" s="358">
        <v>0</v>
      </c>
      <c r="J167" s="359">
        <v>-9.25</v>
      </c>
      <c r="K167" s="362">
        <v>0</v>
      </c>
    </row>
    <row r="168" spans="1:11" ht="14.4" customHeight="1" thickBot="1" x14ac:dyDescent="0.35">
      <c r="A168" s="376" t="s">
        <v>404</v>
      </c>
      <c r="B168" s="358">
        <v>2523.0019846895402</v>
      </c>
      <c r="C168" s="358">
        <v>2535.97208</v>
      </c>
      <c r="D168" s="359">
        <v>12.970095310463</v>
      </c>
      <c r="E168" s="360">
        <v>1.005140739242</v>
      </c>
      <c r="F168" s="358">
        <v>0</v>
      </c>
      <c r="G168" s="359">
        <v>0</v>
      </c>
      <c r="H168" s="361">
        <v>222.64582999999999</v>
      </c>
      <c r="I168" s="358">
        <v>627.39107000000001</v>
      </c>
      <c r="J168" s="359">
        <v>627.39107000000001</v>
      </c>
      <c r="K168" s="369" t="s">
        <v>243</v>
      </c>
    </row>
    <row r="169" spans="1:11" ht="14.4" customHeight="1" thickBot="1" x14ac:dyDescent="0.35">
      <c r="A169" s="381" t="s">
        <v>405</v>
      </c>
      <c r="B169" s="363">
        <v>2523.0019846895402</v>
      </c>
      <c r="C169" s="363">
        <v>2535.97208</v>
      </c>
      <c r="D169" s="364">
        <v>12.970095310463</v>
      </c>
      <c r="E169" s="370">
        <v>1.005140739242</v>
      </c>
      <c r="F169" s="363">
        <v>0</v>
      </c>
      <c r="G169" s="364">
        <v>0</v>
      </c>
      <c r="H169" s="366">
        <v>222.64582999999999</v>
      </c>
      <c r="I169" s="363">
        <v>627.39107000000001</v>
      </c>
      <c r="J169" s="364">
        <v>627.39107000000001</v>
      </c>
      <c r="K169" s="367" t="s">
        <v>243</v>
      </c>
    </row>
    <row r="170" spans="1:11" ht="14.4" customHeight="1" thickBot="1" x14ac:dyDescent="0.35">
      <c r="A170" s="383" t="s">
        <v>36</v>
      </c>
      <c r="B170" s="363">
        <v>2523.0019846895402</v>
      </c>
      <c r="C170" s="363">
        <v>2535.97208</v>
      </c>
      <c r="D170" s="364">
        <v>12.970095310463</v>
      </c>
      <c r="E170" s="370">
        <v>1.005140739242</v>
      </c>
      <c r="F170" s="363">
        <v>0</v>
      </c>
      <c r="G170" s="364">
        <v>0</v>
      </c>
      <c r="H170" s="366">
        <v>222.64582999999999</v>
      </c>
      <c r="I170" s="363">
        <v>627.39107000000001</v>
      </c>
      <c r="J170" s="364">
        <v>627.39107000000001</v>
      </c>
      <c r="K170" s="367" t="s">
        <v>243</v>
      </c>
    </row>
    <row r="171" spans="1:11" ht="14.4" customHeight="1" thickBot="1" x14ac:dyDescent="0.35">
      <c r="A171" s="379" t="s">
        <v>406</v>
      </c>
      <c r="B171" s="363">
        <v>14.001984689537</v>
      </c>
      <c r="C171" s="363">
        <v>6.61972</v>
      </c>
      <c r="D171" s="364">
        <v>-7.3822646895370001</v>
      </c>
      <c r="E171" s="370">
        <v>0.47277012129099999</v>
      </c>
      <c r="F171" s="363">
        <v>0</v>
      </c>
      <c r="G171" s="364">
        <v>0</v>
      </c>
      <c r="H171" s="366">
        <v>0.48803999999999997</v>
      </c>
      <c r="I171" s="363">
        <v>1.29406</v>
      </c>
      <c r="J171" s="364">
        <v>1.29406</v>
      </c>
      <c r="K171" s="367" t="s">
        <v>243</v>
      </c>
    </row>
    <row r="172" spans="1:11" ht="14.4" customHeight="1" thickBot="1" x14ac:dyDescent="0.35">
      <c r="A172" s="380" t="s">
        <v>407</v>
      </c>
      <c r="B172" s="358">
        <v>14.001984689537</v>
      </c>
      <c r="C172" s="358">
        <v>6.61972</v>
      </c>
      <c r="D172" s="359">
        <v>-7.3822646895370001</v>
      </c>
      <c r="E172" s="360">
        <v>0.47277012129099999</v>
      </c>
      <c r="F172" s="358">
        <v>0</v>
      </c>
      <c r="G172" s="359">
        <v>0</v>
      </c>
      <c r="H172" s="361">
        <v>0.48803999999999997</v>
      </c>
      <c r="I172" s="358">
        <v>1.29406</v>
      </c>
      <c r="J172" s="359">
        <v>1.29406</v>
      </c>
      <c r="K172" s="369" t="s">
        <v>243</v>
      </c>
    </row>
    <row r="173" spans="1:11" ht="14.4" customHeight="1" thickBot="1" x14ac:dyDescent="0.35">
      <c r="A173" s="379" t="s">
        <v>408</v>
      </c>
      <c r="B173" s="363">
        <v>118</v>
      </c>
      <c r="C173" s="363">
        <v>70.005070000000003</v>
      </c>
      <c r="D173" s="364">
        <v>-47.994929999999997</v>
      </c>
      <c r="E173" s="370">
        <v>0.59326330508400005</v>
      </c>
      <c r="F173" s="363">
        <v>0</v>
      </c>
      <c r="G173" s="364">
        <v>0</v>
      </c>
      <c r="H173" s="366">
        <v>6.18743</v>
      </c>
      <c r="I173" s="363">
        <v>17.02122</v>
      </c>
      <c r="J173" s="364">
        <v>17.02122</v>
      </c>
      <c r="K173" s="367" t="s">
        <v>243</v>
      </c>
    </row>
    <row r="174" spans="1:11" ht="14.4" customHeight="1" thickBot="1" x14ac:dyDescent="0.35">
      <c r="A174" s="380" t="s">
        <v>409</v>
      </c>
      <c r="B174" s="358">
        <v>118</v>
      </c>
      <c r="C174" s="358">
        <v>70.005070000000003</v>
      </c>
      <c r="D174" s="359">
        <v>-47.994929999999997</v>
      </c>
      <c r="E174" s="360">
        <v>0.59326330508400005</v>
      </c>
      <c r="F174" s="358">
        <v>0</v>
      </c>
      <c r="G174" s="359">
        <v>0</v>
      </c>
      <c r="H174" s="361">
        <v>6.18743</v>
      </c>
      <c r="I174" s="358">
        <v>17.02122</v>
      </c>
      <c r="J174" s="359">
        <v>17.02122</v>
      </c>
      <c r="K174" s="369" t="s">
        <v>243</v>
      </c>
    </row>
    <row r="175" spans="1:11" ht="14.4" customHeight="1" thickBot="1" x14ac:dyDescent="0.35">
      <c r="A175" s="379" t="s">
        <v>410</v>
      </c>
      <c r="B175" s="363">
        <v>0</v>
      </c>
      <c r="C175" s="363">
        <v>1.76</v>
      </c>
      <c r="D175" s="364">
        <v>1.76</v>
      </c>
      <c r="E175" s="365" t="s">
        <v>271</v>
      </c>
      <c r="F175" s="363">
        <v>0</v>
      </c>
      <c r="G175" s="364">
        <v>0</v>
      </c>
      <c r="H175" s="366">
        <v>0</v>
      </c>
      <c r="I175" s="363">
        <v>1.1200000000000001</v>
      </c>
      <c r="J175" s="364">
        <v>1.1200000000000001</v>
      </c>
      <c r="K175" s="367" t="s">
        <v>243</v>
      </c>
    </row>
    <row r="176" spans="1:11" ht="14.4" customHeight="1" thickBot="1" x14ac:dyDescent="0.35">
      <c r="A176" s="380" t="s">
        <v>411</v>
      </c>
      <c r="B176" s="358">
        <v>0</v>
      </c>
      <c r="C176" s="358">
        <v>1.76</v>
      </c>
      <c r="D176" s="359">
        <v>1.76</v>
      </c>
      <c r="E176" s="368" t="s">
        <v>271</v>
      </c>
      <c r="F176" s="358">
        <v>0</v>
      </c>
      <c r="G176" s="359">
        <v>0</v>
      </c>
      <c r="H176" s="361">
        <v>0</v>
      </c>
      <c r="I176" s="358">
        <v>1.1200000000000001</v>
      </c>
      <c r="J176" s="359">
        <v>1.1200000000000001</v>
      </c>
      <c r="K176" s="369" t="s">
        <v>243</v>
      </c>
    </row>
    <row r="177" spans="1:11" ht="14.4" customHeight="1" thickBot="1" x14ac:dyDescent="0.35">
      <c r="A177" s="379" t="s">
        <v>412</v>
      </c>
      <c r="B177" s="363">
        <v>569</v>
      </c>
      <c r="C177" s="363">
        <v>499.34</v>
      </c>
      <c r="D177" s="364">
        <v>-69.66</v>
      </c>
      <c r="E177" s="370">
        <v>0.87757469244200004</v>
      </c>
      <c r="F177" s="363">
        <v>0</v>
      </c>
      <c r="G177" s="364">
        <v>0</v>
      </c>
      <c r="H177" s="366">
        <v>54.854480000000002</v>
      </c>
      <c r="I177" s="363">
        <v>155.87703999999999</v>
      </c>
      <c r="J177" s="364">
        <v>155.87703999999999</v>
      </c>
      <c r="K177" s="367" t="s">
        <v>243</v>
      </c>
    </row>
    <row r="178" spans="1:11" ht="14.4" customHeight="1" thickBot="1" x14ac:dyDescent="0.35">
      <c r="A178" s="380" t="s">
        <v>413</v>
      </c>
      <c r="B178" s="358">
        <v>569</v>
      </c>
      <c r="C178" s="358">
        <v>499.34</v>
      </c>
      <c r="D178" s="359">
        <v>-69.66</v>
      </c>
      <c r="E178" s="360">
        <v>0.87757469244200004</v>
      </c>
      <c r="F178" s="358">
        <v>0</v>
      </c>
      <c r="G178" s="359">
        <v>0</v>
      </c>
      <c r="H178" s="361">
        <v>54.854480000000002</v>
      </c>
      <c r="I178" s="358">
        <v>155.87703999999999</v>
      </c>
      <c r="J178" s="359">
        <v>155.87703999999999</v>
      </c>
      <c r="K178" s="369" t="s">
        <v>243</v>
      </c>
    </row>
    <row r="179" spans="1:11" ht="14.4" customHeight="1" thickBot="1" x14ac:dyDescent="0.35">
      <c r="A179" s="379" t="s">
        <v>414</v>
      </c>
      <c r="B179" s="363">
        <v>0</v>
      </c>
      <c r="C179" s="363">
        <v>0.221</v>
      </c>
      <c r="D179" s="364">
        <v>0.221</v>
      </c>
      <c r="E179" s="365" t="s">
        <v>271</v>
      </c>
      <c r="F179" s="363">
        <v>0</v>
      </c>
      <c r="G179" s="364">
        <v>0</v>
      </c>
      <c r="H179" s="366">
        <v>0</v>
      </c>
      <c r="I179" s="363">
        <v>0.84899999999999998</v>
      </c>
      <c r="J179" s="364">
        <v>0.84899999999999998</v>
      </c>
      <c r="K179" s="367" t="s">
        <v>271</v>
      </c>
    </row>
    <row r="180" spans="1:11" ht="14.4" customHeight="1" thickBot="1" x14ac:dyDescent="0.35">
      <c r="A180" s="380" t="s">
        <v>415</v>
      </c>
      <c r="B180" s="358">
        <v>0</v>
      </c>
      <c r="C180" s="358">
        <v>0.221</v>
      </c>
      <c r="D180" s="359">
        <v>0.221</v>
      </c>
      <c r="E180" s="368" t="s">
        <v>271</v>
      </c>
      <c r="F180" s="358">
        <v>0</v>
      </c>
      <c r="G180" s="359">
        <v>0</v>
      </c>
      <c r="H180" s="361">
        <v>0</v>
      </c>
      <c r="I180" s="358">
        <v>0.84899999999999998</v>
      </c>
      <c r="J180" s="359">
        <v>0.84899999999999998</v>
      </c>
      <c r="K180" s="369" t="s">
        <v>271</v>
      </c>
    </row>
    <row r="181" spans="1:11" ht="14.4" customHeight="1" thickBot="1" x14ac:dyDescent="0.35">
      <c r="A181" s="379" t="s">
        <v>416</v>
      </c>
      <c r="B181" s="363">
        <v>1822</v>
      </c>
      <c r="C181" s="363">
        <v>1958.02629</v>
      </c>
      <c r="D181" s="364">
        <v>136.02629000000101</v>
      </c>
      <c r="E181" s="370">
        <v>1.0746576783749999</v>
      </c>
      <c r="F181" s="363">
        <v>0</v>
      </c>
      <c r="G181" s="364">
        <v>0</v>
      </c>
      <c r="H181" s="366">
        <v>161.11588</v>
      </c>
      <c r="I181" s="363">
        <v>451.22975000000002</v>
      </c>
      <c r="J181" s="364">
        <v>451.22975000000002</v>
      </c>
      <c r="K181" s="367" t="s">
        <v>243</v>
      </c>
    </row>
    <row r="182" spans="1:11" ht="14.4" customHeight="1" thickBot="1" x14ac:dyDescent="0.35">
      <c r="A182" s="380" t="s">
        <v>417</v>
      </c>
      <c r="B182" s="358">
        <v>1822</v>
      </c>
      <c r="C182" s="358">
        <v>1958.02629</v>
      </c>
      <c r="D182" s="359">
        <v>136.02629000000101</v>
      </c>
      <c r="E182" s="360">
        <v>1.0746576783749999</v>
      </c>
      <c r="F182" s="358">
        <v>0</v>
      </c>
      <c r="G182" s="359">
        <v>0</v>
      </c>
      <c r="H182" s="361">
        <v>161.11588</v>
      </c>
      <c r="I182" s="358">
        <v>451.22975000000002</v>
      </c>
      <c r="J182" s="359">
        <v>451.22975000000002</v>
      </c>
      <c r="K182" s="369" t="s">
        <v>243</v>
      </c>
    </row>
    <row r="183" spans="1:11" ht="14.4" customHeight="1" thickBot="1" x14ac:dyDescent="0.35">
      <c r="A183" s="384"/>
      <c r="B183" s="358">
        <v>-1848.92135349707</v>
      </c>
      <c r="C183" s="358">
        <v>13.915379999994</v>
      </c>
      <c r="D183" s="359">
        <v>1862.8367334970701</v>
      </c>
      <c r="E183" s="360">
        <v>-7.5262152029999998E-3</v>
      </c>
      <c r="F183" s="358">
        <v>413.73791528791099</v>
      </c>
      <c r="G183" s="359">
        <v>103.434478821978</v>
      </c>
      <c r="H183" s="361">
        <v>-155.94434000000001</v>
      </c>
      <c r="I183" s="358">
        <v>927.214839999996</v>
      </c>
      <c r="J183" s="359">
        <v>823.78036117801798</v>
      </c>
      <c r="K183" s="362">
        <v>2.241068091027</v>
      </c>
    </row>
    <row r="184" spans="1:11" ht="14.4" customHeight="1" thickBot="1" x14ac:dyDescent="0.35">
      <c r="A184" s="385" t="s">
        <v>48</v>
      </c>
      <c r="B184" s="372">
        <v>-1848.92135349707</v>
      </c>
      <c r="C184" s="372">
        <v>13.915379999994</v>
      </c>
      <c r="D184" s="373">
        <v>1862.8367334970701</v>
      </c>
      <c r="E184" s="374">
        <v>-0.91827216993100003</v>
      </c>
      <c r="F184" s="372">
        <v>413.73791528791099</v>
      </c>
      <c r="G184" s="373">
        <v>103.434478821978</v>
      </c>
      <c r="H184" s="372">
        <v>-155.94434000000001</v>
      </c>
      <c r="I184" s="372">
        <v>927.21483999999498</v>
      </c>
      <c r="J184" s="373">
        <v>823.78036117801696</v>
      </c>
      <c r="K184" s="375">
        <v>2.241068091027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111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242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2013</v>
      </c>
      <c r="D3" s="262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205</v>
      </c>
      <c r="C4" s="320" t="s">
        <v>55</v>
      </c>
      <c r="D4" s="321"/>
      <c r="E4" s="268"/>
      <c r="F4" s="263" t="s">
        <v>55</v>
      </c>
      <c r="G4" s="264" t="s">
        <v>56</v>
      </c>
      <c r="H4" s="264" t="s">
        <v>50</v>
      </c>
      <c r="I4" s="265" t="s">
        <v>57</v>
      </c>
    </row>
    <row r="5" spans="1:10" ht="14.4" customHeight="1" x14ac:dyDescent="0.3">
      <c r="A5" s="386" t="s">
        <v>418</v>
      </c>
      <c r="B5" s="387" t="s">
        <v>419</v>
      </c>
      <c r="C5" s="388" t="s">
        <v>420</v>
      </c>
      <c r="D5" s="388" t="s">
        <v>420</v>
      </c>
      <c r="E5" s="388"/>
      <c r="F5" s="388" t="s">
        <v>420</v>
      </c>
      <c r="G5" s="388" t="s">
        <v>420</v>
      </c>
      <c r="H5" s="388" t="s">
        <v>420</v>
      </c>
      <c r="I5" s="389" t="s">
        <v>420</v>
      </c>
      <c r="J5" s="390" t="s">
        <v>51</v>
      </c>
    </row>
    <row r="6" spans="1:10" ht="14.4" customHeight="1" x14ac:dyDescent="0.3">
      <c r="A6" s="386" t="s">
        <v>418</v>
      </c>
      <c r="B6" s="387" t="s">
        <v>251</v>
      </c>
      <c r="C6" s="388">
        <v>10.60995</v>
      </c>
      <c r="D6" s="388">
        <v>6.2616700000000005</v>
      </c>
      <c r="E6" s="388"/>
      <c r="F6" s="388">
        <v>0</v>
      </c>
      <c r="G6" s="388">
        <v>7.173929102216249</v>
      </c>
      <c r="H6" s="388">
        <v>-7.173929102216249</v>
      </c>
      <c r="I6" s="389">
        <v>0</v>
      </c>
      <c r="J6" s="390" t="s">
        <v>1</v>
      </c>
    </row>
    <row r="7" spans="1:10" ht="14.4" customHeight="1" x14ac:dyDescent="0.3">
      <c r="A7" s="386" t="s">
        <v>418</v>
      </c>
      <c r="B7" s="387" t="s">
        <v>252</v>
      </c>
      <c r="C7" s="388">
        <v>7.2099999999999997E-2</v>
      </c>
      <c r="D7" s="388">
        <v>0</v>
      </c>
      <c r="E7" s="388"/>
      <c r="F7" s="388" t="s">
        <v>420</v>
      </c>
      <c r="G7" s="388" t="s">
        <v>420</v>
      </c>
      <c r="H7" s="388" t="s">
        <v>420</v>
      </c>
      <c r="I7" s="389" t="s">
        <v>420</v>
      </c>
      <c r="J7" s="390" t="s">
        <v>1</v>
      </c>
    </row>
    <row r="8" spans="1:10" ht="14.4" customHeight="1" x14ac:dyDescent="0.3">
      <c r="A8" s="386" t="s">
        <v>418</v>
      </c>
      <c r="B8" s="387" t="s">
        <v>253</v>
      </c>
      <c r="C8" s="388">
        <v>0</v>
      </c>
      <c r="D8" s="388">
        <v>0</v>
      </c>
      <c r="E8" s="388"/>
      <c r="F8" s="388" t="s">
        <v>420</v>
      </c>
      <c r="G8" s="388" t="s">
        <v>420</v>
      </c>
      <c r="H8" s="388" t="s">
        <v>420</v>
      </c>
      <c r="I8" s="389" t="s">
        <v>420</v>
      </c>
      <c r="J8" s="390" t="s">
        <v>1</v>
      </c>
    </row>
    <row r="9" spans="1:10" ht="14.4" customHeight="1" x14ac:dyDescent="0.3">
      <c r="A9" s="386" t="s">
        <v>418</v>
      </c>
      <c r="B9" s="387" t="s">
        <v>254</v>
      </c>
      <c r="C9" s="388">
        <v>0.43802000000000002</v>
      </c>
      <c r="D9" s="388">
        <v>0</v>
      </c>
      <c r="E9" s="388"/>
      <c r="F9" s="388" t="s">
        <v>420</v>
      </c>
      <c r="G9" s="388" t="s">
        <v>420</v>
      </c>
      <c r="H9" s="388" t="s">
        <v>420</v>
      </c>
      <c r="I9" s="389" t="s">
        <v>420</v>
      </c>
      <c r="J9" s="390" t="s">
        <v>1</v>
      </c>
    </row>
    <row r="10" spans="1:10" ht="14.4" customHeight="1" x14ac:dyDescent="0.3">
      <c r="A10" s="386" t="s">
        <v>418</v>
      </c>
      <c r="B10" s="387" t="s">
        <v>421</v>
      </c>
      <c r="C10" s="388">
        <v>11.12007</v>
      </c>
      <c r="D10" s="388">
        <v>6.2616700000000005</v>
      </c>
      <c r="E10" s="388"/>
      <c r="F10" s="388">
        <v>0</v>
      </c>
      <c r="G10" s="388">
        <v>7.173929102216249</v>
      </c>
      <c r="H10" s="388">
        <v>-7.173929102216249</v>
      </c>
      <c r="I10" s="389">
        <v>0</v>
      </c>
      <c r="J10" s="390" t="s">
        <v>422</v>
      </c>
    </row>
    <row r="12" spans="1:10" ht="14.4" customHeight="1" x14ac:dyDescent="0.3">
      <c r="A12" s="386" t="s">
        <v>418</v>
      </c>
      <c r="B12" s="387" t="s">
        <v>419</v>
      </c>
      <c r="C12" s="388" t="s">
        <v>420</v>
      </c>
      <c r="D12" s="388" t="s">
        <v>420</v>
      </c>
      <c r="E12" s="388"/>
      <c r="F12" s="388" t="s">
        <v>420</v>
      </c>
      <c r="G12" s="388" t="s">
        <v>420</v>
      </c>
      <c r="H12" s="388" t="s">
        <v>420</v>
      </c>
      <c r="I12" s="389" t="s">
        <v>420</v>
      </c>
      <c r="J12" s="390" t="s">
        <v>51</v>
      </c>
    </row>
    <row r="13" spans="1:10" ht="14.4" customHeight="1" x14ac:dyDescent="0.3">
      <c r="A13" s="386" t="s">
        <v>423</v>
      </c>
      <c r="B13" s="387" t="s">
        <v>424</v>
      </c>
      <c r="C13" s="388" t="s">
        <v>420</v>
      </c>
      <c r="D13" s="388" t="s">
        <v>420</v>
      </c>
      <c r="E13" s="388"/>
      <c r="F13" s="388" t="s">
        <v>420</v>
      </c>
      <c r="G13" s="388" t="s">
        <v>420</v>
      </c>
      <c r="H13" s="388" t="s">
        <v>420</v>
      </c>
      <c r="I13" s="389" t="s">
        <v>420</v>
      </c>
      <c r="J13" s="390" t="s">
        <v>0</v>
      </c>
    </row>
    <row r="14" spans="1:10" ht="14.4" customHeight="1" x14ac:dyDescent="0.3">
      <c r="A14" s="386" t="s">
        <v>423</v>
      </c>
      <c r="B14" s="387" t="s">
        <v>251</v>
      </c>
      <c r="C14" s="388">
        <v>10.60995</v>
      </c>
      <c r="D14" s="388">
        <v>6.2616700000000005</v>
      </c>
      <c r="E14" s="388"/>
      <c r="F14" s="388">
        <v>0</v>
      </c>
      <c r="G14" s="388">
        <v>7.173929102216249</v>
      </c>
      <c r="H14" s="388">
        <v>-7.173929102216249</v>
      </c>
      <c r="I14" s="389">
        <v>0</v>
      </c>
      <c r="J14" s="390" t="s">
        <v>1</v>
      </c>
    </row>
    <row r="15" spans="1:10" ht="14.4" customHeight="1" x14ac:dyDescent="0.3">
      <c r="A15" s="386" t="s">
        <v>423</v>
      </c>
      <c r="B15" s="387" t="s">
        <v>252</v>
      </c>
      <c r="C15" s="388">
        <v>7.2099999999999997E-2</v>
      </c>
      <c r="D15" s="388">
        <v>0</v>
      </c>
      <c r="E15" s="388"/>
      <c r="F15" s="388" t="s">
        <v>420</v>
      </c>
      <c r="G15" s="388" t="s">
        <v>420</v>
      </c>
      <c r="H15" s="388" t="s">
        <v>420</v>
      </c>
      <c r="I15" s="389" t="s">
        <v>420</v>
      </c>
      <c r="J15" s="390" t="s">
        <v>1</v>
      </c>
    </row>
    <row r="16" spans="1:10" ht="14.4" customHeight="1" x14ac:dyDescent="0.3">
      <c r="A16" s="386" t="s">
        <v>423</v>
      </c>
      <c r="B16" s="387" t="s">
        <v>253</v>
      </c>
      <c r="C16" s="388">
        <v>0</v>
      </c>
      <c r="D16" s="388">
        <v>0</v>
      </c>
      <c r="E16" s="388"/>
      <c r="F16" s="388" t="s">
        <v>420</v>
      </c>
      <c r="G16" s="388" t="s">
        <v>420</v>
      </c>
      <c r="H16" s="388" t="s">
        <v>420</v>
      </c>
      <c r="I16" s="389" t="s">
        <v>420</v>
      </c>
      <c r="J16" s="390" t="s">
        <v>1</v>
      </c>
    </row>
    <row r="17" spans="1:10" ht="14.4" customHeight="1" x14ac:dyDescent="0.3">
      <c r="A17" s="386" t="s">
        <v>423</v>
      </c>
      <c r="B17" s="387" t="s">
        <v>254</v>
      </c>
      <c r="C17" s="388">
        <v>0.43802000000000002</v>
      </c>
      <c r="D17" s="388">
        <v>0</v>
      </c>
      <c r="E17" s="388"/>
      <c r="F17" s="388" t="s">
        <v>420</v>
      </c>
      <c r="G17" s="388" t="s">
        <v>420</v>
      </c>
      <c r="H17" s="388" t="s">
        <v>420</v>
      </c>
      <c r="I17" s="389" t="s">
        <v>420</v>
      </c>
      <c r="J17" s="390" t="s">
        <v>1</v>
      </c>
    </row>
    <row r="18" spans="1:10" ht="14.4" customHeight="1" x14ac:dyDescent="0.3">
      <c r="A18" s="386" t="s">
        <v>423</v>
      </c>
      <c r="B18" s="387" t="s">
        <v>425</v>
      </c>
      <c r="C18" s="388">
        <v>11.12007</v>
      </c>
      <c r="D18" s="388">
        <v>6.2616700000000005</v>
      </c>
      <c r="E18" s="388"/>
      <c r="F18" s="388">
        <v>0</v>
      </c>
      <c r="G18" s="388">
        <v>7.173929102216249</v>
      </c>
      <c r="H18" s="388">
        <v>-7.173929102216249</v>
      </c>
      <c r="I18" s="389">
        <v>0</v>
      </c>
      <c r="J18" s="390" t="s">
        <v>426</v>
      </c>
    </row>
    <row r="19" spans="1:10" ht="14.4" customHeight="1" x14ac:dyDescent="0.3">
      <c r="A19" s="386" t="s">
        <v>420</v>
      </c>
      <c r="B19" s="387" t="s">
        <v>420</v>
      </c>
      <c r="C19" s="388" t="s">
        <v>420</v>
      </c>
      <c r="D19" s="388" t="s">
        <v>420</v>
      </c>
      <c r="E19" s="388"/>
      <c r="F19" s="388" t="s">
        <v>420</v>
      </c>
      <c r="G19" s="388" t="s">
        <v>420</v>
      </c>
      <c r="H19" s="388" t="s">
        <v>420</v>
      </c>
      <c r="I19" s="389" t="s">
        <v>420</v>
      </c>
      <c r="J19" s="390" t="s">
        <v>427</v>
      </c>
    </row>
    <row r="20" spans="1:10" ht="14.4" customHeight="1" x14ac:dyDescent="0.3">
      <c r="A20" s="386" t="s">
        <v>418</v>
      </c>
      <c r="B20" s="387" t="s">
        <v>421</v>
      </c>
      <c r="C20" s="388">
        <v>11.12007</v>
      </c>
      <c r="D20" s="388">
        <v>6.2616700000000005</v>
      </c>
      <c r="E20" s="388"/>
      <c r="F20" s="388">
        <v>0</v>
      </c>
      <c r="G20" s="388">
        <v>7.173929102216249</v>
      </c>
      <c r="H20" s="388">
        <v>-7.173929102216249</v>
      </c>
      <c r="I20" s="389">
        <v>0</v>
      </c>
      <c r="J20" s="390" t="s">
        <v>422</v>
      </c>
    </row>
  </sheetData>
  <mergeCells count="3">
    <mergeCell ref="F3:I3"/>
    <mergeCell ref="C4:D4"/>
    <mergeCell ref="A1:I1"/>
  </mergeCells>
  <conditionalFormatting sqref="F11 F21:F65537">
    <cfRule type="cellIs" dxfId="37" priority="18" stopIfTrue="1" operator="greaterThan">
      <formula>1</formula>
    </cfRule>
  </conditionalFormatting>
  <conditionalFormatting sqref="H5:H10">
    <cfRule type="expression" dxfId="36" priority="14">
      <formula>$H5&gt;0</formula>
    </cfRule>
  </conditionalFormatting>
  <conditionalFormatting sqref="I5:I10">
    <cfRule type="expression" dxfId="35" priority="15">
      <formula>$I5&gt;1</formula>
    </cfRule>
  </conditionalFormatting>
  <conditionalFormatting sqref="B5:B10">
    <cfRule type="expression" dxfId="34" priority="11">
      <formula>OR($J5="NS",$J5="SumaNS",$J5="Účet")</formula>
    </cfRule>
  </conditionalFormatting>
  <conditionalFormatting sqref="B5:D10 F5:I10">
    <cfRule type="expression" dxfId="33" priority="17">
      <formula>AND($J5&lt;&gt;"",$J5&lt;&gt;"mezeraKL")</formula>
    </cfRule>
  </conditionalFormatting>
  <conditionalFormatting sqref="B5:D10 F5:I10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1" priority="13">
      <formula>OR($J5="SumaNS",$J5="NS")</formula>
    </cfRule>
  </conditionalFormatting>
  <conditionalFormatting sqref="A5:A10">
    <cfRule type="expression" dxfId="30" priority="9">
      <formula>AND($J5&lt;&gt;"mezeraKL",$J5&lt;&gt;"")</formula>
    </cfRule>
  </conditionalFormatting>
  <conditionalFormatting sqref="A5:A10">
    <cfRule type="expression" dxfId="29" priority="10">
      <formula>AND($J5&lt;&gt;"",$J5&lt;&gt;"mezeraKL")</formula>
    </cfRule>
  </conditionalFormatting>
  <conditionalFormatting sqref="H12:H20">
    <cfRule type="expression" dxfId="28" priority="5">
      <formula>$H12&gt;0</formula>
    </cfRule>
  </conditionalFormatting>
  <conditionalFormatting sqref="A12:A20">
    <cfRule type="expression" dxfId="27" priority="2">
      <formula>AND($J12&lt;&gt;"mezeraKL",$J12&lt;&gt;"")</formula>
    </cfRule>
  </conditionalFormatting>
  <conditionalFormatting sqref="I12:I20">
    <cfRule type="expression" dxfId="26" priority="6">
      <formula>$I12&gt;1</formula>
    </cfRule>
  </conditionalFormatting>
  <conditionalFormatting sqref="B12:B20">
    <cfRule type="expression" dxfId="25" priority="1">
      <formula>OR($J12="NS",$J12="SumaNS",$J12="Účet")</formula>
    </cfRule>
  </conditionalFormatting>
  <conditionalFormatting sqref="A12:D20 F12:I20">
    <cfRule type="expression" dxfId="24" priority="8">
      <formula>AND($J12&lt;&gt;"",$J12&lt;&gt;"mezeraKL")</formula>
    </cfRule>
  </conditionalFormatting>
  <conditionalFormatting sqref="B12:D20 F12:I20">
    <cfRule type="expression" dxfId="2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1" customWidth="1"/>
    <col min="2" max="2" width="5.44140625" style="181" bestFit="1" customWidth="1"/>
    <col min="3" max="3" width="6.109375" style="181" bestFit="1" customWidth="1"/>
    <col min="4" max="4" width="7.44140625" style="181" bestFit="1" customWidth="1"/>
    <col min="5" max="5" width="6.21875" style="181" bestFit="1" customWidth="1"/>
    <col min="6" max="6" width="6.33203125" style="184" bestFit="1" customWidth="1"/>
    <col min="7" max="7" width="6.109375" style="184" bestFit="1" customWidth="1"/>
    <col min="8" max="8" width="7.44140625" style="184" bestFit="1" customWidth="1"/>
    <col min="9" max="9" width="6.21875" style="184" bestFit="1" customWidth="1"/>
    <col min="10" max="10" width="5.44140625" style="181" bestFit="1" customWidth="1"/>
    <col min="11" max="11" width="6.109375" style="181" bestFit="1" customWidth="1"/>
    <col min="12" max="12" width="7.44140625" style="181" bestFit="1" customWidth="1"/>
    <col min="13" max="13" width="6.21875" style="181" bestFit="1" customWidth="1"/>
    <col min="14" max="14" width="5.33203125" style="184" bestFit="1" customWidth="1"/>
    <col min="15" max="15" width="6.109375" style="184" bestFit="1" customWidth="1"/>
    <col min="16" max="16" width="7.44140625" style="184" bestFit="1" customWidth="1"/>
    <col min="17" max="17" width="6.21875" style="184" bestFit="1" customWidth="1"/>
    <col min="18" max="16384" width="8.88671875" style="105"/>
  </cols>
  <sheetData>
    <row r="1" spans="1:17" ht="18.600000000000001" customHeight="1" thickBot="1" x14ac:dyDescent="0.4">
      <c r="A1" s="328" t="s">
        <v>206</v>
      </c>
      <c r="B1" s="328"/>
      <c r="C1" s="328"/>
      <c r="D1" s="328"/>
      <c r="E1" s="328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3" t="s">
        <v>242</v>
      </c>
      <c r="B2" s="188"/>
      <c r="C2" s="188"/>
      <c r="D2" s="188"/>
      <c r="E2" s="188"/>
    </row>
    <row r="3" spans="1:17" ht="14.4" customHeight="1" thickBot="1" x14ac:dyDescent="0.35">
      <c r="A3" s="270" t="s">
        <v>3</v>
      </c>
      <c r="B3" s="274">
        <f>SUM(B6:B1048576)</f>
        <v>5</v>
      </c>
      <c r="C3" s="275">
        <f>SUM(C6:C1048576)</f>
        <v>0</v>
      </c>
      <c r="D3" s="275">
        <f>SUM(D6:D1048576)</f>
        <v>0</v>
      </c>
      <c r="E3" s="276">
        <f>SUM(E6:E1048576)</f>
        <v>0</v>
      </c>
      <c r="F3" s="273">
        <f>IF(SUM($B3:$E3)=0,"",B3/SUM($B3:$E3))</f>
        <v>1</v>
      </c>
      <c r="G3" s="271">
        <f t="shared" ref="G3:I3" si="0">IF(SUM($B3:$E3)=0,"",C3/SUM($B3:$E3))</f>
        <v>0</v>
      </c>
      <c r="H3" s="271">
        <f t="shared" si="0"/>
        <v>0</v>
      </c>
      <c r="I3" s="272">
        <f t="shared" si="0"/>
        <v>0</v>
      </c>
      <c r="J3" s="275">
        <f>SUM(J6:J1048576)</f>
        <v>3</v>
      </c>
      <c r="K3" s="275">
        <f>SUM(K6:K1048576)</f>
        <v>0</v>
      </c>
      <c r="L3" s="275">
        <f>SUM(L6:L1048576)</f>
        <v>0</v>
      </c>
      <c r="M3" s="276">
        <f>SUM(M6:M1048576)</f>
        <v>0</v>
      </c>
      <c r="N3" s="273">
        <f>IF(SUM($J3:$M3)=0,"",J3/SUM($J3:$M3))</f>
        <v>1</v>
      </c>
      <c r="O3" s="271">
        <f t="shared" ref="O3:Q3" si="1">IF(SUM($J3:$M3)=0,"",K3/SUM($J3:$M3))</f>
        <v>0</v>
      </c>
      <c r="P3" s="271">
        <f t="shared" si="1"/>
        <v>0</v>
      </c>
      <c r="Q3" s="272">
        <f t="shared" si="1"/>
        <v>0</v>
      </c>
    </row>
    <row r="4" spans="1:17" ht="14.4" customHeight="1" thickBot="1" x14ac:dyDescent="0.35">
      <c r="A4" s="269"/>
      <c r="B4" s="332" t="s">
        <v>208</v>
      </c>
      <c r="C4" s="333"/>
      <c r="D4" s="333"/>
      <c r="E4" s="334"/>
      <c r="F4" s="329" t="s">
        <v>213</v>
      </c>
      <c r="G4" s="330"/>
      <c r="H4" s="330"/>
      <c r="I4" s="331"/>
      <c r="J4" s="332" t="s">
        <v>214</v>
      </c>
      <c r="K4" s="333"/>
      <c r="L4" s="333"/>
      <c r="M4" s="334"/>
      <c r="N4" s="329" t="s">
        <v>215</v>
      </c>
      <c r="O4" s="330"/>
      <c r="P4" s="330"/>
      <c r="Q4" s="331"/>
    </row>
    <row r="5" spans="1:17" ht="14.4" customHeight="1" thickBot="1" x14ac:dyDescent="0.35">
      <c r="A5" s="391" t="s">
        <v>207</v>
      </c>
      <c r="B5" s="392" t="s">
        <v>209</v>
      </c>
      <c r="C5" s="392" t="s">
        <v>210</v>
      </c>
      <c r="D5" s="392" t="s">
        <v>211</v>
      </c>
      <c r="E5" s="393" t="s">
        <v>212</v>
      </c>
      <c r="F5" s="394" t="s">
        <v>209</v>
      </c>
      <c r="G5" s="395" t="s">
        <v>210</v>
      </c>
      <c r="H5" s="395" t="s">
        <v>211</v>
      </c>
      <c r="I5" s="396" t="s">
        <v>212</v>
      </c>
      <c r="J5" s="392" t="s">
        <v>209</v>
      </c>
      <c r="K5" s="392" t="s">
        <v>210</v>
      </c>
      <c r="L5" s="392" t="s">
        <v>211</v>
      </c>
      <c r="M5" s="393" t="s">
        <v>212</v>
      </c>
      <c r="N5" s="394" t="s">
        <v>209</v>
      </c>
      <c r="O5" s="395" t="s">
        <v>210</v>
      </c>
      <c r="P5" s="395" t="s">
        <v>211</v>
      </c>
      <c r="Q5" s="396" t="s">
        <v>212</v>
      </c>
    </row>
    <row r="6" spans="1:17" ht="14.4" customHeight="1" x14ac:dyDescent="0.3">
      <c r="A6" s="404" t="s">
        <v>428</v>
      </c>
      <c r="B6" s="408"/>
      <c r="C6" s="398"/>
      <c r="D6" s="398"/>
      <c r="E6" s="410"/>
      <c r="F6" s="406"/>
      <c r="G6" s="399"/>
      <c r="H6" s="399"/>
      <c r="I6" s="412"/>
      <c r="J6" s="408"/>
      <c r="K6" s="398"/>
      <c r="L6" s="398"/>
      <c r="M6" s="410"/>
      <c r="N6" s="406"/>
      <c r="O6" s="399"/>
      <c r="P6" s="399"/>
      <c r="Q6" s="400"/>
    </row>
    <row r="7" spans="1:17" ht="14.4" customHeight="1" thickBot="1" x14ac:dyDescent="0.35">
      <c r="A7" s="405" t="s">
        <v>429</v>
      </c>
      <c r="B7" s="409">
        <v>5</v>
      </c>
      <c r="C7" s="401"/>
      <c r="D7" s="401"/>
      <c r="E7" s="411"/>
      <c r="F7" s="407">
        <v>1</v>
      </c>
      <c r="G7" s="402">
        <v>0</v>
      </c>
      <c r="H7" s="402">
        <v>0</v>
      </c>
      <c r="I7" s="413">
        <v>0</v>
      </c>
      <c r="J7" s="409">
        <v>3</v>
      </c>
      <c r="K7" s="401"/>
      <c r="L7" s="401"/>
      <c r="M7" s="411"/>
      <c r="N7" s="407">
        <v>1</v>
      </c>
      <c r="O7" s="402">
        <v>0</v>
      </c>
      <c r="P7" s="402">
        <v>0</v>
      </c>
      <c r="Q7" s="40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112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242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2013</v>
      </c>
      <c r="D3" s="262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205</v>
      </c>
      <c r="C4" s="320" t="s">
        <v>55</v>
      </c>
      <c r="D4" s="321"/>
      <c r="E4" s="268"/>
      <c r="F4" s="263" t="s">
        <v>55</v>
      </c>
      <c r="G4" s="264" t="s">
        <v>56</v>
      </c>
      <c r="H4" s="264" t="s">
        <v>50</v>
      </c>
      <c r="I4" s="265" t="s">
        <v>57</v>
      </c>
    </row>
    <row r="5" spans="1:10" ht="14.4" customHeight="1" x14ac:dyDescent="0.3">
      <c r="A5" s="386" t="s">
        <v>418</v>
      </c>
      <c r="B5" s="387" t="s">
        <v>419</v>
      </c>
      <c r="C5" s="388" t="s">
        <v>420</v>
      </c>
      <c r="D5" s="388" t="s">
        <v>420</v>
      </c>
      <c r="E5" s="388"/>
      <c r="F5" s="388" t="s">
        <v>420</v>
      </c>
      <c r="G5" s="388" t="s">
        <v>420</v>
      </c>
      <c r="H5" s="388" t="s">
        <v>420</v>
      </c>
      <c r="I5" s="389" t="s">
        <v>420</v>
      </c>
      <c r="J5" s="390" t="s">
        <v>51</v>
      </c>
    </row>
    <row r="6" spans="1:10" ht="14.4" customHeight="1" x14ac:dyDescent="0.3">
      <c r="A6" s="386" t="s">
        <v>418</v>
      </c>
      <c r="B6" s="387" t="s">
        <v>256</v>
      </c>
      <c r="C6" s="388">
        <v>177.08067</v>
      </c>
      <c r="D6" s="388">
        <v>199.12872999999999</v>
      </c>
      <c r="E6" s="388"/>
      <c r="F6" s="388">
        <v>84.44426</v>
      </c>
      <c r="G6" s="388">
        <v>256.24999192874498</v>
      </c>
      <c r="H6" s="388">
        <v>-171.80573192874499</v>
      </c>
      <c r="I6" s="389">
        <v>0.32953858598942426</v>
      </c>
      <c r="J6" s="390" t="s">
        <v>1</v>
      </c>
    </row>
    <row r="7" spans="1:10" ht="14.4" customHeight="1" x14ac:dyDescent="0.3">
      <c r="A7" s="386" t="s">
        <v>418</v>
      </c>
      <c r="B7" s="387" t="s">
        <v>257</v>
      </c>
      <c r="C7" s="388">
        <v>4.1587000000000005</v>
      </c>
      <c r="D7" s="388">
        <v>4.9291700000000001</v>
      </c>
      <c r="E7" s="388"/>
      <c r="F7" s="388">
        <v>32.438279999999999</v>
      </c>
      <c r="G7" s="388">
        <v>15.4999995117875</v>
      </c>
      <c r="H7" s="388">
        <v>16.938280488212499</v>
      </c>
      <c r="I7" s="389">
        <v>2.0927923239824109</v>
      </c>
      <c r="J7" s="390" t="s">
        <v>1</v>
      </c>
    </row>
    <row r="8" spans="1:10" ht="14.4" customHeight="1" x14ac:dyDescent="0.3">
      <c r="A8" s="386" t="s">
        <v>418</v>
      </c>
      <c r="B8" s="387" t="s">
        <v>258</v>
      </c>
      <c r="C8" s="388">
        <v>6.5484799999999996</v>
      </c>
      <c r="D8" s="388">
        <v>7.8509500000000001</v>
      </c>
      <c r="E8" s="388"/>
      <c r="F8" s="388">
        <v>5.9869000000000003</v>
      </c>
      <c r="G8" s="388">
        <v>8.2499997401450003</v>
      </c>
      <c r="H8" s="388">
        <v>-2.2630997401449999</v>
      </c>
      <c r="I8" s="389">
        <v>0.72568487134216275</v>
      </c>
      <c r="J8" s="390" t="s">
        <v>1</v>
      </c>
    </row>
    <row r="9" spans="1:10" ht="14.4" customHeight="1" x14ac:dyDescent="0.3">
      <c r="A9" s="386" t="s">
        <v>418</v>
      </c>
      <c r="B9" s="387" t="s">
        <v>259</v>
      </c>
      <c r="C9" s="388">
        <v>24.6435</v>
      </c>
      <c r="D9" s="388">
        <v>26.284109999999998</v>
      </c>
      <c r="E9" s="388"/>
      <c r="F9" s="388">
        <v>28.663530000000002</v>
      </c>
      <c r="G9" s="388">
        <v>49.999998425121248</v>
      </c>
      <c r="H9" s="388">
        <v>-21.336468425121247</v>
      </c>
      <c r="I9" s="389">
        <v>0.57327061805663437</v>
      </c>
      <c r="J9" s="390" t="s">
        <v>1</v>
      </c>
    </row>
    <row r="10" spans="1:10" ht="14.4" customHeight="1" x14ac:dyDescent="0.3">
      <c r="A10" s="386" t="s">
        <v>418</v>
      </c>
      <c r="B10" s="387" t="s">
        <v>260</v>
      </c>
      <c r="C10" s="388">
        <v>0</v>
      </c>
      <c r="D10" s="388">
        <v>0.41299999999999998</v>
      </c>
      <c r="E10" s="388"/>
      <c r="F10" s="388" t="s">
        <v>420</v>
      </c>
      <c r="G10" s="388" t="s">
        <v>420</v>
      </c>
      <c r="H10" s="388" t="s">
        <v>420</v>
      </c>
      <c r="I10" s="389" t="s">
        <v>420</v>
      </c>
      <c r="J10" s="390" t="s">
        <v>1</v>
      </c>
    </row>
    <row r="11" spans="1:10" ht="14.4" customHeight="1" x14ac:dyDescent="0.3">
      <c r="A11" s="386" t="s">
        <v>418</v>
      </c>
      <c r="B11" s="387" t="s">
        <v>261</v>
      </c>
      <c r="C11" s="388">
        <v>7.9715000000000007</v>
      </c>
      <c r="D11" s="388">
        <v>9.7703000000000007</v>
      </c>
      <c r="E11" s="388"/>
      <c r="F11" s="388">
        <v>10.321999999999999</v>
      </c>
      <c r="G11" s="388">
        <v>10.499999669275249</v>
      </c>
      <c r="H11" s="388">
        <v>-0.17799966927525013</v>
      </c>
      <c r="I11" s="389">
        <v>0.98304765001125605</v>
      </c>
      <c r="J11" s="390" t="s">
        <v>1</v>
      </c>
    </row>
    <row r="12" spans="1:10" ht="14.4" customHeight="1" x14ac:dyDescent="0.3">
      <c r="A12" s="386" t="s">
        <v>418</v>
      </c>
      <c r="B12" s="387" t="s">
        <v>421</v>
      </c>
      <c r="C12" s="388">
        <v>220.40285</v>
      </c>
      <c r="D12" s="388">
        <v>248.37626</v>
      </c>
      <c r="E12" s="388"/>
      <c r="F12" s="388">
        <v>161.85497000000001</v>
      </c>
      <c r="G12" s="388">
        <v>340.49998927507403</v>
      </c>
      <c r="H12" s="388">
        <v>-178.64501927507402</v>
      </c>
      <c r="I12" s="389">
        <v>0.47534500763007348</v>
      </c>
      <c r="J12" s="390" t="s">
        <v>422</v>
      </c>
    </row>
    <row r="14" spans="1:10" ht="14.4" customHeight="1" x14ac:dyDescent="0.3">
      <c r="A14" s="386" t="s">
        <v>418</v>
      </c>
      <c r="B14" s="387" t="s">
        <v>419</v>
      </c>
      <c r="C14" s="388" t="s">
        <v>420</v>
      </c>
      <c r="D14" s="388" t="s">
        <v>420</v>
      </c>
      <c r="E14" s="388"/>
      <c r="F14" s="388" t="s">
        <v>420</v>
      </c>
      <c r="G14" s="388" t="s">
        <v>420</v>
      </c>
      <c r="H14" s="388" t="s">
        <v>420</v>
      </c>
      <c r="I14" s="389" t="s">
        <v>420</v>
      </c>
      <c r="J14" s="390" t="s">
        <v>51</v>
      </c>
    </row>
    <row r="15" spans="1:10" ht="14.4" customHeight="1" x14ac:dyDescent="0.3">
      <c r="A15" s="386" t="s">
        <v>423</v>
      </c>
      <c r="B15" s="387" t="s">
        <v>424</v>
      </c>
      <c r="C15" s="388" t="s">
        <v>420</v>
      </c>
      <c r="D15" s="388" t="s">
        <v>420</v>
      </c>
      <c r="E15" s="388"/>
      <c r="F15" s="388" t="s">
        <v>420</v>
      </c>
      <c r="G15" s="388" t="s">
        <v>420</v>
      </c>
      <c r="H15" s="388" t="s">
        <v>420</v>
      </c>
      <c r="I15" s="389" t="s">
        <v>420</v>
      </c>
      <c r="J15" s="390" t="s">
        <v>0</v>
      </c>
    </row>
    <row r="16" spans="1:10" ht="14.4" customHeight="1" x14ac:dyDescent="0.3">
      <c r="A16" s="386" t="s">
        <v>423</v>
      </c>
      <c r="B16" s="387" t="s">
        <v>256</v>
      </c>
      <c r="C16" s="388">
        <v>177.08067</v>
      </c>
      <c r="D16" s="388">
        <v>199.12872999999999</v>
      </c>
      <c r="E16" s="388"/>
      <c r="F16" s="388">
        <v>84.44426</v>
      </c>
      <c r="G16" s="388">
        <v>256.24999192874498</v>
      </c>
      <c r="H16" s="388">
        <v>-171.80573192874499</v>
      </c>
      <c r="I16" s="389">
        <v>0.32953858598942426</v>
      </c>
      <c r="J16" s="390" t="s">
        <v>1</v>
      </c>
    </row>
    <row r="17" spans="1:10" ht="14.4" customHeight="1" x14ac:dyDescent="0.3">
      <c r="A17" s="386" t="s">
        <v>423</v>
      </c>
      <c r="B17" s="387" t="s">
        <v>257</v>
      </c>
      <c r="C17" s="388">
        <v>4.1587000000000005</v>
      </c>
      <c r="D17" s="388">
        <v>4.9291700000000001</v>
      </c>
      <c r="E17" s="388"/>
      <c r="F17" s="388">
        <v>32.438279999999999</v>
      </c>
      <c r="G17" s="388">
        <v>15.4999995117875</v>
      </c>
      <c r="H17" s="388">
        <v>16.938280488212499</v>
      </c>
      <c r="I17" s="389">
        <v>2.0927923239824109</v>
      </c>
      <c r="J17" s="390" t="s">
        <v>1</v>
      </c>
    </row>
    <row r="18" spans="1:10" ht="14.4" customHeight="1" x14ac:dyDescent="0.3">
      <c r="A18" s="386" t="s">
        <v>423</v>
      </c>
      <c r="B18" s="387" t="s">
        <v>258</v>
      </c>
      <c r="C18" s="388">
        <v>6.5484799999999996</v>
      </c>
      <c r="D18" s="388">
        <v>7.8509500000000001</v>
      </c>
      <c r="E18" s="388"/>
      <c r="F18" s="388">
        <v>5.9869000000000003</v>
      </c>
      <c r="G18" s="388">
        <v>8.2499997401450003</v>
      </c>
      <c r="H18" s="388">
        <v>-2.2630997401449999</v>
      </c>
      <c r="I18" s="389">
        <v>0.72568487134216275</v>
      </c>
      <c r="J18" s="390" t="s">
        <v>1</v>
      </c>
    </row>
    <row r="19" spans="1:10" ht="14.4" customHeight="1" x14ac:dyDescent="0.3">
      <c r="A19" s="386" t="s">
        <v>423</v>
      </c>
      <c r="B19" s="387" t="s">
        <v>259</v>
      </c>
      <c r="C19" s="388">
        <v>24.6435</v>
      </c>
      <c r="D19" s="388">
        <v>26.284109999999998</v>
      </c>
      <c r="E19" s="388"/>
      <c r="F19" s="388">
        <v>28.663530000000002</v>
      </c>
      <c r="G19" s="388">
        <v>49.999998425121248</v>
      </c>
      <c r="H19" s="388">
        <v>-21.336468425121247</v>
      </c>
      <c r="I19" s="389">
        <v>0.57327061805663437</v>
      </c>
      <c r="J19" s="390" t="s">
        <v>1</v>
      </c>
    </row>
    <row r="20" spans="1:10" ht="14.4" customHeight="1" x14ac:dyDescent="0.3">
      <c r="A20" s="386" t="s">
        <v>423</v>
      </c>
      <c r="B20" s="387" t="s">
        <v>260</v>
      </c>
      <c r="C20" s="388">
        <v>0</v>
      </c>
      <c r="D20" s="388">
        <v>0.41299999999999998</v>
      </c>
      <c r="E20" s="388"/>
      <c r="F20" s="388" t="s">
        <v>420</v>
      </c>
      <c r="G20" s="388" t="s">
        <v>420</v>
      </c>
      <c r="H20" s="388" t="s">
        <v>420</v>
      </c>
      <c r="I20" s="389" t="s">
        <v>420</v>
      </c>
      <c r="J20" s="390" t="s">
        <v>1</v>
      </c>
    </row>
    <row r="21" spans="1:10" ht="14.4" customHeight="1" x14ac:dyDescent="0.3">
      <c r="A21" s="386" t="s">
        <v>423</v>
      </c>
      <c r="B21" s="387" t="s">
        <v>261</v>
      </c>
      <c r="C21" s="388">
        <v>7.9715000000000007</v>
      </c>
      <c r="D21" s="388">
        <v>9.7703000000000007</v>
      </c>
      <c r="E21" s="388"/>
      <c r="F21" s="388">
        <v>10.321999999999999</v>
      </c>
      <c r="G21" s="388">
        <v>10.499999669275249</v>
      </c>
      <c r="H21" s="388">
        <v>-0.17799966927525013</v>
      </c>
      <c r="I21" s="389">
        <v>0.98304765001125605</v>
      </c>
      <c r="J21" s="390" t="s">
        <v>1</v>
      </c>
    </row>
    <row r="22" spans="1:10" ht="14.4" customHeight="1" x14ac:dyDescent="0.3">
      <c r="A22" s="386" t="s">
        <v>423</v>
      </c>
      <c r="B22" s="387" t="s">
        <v>425</v>
      </c>
      <c r="C22" s="388">
        <v>220.40285</v>
      </c>
      <c r="D22" s="388">
        <v>248.37626</v>
      </c>
      <c r="E22" s="388"/>
      <c r="F22" s="388">
        <v>161.85497000000001</v>
      </c>
      <c r="G22" s="388">
        <v>340.49998927507403</v>
      </c>
      <c r="H22" s="388">
        <v>-178.64501927507402</v>
      </c>
      <c r="I22" s="389">
        <v>0.47534500763007348</v>
      </c>
      <c r="J22" s="390" t="s">
        <v>426</v>
      </c>
    </row>
    <row r="23" spans="1:10" ht="14.4" customHeight="1" x14ac:dyDescent="0.3">
      <c r="A23" s="386" t="s">
        <v>420</v>
      </c>
      <c r="B23" s="387" t="s">
        <v>420</v>
      </c>
      <c r="C23" s="388" t="s">
        <v>420</v>
      </c>
      <c r="D23" s="388" t="s">
        <v>420</v>
      </c>
      <c r="E23" s="388"/>
      <c r="F23" s="388" t="s">
        <v>420</v>
      </c>
      <c r="G23" s="388" t="s">
        <v>420</v>
      </c>
      <c r="H23" s="388" t="s">
        <v>420</v>
      </c>
      <c r="I23" s="389" t="s">
        <v>420</v>
      </c>
      <c r="J23" s="390" t="s">
        <v>427</v>
      </c>
    </row>
    <row r="24" spans="1:10" ht="14.4" customHeight="1" x14ac:dyDescent="0.3">
      <c r="A24" s="386" t="s">
        <v>418</v>
      </c>
      <c r="B24" s="387" t="s">
        <v>421</v>
      </c>
      <c r="C24" s="388">
        <v>220.40285</v>
      </c>
      <c r="D24" s="388">
        <v>248.37626</v>
      </c>
      <c r="E24" s="388"/>
      <c r="F24" s="388">
        <v>161.85497000000001</v>
      </c>
      <c r="G24" s="388">
        <v>340.49998927507403</v>
      </c>
      <c r="H24" s="388">
        <v>-178.64501927507402</v>
      </c>
      <c r="I24" s="389">
        <v>0.47534500763007348</v>
      </c>
      <c r="J24" s="390" t="s">
        <v>422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</vt:i4>
      </vt:variant>
    </vt:vector>
  </HeadingPairs>
  <TitlesOfParts>
    <vt:vector size="1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2015-04-25T23:19:45Z</dcterms:modified>
</cp:coreProperties>
</file>