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19" r:id="rId12"/>
    <sheet name="ON Data" sheetId="418" state="hidden" r:id="rId13"/>
    <sheet name="ZV Vykáz.-A" sheetId="344" r:id="rId14"/>
    <sheet name="ZV Vykáz.-A Lékaři" sheetId="429" r:id="rId15"/>
    <sheet name="ZV Vykáz.-A Detail" sheetId="345" r:id="rId16"/>
    <sheet name="ZV Vykáz.-H" sheetId="410" r:id="rId17"/>
    <sheet name="ZV Vykáz.-H Detail" sheetId="377" r:id="rId18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5" hidden="1">'ZV Vykáz.-A Detail'!$A$5:$Q$5</definedName>
    <definedName name="_xlnm._FilterDatabase" localSheetId="14" hidden="1">'ZV Vykáz.-A Lékaři'!$A$4:$A$5</definedName>
    <definedName name="_xlnm._FilterDatabase" localSheetId="17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C26" i="419" l="1"/>
  <c r="M26" i="419" l="1"/>
  <c r="M27" i="419" s="1"/>
  <c r="M25" i="419"/>
  <c r="H26" i="419"/>
  <c r="M28" i="419" l="1"/>
  <c r="H25" i="419"/>
  <c r="C25" i="419"/>
  <c r="M20" i="419"/>
  <c r="L20" i="419"/>
  <c r="K20" i="419"/>
  <c r="M19" i="419"/>
  <c r="L19" i="419"/>
  <c r="K19" i="419"/>
  <c r="M17" i="419"/>
  <c r="L17" i="419"/>
  <c r="K17" i="419"/>
  <c r="M16" i="419"/>
  <c r="L16" i="419"/>
  <c r="K16" i="419"/>
  <c r="M14" i="419"/>
  <c r="L14" i="419"/>
  <c r="K14" i="419"/>
  <c r="M13" i="419"/>
  <c r="L13" i="419"/>
  <c r="K13" i="419"/>
  <c r="M12" i="419"/>
  <c r="L12" i="419"/>
  <c r="K12" i="419"/>
  <c r="M11" i="419"/>
  <c r="L11" i="419"/>
  <c r="K11" i="419"/>
  <c r="AW3" i="418"/>
  <c r="AV3" i="418"/>
  <c r="AU3" i="418"/>
  <c r="AT3" i="418"/>
  <c r="AS3" i="418"/>
  <c r="AR3" i="418"/>
  <c r="AQ3" i="418"/>
  <c r="AP3" i="418"/>
  <c r="L18" i="419" l="1"/>
  <c r="K18" i="419"/>
  <c r="M18" i="419"/>
  <c r="B25" i="419"/>
  <c r="H27" i="419" l="1"/>
  <c r="B26" i="419"/>
  <c r="B27" i="419" s="1"/>
  <c r="H28" i="419"/>
  <c r="A8" i="414"/>
  <c r="A7" i="414"/>
  <c r="F3" i="344" l="1"/>
  <c r="D3" i="344"/>
  <c r="B3" i="344"/>
  <c r="J21" i="419" l="1"/>
  <c r="I21" i="419"/>
  <c r="I22" i="419" s="1"/>
  <c r="H21" i="419"/>
  <c r="J20" i="419"/>
  <c r="I20" i="419"/>
  <c r="H20" i="419"/>
  <c r="J19" i="419"/>
  <c r="I19" i="419"/>
  <c r="H19" i="419"/>
  <c r="J17" i="419"/>
  <c r="I17" i="419"/>
  <c r="H17" i="419"/>
  <c r="J16" i="419"/>
  <c r="I16" i="419"/>
  <c r="H16" i="419"/>
  <c r="J14" i="419"/>
  <c r="I14" i="419"/>
  <c r="H14" i="419"/>
  <c r="J13" i="419"/>
  <c r="I13" i="419"/>
  <c r="H13" i="419"/>
  <c r="J12" i="419"/>
  <c r="I12" i="419"/>
  <c r="H12" i="419"/>
  <c r="J11" i="419"/>
  <c r="I11" i="419"/>
  <c r="H11" i="419"/>
  <c r="H18" i="419" l="1"/>
  <c r="H23" i="419"/>
  <c r="I18" i="419"/>
  <c r="J23" i="419"/>
  <c r="I23" i="419"/>
  <c r="J18" i="419"/>
  <c r="H22" i="419"/>
  <c r="J22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F18" i="419"/>
  <c r="D18" i="419"/>
  <c r="C18" i="419"/>
  <c r="G18" i="419"/>
  <c r="C23" i="419"/>
  <c r="G23" i="419"/>
  <c r="E22" i="419"/>
  <c r="F23" i="419"/>
  <c r="D23" i="419"/>
  <c r="B21" i="419"/>
  <c r="B22" i="419" l="1"/>
  <c r="A20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4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M6" i="419" l="1"/>
  <c r="L6" i="419"/>
  <c r="K6" i="419"/>
  <c r="J6" i="419"/>
  <c r="H6" i="419"/>
  <c r="I6" i="419"/>
  <c r="E6" i="419"/>
  <c r="D6" i="419"/>
  <c r="G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6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7" i="414" s="1"/>
  <c r="C11" i="339"/>
  <c r="H11" i="339" l="1"/>
  <c r="G11" i="339"/>
  <c r="A18" i="414"/>
  <c r="A17" i="414"/>
  <c r="A12" i="414"/>
  <c r="A13" i="414"/>
  <c r="A4" i="414"/>
  <c r="A6" i="339" l="1"/>
  <c r="A5" i="339"/>
  <c r="D4" i="414"/>
  <c r="C13" i="414"/>
  <c r="D16" i="414"/>
  <c r="D13" i="414"/>
  <c r="C16" i="414"/>
  <c r="C12" i="414" l="1"/>
  <c r="C7" i="414"/>
  <c r="E18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N3" i="220"/>
  <c r="L3" i="220" s="1"/>
  <c r="C19" i="414"/>
  <c r="D19" i="414"/>
  <c r="F13" i="339" l="1"/>
  <c r="E13" i="339"/>
  <c r="E15" i="339" s="1"/>
  <c r="H12" i="339"/>
  <c r="G12" i="339"/>
  <c r="A4" i="383"/>
  <c r="A23" i="383"/>
  <c r="A22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5" i="414"/>
  <c r="H13" i="339" l="1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19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<sst xmlns="http://schemas.openxmlformats.org/spreadsheetml/2006/main" count="2772" uniqueCount="716">
  <si>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</si>
  <si>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</si>
  <si>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</si>
  <si>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</si>
  <si>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</si>
  <si>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</si>
  <si>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</si>
  <si>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</si>
  <si>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</si>
  <si>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</si>
  <si>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</si>
  <si>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</si>
  <si>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</si>
  <si>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</si>
  <si>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</si>
  <si>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</si>
  <si>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</si>
  <si>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</si>
  <si>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</si>
  <si>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</si>
  <si>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</si>
  <si>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</si>
  <si>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</si>
  <si>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</si>
  <si>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</si>
  <si>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</si>
  <si>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</si>
  <si>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</si>
  <si>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</si>
  <si>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</si>
  <si>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</si>
  <si>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</si>
  <si>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</si>
  <si>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</si>
  <si>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</si>
  <si>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</si>
  <si>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</si>
  <si>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</si>
  <si>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</si>
  <si>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</si>
  <si>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</si>
  <si>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</si>
  <si>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</si>
  <si>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</si>
  <si>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</si>
  <si>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</si>
  <si>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</si>
  <si>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</si>
  <si>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</si>
  <si>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</si>
  <si>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</si>
  <si>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</si>
  <si>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</si>
  <si>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</si>
  <si>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</si>
  <si>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</si>
  <si>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</si>
  <si>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</si>
  <si>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</si>
  <si>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</si>
  <si>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</si>
  <si>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</si>
  <si>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</si>
  <si>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</si>
  <si>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</si>
  <si>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</si>
  <si>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</si>
  <si>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</si>
  <si>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</si>
  <si>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</si>
  <si>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</si>
  <si>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</si>
  <si>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</si>
  <si>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</si>
  <si>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</si>
  <si>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</si>
  <si>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</si>
  <si>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</si>
  <si>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</si>
  <si>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</si>
  <si>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</si>
  <si>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</si>
  <si>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</si>
  <si>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</si>
  <si>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</si>
  <si>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</si>
  <si>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</si>
  <si>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</si>
  <si>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</si>
  <si>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</si>
  <si>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</si>
  <si>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</si>
  <si>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</si>
  <si>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</si>
  <si>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</si>
  <si>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</si>
  <si>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</si>
  <si>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</si>
  <si>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</si>
  <si>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</si>
  <si>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</si>
  <si>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</si>
  <si>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</si>
  <si>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</si>
  <si>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</si>
  <si>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</si>
  <si>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</si>
  <si>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</si>
  <si>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</si>
  <si>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</si>
  <si>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</si>
  <si>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</si>
  <si>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</si>
  <si>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</si>
  <si>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</si>
  <si>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</si>
  <si>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</si>
  <si>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</si>
  <si>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</si>
  <si>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</si>
  <si>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</si>
  <si>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</si>
  <si>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</si>
  <si>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</si>
  <si>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</si>
  <si>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</si>
  <si>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</si>
  <si>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</si>
  <si>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</si>
  <si>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</si>
  <si>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</si>
  <si>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</si>
  <si>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</si>
  <si>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</si>
  <si>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</si>
  <si>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</si>
  <si>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</si>
  <si>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</si>
  <si>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</si>
  <si>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</si>
  <si>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</si>
  <si>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</si>
  <si>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</si>
  <si>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</si>
  <si>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</si>
  <si>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</si>
  <si>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</si>
  <si>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</si>
  <si>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</si>
  <si>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</si>
  <si>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</si>
  <si>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</si>
  <si>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</si>
  <si>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</si>
  <si>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</si>
  <si>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</si>
  <si>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</si>
  <si>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</si>
  <si>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</si>
  <si>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</si>
  <si>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</si>
  <si>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</si>
  <si>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</si>
  <si>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</si>
  <si>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</si>
  <si>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</si>
  <si>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</si>
  <si>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</si>
  <si>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</si>
  <si>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</si>
  <si>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</si>
  <si>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</si>
  <si>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</si>
  <si>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</si>
  <si>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zdravotní laboranti</t>
  </si>
  <si>
    <t>odborní pracovníci v lab. metodách</t>
  </si>
  <si>
    <t>řidiči dopravy nemocných a raněných</t>
  </si>
  <si>
    <t>sanitáři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</si>
  <si>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</si>
  <si>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</si>
  <si>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</si>
  <si>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</si>
  <si>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</si>
  <si>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</si>
  <si>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</si>
  <si>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</si>
  <si>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</si>
  <si>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</si>
  <si>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</si>
  <si>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</si>
  <si>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</si>
  <si>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</si>
  <si>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</si>
  <si>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</si>
  <si>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</si>
  <si>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bez dohledu</t>
  </si>
  <si>
    <t>lékaři specialisti</t>
  </si>
  <si>
    <t>všeobecné sestry pod dohl.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</si>
  <si>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</si>
  <si>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</si>
  <si>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</si>
  <si>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</si>
  <si>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</si>
  <si>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</si>
  <si>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</si>
  <si>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</si>
  <si>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</si>
  <si>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</si>
  <si>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</si>
  <si>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</si>
  <si>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</si>
  <si>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</si>
  <si>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</si>
  <si>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</si>
  <si>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</si>
  <si>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</si>
  <si>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</si>
  <si>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</si>
  <si>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</si>
  <si>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</si>
  <si>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</si>
  <si>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</si>
  <si>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Ústav soudního lékařství a medicínského práva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</si>
  <si>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</si>
  <si>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</si>
  <si>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</si>
  <si>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</si>
  <si>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</si>
  <si>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</si>
  <si>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</si>
  <si>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</si>
  <si>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</si>
  <si>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50113190     léky - medicinální plyny (sklad SVm.)</t>
  </si>
  <si>
    <t>--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</si>
  <si>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</si>
  <si>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</si>
  <si>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</si>
  <si>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</si>
  <si>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</si>
  <si>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</si>
  <si>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</si>
  <si>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</si>
  <si>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</si>
  <si>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</si>
  <si>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</si>
  <si>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</si>
  <si>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</si>
  <si>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</si>
  <si>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</si>
  <si>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</si>
  <si>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50117022     všeob.mat. - kuchyň tech. (V33) od 1tis do 2999,99</t>
  </si>
  <si>
    <t>50117024     všeob.mat. - ostatní-vyjímky (V44) od 0,01 do 999,99</t>
  </si>
  <si>
    <t>50117190     technické plyny</t>
  </si>
  <si>
    <t>50118     Náhradní díly</t>
  </si>
  <si>
    <t>50118003     ND - ostatní techn.(dispečink)</t>
  </si>
  <si>
    <t>50118004     ND - zdravot.techn.(dispečink)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</si>
  <si>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</si>
  <si>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</si>
  <si>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</si>
  <si>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</si>
  <si>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</si>
  <si>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50180     Materiál z darů, FKSP</t>
  </si>
  <si>
    <t>50180000     spotř.nák.- z fin. darů</t>
  </si>
  <si>
    <t>51     Služby</t>
  </si>
  <si>
    <t>51102     Technika a stavby</t>
  </si>
  <si>
    <t>51102021     opravy zdravotnické techniky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</si>
  <si>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</si>
  <si>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</si>
  <si>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</si>
  <si>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</si>
  <si>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</si>
  <si>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</si>
  <si>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</si>
  <si>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</si>
  <si>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</si>
  <si>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</si>
  <si>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</si>
  <si>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</si>
  <si>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</si>
  <si>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</si>
  <si>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</si>
  <si>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</si>
  <si>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</si>
  <si>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</si>
  <si>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</si>
  <si>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</si>
  <si>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</si>
  <si>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</si>
  <si>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</si>
  <si>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</si>
  <si>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</si>
  <si>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</si>
  <si>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51874     Ostatní služby</t>
  </si>
  <si>
    <t>51874003     znalecké posudky, odměny z klinických hodnocení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</si>
  <si>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</si>
  <si>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</si>
  <si>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</si>
  <si>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</si>
  <si>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</si>
  <si>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</si>
  <si>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</si>
  <si>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</si>
  <si>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</si>
  <si>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</si>
  <si>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</si>
  <si>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</si>
  <si>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</si>
  <si>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</si>
  <si>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</si>
  <si>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</si>
  <si>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</si>
  <si>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</si>
  <si>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</si>
  <si>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</si>
  <si>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</si>
  <si>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</si>
  <si>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</si>
  <si>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</si>
  <si>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54920     Náklady účtované od UP</t>
  </si>
  <si>
    <t>54920000     náklady účtované od UP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</si>
  <si>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</si>
  <si>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</si>
  <si>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</si>
  <si>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</si>
  <si>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</si>
  <si>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</si>
  <si>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</si>
  <si>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</si>
  <si>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</si>
  <si>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</si>
  <si>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</si>
  <si>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</si>
  <si>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</si>
  <si>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</si>
  <si>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</si>
  <si>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</si>
  <si>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</si>
  <si>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</si>
  <si>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</si>
  <si>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</si>
  <si>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</si>
  <si>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</si>
  <si>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</si>
  <si>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</si>
  <si>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</si>
  <si>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</si>
  <si>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</si>
  <si>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</si>
  <si>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</si>
  <si>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</si>
  <si>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</si>
  <si>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</si>
  <si>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</si>
  <si>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</si>
  <si>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</si>
  <si>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</si>
  <si>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</si>
  <si>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</si>
  <si>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</si>
  <si>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</si>
  <si>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603     Výnosy z pronájmu</t>
  </si>
  <si>
    <t>60325     Výnosy z pronájmu</t>
  </si>
  <si>
    <t>60325424     nájem DM - použití vybavení FNOL (pitevny)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</si>
  <si>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</si>
  <si>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</si>
  <si>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</si>
  <si>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</si>
  <si>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</si>
  <si>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</si>
  <si>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</si>
  <si>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</si>
  <si>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64924443     znalecké posudky - Znaleký ústav</t>
  </si>
  <si>
    <t>64924450     poštovné, balné za odeslání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</si>
  <si>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</si>
  <si>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</si>
  <si>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</si>
  <si>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</si>
  <si>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</si>
  <si>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</si>
  <si>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</si>
  <si>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</si>
  <si>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</si>
  <si>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</si>
  <si>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</si>
  <si>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</si>
  <si>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</si>
  <si>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</si>
  <si>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</si>
  <si>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</si>
  <si>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</si>
  <si>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</si>
  <si>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</si>
  <si>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</si>
  <si>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38</t>
  </si>
  <si>
    <t>Ústav soudního lékařství a medicínského práva</t>
  </si>
  <si>
    <t/>
  </si>
  <si>
    <t>50113013     léky - antibiotika (LEK)</t>
  </si>
  <si>
    <t>50113014     léky - antimykotika (LEK)</t>
  </si>
  <si>
    <t>Ústav soudního lékařství a medicínského práva Celkem</t>
  </si>
  <si>
    <t>SumaKL</t>
  </si>
  <si>
    <t>3841</t>
  </si>
  <si>
    <t>soudní lékařství - laboratoř</t>
  </si>
  <si>
    <t>soudní lékařství - laboratoř Celkem</t>
  </si>
  <si>
    <t>SumaNS</t>
  </si>
  <si>
    <t>mezeraNS</t>
  </si>
  <si>
    <t>50113001</t>
  </si>
  <si>
    <t>O</t>
  </si>
  <si>
    <t>920136</t>
  </si>
  <si>
    <t>0</t>
  </si>
  <si>
    <t>KL ETHANOLUM BENZINO DEN. 4 kg</t>
  </si>
  <si>
    <t>UN 1170</t>
  </si>
  <si>
    <t>SOUD, soudní lékařství - laboratoř</t>
  </si>
  <si>
    <t>Lékárna - léčiva</t>
  </si>
  <si>
    <t>38 - Ústav soudního lékařství a medicínského práva</t>
  </si>
  <si>
    <t>3841 - soudní lékařství - laboratoř</t>
  </si>
  <si>
    <t>ZA090</t>
  </si>
  <si>
    <t>Vata buničitá přířezy 37 x 57 cm 2730152</t>
  </si>
  <si>
    <t>ZA446</t>
  </si>
  <si>
    <t>Vata buničitá přířezy 20 x 30 cm 1230200129</t>
  </si>
  <si>
    <t>ZA562</t>
  </si>
  <si>
    <t>Náplast cosmopor i. v. 6 x 8 cm bal. á 50 ks 9008054</t>
  </si>
  <si>
    <t>ZB404</t>
  </si>
  <si>
    <t>Náplast cosmos 8 cm x 1 m 5403353</t>
  </si>
  <si>
    <t>ZI558</t>
  </si>
  <si>
    <t>Náplast curapor   7 x   5 cm 22120 ( náhrada za cosmopor )</t>
  </si>
  <si>
    <t>ZL999</t>
  </si>
  <si>
    <t>Rychloobvaz 8 x 4 cm / 3 ks 001445510</t>
  </si>
  <si>
    <t>ZA751</t>
  </si>
  <si>
    <t>Papír filtrační archy 50 x 50 cm bal. 12,5 kg PPER2R/80G/50X50</t>
  </si>
  <si>
    <t>ZA788</t>
  </si>
  <si>
    <t>Stříkačka injekční 2-dílná 20 ml L Inject Solo 4606205V</t>
  </si>
  <si>
    <t>ZA791</t>
  </si>
  <si>
    <t>Stříkačka janett 3-dílná 140-160 ml sterilní vyplachovací JNP1543 MED114408</t>
  </si>
  <si>
    <t>ZA817</t>
  </si>
  <si>
    <t>Zkumavka PS 10 ml sterilní modrá zátka bal. á 20 ks 400914</t>
  </si>
  <si>
    <t>ZA855</t>
  </si>
  <si>
    <t>Pipeta pasteurova P 223 6,5 ml 204523</t>
  </si>
  <si>
    <t>ZB780</t>
  </si>
  <si>
    <t>Kontejner 120 ml sterilní á 50 ks FLME25035</t>
  </si>
  <si>
    <t>ZE159</t>
  </si>
  <si>
    <t>Nádoba na kontaminovaný odpad 2 l 15-0003</t>
  </si>
  <si>
    <t>ZF159</t>
  </si>
  <si>
    <t>Nádoba na kontaminovaný odpad 1 l 15-0002</t>
  </si>
  <si>
    <t>ZF192</t>
  </si>
  <si>
    <t>Nádoba na kontaminovaný odpad 4 l 15-0004</t>
  </si>
  <si>
    <t>ZF186</t>
  </si>
  <si>
    <t>Stříkačka janett 2-dílná 150 ml vyplachovací balená 08151</t>
  </si>
  <si>
    <t>ZH615</t>
  </si>
  <si>
    <t>Uzávěr krimplovací Al s otvorem 20 mm á 100 ks (548-3096) LAPH20010408</t>
  </si>
  <si>
    <t>ZH614</t>
  </si>
  <si>
    <t>Zátka butyl šedá 20 mm á 100 ks (548-3100) LAPH20100290</t>
  </si>
  <si>
    <t>ZG977</t>
  </si>
  <si>
    <t>Nástavec pipetovací podtlakový do 10 ml 331850990347</t>
  </si>
  <si>
    <t>ZN820</t>
  </si>
  <si>
    <t>Kotouč pilový průměr 64 mm k pilkám SwordFisch 4005</t>
  </si>
  <si>
    <t>ZG976</t>
  </si>
  <si>
    <t>Nástavec pipetovací podtlakový do   2 ml 331850990346</t>
  </si>
  <si>
    <t>ZA350</t>
  </si>
  <si>
    <t>Nůžky na střeva 220 mm 397113010520</t>
  </si>
  <si>
    <t>ZC813</t>
  </si>
  <si>
    <t>Nůž amputační 220 mm, 350 mm 112 08 0770</t>
  </si>
  <si>
    <t>ZN819</t>
  </si>
  <si>
    <t>Kotouč pilový segment radius 51 mm k pilkám SwordFisch 4007</t>
  </si>
  <si>
    <t>ZF174</t>
  </si>
  <si>
    <t>Nádoba na histologický mat. 400 ml 333000041012</t>
  </si>
  <si>
    <t>ZI114</t>
  </si>
  <si>
    <t>Nůž amputační 130 mm, 260 mm B397112910062</t>
  </si>
  <si>
    <t>ZB426</t>
  </si>
  <si>
    <t>Mikrozkumavka eppendorf 1,5 ml BSA 0220</t>
  </si>
  <si>
    <t>ZC716</t>
  </si>
  <si>
    <t>Špička žlutá pipetovací dlouhá manžeta 1123</t>
  </si>
  <si>
    <t>ZC831</t>
  </si>
  <si>
    <t>Sklo podložní mat. okraj 2501</t>
  </si>
  <si>
    <t>ZC079</t>
  </si>
  <si>
    <t>Sklo podložní mikroskopické superfrost plus 25 x 75 x 1 mm bal. á 72 ks 2530</t>
  </si>
  <si>
    <t>ZB605</t>
  </si>
  <si>
    <t>Špička modrá krátká manžeta 1108</t>
  </si>
  <si>
    <t>ZC606</t>
  </si>
  <si>
    <t>Uzávěr PP pro šroub. vial. ND9 otvor 6 mm bal. 100 ks septa Silkon bílý / PTFE červený 2542.0124</t>
  </si>
  <si>
    <t>ZL971</t>
  </si>
  <si>
    <t>Vialka ND 9, HPLC/GC certifikovaný kit,1,5 ml čiré sklo+ultraclean uzávěr, septa silikon/červ.PTFE 2540.0130</t>
  </si>
  <si>
    <t>ZL968</t>
  </si>
  <si>
    <t>Špička Insert 0,1 ml 31 x 6 mm 15 mm 2541.0105</t>
  </si>
  <si>
    <t>ZL385</t>
  </si>
  <si>
    <t>Nálevka s krátkým stonkem pr. 85 mm (221-1725) KAVA632413001085</t>
  </si>
  <si>
    <t>ZN647</t>
  </si>
  <si>
    <t>Zkumavka se šestihrannou zábrusovou zátkou NZ12/21, zátka 032 493 503 040S-68/2015</t>
  </si>
  <si>
    <t>ZO078</t>
  </si>
  <si>
    <t>Stříkačka mikro Hamilton Syringe 7000 Series 7101KH 1 µl blunt tip 20733</t>
  </si>
  <si>
    <t>ZO079</t>
  </si>
  <si>
    <t>Stříkačka mikro Hamilton Syringe 7000 Series 7002KH 2 µl blunt tip 20732</t>
  </si>
  <si>
    <t>ZO077</t>
  </si>
  <si>
    <t>Srříkačka mikro Hamilton Syringe 1000 Series 1005LTN 5 ml bevel tip gastight 20692</t>
  </si>
  <si>
    <t>ZG467</t>
  </si>
  <si>
    <t>Baňka widmarkova 100 ml (632445101100) OT20B</t>
  </si>
  <si>
    <t>ZI493</t>
  </si>
  <si>
    <t>Rukavice vinyl bez p. XL 01260-XL (364-XL)</t>
  </si>
  <si>
    <t>ZK476</t>
  </si>
  <si>
    <t>Rukavice operační latexové s pudrem ansell medigrip plus vel. 7,5 303505EU (302925)</t>
  </si>
  <si>
    <t>ZK477</t>
  </si>
  <si>
    <t>Rukavice operační latexové s pudrem ansell medigrip plus vel. 8,0 303506EU (303366)</t>
  </si>
  <si>
    <t>ZK678</t>
  </si>
  <si>
    <t>Rukavice operační ansell dipos-a-glove vel. M ( 7-8) bal. á 50 párů kopolymerové MDG751EU</t>
  </si>
  <si>
    <t>ZL289</t>
  </si>
  <si>
    <t>Rukavice operační latexové s pudrem ansell medigrip plus vel. 9,0 bal. á 100 párů 302928 (303508EU)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</si>
  <si>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</si>
  <si>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</si>
  <si>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</si>
  <si>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</si>
  <si>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</si>
  <si>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</si>
  <si>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ZN130</t>
  </si>
  <si>
    <t>Rukavice operační gammex ansell PF bez pudru 6,0 330048060</t>
  </si>
  <si>
    <t>ZL172</t>
  </si>
  <si>
    <t>Rukavice operační ansell dipos-a-glove vel. S bal. á 50 párů kopolymerové MDG651EU</t>
  </si>
  <si>
    <t>ZN899</t>
  </si>
  <si>
    <t>Rukavice nitril MOTEX sterilní bez pudru vel. S bal. á 50 párů EMDA 100.211</t>
  </si>
  <si>
    <t>DG383</t>
  </si>
  <si>
    <t>Bactec PEDS</t>
  </si>
  <si>
    <t>DF571</t>
  </si>
  <si>
    <t>Formaldehyd 36-38% p.a., 5 L</t>
  </si>
  <si>
    <t>DG184</t>
  </si>
  <si>
    <t>SIRAN SODNY BEZV.,P.A.</t>
  </si>
  <si>
    <t>DC236</t>
  </si>
  <si>
    <t>DIETHYLETER P.A. NESTAB.</t>
  </si>
  <si>
    <t>DG229</t>
  </si>
  <si>
    <t>METHANOL P.A.</t>
  </si>
  <si>
    <t>DG226</t>
  </si>
  <si>
    <t>ETHYLESTER KYS.OCTOVE P.A.</t>
  </si>
  <si>
    <t>DB557</t>
  </si>
  <si>
    <t>STANDARDNI ROZTOK ETHANOLU</t>
  </si>
  <si>
    <t>DD079</t>
  </si>
  <si>
    <t>AMONIAK VODNY ROZTOK 25%</t>
  </si>
  <si>
    <t>DA886</t>
  </si>
  <si>
    <t>METHANOL LC-MS CHROMASOLV</t>
  </si>
  <si>
    <t>DA885</t>
  </si>
  <si>
    <t>ACETONITRILE LC-MS CHROMASOLV 4x2,5l</t>
  </si>
  <si>
    <t>DG766</t>
  </si>
  <si>
    <t>DRI Cannabinoids</t>
  </si>
  <si>
    <t>DG768</t>
  </si>
  <si>
    <t>DRI Opiates</t>
  </si>
  <si>
    <t>DG764</t>
  </si>
  <si>
    <t>DRI Amphetamine</t>
  </si>
  <si>
    <t>DG163</t>
  </si>
  <si>
    <t>HYDROXID SODNY P.A.</t>
  </si>
  <si>
    <t>DG783</t>
  </si>
  <si>
    <t>DRI Acetaminophen Calibrator Kit</t>
  </si>
  <si>
    <t>DG770</t>
  </si>
  <si>
    <t>DRI Acetaminophen</t>
  </si>
  <si>
    <t>DG794</t>
  </si>
  <si>
    <t>Desetikomorové kyvety (10 800 ks/balení)</t>
  </si>
  <si>
    <t>DG796</t>
  </si>
  <si>
    <t>DRI Ethyl Glucoronide Reagent Kit, 3x17ml R1, 3x17ml R2</t>
  </si>
  <si>
    <t>DG814</t>
  </si>
  <si>
    <t>Chlorid železitý - Iron(III) chloride 100g</t>
  </si>
  <si>
    <t>DG891</t>
  </si>
  <si>
    <t>Sample CUP 2.0 ml/1000 PCS</t>
  </si>
  <si>
    <t>DA825</t>
  </si>
  <si>
    <t>Papírek univerzální indikátorový,prouž. 6,4-8,0pH</t>
  </si>
  <si>
    <t>DG171</t>
  </si>
  <si>
    <t>kyselina TRICHLOROCTOVA  P.A.</t>
  </si>
  <si>
    <t>DH474</t>
  </si>
  <si>
    <t>5-Chloro-2-(methylamino)benzofenone (MACB)-10g</t>
  </si>
  <si>
    <t>DH476</t>
  </si>
  <si>
    <t>2-Benzoylpyridine - 25G</t>
  </si>
  <si>
    <t>DH475</t>
  </si>
  <si>
    <t>2-Amino-5-chlorobenzophenone (ACB)  - 25G</t>
  </si>
  <si>
    <t>DH477</t>
  </si>
  <si>
    <t>7-aminoclonazepam solution - 1ML</t>
  </si>
  <si>
    <t>DF781</t>
  </si>
  <si>
    <t>Eosin Y  50g</t>
  </si>
  <si>
    <t>DG222</t>
  </si>
  <si>
    <t>SOLACRYL BMX, 1000 ML</t>
  </si>
  <si>
    <t>DG795</t>
  </si>
  <si>
    <t>Promývací roztok 4,5% (4 x 20 ml/balení)</t>
  </si>
  <si>
    <t>DH511</t>
  </si>
  <si>
    <t>Tubing maintenance sol., bal 6x20 ml</t>
  </si>
  <si>
    <t>DG190</t>
  </si>
  <si>
    <t>UHLICITAN SOD.BEZV. P.A.</t>
  </si>
  <si>
    <t>DG765</t>
  </si>
  <si>
    <t>DRI Benzodiazepines</t>
  </si>
  <si>
    <t>DF591</t>
  </si>
  <si>
    <t>Itoprid -10mg</t>
  </si>
  <si>
    <t>DG803</t>
  </si>
  <si>
    <t>DRI® EtG Controls  375 a 625 ng/ml</t>
  </si>
  <si>
    <t>DG785</t>
  </si>
  <si>
    <t>DRI THC Control 40 ng/ml</t>
  </si>
  <si>
    <t>DF619</t>
  </si>
  <si>
    <t>Cocaine-d3 solution</t>
  </si>
  <si>
    <t>DF907</t>
  </si>
  <si>
    <t>BUP (buprenorfin)  test na záchyt drog v moči</t>
  </si>
  <si>
    <t>DG034</t>
  </si>
  <si>
    <t>Diazepam-d5 solution  (1.0 mg/mL in methanol, ampule of 1 mL)</t>
  </si>
  <si>
    <t>DF088</t>
  </si>
  <si>
    <t>Tapentadol  T-058-1ML</t>
  </si>
  <si>
    <t>DG771</t>
  </si>
  <si>
    <t>DRI Multi-Drug Negative Calibrator</t>
  </si>
  <si>
    <t>DE307</t>
  </si>
  <si>
    <t>Sulfamethoxazol 10g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</si>
  <si>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</si>
  <si>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</si>
  <si>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</si>
  <si>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</si>
  <si>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</si>
  <si>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</si>
  <si>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50115067</t>
  </si>
  <si>
    <t>532 SZM Rukavice (112 02 108)</t>
  </si>
  <si>
    <t>50115020</t>
  </si>
  <si>
    <t>Diagnostika (112 04 004, 132 01 004)</t>
  </si>
  <si>
    <t>Spotřeba zdravotnického materiálu - orientační přehled</t>
  </si>
  <si>
    <t>ON Data</t>
  </si>
  <si>
    <t>808 - Pracoviště soudního lékařství</t>
  </si>
  <si>
    <t>814 - Laboratoř toxikologická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</si>
  <si>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</si>
  <si>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</si>
  <si>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</si>
  <si>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</si>
  <si>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</si>
  <si>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Zdravotní výkony vykázané na pracovišti v rámci ambulantní péče dle lékařů *</t>
  </si>
  <si>
    <t>808</t>
  </si>
  <si>
    <t>V</t>
  </si>
  <si>
    <t>88101</t>
  </si>
  <si>
    <t>PROVEDENÍ PITVY NA SOUDNĚ LÉKAŘSKÉM PRACOVIŠTI ZDR</t>
  </si>
  <si>
    <t>814</t>
  </si>
  <si>
    <t>92111</t>
  </si>
  <si>
    <t>KONZULTACE OŠETŘUJÍCÍHO LÉKAŘE TOXIKOLOGEM</t>
  </si>
  <si>
    <t>92121</t>
  </si>
  <si>
    <t>STANOVENÍ EXTRAKTIVNÍCH LÁTEK PLYNOVOU CHROMATOGRA</t>
  </si>
  <si>
    <t>92127</t>
  </si>
  <si>
    <t>TĚKAVÉ LÁTKY - PRŮKAZ PLYNOVOU CHROMATOGRAFIÍ -  S</t>
  </si>
  <si>
    <t>92131</t>
  </si>
  <si>
    <t>EXTRAKTIVNÍ LÁTKY - CÍLENÝ PRŮKAZ PLYNOVOU CHROMAT</t>
  </si>
  <si>
    <t>92137</t>
  </si>
  <si>
    <t>IDENTIFIKACE NEZNÁMÉ LÁTKY POMOCÍ PLYNOVÉ CHROMATO</t>
  </si>
  <si>
    <t>92141</t>
  </si>
  <si>
    <t>ETHANOL - SPECIFICKÉ STANOVENÍ PLYNOVOU CHROMATOGR</t>
  </si>
  <si>
    <t>92147</t>
  </si>
  <si>
    <t>EXTRAKTIVNÍ LÁTKY - CÍLENÝ PRŮKAZ CHROMATOGRAFIÍ N</t>
  </si>
  <si>
    <t>92157</t>
  </si>
  <si>
    <t>EXTRAKTIVNÍ LÁTKY - STANOVENÍ POMOCÍ KAPALINOVÉ CH</t>
  </si>
  <si>
    <t>92177</t>
  </si>
  <si>
    <t>TĚKAVÉ LÁTKY - PRŮKAZ PLYNOVOU CHROMATOGRAFIÍ</t>
  </si>
  <si>
    <t>92181</t>
  </si>
  <si>
    <t>TĚKAVÉ LÁTKY - STANOVENÍ PLYNOVOU CHROMATOGRAFIÍ</t>
  </si>
  <si>
    <t>92187</t>
  </si>
  <si>
    <t>EXTRAKTIVNÍ LÁTKY - CÍLENÝ PRŮKAZ (KVALITATIVNÍ VY</t>
  </si>
  <si>
    <t>92191</t>
  </si>
  <si>
    <t>EXTRAKTIVNÍ LÁTKY - STANOVENÍ (KVANTITATIVNÍ VYŠET</t>
  </si>
  <si>
    <t>97111</t>
  </si>
  <si>
    <t>SEPARACE SÉRA NEBO PLAZMY</t>
  </si>
  <si>
    <t>92129</t>
  </si>
  <si>
    <t>92123</t>
  </si>
  <si>
    <t>92125</t>
  </si>
  <si>
    <t>EXTRAKTIVNÍ LÁTKY - PRŮKAZ CHROMATOGRAFIÍ NA TENKÉ</t>
  </si>
  <si>
    <t>92183</t>
  </si>
  <si>
    <t>STANOVENÍ TĚKAVÝCH REDUKUJÍCÍCH LÁTEK</t>
  </si>
  <si>
    <t>92185</t>
  </si>
  <si>
    <t>IZOLACE LÁTKY PRO CÍLENÝ PRŮKAZ PLYNOVOU CHROMATOG</t>
  </si>
  <si>
    <t>92153</t>
  </si>
  <si>
    <t>EXTRAKTIVNÍ LÁTKY - PRŮKAZ V TĚLNÍCH TEKUTINÁCH CH</t>
  </si>
  <si>
    <t>92133</t>
  </si>
  <si>
    <t>DROGY A LÉČIVA - CÍLENÝ IMUNOCHEMICKÝ ZÁCHYT - STA</t>
  </si>
  <si>
    <t>92189</t>
  </si>
  <si>
    <t>IZOLACE LÁTKY A PŘÍPRAVA KALIBRÁTORŮ PRO STANOVENÍ</t>
  </si>
  <si>
    <t>09123</t>
  </si>
  <si>
    <t>ANALÝZA MOČI CHEMICKY</t>
  </si>
  <si>
    <t>92173</t>
  </si>
  <si>
    <t xml:space="preserve">STANOVENÍ LÁTEK SPEKTROFOTOMETRICKY PO JEDNODUCHÉ </t>
  </si>
  <si>
    <t>92135</t>
  </si>
  <si>
    <t>DROGY A LÉČIVA - CÍLENÝ IMUNOCHEMICKÝ ZÁCHYT</t>
  </si>
  <si>
    <t>92155</t>
  </si>
  <si>
    <t>EXTRAKTIVNÍ LÁTKY - STANOVENÍ PLYNOVOU CHROMATOGRA</t>
  </si>
  <si>
    <t>92145</t>
  </si>
  <si>
    <t>92143</t>
  </si>
  <si>
    <t>EXTRAKTIVNÍ LÁTKY - CÍLENÝ PRŮKAZ KAPALINOVOU CHRO</t>
  </si>
  <si>
    <t>92119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</si>
  <si>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</si>
  <si>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</si>
  <si>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</si>
  <si>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</si>
  <si>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</si>
  <si>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</si>
  <si>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</si>
  <si>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</si>
  <si>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</si>
  <si>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</si>
  <si>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</si>
  <si>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</si>
  <si>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</si>
  <si>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</si>
  <si>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</si>
  <si>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25 - Klinika ústní,čelistní a obličejové chirurgie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</si>
  <si>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</si>
  <si>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</si>
  <si>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</si>
  <si>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</si>
  <si>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</si>
  <si>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</si>
  <si>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</si>
  <si>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</si>
  <si>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</si>
  <si>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</si>
  <si>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</si>
  <si>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</si>
  <si>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</si>
  <si>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</si>
  <si>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16</t>
  </si>
  <si>
    <t>17</t>
  </si>
  <si>
    <t>18</t>
  </si>
  <si>
    <t>20</t>
  </si>
  <si>
    <t>25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</si>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</sst>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07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164" fontId="3" fillId="0" borderId="56" xfId="53" applyNumberFormat="1" applyFont="1" applyFill="1" applyBorder="1"/>
    <xf numFmtId="9" fontId="3" fillId="0" borderId="56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1" xfId="0" applyFont="1" applyFill="1" applyBorder="1" applyAlignment="1"/>
    <xf numFmtId="0" fontId="3" fillId="2" borderId="54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2" xfId="0" applyFont="1" applyFill="1" applyBorder="1" applyAlignment="1">
      <alignment horizontal="center"/>
    </xf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49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50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7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59" xfId="0" applyNumberFormat="1" applyFont="1" applyFill="1" applyBorder="1"/>
    <xf numFmtId="3" fontId="53" fillId="8" borderId="60" xfId="0" applyNumberFormat="1" applyFont="1" applyFill="1" applyBorder="1"/>
    <xf numFmtId="3" fontId="53" fillId="8" borderId="59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3" xfId="0" applyNumberFormat="1" applyFont="1" applyFill="1" applyBorder="1" applyAlignment="1">
      <alignment horizontal="center" vertical="center"/>
    </xf>
    <xf numFmtId="0" fontId="39" fillId="2" borderId="64" xfId="0" applyFont="1" applyFill="1" applyBorder="1" applyAlignment="1">
      <alignment horizontal="center" vertical="center"/>
    </xf>
    <xf numFmtId="3" fontId="55" fillId="2" borderId="66" xfId="0" applyNumberFormat="1" applyFont="1" applyFill="1" applyBorder="1" applyAlignment="1">
      <alignment horizontal="center" vertical="center" wrapText="1"/>
    </xf>
    <xf numFmtId="0" fontId="55" fillId="2" borderId="67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/>
    <xf numFmtId="0" fontId="39" fillId="2" borderId="71" xfId="0" applyFont="1" applyFill="1" applyBorder="1" applyAlignment="1">
      <alignment horizontal="left" indent="1"/>
    </xf>
    <xf numFmtId="0" fontId="39" fillId="2" borderId="77" xfId="0" applyFont="1" applyFill="1" applyBorder="1" applyAlignment="1">
      <alignment horizontal="left" indent="1"/>
    </xf>
    <xf numFmtId="0" fontId="39" fillId="4" borderId="69" xfId="0" applyFont="1" applyFill="1" applyBorder="1" applyAlignment="1"/>
    <xf numFmtId="0" fontId="39" fillId="4" borderId="71" xfId="0" applyFont="1" applyFill="1" applyBorder="1" applyAlignment="1">
      <alignment horizontal="left" indent="1"/>
    </xf>
    <xf numFmtId="0" fontId="39" fillId="4" borderId="82" xfId="0" applyFont="1" applyFill="1" applyBorder="1" applyAlignment="1">
      <alignment horizontal="left" indent="1"/>
    </xf>
    <xf numFmtId="0" fontId="32" fillId="2" borderId="71" xfId="0" quotePrefix="1" applyFont="1" applyFill="1" applyBorder="1" applyAlignment="1">
      <alignment horizontal="left" indent="2"/>
    </xf>
    <xf numFmtId="0" fontId="32" fillId="2" borderId="77" xfId="0" quotePrefix="1" applyFont="1" applyFill="1" applyBorder="1" applyAlignment="1">
      <alignment horizontal="left" indent="2"/>
    </xf>
    <xf numFmtId="0" fontId="39" fillId="2" borderId="69" xfId="0" applyFont="1" applyFill="1" applyBorder="1" applyAlignment="1">
      <alignment horizontal="left" indent="1"/>
    </xf>
    <xf numFmtId="0" fontId="39" fillId="2" borderId="82" xfId="0" applyFont="1" applyFill="1" applyBorder="1" applyAlignment="1">
      <alignment horizontal="left" indent="1"/>
    </xf>
    <xf numFmtId="0" fontId="39" fillId="4" borderId="77" xfId="0" applyFont="1" applyFill="1" applyBorder="1" applyAlignment="1">
      <alignment horizontal="left" indent="1"/>
    </xf>
    <xf numFmtId="0" fontId="32" fillId="0" borderId="87" xfId="0" applyFont="1" applyBorder="1"/>
    <xf numFmtId="3" fontId="32" fillId="0" borderId="87" xfId="0" applyNumberFormat="1" applyFont="1" applyBorder="1"/>
    <xf numFmtId="0" fontId="39" fillId="4" borderId="61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6" xfId="0" applyNumberFormat="1" applyFont="1" applyFill="1" applyBorder="1" applyAlignment="1">
      <alignment horizontal="center" vertical="center"/>
    </xf>
    <xf numFmtId="3" fontId="55" fillId="2" borderId="84" xfId="0" applyNumberFormat="1" applyFont="1" applyFill="1" applyBorder="1" applyAlignment="1">
      <alignment horizontal="center" vertical="center" wrapText="1"/>
    </xf>
    <xf numFmtId="173" fontId="39" fillId="4" borderId="70" xfId="0" applyNumberFormat="1" applyFont="1" applyFill="1" applyBorder="1" applyAlignment="1"/>
    <xf numFmtId="173" fontId="39" fillId="4" borderId="63" xfId="0" applyNumberFormat="1" applyFont="1" applyFill="1" applyBorder="1" applyAlignment="1"/>
    <xf numFmtId="173" fontId="39" fillId="4" borderId="64" xfId="0" applyNumberFormat="1" applyFont="1" applyFill="1" applyBorder="1" applyAlignment="1"/>
    <xf numFmtId="173" fontId="39" fillId="0" borderId="72" xfId="0" applyNumberFormat="1" applyFont="1" applyBorder="1"/>
    <xf numFmtId="173" fontId="32" fillId="0" borderId="76" xfId="0" applyNumberFormat="1" applyFont="1" applyBorder="1"/>
    <xf numFmtId="173" fontId="32" fillId="0" borderId="74" xfId="0" applyNumberFormat="1" applyFont="1" applyBorder="1"/>
    <xf numFmtId="173" fontId="39" fillId="0" borderId="83" xfId="0" applyNumberFormat="1" applyFont="1" applyBorder="1"/>
    <xf numFmtId="173" fontId="32" fillId="0" borderId="84" xfId="0" applyNumberFormat="1" applyFont="1" applyBorder="1"/>
    <xf numFmtId="173" fontId="32" fillId="0" borderId="67" xfId="0" applyNumberFormat="1" applyFont="1" applyBorder="1"/>
    <xf numFmtId="173" fontId="39" fillId="2" borderId="85" xfId="0" applyNumberFormat="1" applyFont="1" applyFill="1" applyBorder="1" applyAlignment="1"/>
    <xf numFmtId="173" fontId="39" fillId="2" borderId="63" xfId="0" applyNumberFormat="1" applyFont="1" applyFill="1" applyBorder="1" applyAlignment="1"/>
    <xf numFmtId="173" fontId="39" fillId="2" borderId="64" xfId="0" applyNumberFormat="1" applyFont="1" applyFill="1" applyBorder="1" applyAlignment="1"/>
    <xf numFmtId="173" fontId="39" fillId="0" borderId="78" xfId="0" applyNumberFormat="1" applyFont="1" applyBorder="1"/>
    <xf numFmtId="173" fontId="32" fillId="0" borderId="79" xfId="0" applyNumberFormat="1" applyFont="1" applyBorder="1"/>
    <xf numFmtId="173" fontId="32" fillId="0" borderId="80" xfId="0" applyNumberFormat="1" applyFont="1" applyBorder="1"/>
    <xf numFmtId="173" fontId="39" fillId="0" borderId="70" xfId="0" applyNumberFormat="1" applyFont="1" applyBorder="1"/>
    <xf numFmtId="173" fontId="32" fillId="0" borderId="86" xfId="0" applyNumberFormat="1" applyFont="1" applyBorder="1"/>
    <xf numFmtId="173" fontId="32" fillId="0" borderId="64" xfId="0" applyNumberFormat="1" applyFont="1" applyBorder="1"/>
    <xf numFmtId="174" fontId="39" fillId="2" borderId="70" xfId="0" applyNumberFormat="1" applyFont="1" applyFill="1" applyBorder="1" applyAlignment="1"/>
    <xf numFmtId="174" fontId="32" fillId="2" borderId="63" xfId="0" applyNumberFormat="1" applyFont="1" applyFill="1" applyBorder="1" applyAlignment="1"/>
    <xf numFmtId="174" fontId="32" fillId="2" borderId="64" xfId="0" applyNumberFormat="1" applyFont="1" applyFill="1" applyBorder="1" applyAlignment="1"/>
    <xf numFmtId="174" fontId="39" fillId="0" borderId="72" xfId="0" applyNumberFormat="1" applyFont="1" applyBorder="1"/>
    <xf numFmtId="174" fontId="32" fillId="0" borderId="73" xfId="0" applyNumberFormat="1" applyFont="1" applyBorder="1"/>
    <xf numFmtId="174" fontId="32" fillId="0" borderId="74" xfId="0" applyNumberFormat="1" applyFont="1" applyBorder="1"/>
    <xf numFmtId="174" fontId="32" fillId="0" borderId="76" xfId="0" applyNumberFormat="1" applyFont="1" applyBorder="1"/>
    <xf numFmtId="174" fontId="39" fillId="0" borderId="78" xfId="0" applyNumberFormat="1" applyFont="1" applyBorder="1"/>
    <xf numFmtId="174" fontId="32" fillId="0" borderId="79" xfId="0" applyNumberFormat="1" applyFont="1" applyBorder="1"/>
    <xf numFmtId="174" fontId="32" fillId="0" borderId="80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0" xfId="0" applyNumberFormat="1" applyFont="1" applyFill="1" applyBorder="1" applyAlignment="1">
      <alignment horizontal="center"/>
    </xf>
    <xf numFmtId="175" fontId="39" fillId="0" borderId="78" xfId="0" applyNumberFormat="1" applyFont="1" applyBorder="1"/>
    <xf numFmtId="0" fontId="31" fillId="2" borderId="93" xfId="74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87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2" xfId="0" applyNumberFormat="1" applyFont="1" applyBorder="1"/>
    <xf numFmtId="9" fontId="32" fillId="0" borderId="76" xfId="0" applyNumberFormat="1" applyFont="1" applyBorder="1"/>
    <xf numFmtId="9" fontId="32" fillId="0" borderId="74" xfId="0" applyNumberFormat="1" applyFont="1" applyBorder="1"/>
    <xf numFmtId="0" fontId="40" fillId="0" borderId="87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3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92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96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5" xfId="80" applyNumberFormat="1" applyFont="1" applyFill="1" applyBorder="1" applyAlignment="1">
      <alignment horizontal="left"/>
    </xf>
    <xf numFmtId="3" fontId="3" fillId="2" borderId="85" xfId="80" applyNumberFormat="1" applyFont="1" applyFill="1" applyBorder="1" applyAlignment="1">
      <alignment horizontal="left"/>
    </xf>
    <xf numFmtId="166" fontId="39" fillId="2" borderId="6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39" fillId="2" borderId="50" xfId="0" applyFont="1" applyFill="1" applyBorder="1" applyAlignment="1">
      <alignment vertical="center"/>
    </xf>
    <xf numFmtId="3" fontId="31" fillId="2" borderId="52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4" xfId="26" applyNumberFormat="1" applyFont="1" applyFill="1" applyBorder="1" applyAlignment="1">
      <alignment horizontal="center"/>
    </xf>
    <xf numFmtId="3" fontId="31" fillId="2" borderId="87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2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61" xfId="0" applyFont="1" applyFill="1" applyBorder="1" applyAlignment="1">
      <alignment horizontal="center" vertical="top" wrapText="1"/>
    </xf>
    <xf numFmtId="0" fontId="31" fillId="2" borderId="52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3" xfId="0" applyNumberFormat="1" applyFont="1" applyFill="1" applyBorder="1" applyAlignment="1">
      <alignment horizontal="center" vertical="top"/>
    </xf>
    <xf numFmtId="3" fontId="33" fillId="9" borderId="98" xfId="0" applyNumberFormat="1" applyFont="1" applyFill="1" applyBorder="1" applyAlignment="1">
      <alignment horizontal="right" vertical="top"/>
    </xf>
    <xf numFmtId="3" fontId="33" fillId="9" borderId="99" xfId="0" applyNumberFormat="1" applyFont="1" applyFill="1" applyBorder="1" applyAlignment="1">
      <alignment horizontal="right" vertical="top"/>
    </xf>
    <xf numFmtId="176" fontId="33" fillId="9" borderId="100" xfId="0" applyNumberFormat="1" applyFont="1" applyFill="1" applyBorder="1" applyAlignment="1">
      <alignment horizontal="right" vertical="top"/>
    </xf>
    <xf numFmtId="3" fontId="33" fillId="0" borderId="98" xfId="0" applyNumberFormat="1" applyFont="1" applyBorder="1" applyAlignment="1">
      <alignment horizontal="right" vertical="top"/>
    </xf>
    <xf numFmtId="176" fontId="33" fillId="9" borderId="101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3" fontId="35" fillId="9" borderId="104" xfId="0" applyNumberFormat="1" applyFont="1" applyFill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0" fontId="35" fillId="9" borderId="106" xfId="0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0" fontId="33" fillId="9" borderId="101" xfId="0" applyFont="1" applyFill="1" applyBorder="1" applyAlignment="1">
      <alignment horizontal="right" vertical="top"/>
    </xf>
    <xf numFmtId="176" fontId="35" fillId="9" borderId="105" xfId="0" applyNumberFormat="1" applyFont="1" applyFill="1" applyBorder="1" applyAlignment="1">
      <alignment horizontal="right" vertical="top"/>
    </xf>
    <xf numFmtId="176" fontId="35" fillId="9" borderId="106" xfId="0" applyNumberFormat="1" applyFont="1" applyFill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3" fontId="35" fillId="0" borderId="109" xfId="0" applyNumberFormat="1" applyFont="1" applyBorder="1" applyAlignment="1">
      <alignment horizontal="right" vertical="top"/>
    </xf>
    <xf numFmtId="176" fontId="35" fillId="9" borderId="110" xfId="0" applyNumberFormat="1" applyFont="1" applyFill="1" applyBorder="1" applyAlignment="1">
      <alignment horizontal="right" vertical="top"/>
    </xf>
    <xf numFmtId="0" fontId="37" fillId="10" borderId="97" xfId="0" applyFont="1" applyFill="1" applyBorder="1" applyAlignment="1">
      <alignment vertical="top"/>
    </xf>
    <xf numFmtId="0" fontId="37" fillId="10" borderId="97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 indent="6"/>
    </xf>
    <xf numFmtId="0" fontId="37" fillId="10" borderId="97" xfId="0" applyFont="1" applyFill="1" applyBorder="1" applyAlignment="1">
      <alignment vertical="top" indent="8"/>
    </xf>
    <xf numFmtId="0" fontId="38" fillId="10" borderId="102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6"/>
    </xf>
    <xf numFmtId="0" fontId="38" fillId="10" borderId="102" xfId="0" applyFont="1" applyFill="1" applyBorder="1" applyAlignment="1">
      <alignment vertical="top" indent="4"/>
    </xf>
    <xf numFmtId="0" fontId="32" fillId="10" borderId="97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1" xfId="53" applyNumberFormat="1" applyFont="1" applyFill="1" applyBorder="1" applyAlignment="1">
      <alignment horizontal="left"/>
    </xf>
    <xf numFmtId="164" fontId="31" fillId="2" borderId="112" xfId="53" applyNumberFormat="1" applyFont="1" applyFill="1" applyBorder="1" applyAlignment="1">
      <alignment horizontal="left"/>
    </xf>
    <xf numFmtId="164" fontId="31" fillId="2" borderId="48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3" fontId="31" fillId="2" borderId="53" xfId="53" applyNumberFormat="1" applyFont="1" applyFill="1" applyBorder="1" applyAlignment="1">
      <alignment horizontal="left"/>
    </xf>
    <xf numFmtId="0" fontId="32" fillId="0" borderId="19" xfId="0" applyFont="1" applyFill="1" applyBorder="1"/>
    <xf numFmtId="0" fontId="32" fillId="0" borderId="27" xfId="0" applyFont="1" applyFill="1" applyBorder="1"/>
    <xf numFmtId="164" fontId="32" fillId="0" borderId="27" xfId="0" applyNumberFormat="1" applyFont="1" applyFill="1" applyBorder="1"/>
    <xf numFmtId="164" fontId="32" fillId="0" borderId="27" xfId="0" applyNumberFormat="1" applyFont="1" applyFill="1" applyBorder="1" applyAlignment="1">
      <alignment horizontal="right"/>
    </xf>
    <xf numFmtId="3" fontId="32" fillId="0" borderId="27" xfId="0" applyNumberFormat="1" applyFont="1" applyFill="1" applyBorder="1"/>
    <xf numFmtId="3" fontId="32" fillId="0" borderId="20" xfId="0" applyNumberFormat="1" applyFont="1" applyFill="1" applyBorder="1"/>
    <xf numFmtId="0" fontId="3" fillId="2" borderId="111" xfId="79" applyFont="1" applyFill="1" applyBorder="1" applyAlignment="1">
      <alignment horizontal="left"/>
    </xf>
    <xf numFmtId="3" fontId="3" fillId="2" borderId="80" xfId="80" applyNumberFormat="1" applyFont="1" applyFill="1" applyBorder="1"/>
    <xf numFmtId="3" fontId="3" fillId="2" borderId="8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" fillId="2" borderId="81" xfId="80" applyNumberFormat="1" applyFont="1" applyFill="1" applyBorder="1"/>
    <xf numFmtId="0" fontId="39" fillId="0" borderId="63" xfId="0" applyFont="1" applyFill="1" applyBorder="1"/>
    <xf numFmtId="3" fontId="32" fillId="0" borderId="64" xfId="0" applyNumberFormat="1" applyFont="1" applyFill="1" applyBorder="1"/>
    <xf numFmtId="9" fontId="32" fillId="0" borderId="64" xfId="0" applyNumberFormat="1" applyFont="1" applyFill="1" applyBorder="1"/>
    <xf numFmtId="9" fontId="32" fillId="0" borderId="65" xfId="0" applyNumberFormat="1" applyFont="1" applyFill="1" applyBorder="1"/>
    <xf numFmtId="3" fontId="32" fillId="0" borderId="67" xfId="0" applyNumberFormat="1" applyFont="1" applyFill="1" applyBorder="1"/>
    <xf numFmtId="9" fontId="32" fillId="0" borderId="67" xfId="0" applyNumberFormat="1" applyFont="1" applyFill="1" applyBorder="1"/>
    <xf numFmtId="9" fontId="32" fillId="0" borderId="68" xfId="0" applyNumberFormat="1" applyFont="1" applyFill="1" applyBorder="1"/>
    <xf numFmtId="0" fontId="39" fillId="0" borderId="93" xfId="0" applyFont="1" applyFill="1" applyBorder="1"/>
    <xf numFmtId="0" fontId="39" fillId="0" borderId="92" xfId="0" applyFont="1" applyFill="1" applyBorder="1" applyAlignment="1">
      <alignment horizontal="left" indent="1"/>
    </xf>
    <xf numFmtId="9" fontId="32" fillId="0" borderId="86" xfId="0" applyNumberFormat="1" applyFont="1" applyFill="1" applyBorder="1"/>
    <xf numFmtId="9" fontId="32" fillId="0" borderId="84" xfId="0" applyNumberFormat="1" applyFont="1" applyFill="1" applyBorder="1"/>
    <xf numFmtId="3" fontId="32" fillId="0" borderId="63" xfId="0" applyNumberFormat="1" applyFont="1" applyFill="1" applyBorder="1"/>
    <xf numFmtId="3" fontId="32" fillId="0" borderId="66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9" fontId="32" fillId="0" borderId="90" xfId="0" applyNumberFormat="1" applyFont="1" applyFill="1" applyBorder="1"/>
    <xf numFmtId="9" fontId="32" fillId="0" borderId="89" xfId="0" applyNumberFormat="1" applyFont="1" applyFill="1" applyBorder="1"/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173" fontId="39" fillId="4" borderId="113" xfId="0" applyNumberFormat="1" applyFont="1" applyFill="1" applyBorder="1" applyAlignment="1">
      <alignment horizontal="center"/>
    </xf>
    <xf numFmtId="173" fontId="39" fillId="4" borderId="114" xfId="0" applyNumberFormat="1" applyFont="1" applyFill="1" applyBorder="1" applyAlignment="1">
      <alignment horizontal="center"/>
    </xf>
    <xf numFmtId="0" fontId="0" fillId="0" borderId="114" xfId="0" applyBorder="1" applyAlignment="1"/>
    <xf numFmtId="0" fontId="0" fillId="0" borderId="114" xfId="0" applyBorder="1" applyAlignment="1">
      <alignment horizontal="center"/>
    </xf>
    <xf numFmtId="173" fontId="32" fillId="0" borderId="115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/>
    </xf>
    <xf numFmtId="0" fontId="0" fillId="0" borderId="116" xfId="0" applyBorder="1" applyAlignment="1">
      <alignment horizontal="right"/>
    </xf>
    <xf numFmtId="173" fontId="32" fillId="0" borderId="116" xfId="0" applyNumberFormat="1" applyFont="1" applyBorder="1" applyAlignment="1">
      <alignment horizontal="right" wrapText="1"/>
    </xf>
    <xf numFmtId="0" fontId="0" fillId="0" borderId="116" xfId="0" applyBorder="1" applyAlignment="1">
      <alignment horizontal="right" wrapText="1"/>
    </xf>
    <xf numFmtId="175" fontId="32" fillId="0" borderId="115" xfId="0" applyNumberFormat="1" applyFont="1" applyBorder="1" applyAlignment="1">
      <alignment horizontal="right"/>
    </xf>
    <xf numFmtId="175" fontId="32" fillId="0" borderId="116" xfId="0" applyNumberFormat="1" applyFont="1" applyBorder="1" applyAlignment="1">
      <alignment horizontal="right"/>
    </xf>
    <xf numFmtId="173" fontId="32" fillId="0" borderId="117" xfId="0" applyNumberFormat="1" applyFont="1" applyBorder="1" applyAlignment="1">
      <alignment horizontal="right"/>
    </xf>
    <xf numFmtId="173" fontId="32" fillId="0" borderId="118" xfId="0" applyNumberFormat="1" applyFont="1" applyBorder="1" applyAlignment="1">
      <alignment horizontal="right"/>
    </xf>
    <xf numFmtId="0" fontId="0" fillId="0" borderId="118" xfId="0" applyBorder="1" applyAlignment="1">
      <alignment horizontal="right"/>
    </xf>
    <xf numFmtId="0" fontId="39" fillId="2" borderId="90" xfId="0" applyFont="1" applyFill="1" applyBorder="1" applyAlignment="1">
      <alignment horizontal="center" vertical="center"/>
    </xf>
    <xf numFmtId="0" fontId="55" fillId="2" borderId="89" xfId="0" applyFont="1" applyFill="1" applyBorder="1" applyAlignment="1">
      <alignment horizontal="center" vertical="center" wrapText="1"/>
    </xf>
    <xf numFmtId="174" fontId="32" fillId="2" borderId="90" xfId="0" applyNumberFormat="1" applyFont="1" applyFill="1" applyBorder="1" applyAlignment="1"/>
    <xf numFmtId="174" fontId="32" fillId="0" borderId="88" xfId="0" applyNumberFormat="1" applyFont="1" applyBorder="1"/>
    <xf numFmtId="174" fontId="32" fillId="0" borderId="120" xfId="0" applyNumberFormat="1" applyFont="1" applyBorder="1"/>
    <xf numFmtId="173" fontId="39" fillId="4" borderId="90" xfId="0" applyNumberFormat="1" applyFont="1" applyFill="1" applyBorder="1" applyAlignment="1"/>
    <xf numFmtId="173" fontId="32" fillId="0" borderId="88" xfId="0" applyNumberFormat="1" applyFont="1" applyBorder="1"/>
    <xf numFmtId="173" fontId="32" fillId="0" borderId="89" xfId="0" applyNumberFormat="1" applyFont="1" applyBorder="1"/>
    <xf numFmtId="173" fontId="39" fillId="2" borderId="90" xfId="0" applyNumberFormat="1" applyFont="1" applyFill="1" applyBorder="1" applyAlignment="1"/>
    <xf numFmtId="173" fontId="32" fillId="0" borderId="120" xfId="0" applyNumberFormat="1" applyFont="1" applyBorder="1"/>
    <xf numFmtId="173" fontId="32" fillId="0" borderId="90" xfId="0" applyNumberFormat="1" applyFont="1" applyBorder="1"/>
    <xf numFmtId="173" fontId="39" fillId="4" borderId="121" xfId="0" applyNumberFormat="1" applyFont="1" applyFill="1" applyBorder="1" applyAlignment="1">
      <alignment horizontal="center"/>
    </xf>
    <xf numFmtId="173" fontId="32" fillId="0" borderId="122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0" fontId="0" fillId="0" borderId="119" xfId="0" applyBorder="1"/>
    <xf numFmtId="173" fontId="39" fillId="4" borderId="69" xfId="0" applyNumberFormat="1" applyFont="1" applyFill="1" applyBorder="1" applyAlignment="1">
      <alignment horizontal="center"/>
    </xf>
    <xf numFmtId="173" fontId="32" fillId="0" borderId="71" xfId="0" applyNumberFormat="1" applyFont="1" applyBorder="1" applyAlignment="1">
      <alignment horizontal="right"/>
    </xf>
    <xf numFmtId="175" fontId="32" fillId="0" borderId="71" xfId="0" applyNumberFormat="1" applyFont="1" applyBorder="1" applyAlignment="1">
      <alignment horizontal="right"/>
    </xf>
    <xf numFmtId="173" fontId="32" fillId="0" borderId="82" xfId="0" applyNumberFormat="1" applyFont="1" applyBorder="1" applyAlignment="1">
      <alignment horizontal="right"/>
    </xf>
    <xf numFmtId="0" fontId="32" fillId="2" borderId="53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64" xfId="0" applyNumberFormat="1" applyFont="1" applyFill="1" applyBorder="1"/>
    <xf numFmtId="169" fontId="32" fillId="0" borderId="67" xfId="0" applyNumberFormat="1" applyFont="1" applyFill="1" applyBorder="1"/>
    <xf numFmtId="0" fontId="39" fillId="0" borderId="66" xfId="0" applyFont="1" applyFill="1" applyBorder="1"/>
    <xf numFmtId="169" fontId="32" fillId="0" borderId="27" xfId="0" applyNumberFormat="1" applyFont="1" applyFill="1" applyBorder="1"/>
    <xf numFmtId="0" fontId="39" fillId="0" borderId="19" xfId="0" applyFont="1" applyFill="1" applyBorder="1"/>
    <xf numFmtId="0" fontId="59" fillId="0" borderId="0" xfId="0" applyFont="1" applyFill="1"/>
    <xf numFmtId="0" fontId="60" fillId="0" borderId="0" xfId="0" applyFont="1" applyFill="1"/>
    <xf numFmtId="169" fontId="32" fillId="0" borderId="20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74" xfId="0" applyNumberFormat="1" applyFont="1" applyFill="1" applyBorder="1"/>
    <xf numFmtId="169" fontId="32" fillId="0" borderId="74" xfId="0" applyNumberFormat="1" applyFont="1" applyFill="1" applyBorder="1"/>
    <xf numFmtId="9" fontId="32" fillId="0" borderId="75" xfId="0" applyNumberFormat="1" applyFont="1" applyFill="1" applyBorder="1"/>
    <xf numFmtId="0" fontId="39" fillId="0" borderId="73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0.90457707285001354</c:v>
                </c:pt>
                <c:pt idx="1">
                  <c:v>0.9493943694426128</c:v>
                </c:pt>
                <c:pt idx="2">
                  <c:v>0.95783549705930948</c:v>
                </c:pt>
                <c:pt idx="3">
                  <c:v>0.96804117142676238</c:v>
                </c:pt>
                <c:pt idx="4">
                  <c:v>0.94774267713043669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747216"/>
        <c:axId val="8037483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0.75805193057989739</c:v>
                </c:pt>
                <c:pt idx="1">
                  <c:v>0.75805193057989739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748848"/>
        <c:axId val="803749392"/>
      </c:scatterChart>
      <c:catAx>
        <c:axId val="803747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03748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37483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03747216"/>
        <c:crosses val="autoZero"/>
        <c:crossBetween val="between"/>
      </c:valAx>
      <c:valAx>
        <c:axId val="80374884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803749392"/>
        <c:crosses val="max"/>
        <c:crossBetween val="midCat"/>
      </c:valAx>
      <c:valAx>
        <c:axId val="8037493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80374884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5" bestFit="1" customWidth="1"/>
    <col min="2" max="2" width="102.21875" style="105" bestFit="1" customWidth="1"/>
    <col min="3" max="3" width="16.109375" style="42" hidden="1" customWidth="1"/>
    <col min="4" max="16384" width="8.88671875" style="105"/>
  </cols>
  <sheetData>
    <row r="1" spans="1:3" ht="18.600000000000001" customHeight="1" thickBot="1" x14ac:dyDescent="0.4">
      <c r="A1" s="293" t="s">
        <v>94</v>
      </c>
      <c r="B1" s="293"/>
    </row>
    <row r="2" spans="1:3" ht="14.4" customHeight="1" thickBot="1" x14ac:dyDescent="0.35">
      <c r="A2" s="202" t="s">
        <v>222</v>
      </c>
      <c r="B2" s="41"/>
    </row>
    <row r="3" spans="1:3" ht="14.4" customHeight="1" thickBot="1" x14ac:dyDescent="0.35">
      <c r="A3" s="289" t="s">
        <v>117</v>
      </c>
      <c r="B3" s="290"/>
    </row>
    <row r="4" spans="1:3" ht="14.4" customHeight="1" x14ac:dyDescent="0.3">
      <c r="A4" s="118" t="str">
        <f t="shared" ref="A4:A8" si="0">HYPERLINK("#'"&amp;C4&amp;"'!A1",C4)</f>
        <v>Motivace</v>
      </c>
      <c r="B4" s="64" t="s">
        <v>105</v>
      </c>
      <c r="C4" s="42" t="s">
        <v>106</v>
      </c>
    </row>
    <row r="5" spans="1:3" ht="14.4" customHeight="1" x14ac:dyDescent="0.3">
      <c r="A5" s="119" t="str">
        <f t="shared" si="0"/>
        <v>HI</v>
      </c>
      <c r="B5" s="65" t="s">
        <v>114</v>
      </c>
      <c r="C5" s="42" t="s">
        <v>97</v>
      </c>
    </row>
    <row r="6" spans="1:3" ht="14.4" customHeight="1" x14ac:dyDescent="0.3">
      <c r="A6" s="120" t="str">
        <f t="shared" si="0"/>
        <v>HI Graf</v>
      </c>
      <c r="B6" s="66" t="s">
        <v>90</v>
      </c>
      <c r="C6" s="42" t="s">
        <v>98</v>
      </c>
    </row>
    <row r="7" spans="1:3" ht="14.4" customHeight="1" x14ac:dyDescent="0.3">
      <c r="A7" s="120" t="str">
        <f t="shared" si="0"/>
        <v>Man Tab</v>
      </c>
      <c r="B7" s="66" t="s">
        <v>224</v>
      </c>
      <c r="C7" s="42" t="s">
        <v>99</v>
      </c>
    </row>
    <row r="8" spans="1:3" ht="14.4" customHeight="1" thickBot="1" x14ac:dyDescent="0.35">
      <c r="A8" s="121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1" t="s">
        <v>95</v>
      </c>
      <c r="B10" s="290"/>
    </row>
    <row r="11" spans="1:3" ht="14.4" customHeight="1" x14ac:dyDescent="0.3">
      <c r="A11" s="122" t="str">
        <f t="shared" ref="A11" si="1">HYPERLINK("#'"&amp;C11&amp;"'!A1",C11)</f>
        <v>Léky Žádanky</v>
      </c>
      <c r="B11" s="65" t="s">
        <v>115</v>
      </c>
      <c r="C11" s="42" t="s">
        <v>100</v>
      </c>
    </row>
    <row r="12" spans="1:3" ht="14.4" customHeight="1" x14ac:dyDescent="0.3">
      <c r="A12" s="120" t="str">
        <f t="shared" ref="A12:A16" si="2">HYPERLINK("#'"&amp;C12&amp;"'!A1",C12)</f>
        <v>LŽ Detail</v>
      </c>
      <c r="B12" s="66" t="s">
        <v>131</v>
      </c>
      <c r="C12" s="42" t="s">
        <v>101</v>
      </c>
    </row>
    <row r="13" spans="1:3" ht="14.4" customHeight="1" x14ac:dyDescent="0.3">
      <c r="A13" s="120" t="str">
        <f t="shared" si="2"/>
        <v>LŽ Statim</v>
      </c>
      <c r="B13" s="276" t="s">
        <v>179</v>
      </c>
      <c r="C13" s="42" t="s">
        <v>189</v>
      </c>
    </row>
    <row r="14" spans="1:3" ht="14.4" customHeight="1" x14ac:dyDescent="0.3">
      <c r="A14" s="122" t="str">
        <f t="shared" ref="A14" si="3">HYPERLINK("#'"&amp;C14&amp;"'!A1",C14)</f>
        <v>Materiál Žádanky</v>
      </c>
      <c r="B14" s="66" t="s">
        <v>116</v>
      </c>
      <c r="C14" s="42" t="s">
        <v>102</v>
      </c>
    </row>
    <row r="15" spans="1:3" ht="14.4" customHeight="1" x14ac:dyDescent="0.3">
      <c r="A15" s="120" t="str">
        <f t="shared" si="2"/>
        <v>MŽ Detail</v>
      </c>
      <c r="B15" s="66" t="s">
        <v>609</v>
      </c>
      <c r="C15" s="42" t="s">
        <v>103</v>
      </c>
    </row>
    <row r="16" spans="1:3" ht="14.4" customHeight="1" thickBot="1" x14ac:dyDescent="0.35">
      <c r="A16" s="122" t="str">
        <f t="shared" si="2"/>
        <v>Osobní náklady</v>
      </c>
      <c r="B16" s="66" t="s">
        <v>92</v>
      </c>
      <c r="C16" s="42" t="s">
        <v>104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92" t="s">
        <v>96</v>
      </c>
      <c r="B18" s="290"/>
    </row>
    <row r="19" spans="1:3" ht="14.4" customHeight="1" x14ac:dyDescent="0.3">
      <c r="A19" s="123" t="str">
        <f t="shared" ref="A19:A23" si="4">HYPERLINK("#'"&amp;C19&amp;"'!A1",C19)</f>
        <v>ZV Vykáz.-A</v>
      </c>
      <c r="B19" s="65" t="s">
        <v>613</v>
      </c>
      <c r="C19" s="42" t="s">
        <v>107</v>
      </c>
    </row>
    <row r="20" spans="1:3" ht="14.4" customHeight="1" x14ac:dyDescent="0.3">
      <c r="A20" s="120" t="str">
        <f t="shared" ref="A20" si="5">HYPERLINK("#'"&amp;C20&amp;"'!A1",C20)</f>
        <v>ZV Vykáz.-A Lékaři</v>
      </c>
      <c r="B20" s="66" t="s">
        <v>618</v>
      </c>
      <c r="C20" s="42" t="s">
        <v>192</v>
      </c>
    </row>
    <row r="21" spans="1:3" ht="14.4" customHeight="1" x14ac:dyDescent="0.3">
      <c r="A21" s="120" t="str">
        <f t="shared" si="4"/>
        <v>ZV Vykáz.-A Detail</v>
      </c>
      <c r="B21" s="66" t="s">
        <v>676</v>
      </c>
      <c r="C21" s="42" t="s">
        <v>108</v>
      </c>
    </row>
    <row r="22" spans="1:3" ht="14.4" customHeight="1" x14ac:dyDescent="0.3">
      <c r="A22" s="120" t="str">
        <f t="shared" si="4"/>
        <v>ZV Vykáz.-H</v>
      </c>
      <c r="B22" s="66" t="s">
        <v>111</v>
      </c>
      <c r="C22" s="42" t="s">
        <v>109</v>
      </c>
    </row>
    <row r="23" spans="1:3" ht="14.4" customHeight="1" x14ac:dyDescent="0.3">
      <c r="A23" s="120" t="str">
        <f t="shared" si="4"/>
        <v>ZV Vykáz.-H Detail</v>
      </c>
      <c r="B23" s="66" t="s">
        <v>715</v>
      </c>
      <c r="C23" s="42" t="s">
        <v>110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116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2" t="s">
        <v>222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60">
        <v>2014</v>
      </c>
      <c r="D3" s="261">
        <v>2015</v>
      </c>
      <c r="E3" s="7"/>
      <c r="F3" s="317">
        <v>2016</v>
      </c>
      <c r="G3" s="318"/>
      <c r="H3" s="318"/>
      <c r="I3" s="319"/>
    </row>
    <row r="4" spans="1:10" ht="14.4" customHeight="1" thickBot="1" x14ac:dyDescent="0.35">
      <c r="A4" s="265" t="s">
        <v>0</v>
      </c>
      <c r="B4" s="266" t="s">
        <v>178</v>
      </c>
      <c r="C4" s="320" t="s">
        <v>59</v>
      </c>
      <c r="D4" s="321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89" t="s">
        <v>393</v>
      </c>
      <c r="B5" s="390" t="s">
        <v>394</v>
      </c>
      <c r="C5" s="391" t="s">
        <v>395</v>
      </c>
      <c r="D5" s="391" t="s">
        <v>395</v>
      </c>
      <c r="E5" s="391"/>
      <c r="F5" s="391" t="s">
        <v>395</v>
      </c>
      <c r="G5" s="391" t="s">
        <v>395</v>
      </c>
      <c r="H5" s="391" t="s">
        <v>395</v>
      </c>
      <c r="I5" s="392" t="s">
        <v>395</v>
      </c>
      <c r="J5" s="393" t="s">
        <v>55</v>
      </c>
    </row>
    <row r="6" spans="1:10" ht="14.4" customHeight="1" x14ac:dyDescent="0.3">
      <c r="A6" s="389" t="s">
        <v>393</v>
      </c>
      <c r="B6" s="390" t="s">
        <v>235</v>
      </c>
      <c r="C6" s="391">
        <v>320.87612999999999</v>
      </c>
      <c r="D6" s="391">
        <v>172.66385</v>
      </c>
      <c r="E6" s="391"/>
      <c r="F6" s="391">
        <v>269.15213</v>
      </c>
      <c r="G6" s="391">
        <v>375.00010337087667</v>
      </c>
      <c r="H6" s="391">
        <v>-105.84797337087667</v>
      </c>
      <c r="I6" s="392">
        <v>0.71773881548455842</v>
      </c>
      <c r="J6" s="393" t="s">
        <v>1</v>
      </c>
    </row>
    <row r="7" spans="1:10" ht="14.4" customHeight="1" x14ac:dyDescent="0.3">
      <c r="A7" s="389" t="s">
        <v>393</v>
      </c>
      <c r="B7" s="390" t="s">
        <v>236</v>
      </c>
      <c r="C7" s="391">
        <v>11.41924</v>
      </c>
      <c r="D7" s="391">
        <v>43.865269999999995</v>
      </c>
      <c r="E7" s="391"/>
      <c r="F7" s="391">
        <v>66.079369999999997</v>
      </c>
      <c r="G7" s="391">
        <v>33.333342521855421</v>
      </c>
      <c r="H7" s="391">
        <v>32.746027478144576</v>
      </c>
      <c r="I7" s="392">
        <v>1.9823805535455747</v>
      </c>
      <c r="J7" s="393" t="s">
        <v>1</v>
      </c>
    </row>
    <row r="8" spans="1:10" ht="14.4" customHeight="1" x14ac:dyDescent="0.3">
      <c r="A8" s="389" t="s">
        <v>393</v>
      </c>
      <c r="B8" s="390" t="s">
        <v>237</v>
      </c>
      <c r="C8" s="391">
        <v>12.675240000000001</v>
      </c>
      <c r="D8" s="391">
        <v>10.439</v>
      </c>
      <c r="E8" s="391"/>
      <c r="F8" s="391">
        <v>11.150459999999999</v>
      </c>
      <c r="G8" s="391">
        <v>15.000004134834999</v>
      </c>
      <c r="H8" s="391">
        <v>-3.8495441348349999</v>
      </c>
      <c r="I8" s="392">
        <v>0.74336379508755746</v>
      </c>
      <c r="J8" s="393" t="s">
        <v>1</v>
      </c>
    </row>
    <row r="9" spans="1:10" ht="14.4" customHeight="1" x14ac:dyDescent="0.3">
      <c r="A9" s="389" t="s">
        <v>393</v>
      </c>
      <c r="B9" s="390" t="s">
        <v>238</v>
      </c>
      <c r="C9" s="391">
        <v>64.607519999999994</v>
      </c>
      <c r="D9" s="391">
        <v>63.799599999999998</v>
      </c>
      <c r="E9" s="391"/>
      <c r="F9" s="391">
        <v>39.338070000000002</v>
      </c>
      <c r="G9" s="391">
        <v>125.00003445695874</v>
      </c>
      <c r="H9" s="391">
        <v>-85.661964456958742</v>
      </c>
      <c r="I9" s="392">
        <v>0.31470447324992762</v>
      </c>
      <c r="J9" s="393" t="s">
        <v>1</v>
      </c>
    </row>
    <row r="10" spans="1:10" ht="14.4" customHeight="1" x14ac:dyDescent="0.3">
      <c r="A10" s="389" t="s">
        <v>393</v>
      </c>
      <c r="B10" s="390" t="s">
        <v>239</v>
      </c>
      <c r="C10" s="391">
        <v>0.41299999999999998</v>
      </c>
      <c r="D10" s="391">
        <v>0.14699999999999999</v>
      </c>
      <c r="E10" s="391"/>
      <c r="F10" s="391" t="s">
        <v>395</v>
      </c>
      <c r="G10" s="391" t="s">
        <v>395</v>
      </c>
      <c r="H10" s="391" t="s">
        <v>395</v>
      </c>
      <c r="I10" s="392" t="s">
        <v>395</v>
      </c>
      <c r="J10" s="393" t="s">
        <v>1</v>
      </c>
    </row>
    <row r="11" spans="1:10" ht="14.4" customHeight="1" x14ac:dyDescent="0.3">
      <c r="A11" s="389" t="s">
        <v>393</v>
      </c>
      <c r="B11" s="390" t="s">
        <v>240</v>
      </c>
      <c r="C11" s="391">
        <v>14.682300000000001</v>
      </c>
      <c r="D11" s="391">
        <v>17.053799999999999</v>
      </c>
      <c r="E11" s="391"/>
      <c r="F11" s="391">
        <v>21.177459999999996</v>
      </c>
      <c r="G11" s="391">
        <v>18.750005168543751</v>
      </c>
      <c r="H11" s="391">
        <v>2.4274548314562452</v>
      </c>
      <c r="I11" s="392">
        <v>1.1294642219901201</v>
      </c>
      <c r="J11" s="393" t="s">
        <v>1</v>
      </c>
    </row>
    <row r="12" spans="1:10" ht="14.4" customHeight="1" x14ac:dyDescent="0.3">
      <c r="A12" s="389" t="s">
        <v>393</v>
      </c>
      <c r="B12" s="390" t="s">
        <v>398</v>
      </c>
      <c r="C12" s="391">
        <v>424.67343</v>
      </c>
      <c r="D12" s="391">
        <v>307.96851999999996</v>
      </c>
      <c r="E12" s="391"/>
      <c r="F12" s="391">
        <v>406.89749</v>
      </c>
      <c r="G12" s="391">
        <v>567.08348965306959</v>
      </c>
      <c r="H12" s="391">
        <v>-160.18599965306959</v>
      </c>
      <c r="I12" s="392">
        <v>0.71752660309142802</v>
      </c>
      <c r="J12" s="393" t="s">
        <v>399</v>
      </c>
    </row>
    <row r="14" spans="1:10" ht="14.4" customHeight="1" x14ac:dyDescent="0.3">
      <c r="A14" s="389" t="s">
        <v>393</v>
      </c>
      <c r="B14" s="390" t="s">
        <v>394</v>
      </c>
      <c r="C14" s="391" t="s">
        <v>395</v>
      </c>
      <c r="D14" s="391" t="s">
        <v>395</v>
      </c>
      <c r="E14" s="391"/>
      <c r="F14" s="391" t="s">
        <v>395</v>
      </c>
      <c r="G14" s="391" t="s">
        <v>395</v>
      </c>
      <c r="H14" s="391" t="s">
        <v>395</v>
      </c>
      <c r="I14" s="392" t="s">
        <v>395</v>
      </c>
      <c r="J14" s="393" t="s">
        <v>55</v>
      </c>
    </row>
    <row r="15" spans="1:10" ht="14.4" customHeight="1" x14ac:dyDescent="0.3">
      <c r="A15" s="389" t="s">
        <v>400</v>
      </c>
      <c r="B15" s="390" t="s">
        <v>401</v>
      </c>
      <c r="C15" s="391" t="s">
        <v>395</v>
      </c>
      <c r="D15" s="391" t="s">
        <v>395</v>
      </c>
      <c r="E15" s="391"/>
      <c r="F15" s="391" t="s">
        <v>395</v>
      </c>
      <c r="G15" s="391" t="s">
        <v>395</v>
      </c>
      <c r="H15" s="391" t="s">
        <v>395</v>
      </c>
      <c r="I15" s="392" t="s">
        <v>395</v>
      </c>
      <c r="J15" s="393" t="s">
        <v>0</v>
      </c>
    </row>
    <row r="16" spans="1:10" ht="14.4" customHeight="1" x14ac:dyDescent="0.3">
      <c r="A16" s="389" t="s">
        <v>400</v>
      </c>
      <c r="B16" s="390" t="s">
        <v>235</v>
      </c>
      <c r="C16" s="391">
        <v>320.87612999999999</v>
      </c>
      <c r="D16" s="391">
        <v>172.66385</v>
      </c>
      <c r="E16" s="391"/>
      <c r="F16" s="391">
        <v>269.15213</v>
      </c>
      <c r="G16" s="391">
        <v>375.00010337087667</v>
      </c>
      <c r="H16" s="391">
        <v>-105.84797337087667</v>
      </c>
      <c r="I16" s="392">
        <v>0.71773881548455842</v>
      </c>
      <c r="J16" s="393" t="s">
        <v>1</v>
      </c>
    </row>
    <row r="17" spans="1:10" ht="14.4" customHeight="1" x14ac:dyDescent="0.3">
      <c r="A17" s="389" t="s">
        <v>400</v>
      </c>
      <c r="B17" s="390" t="s">
        <v>236</v>
      </c>
      <c r="C17" s="391">
        <v>11.41924</v>
      </c>
      <c r="D17" s="391">
        <v>43.865269999999995</v>
      </c>
      <c r="E17" s="391"/>
      <c r="F17" s="391">
        <v>66.079369999999997</v>
      </c>
      <c r="G17" s="391">
        <v>33.333342521855421</v>
      </c>
      <c r="H17" s="391">
        <v>32.746027478144576</v>
      </c>
      <c r="I17" s="392">
        <v>1.9823805535455747</v>
      </c>
      <c r="J17" s="393" t="s">
        <v>1</v>
      </c>
    </row>
    <row r="18" spans="1:10" ht="14.4" customHeight="1" x14ac:dyDescent="0.3">
      <c r="A18" s="389" t="s">
        <v>400</v>
      </c>
      <c r="B18" s="390" t="s">
        <v>237</v>
      </c>
      <c r="C18" s="391">
        <v>12.675240000000001</v>
      </c>
      <c r="D18" s="391">
        <v>10.439</v>
      </c>
      <c r="E18" s="391"/>
      <c r="F18" s="391">
        <v>11.150459999999999</v>
      </c>
      <c r="G18" s="391">
        <v>15.000004134834999</v>
      </c>
      <c r="H18" s="391">
        <v>-3.8495441348349999</v>
      </c>
      <c r="I18" s="392">
        <v>0.74336379508755746</v>
      </c>
      <c r="J18" s="393" t="s">
        <v>1</v>
      </c>
    </row>
    <row r="19" spans="1:10" ht="14.4" customHeight="1" x14ac:dyDescent="0.3">
      <c r="A19" s="389" t="s">
        <v>400</v>
      </c>
      <c r="B19" s="390" t="s">
        <v>238</v>
      </c>
      <c r="C19" s="391">
        <v>64.607519999999994</v>
      </c>
      <c r="D19" s="391">
        <v>63.799599999999998</v>
      </c>
      <c r="E19" s="391"/>
      <c r="F19" s="391">
        <v>39.338070000000002</v>
      </c>
      <c r="G19" s="391">
        <v>125.00003445695874</v>
      </c>
      <c r="H19" s="391">
        <v>-85.661964456958742</v>
      </c>
      <c r="I19" s="392">
        <v>0.31470447324992762</v>
      </c>
      <c r="J19" s="393" t="s">
        <v>1</v>
      </c>
    </row>
    <row r="20" spans="1:10" ht="14.4" customHeight="1" x14ac:dyDescent="0.3">
      <c r="A20" s="389" t="s">
        <v>400</v>
      </c>
      <c r="B20" s="390" t="s">
        <v>239</v>
      </c>
      <c r="C20" s="391">
        <v>0.41299999999999998</v>
      </c>
      <c r="D20" s="391">
        <v>0.14699999999999999</v>
      </c>
      <c r="E20" s="391"/>
      <c r="F20" s="391" t="s">
        <v>395</v>
      </c>
      <c r="G20" s="391" t="s">
        <v>395</v>
      </c>
      <c r="H20" s="391" t="s">
        <v>395</v>
      </c>
      <c r="I20" s="392" t="s">
        <v>395</v>
      </c>
      <c r="J20" s="393" t="s">
        <v>1</v>
      </c>
    </row>
    <row r="21" spans="1:10" ht="14.4" customHeight="1" x14ac:dyDescent="0.3">
      <c r="A21" s="389" t="s">
        <v>400</v>
      </c>
      <c r="B21" s="390" t="s">
        <v>240</v>
      </c>
      <c r="C21" s="391">
        <v>14.682300000000001</v>
      </c>
      <c r="D21" s="391">
        <v>17.053799999999999</v>
      </c>
      <c r="E21" s="391"/>
      <c r="F21" s="391">
        <v>21.177459999999996</v>
      </c>
      <c r="G21" s="391">
        <v>18.750005168543751</v>
      </c>
      <c r="H21" s="391">
        <v>2.4274548314562452</v>
      </c>
      <c r="I21" s="392">
        <v>1.1294642219901201</v>
      </c>
      <c r="J21" s="393" t="s">
        <v>1</v>
      </c>
    </row>
    <row r="22" spans="1:10" ht="14.4" customHeight="1" x14ac:dyDescent="0.3">
      <c r="A22" s="389" t="s">
        <v>400</v>
      </c>
      <c r="B22" s="390" t="s">
        <v>402</v>
      </c>
      <c r="C22" s="391">
        <v>424.67343</v>
      </c>
      <c r="D22" s="391">
        <v>307.96851999999996</v>
      </c>
      <c r="E22" s="391"/>
      <c r="F22" s="391">
        <v>406.89749</v>
      </c>
      <c r="G22" s="391">
        <v>567.08348965306959</v>
      </c>
      <c r="H22" s="391">
        <v>-160.18599965306959</v>
      </c>
      <c r="I22" s="392">
        <v>0.71752660309142802</v>
      </c>
      <c r="J22" s="393" t="s">
        <v>403</v>
      </c>
    </row>
    <row r="23" spans="1:10" ht="14.4" customHeight="1" x14ac:dyDescent="0.3">
      <c r="A23" s="389" t="s">
        <v>395</v>
      </c>
      <c r="B23" s="390" t="s">
        <v>395</v>
      </c>
      <c r="C23" s="391" t="s">
        <v>395</v>
      </c>
      <c r="D23" s="391" t="s">
        <v>395</v>
      </c>
      <c r="E23" s="391"/>
      <c r="F23" s="391" t="s">
        <v>395</v>
      </c>
      <c r="G23" s="391" t="s">
        <v>395</v>
      </c>
      <c r="H23" s="391" t="s">
        <v>395</v>
      </c>
      <c r="I23" s="392" t="s">
        <v>395</v>
      </c>
      <c r="J23" s="393" t="s">
        <v>404</v>
      </c>
    </row>
    <row r="24" spans="1:10" ht="14.4" customHeight="1" x14ac:dyDescent="0.3">
      <c r="A24" s="389" t="s">
        <v>393</v>
      </c>
      <c r="B24" s="390" t="s">
        <v>398</v>
      </c>
      <c r="C24" s="391">
        <v>424.67343</v>
      </c>
      <c r="D24" s="391">
        <v>307.96851999999996</v>
      </c>
      <c r="E24" s="391"/>
      <c r="F24" s="391">
        <v>406.89749</v>
      </c>
      <c r="G24" s="391">
        <v>567.08348965306959</v>
      </c>
      <c r="H24" s="391">
        <v>-160.18599965306959</v>
      </c>
      <c r="I24" s="392">
        <v>0.71752660309142802</v>
      </c>
      <c r="J24" s="393" t="s">
        <v>399</v>
      </c>
    </row>
  </sheetData>
  <mergeCells count="3">
    <mergeCell ref="A1:I1"/>
    <mergeCell ref="F3:I3"/>
    <mergeCell ref="C4:D4"/>
  </mergeCells>
  <conditionalFormatting sqref="F13 F25:F65537">
    <cfRule type="cellIs" dxfId="24" priority="18" stopIfTrue="1" operator="greaterThan">
      <formula>1</formula>
    </cfRule>
  </conditionalFormatting>
  <conditionalFormatting sqref="H5:H12">
    <cfRule type="expression" dxfId="23" priority="14">
      <formula>$H5&gt;0</formula>
    </cfRule>
  </conditionalFormatting>
  <conditionalFormatting sqref="I5:I12">
    <cfRule type="expression" dxfId="22" priority="15">
      <formula>$I5&gt;1</formula>
    </cfRule>
  </conditionalFormatting>
  <conditionalFormatting sqref="B5:B12">
    <cfRule type="expression" dxfId="21" priority="11">
      <formula>OR($J5="NS",$J5="SumaNS",$J5="Účet")</formula>
    </cfRule>
  </conditionalFormatting>
  <conditionalFormatting sqref="F5:I12 B5:D12">
    <cfRule type="expression" dxfId="20" priority="17">
      <formula>AND($J5&lt;&gt;"",$J5&lt;&gt;"mezeraKL")</formula>
    </cfRule>
  </conditionalFormatting>
  <conditionalFormatting sqref="B5:D12 F5:I12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8" priority="13">
      <formula>OR($J5="SumaNS",$J5="NS")</formula>
    </cfRule>
  </conditionalFormatting>
  <conditionalFormatting sqref="A5:A12">
    <cfRule type="expression" dxfId="17" priority="9">
      <formula>AND($J5&lt;&gt;"mezeraKL",$J5&lt;&gt;"")</formula>
    </cfRule>
  </conditionalFormatting>
  <conditionalFormatting sqref="A5:A12">
    <cfRule type="expression" dxfId="16" priority="10">
      <formula>AND($J5&lt;&gt;"",$J5&lt;&gt;"mezeraKL")</formula>
    </cfRule>
  </conditionalFormatting>
  <conditionalFormatting sqref="H14:H24">
    <cfRule type="expression" dxfId="15" priority="5">
      <formula>$H14&gt;0</formula>
    </cfRule>
  </conditionalFormatting>
  <conditionalFormatting sqref="A14:A24">
    <cfRule type="expression" dxfId="14" priority="2">
      <formula>AND($J14&lt;&gt;"mezeraKL",$J14&lt;&gt;"")</formula>
    </cfRule>
  </conditionalFormatting>
  <conditionalFormatting sqref="I14:I24">
    <cfRule type="expression" dxfId="13" priority="6">
      <formula>$I14&gt;1</formula>
    </cfRule>
  </conditionalFormatting>
  <conditionalFormatting sqref="B14:B24">
    <cfRule type="expression" dxfId="12" priority="1">
      <formula>OR($J14="NS",$J14="SumaNS",$J14="Účet")</formula>
    </cfRule>
  </conditionalFormatting>
  <conditionalFormatting sqref="A14:D24 F14:I24">
    <cfRule type="expression" dxfId="11" priority="8">
      <formula>AND($J14&lt;&gt;"",$J14&lt;&gt;"mezeraKL")</formula>
    </cfRule>
  </conditionalFormatting>
  <conditionalFormatting sqref="B14:D24 F14:I24">
    <cfRule type="expression" dxfId="10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9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9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5"/>
  </cols>
  <sheetData>
    <row r="1" spans="1:11" ht="18.600000000000001" customHeight="1" thickBot="1" x14ac:dyDescent="0.4">
      <c r="A1" s="329" t="s">
        <v>609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4.4" customHeight="1" thickBot="1" x14ac:dyDescent="0.35">
      <c r="A2" s="202" t="s">
        <v>222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25"/>
      <c r="D3" s="326"/>
      <c r="E3" s="326"/>
      <c r="F3" s="326"/>
      <c r="G3" s="326"/>
      <c r="H3" s="117" t="s">
        <v>112</v>
      </c>
      <c r="I3" s="74">
        <f>IF(J3&lt;&gt;0,K3/J3,0)</f>
        <v>5.6084988647854104</v>
      </c>
      <c r="J3" s="74">
        <f>SUBTOTAL(9,J5:J1048576)</f>
        <v>72550.16</v>
      </c>
      <c r="K3" s="75">
        <f>SUBTOTAL(9,K5:K1048576)</f>
        <v>406897.48999999993</v>
      </c>
    </row>
    <row r="4" spans="1:11" s="181" customFormat="1" ht="14.4" customHeight="1" thickBot="1" x14ac:dyDescent="0.35">
      <c r="A4" s="394" t="s">
        <v>4</v>
      </c>
      <c r="B4" s="395" t="s">
        <v>5</v>
      </c>
      <c r="C4" s="395" t="s">
        <v>0</v>
      </c>
      <c r="D4" s="395" t="s">
        <v>6</v>
      </c>
      <c r="E4" s="395" t="s">
        <v>7</v>
      </c>
      <c r="F4" s="395" t="s">
        <v>1</v>
      </c>
      <c r="G4" s="395" t="s">
        <v>57</v>
      </c>
      <c r="H4" s="396" t="s">
        <v>11</v>
      </c>
      <c r="I4" s="397" t="s">
        <v>119</v>
      </c>
      <c r="J4" s="397" t="s">
        <v>13</v>
      </c>
      <c r="K4" s="398" t="s">
        <v>127</v>
      </c>
    </row>
    <row r="5" spans="1:11" ht="14.4" customHeight="1" x14ac:dyDescent="0.3">
      <c r="A5" s="428" t="s">
        <v>393</v>
      </c>
      <c r="B5" s="429" t="s">
        <v>394</v>
      </c>
      <c r="C5" s="430" t="s">
        <v>400</v>
      </c>
      <c r="D5" s="431" t="s">
        <v>411</v>
      </c>
      <c r="E5" s="430" t="s">
        <v>599</v>
      </c>
      <c r="F5" s="431" t="s">
        <v>600</v>
      </c>
      <c r="G5" s="430" t="s">
        <v>415</v>
      </c>
      <c r="H5" s="430" t="s">
        <v>416</v>
      </c>
      <c r="I5" s="412">
        <v>260.3</v>
      </c>
      <c r="J5" s="412">
        <v>32</v>
      </c>
      <c r="K5" s="424">
        <v>8329.5999999999985</v>
      </c>
    </row>
    <row r="6" spans="1:11" ht="14.4" customHeight="1" x14ac:dyDescent="0.3">
      <c r="A6" s="432" t="s">
        <v>393</v>
      </c>
      <c r="B6" s="433" t="s">
        <v>394</v>
      </c>
      <c r="C6" s="434" t="s">
        <v>400</v>
      </c>
      <c r="D6" s="435" t="s">
        <v>411</v>
      </c>
      <c r="E6" s="434" t="s">
        <v>599</v>
      </c>
      <c r="F6" s="435" t="s">
        <v>600</v>
      </c>
      <c r="G6" s="434" t="s">
        <v>417</v>
      </c>
      <c r="H6" s="434" t="s">
        <v>418</v>
      </c>
      <c r="I6" s="436">
        <v>28.731999999999999</v>
      </c>
      <c r="J6" s="436">
        <v>64</v>
      </c>
      <c r="K6" s="437">
        <v>1838.8199999999997</v>
      </c>
    </row>
    <row r="7" spans="1:11" ht="14.4" customHeight="1" x14ac:dyDescent="0.3">
      <c r="A7" s="432" t="s">
        <v>393</v>
      </c>
      <c r="B7" s="433" t="s">
        <v>394</v>
      </c>
      <c r="C7" s="434" t="s">
        <v>400</v>
      </c>
      <c r="D7" s="435" t="s">
        <v>411</v>
      </c>
      <c r="E7" s="434" t="s">
        <v>599</v>
      </c>
      <c r="F7" s="435" t="s">
        <v>600</v>
      </c>
      <c r="G7" s="434" t="s">
        <v>419</v>
      </c>
      <c r="H7" s="434" t="s">
        <v>420</v>
      </c>
      <c r="I7" s="436">
        <v>1.38</v>
      </c>
      <c r="J7" s="436">
        <v>50</v>
      </c>
      <c r="K7" s="437">
        <v>69</v>
      </c>
    </row>
    <row r="8" spans="1:11" ht="14.4" customHeight="1" x14ac:dyDescent="0.3">
      <c r="A8" s="432" t="s">
        <v>393</v>
      </c>
      <c r="B8" s="433" t="s">
        <v>394</v>
      </c>
      <c r="C8" s="434" t="s">
        <v>400</v>
      </c>
      <c r="D8" s="435" t="s">
        <v>411</v>
      </c>
      <c r="E8" s="434" t="s">
        <v>599</v>
      </c>
      <c r="F8" s="435" t="s">
        <v>600</v>
      </c>
      <c r="G8" s="434" t="s">
        <v>421</v>
      </c>
      <c r="H8" s="434" t="s">
        <v>422</v>
      </c>
      <c r="I8" s="436">
        <v>13.02</v>
      </c>
      <c r="J8" s="436">
        <v>2</v>
      </c>
      <c r="K8" s="437">
        <v>26.04</v>
      </c>
    </row>
    <row r="9" spans="1:11" ht="14.4" customHeight="1" x14ac:dyDescent="0.3">
      <c r="A9" s="432" t="s">
        <v>393</v>
      </c>
      <c r="B9" s="433" t="s">
        <v>394</v>
      </c>
      <c r="C9" s="434" t="s">
        <v>400</v>
      </c>
      <c r="D9" s="435" t="s">
        <v>411</v>
      </c>
      <c r="E9" s="434" t="s">
        <v>599</v>
      </c>
      <c r="F9" s="435" t="s">
        <v>600</v>
      </c>
      <c r="G9" s="434" t="s">
        <v>423</v>
      </c>
      <c r="H9" s="434" t="s">
        <v>424</v>
      </c>
      <c r="I9" s="436">
        <v>0.86</v>
      </c>
      <c r="J9" s="436">
        <v>100</v>
      </c>
      <c r="K9" s="437">
        <v>86</v>
      </c>
    </row>
    <row r="10" spans="1:11" ht="14.4" customHeight="1" x14ac:dyDescent="0.3">
      <c r="A10" s="432" t="s">
        <v>393</v>
      </c>
      <c r="B10" s="433" t="s">
        <v>394</v>
      </c>
      <c r="C10" s="434" t="s">
        <v>400</v>
      </c>
      <c r="D10" s="435" t="s">
        <v>411</v>
      </c>
      <c r="E10" s="434" t="s">
        <v>599</v>
      </c>
      <c r="F10" s="435" t="s">
        <v>600</v>
      </c>
      <c r="G10" s="434" t="s">
        <v>425</v>
      </c>
      <c r="H10" s="434" t="s">
        <v>426</v>
      </c>
      <c r="I10" s="436">
        <v>2.67</v>
      </c>
      <c r="J10" s="436">
        <v>300</v>
      </c>
      <c r="K10" s="437">
        <v>801</v>
      </c>
    </row>
    <row r="11" spans="1:11" ht="14.4" customHeight="1" x14ac:dyDescent="0.3">
      <c r="A11" s="432" t="s">
        <v>393</v>
      </c>
      <c r="B11" s="433" t="s">
        <v>394</v>
      </c>
      <c r="C11" s="434" t="s">
        <v>400</v>
      </c>
      <c r="D11" s="435" t="s">
        <v>411</v>
      </c>
      <c r="E11" s="434" t="s">
        <v>601</v>
      </c>
      <c r="F11" s="435" t="s">
        <v>602</v>
      </c>
      <c r="G11" s="434" t="s">
        <v>427</v>
      </c>
      <c r="H11" s="434" t="s">
        <v>428</v>
      </c>
      <c r="I11" s="436">
        <v>86.73</v>
      </c>
      <c r="J11" s="436">
        <v>12.5</v>
      </c>
      <c r="K11" s="437">
        <v>1084.1600000000001</v>
      </c>
    </row>
    <row r="12" spans="1:11" ht="14.4" customHeight="1" x14ac:dyDescent="0.3">
      <c r="A12" s="432" t="s">
        <v>393</v>
      </c>
      <c r="B12" s="433" t="s">
        <v>394</v>
      </c>
      <c r="C12" s="434" t="s">
        <v>400</v>
      </c>
      <c r="D12" s="435" t="s">
        <v>411</v>
      </c>
      <c r="E12" s="434" t="s">
        <v>601</v>
      </c>
      <c r="F12" s="435" t="s">
        <v>602</v>
      </c>
      <c r="G12" s="434" t="s">
        <v>429</v>
      </c>
      <c r="H12" s="434" t="s">
        <v>430</v>
      </c>
      <c r="I12" s="436">
        <v>1.68</v>
      </c>
      <c r="J12" s="436">
        <v>200</v>
      </c>
      <c r="K12" s="437">
        <v>336</v>
      </c>
    </row>
    <row r="13" spans="1:11" ht="14.4" customHeight="1" x14ac:dyDescent="0.3">
      <c r="A13" s="432" t="s">
        <v>393</v>
      </c>
      <c r="B13" s="433" t="s">
        <v>394</v>
      </c>
      <c r="C13" s="434" t="s">
        <v>400</v>
      </c>
      <c r="D13" s="435" t="s">
        <v>411</v>
      </c>
      <c r="E13" s="434" t="s">
        <v>601</v>
      </c>
      <c r="F13" s="435" t="s">
        <v>602</v>
      </c>
      <c r="G13" s="434" t="s">
        <v>431</v>
      </c>
      <c r="H13" s="434" t="s">
        <v>432</v>
      </c>
      <c r="I13" s="436">
        <v>22.53</v>
      </c>
      <c r="J13" s="436">
        <v>4</v>
      </c>
      <c r="K13" s="437">
        <v>90.12</v>
      </c>
    </row>
    <row r="14" spans="1:11" ht="14.4" customHeight="1" x14ac:dyDescent="0.3">
      <c r="A14" s="432" t="s">
        <v>393</v>
      </c>
      <c r="B14" s="433" t="s">
        <v>394</v>
      </c>
      <c r="C14" s="434" t="s">
        <v>400</v>
      </c>
      <c r="D14" s="435" t="s">
        <v>411</v>
      </c>
      <c r="E14" s="434" t="s">
        <v>601</v>
      </c>
      <c r="F14" s="435" t="s">
        <v>602</v>
      </c>
      <c r="G14" s="434" t="s">
        <v>433</v>
      </c>
      <c r="H14" s="434" t="s">
        <v>434</v>
      </c>
      <c r="I14" s="436">
        <v>1.97</v>
      </c>
      <c r="J14" s="436">
        <v>1900</v>
      </c>
      <c r="K14" s="437">
        <v>3743</v>
      </c>
    </row>
    <row r="15" spans="1:11" ht="14.4" customHeight="1" x14ac:dyDescent="0.3">
      <c r="A15" s="432" t="s">
        <v>393</v>
      </c>
      <c r="B15" s="433" t="s">
        <v>394</v>
      </c>
      <c r="C15" s="434" t="s">
        <v>400</v>
      </c>
      <c r="D15" s="435" t="s">
        <v>411</v>
      </c>
      <c r="E15" s="434" t="s">
        <v>601</v>
      </c>
      <c r="F15" s="435" t="s">
        <v>602</v>
      </c>
      <c r="G15" s="434" t="s">
        <v>435</v>
      </c>
      <c r="H15" s="434" t="s">
        <v>436</v>
      </c>
      <c r="I15" s="436">
        <v>0.61</v>
      </c>
      <c r="J15" s="436">
        <v>400</v>
      </c>
      <c r="K15" s="437">
        <v>246</v>
      </c>
    </row>
    <row r="16" spans="1:11" ht="14.4" customHeight="1" x14ac:dyDescent="0.3">
      <c r="A16" s="432" t="s">
        <v>393</v>
      </c>
      <c r="B16" s="433" t="s">
        <v>394</v>
      </c>
      <c r="C16" s="434" t="s">
        <v>400</v>
      </c>
      <c r="D16" s="435" t="s">
        <v>411</v>
      </c>
      <c r="E16" s="434" t="s">
        <v>601</v>
      </c>
      <c r="F16" s="435" t="s">
        <v>602</v>
      </c>
      <c r="G16" s="434" t="s">
        <v>437</v>
      </c>
      <c r="H16" s="434" t="s">
        <v>438</v>
      </c>
      <c r="I16" s="436">
        <v>3.9966666666666666</v>
      </c>
      <c r="J16" s="436">
        <v>300</v>
      </c>
      <c r="K16" s="437">
        <v>1199</v>
      </c>
    </row>
    <row r="17" spans="1:11" ht="14.4" customHeight="1" x14ac:dyDescent="0.3">
      <c r="A17" s="432" t="s">
        <v>393</v>
      </c>
      <c r="B17" s="433" t="s">
        <v>394</v>
      </c>
      <c r="C17" s="434" t="s">
        <v>400</v>
      </c>
      <c r="D17" s="435" t="s">
        <v>411</v>
      </c>
      <c r="E17" s="434" t="s">
        <v>601</v>
      </c>
      <c r="F17" s="435" t="s">
        <v>602</v>
      </c>
      <c r="G17" s="434" t="s">
        <v>439</v>
      </c>
      <c r="H17" s="434" t="s">
        <v>440</v>
      </c>
      <c r="I17" s="436">
        <v>15</v>
      </c>
      <c r="J17" s="436">
        <v>10</v>
      </c>
      <c r="K17" s="437">
        <v>150</v>
      </c>
    </row>
    <row r="18" spans="1:11" ht="14.4" customHeight="1" x14ac:dyDescent="0.3">
      <c r="A18" s="432" t="s">
        <v>393</v>
      </c>
      <c r="B18" s="433" t="s">
        <v>394</v>
      </c>
      <c r="C18" s="434" t="s">
        <v>400</v>
      </c>
      <c r="D18" s="435" t="s">
        <v>411</v>
      </c>
      <c r="E18" s="434" t="s">
        <v>601</v>
      </c>
      <c r="F18" s="435" t="s">
        <v>602</v>
      </c>
      <c r="G18" s="434" t="s">
        <v>441</v>
      </c>
      <c r="H18" s="434" t="s">
        <v>442</v>
      </c>
      <c r="I18" s="436">
        <v>12.1</v>
      </c>
      <c r="J18" s="436">
        <v>5</v>
      </c>
      <c r="K18" s="437">
        <v>60.5</v>
      </c>
    </row>
    <row r="19" spans="1:11" ht="14.4" customHeight="1" x14ac:dyDescent="0.3">
      <c r="A19" s="432" t="s">
        <v>393</v>
      </c>
      <c r="B19" s="433" t="s">
        <v>394</v>
      </c>
      <c r="C19" s="434" t="s">
        <v>400</v>
      </c>
      <c r="D19" s="435" t="s">
        <v>411</v>
      </c>
      <c r="E19" s="434" t="s">
        <v>601</v>
      </c>
      <c r="F19" s="435" t="s">
        <v>602</v>
      </c>
      <c r="G19" s="434" t="s">
        <v>443</v>
      </c>
      <c r="H19" s="434" t="s">
        <v>444</v>
      </c>
      <c r="I19" s="436">
        <v>25.533333333333331</v>
      </c>
      <c r="J19" s="436">
        <v>30</v>
      </c>
      <c r="K19" s="437">
        <v>766</v>
      </c>
    </row>
    <row r="20" spans="1:11" ht="14.4" customHeight="1" x14ac:dyDescent="0.3">
      <c r="A20" s="432" t="s">
        <v>393</v>
      </c>
      <c r="B20" s="433" t="s">
        <v>394</v>
      </c>
      <c r="C20" s="434" t="s">
        <v>400</v>
      </c>
      <c r="D20" s="435" t="s">
        <v>411</v>
      </c>
      <c r="E20" s="434" t="s">
        <v>601</v>
      </c>
      <c r="F20" s="435" t="s">
        <v>602</v>
      </c>
      <c r="G20" s="434" t="s">
        <v>445</v>
      </c>
      <c r="H20" s="434" t="s">
        <v>446</v>
      </c>
      <c r="I20" s="436">
        <v>90.75</v>
      </c>
      <c r="J20" s="436">
        <v>4</v>
      </c>
      <c r="K20" s="437">
        <v>363</v>
      </c>
    </row>
    <row r="21" spans="1:11" ht="14.4" customHeight="1" x14ac:dyDescent="0.3">
      <c r="A21" s="432" t="s">
        <v>393</v>
      </c>
      <c r="B21" s="433" t="s">
        <v>394</v>
      </c>
      <c r="C21" s="434" t="s">
        <v>400</v>
      </c>
      <c r="D21" s="435" t="s">
        <v>411</v>
      </c>
      <c r="E21" s="434" t="s">
        <v>601</v>
      </c>
      <c r="F21" s="435" t="s">
        <v>602</v>
      </c>
      <c r="G21" s="434" t="s">
        <v>447</v>
      </c>
      <c r="H21" s="434" t="s">
        <v>448</v>
      </c>
      <c r="I21" s="436">
        <v>1.39</v>
      </c>
      <c r="J21" s="436">
        <v>4000</v>
      </c>
      <c r="K21" s="437">
        <v>5566</v>
      </c>
    </row>
    <row r="22" spans="1:11" ht="14.4" customHeight="1" x14ac:dyDescent="0.3">
      <c r="A22" s="432" t="s">
        <v>393</v>
      </c>
      <c r="B22" s="433" t="s">
        <v>394</v>
      </c>
      <c r="C22" s="434" t="s">
        <v>400</v>
      </c>
      <c r="D22" s="435" t="s">
        <v>411</v>
      </c>
      <c r="E22" s="434" t="s">
        <v>601</v>
      </c>
      <c r="F22" s="435" t="s">
        <v>602</v>
      </c>
      <c r="G22" s="434" t="s">
        <v>449</v>
      </c>
      <c r="H22" s="434" t="s">
        <v>450</v>
      </c>
      <c r="I22" s="436">
        <v>1.8099999999999998</v>
      </c>
      <c r="J22" s="436">
        <v>4000</v>
      </c>
      <c r="K22" s="437">
        <v>7260</v>
      </c>
    </row>
    <row r="23" spans="1:11" ht="14.4" customHeight="1" x14ac:dyDescent="0.3">
      <c r="A23" s="432" t="s">
        <v>393</v>
      </c>
      <c r="B23" s="433" t="s">
        <v>394</v>
      </c>
      <c r="C23" s="434" t="s">
        <v>400</v>
      </c>
      <c r="D23" s="435" t="s">
        <v>411</v>
      </c>
      <c r="E23" s="434" t="s">
        <v>601</v>
      </c>
      <c r="F23" s="435" t="s">
        <v>602</v>
      </c>
      <c r="G23" s="434" t="s">
        <v>451</v>
      </c>
      <c r="H23" s="434" t="s">
        <v>452</v>
      </c>
      <c r="I23" s="436">
        <v>277.57</v>
      </c>
      <c r="J23" s="436">
        <v>2</v>
      </c>
      <c r="K23" s="437">
        <v>555.15</v>
      </c>
    </row>
    <row r="24" spans="1:11" ht="14.4" customHeight="1" x14ac:dyDescent="0.3">
      <c r="A24" s="432" t="s">
        <v>393</v>
      </c>
      <c r="B24" s="433" t="s">
        <v>394</v>
      </c>
      <c r="C24" s="434" t="s">
        <v>400</v>
      </c>
      <c r="D24" s="435" t="s">
        <v>411</v>
      </c>
      <c r="E24" s="434" t="s">
        <v>601</v>
      </c>
      <c r="F24" s="435" t="s">
        <v>602</v>
      </c>
      <c r="G24" s="434" t="s">
        <v>453</v>
      </c>
      <c r="H24" s="434" t="s">
        <v>454</v>
      </c>
      <c r="I24" s="436">
        <v>572.92999999999995</v>
      </c>
      <c r="J24" s="436">
        <v>4</v>
      </c>
      <c r="K24" s="437">
        <v>2291.7399999999998</v>
      </c>
    </row>
    <row r="25" spans="1:11" ht="14.4" customHeight="1" x14ac:dyDescent="0.3">
      <c r="A25" s="432" t="s">
        <v>393</v>
      </c>
      <c r="B25" s="433" t="s">
        <v>394</v>
      </c>
      <c r="C25" s="434" t="s">
        <v>400</v>
      </c>
      <c r="D25" s="435" t="s">
        <v>411</v>
      </c>
      <c r="E25" s="434" t="s">
        <v>601</v>
      </c>
      <c r="F25" s="435" t="s">
        <v>602</v>
      </c>
      <c r="G25" s="434" t="s">
        <v>455</v>
      </c>
      <c r="H25" s="434" t="s">
        <v>456</v>
      </c>
      <c r="I25" s="436">
        <v>277.57</v>
      </c>
      <c r="J25" s="436">
        <v>3</v>
      </c>
      <c r="K25" s="437">
        <v>832.72</v>
      </c>
    </row>
    <row r="26" spans="1:11" ht="14.4" customHeight="1" x14ac:dyDescent="0.3">
      <c r="A26" s="432" t="s">
        <v>393</v>
      </c>
      <c r="B26" s="433" t="s">
        <v>394</v>
      </c>
      <c r="C26" s="434" t="s">
        <v>400</v>
      </c>
      <c r="D26" s="435" t="s">
        <v>411</v>
      </c>
      <c r="E26" s="434" t="s">
        <v>601</v>
      </c>
      <c r="F26" s="435" t="s">
        <v>602</v>
      </c>
      <c r="G26" s="434" t="s">
        <v>457</v>
      </c>
      <c r="H26" s="434" t="s">
        <v>458</v>
      </c>
      <c r="I26" s="436">
        <v>1104.6099999999999</v>
      </c>
      <c r="J26" s="436">
        <v>2</v>
      </c>
      <c r="K26" s="437">
        <v>2209.2199999999998</v>
      </c>
    </row>
    <row r="27" spans="1:11" ht="14.4" customHeight="1" x14ac:dyDescent="0.3">
      <c r="A27" s="432" t="s">
        <v>393</v>
      </c>
      <c r="B27" s="433" t="s">
        <v>394</v>
      </c>
      <c r="C27" s="434" t="s">
        <v>400</v>
      </c>
      <c r="D27" s="435" t="s">
        <v>411</v>
      </c>
      <c r="E27" s="434" t="s">
        <v>601</v>
      </c>
      <c r="F27" s="435" t="s">
        <v>602</v>
      </c>
      <c r="G27" s="434" t="s">
        <v>459</v>
      </c>
      <c r="H27" s="434" t="s">
        <v>460</v>
      </c>
      <c r="I27" s="436">
        <v>869.99</v>
      </c>
      <c r="J27" s="436">
        <v>4</v>
      </c>
      <c r="K27" s="437">
        <v>3479.96</v>
      </c>
    </row>
    <row r="28" spans="1:11" ht="14.4" customHeight="1" x14ac:dyDescent="0.3">
      <c r="A28" s="432" t="s">
        <v>393</v>
      </c>
      <c r="B28" s="433" t="s">
        <v>394</v>
      </c>
      <c r="C28" s="434" t="s">
        <v>400</v>
      </c>
      <c r="D28" s="435" t="s">
        <v>411</v>
      </c>
      <c r="E28" s="434" t="s">
        <v>601</v>
      </c>
      <c r="F28" s="435" t="s">
        <v>602</v>
      </c>
      <c r="G28" s="434" t="s">
        <v>461</v>
      </c>
      <c r="H28" s="434" t="s">
        <v>462</v>
      </c>
      <c r="I28" s="436">
        <v>551.76</v>
      </c>
      <c r="J28" s="436">
        <v>8</v>
      </c>
      <c r="K28" s="437">
        <v>4414.08</v>
      </c>
    </row>
    <row r="29" spans="1:11" ht="14.4" customHeight="1" x14ac:dyDescent="0.3">
      <c r="A29" s="432" t="s">
        <v>393</v>
      </c>
      <c r="B29" s="433" t="s">
        <v>394</v>
      </c>
      <c r="C29" s="434" t="s">
        <v>400</v>
      </c>
      <c r="D29" s="435" t="s">
        <v>411</v>
      </c>
      <c r="E29" s="434" t="s">
        <v>601</v>
      </c>
      <c r="F29" s="435" t="s">
        <v>602</v>
      </c>
      <c r="G29" s="434" t="s">
        <v>463</v>
      </c>
      <c r="H29" s="434" t="s">
        <v>464</v>
      </c>
      <c r="I29" s="436">
        <v>8.3466666666666658</v>
      </c>
      <c r="J29" s="436">
        <v>148</v>
      </c>
      <c r="K29" s="437">
        <v>1235.6599999999999</v>
      </c>
    </row>
    <row r="30" spans="1:11" ht="14.4" customHeight="1" x14ac:dyDescent="0.3">
      <c r="A30" s="432" t="s">
        <v>393</v>
      </c>
      <c r="B30" s="433" t="s">
        <v>394</v>
      </c>
      <c r="C30" s="434" t="s">
        <v>400</v>
      </c>
      <c r="D30" s="435" t="s">
        <v>411</v>
      </c>
      <c r="E30" s="434" t="s">
        <v>601</v>
      </c>
      <c r="F30" s="435" t="s">
        <v>602</v>
      </c>
      <c r="G30" s="434" t="s">
        <v>465</v>
      </c>
      <c r="H30" s="434" t="s">
        <v>466</v>
      </c>
      <c r="I30" s="436">
        <v>1727.88</v>
      </c>
      <c r="J30" s="436">
        <v>2</v>
      </c>
      <c r="K30" s="437">
        <v>3455.76</v>
      </c>
    </row>
    <row r="31" spans="1:11" ht="14.4" customHeight="1" x14ac:dyDescent="0.3">
      <c r="A31" s="432" t="s">
        <v>393</v>
      </c>
      <c r="B31" s="433" t="s">
        <v>394</v>
      </c>
      <c r="C31" s="434" t="s">
        <v>400</v>
      </c>
      <c r="D31" s="435" t="s">
        <v>411</v>
      </c>
      <c r="E31" s="434" t="s">
        <v>603</v>
      </c>
      <c r="F31" s="435" t="s">
        <v>604</v>
      </c>
      <c r="G31" s="434" t="s">
        <v>467</v>
      </c>
      <c r="H31" s="434" t="s">
        <v>468</v>
      </c>
      <c r="I31" s="436">
        <v>0.25</v>
      </c>
      <c r="J31" s="436">
        <v>2000</v>
      </c>
      <c r="K31" s="437">
        <v>508.2</v>
      </c>
    </row>
    <row r="32" spans="1:11" ht="14.4" customHeight="1" x14ac:dyDescent="0.3">
      <c r="A32" s="432" t="s">
        <v>393</v>
      </c>
      <c r="B32" s="433" t="s">
        <v>394</v>
      </c>
      <c r="C32" s="434" t="s">
        <v>400</v>
      </c>
      <c r="D32" s="435" t="s">
        <v>411</v>
      </c>
      <c r="E32" s="434" t="s">
        <v>603</v>
      </c>
      <c r="F32" s="435" t="s">
        <v>604</v>
      </c>
      <c r="G32" s="434" t="s">
        <v>469</v>
      </c>
      <c r="H32" s="434" t="s">
        <v>470</v>
      </c>
      <c r="I32" s="436">
        <v>0.26500000000000001</v>
      </c>
      <c r="J32" s="436">
        <v>11000</v>
      </c>
      <c r="K32" s="437">
        <v>2897.7999999999997</v>
      </c>
    </row>
    <row r="33" spans="1:11" ht="14.4" customHeight="1" x14ac:dyDescent="0.3">
      <c r="A33" s="432" t="s">
        <v>393</v>
      </c>
      <c r="B33" s="433" t="s">
        <v>394</v>
      </c>
      <c r="C33" s="434" t="s">
        <v>400</v>
      </c>
      <c r="D33" s="435" t="s">
        <v>411</v>
      </c>
      <c r="E33" s="434" t="s">
        <v>603</v>
      </c>
      <c r="F33" s="435" t="s">
        <v>604</v>
      </c>
      <c r="G33" s="434" t="s">
        <v>471</v>
      </c>
      <c r="H33" s="434" t="s">
        <v>472</v>
      </c>
      <c r="I33" s="436">
        <v>1.4449999999999998</v>
      </c>
      <c r="J33" s="436">
        <v>3000</v>
      </c>
      <c r="K33" s="437">
        <v>4342.71</v>
      </c>
    </row>
    <row r="34" spans="1:11" ht="14.4" customHeight="1" x14ac:dyDescent="0.3">
      <c r="A34" s="432" t="s">
        <v>393</v>
      </c>
      <c r="B34" s="433" t="s">
        <v>394</v>
      </c>
      <c r="C34" s="434" t="s">
        <v>400</v>
      </c>
      <c r="D34" s="435" t="s">
        <v>411</v>
      </c>
      <c r="E34" s="434" t="s">
        <v>603</v>
      </c>
      <c r="F34" s="435" t="s">
        <v>604</v>
      </c>
      <c r="G34" s="434" t="s">
        <v>473</v>
      </c>
      <c r="H34" s="434" t="s">
        <v>474</v>
      </c>
      <c r="I34" s="436">
        <v>7.375</v>
      </c>
      <c r="J34" s="436">
        <v>288</v>
      </c>
      <c r="K34" s="437">
        <v>2125.15</v>
      </c>
    </row>
    <row r="35" spans="1:11" ht="14.4" customHeight="1" x14ac:dyDescent="0.3">
      <c r="A35" s="432" t="s">
        <v>393</v>
      </c>
      <c r="B35" s="433" t="s">
        <v>394</v>
      </c>
      <c r="C35" s="434" t="s">
        <v>400</v>
      </c>
      <c r="D35" s="435" t="s">
        <v>411</v>
      </c>
      <c r="E35" s="434" t="s">
        <v>603</v>
      </c>
      <c r="F35" s="435" t="s">
        <v>604</v>
      </c>
      <c r="G35" s="434" t="s">
        <v>475</v>
      </c>
      <c r="H35" s="434" t="s">
        <v>476</v>
      </c>
      <c r="I35" s="436">
        <v>0.27666666666666667</v>
      </c>
      <c r="J35" s="436">
        <v>4000</v>
      </c>
      <c r="K35" s="437">
        <v>1104.9000000000001</v>
      </c>
    </row>
    <row r="36" spans="1:11" ht="14.4" customHeight="1" x14ac:dyDescent="0.3">
      <c r="A36" s="432" t="s">
        <v>393</v>
      </c>
      <c r="B36" s="433" t="s">
        <v>394</v>
      </c>
      <c r="C36" s="434" t="s">
        <v>400</v>
      </c>
      <c r="D36" s="435" t="s">
        <v>411</v>
      </c>
      <c r="E36" s="434" t="s">
        <v>603</v>
      </c>
      <c r="F36" s="435" t="s">
        <v>604</v>
      </c>
      <c r="G36" s="434" t="s">
        <v>477</v>
      </c>
      <c r="H36" s="434" t="s">
        <v>478</v>
      </c>
      <c r="I36" s="436">
        <v>5.6700000000000008</v>
      </c>
      <c r="J36" s="436">
        <v>1000</v>
      </c>
      <c r="K36" s="437">
        <v>5687</v>
      </c>
    </row>
    <row r="37" spans="1:11" ht="14.4" customHeight="1" x14ac:dyDescent="0.3">
      <c r="A37" s="432" t="s">
        <v>393</v>
      </c>
      <c r="B37" s="433" t="s">
        <v>394</v>
      </c>
      <c r="C37" s="434" t="s">
        <v>400</v>
      </c>
      <c r="D37" s="435" t="s">
        <v>411</v>
      </c>
      <c r="E37" s="434" t="s">
        <v>603</v>
      </c>
      <c r="F37" s="435" t="s">
        <v>604</v>
      </c>
      <c r="G37" s="434" t="s">
        <v>479</v>
      </c>
      <c r="H37" s="434" t="s">
        <v>480</v>
      </c>
      <c r="I37" s="436">
        <v>12.95</v>
      </c>
      <c r="J37" s="436">
        <v>600</v>
      </c>
      <c r="K37" s="437">
        <v>7768.2</v>
      </c>
    </row>
    <row r="38" spans="1:11" ht="14.4" customHeight="1" x14ac:dyDescent="0.3">
      <c r="A38" s="432" t="s">
        <v>393</v>
      </c>
      <c r="B38" s="433" t="s">
        <v>394</v>
      </c>
      <c r="C38" s="434" t="s">
        <v>400</v>
      </c>
      <c r="D38" s="435" t="s">
        <v>411</v>
      </c>
      <c r="E38" s="434" t="s">
        <v>603</v>
      </c>
      <c r="F38" s="435" t="s">
        <v>604</v>
      </c>
      <c r="G38" s="434" t="s">
        <v>481</v>
      </c>
      <c r="H38" s="434" t="s">
        <v>482</v>
      </c>
      <c r="I38" s="436">
        <v>5.59</v>
      </c>
      <c r="J38" s="436">
        <v>500</v>
      </c>
      <c r="K38" s="437">
        <v>2795.1</v>
      </c>
    </row>
    <row r="39" spans="1:11" ht="14.4" customHeight="1" x14ac:dyDescent="0.3">
      <c r="A39" s="432" t="s">
        <v>393</v>
      </c>
      <c r="B39" s="433" t="s">
        <v>394</v>
      </c>
      <c r="C39" s="434" t="s">
        <v>400</v>
      </c>
      <c r="D39" s="435" t="s">
        <v>411</v>
      </c>
      <c r="E39" s="434" t="s">
        <v>603</v>
      </c>
      <c r="F39" s="435" t="s">
        <v>604</v>
      </c>
      <c r="G39" s="434" t="s">
        <v>483</v>
      </c>
      <c r="H39" s="434" t="s">
        <v>484</v>
      </c>
      <c r="I39" s="436">
        <v>117.37</v>
      </c>
      <c r="J39" s="436">
        <v>43</v>
      </c>
      <c r="K39" s="437">
        <v>5046.91</v>
      </c>
    </row>
    <row r="40" spans="1:11" ht="14.4" customHeight="1" x14ac:dyDescent="0.3">
      <c r="A40" s="432" t="s">
        <v>393</v>
      </c>
      <c r="B40" s="433" t="s">
        <v>394</v>
      </c>
      <c r="C40" s="434" t="s">
        <v>400</v>
      </c>
      <c r="D40" s="435" t="s">
        <v>411</v>
      </c>
      <c r="E40" s="434" t="s">
        <v>603</v>
      </c>
      <c r="F40" s="435" t="s">
        <v>604</v>
      </c>
      <c r="G40" s="434" t="s">
        <v>485</v>
      </c>
      <c r="H40" s="434" t="s">
        <v>486</v>
      </c>
      <c r="I40" s="436">
        <v>254.1</v>
      </c>
      <c r="J40" s="436">
        <v>50</v>
      </c>
      <c r="K40" s="437">
        <v>12705</v>
      </c>
    </row>
    <row r="41" spans="1:11" ht="14.4" customHeight="1" x14ac:dyDescent="0.3">
      <c r="A41" s="432" t="s">
        <v>393</v>
      </c>
      <c r="B41" s="433" t="s">
        <v>394</v>
      </c>
      <c r="C41" s="434" t="s">
        <v>400</v>
      </c>
      <c r="D41" s="435" t="s">
        <v>411</v>
      </c>
      <c r="E41" s="434" t="s">
        <v>603</v>
      </c>
      <c r="F41" s="435" t="s">
        <v>604</v>
      </c>
      <c r="G41" s="434" t="s">
        <v>487</v>
      </c>
      <c r="H41" s="434" t="s">
        <v>488</v>
      </c>
      <c r="I41" s="436">
        <v>2156.2199999999998</v>
      </c>
      <c r="J41" s="436">
        <v>1</v>
      </c>
      <c r="K41" s="437">
        <v>2156.2199999999998</v>
      </c>
    </row>
    <row r="42" spans="1:11" ht="14.4" customHeight="1" x14ac:dyDescent="0.3">
      <c r="A42" s="432" t="s">
        <v>393</v>
      </c>
      <c r="B42" s="433" t="s">
        <v>394</v>
      </c>
      <c r="C42" s="434" t="s">
        <v>400</v>
      </c>
      <c r="D42" s="435" t="s">
        <v>411</v>
      </c>
      <c r="E42" s="434" t="s">
        <v>603</v>
      </c>
      <c r="F42" s="435" t="s">
        <v>604</v>
      </c>
      <c r="G42" s="434" t="s">
        <v>489</v>
      </c>
      <c r="H42" s="434" t="s">
        <v>490</v>
      </c>
      <c r="I42" s="436">
        <v>2781.03</v>
      </c>
      <c r="J42" s="436">
        <v>1</v>
      </c>
      <c r="K42" s="437">
        <v>2781.03</v>
      </c>
    </row>
    <row r="43" spans="1:11" ht="14.4" customHeight="1" x14ac:dyDescent="0.3">
      <c r="A43" s="432" t="s">
        <v>393</v>
      </c>
      <c r="B43" s="433" t="s">
        <v>394</v>
      </c>
      <c r="C43" s="434" t="s">
        <v>400</v>
      </c>
      <c r="D43" s="435" t="s">
        <v>411</v>
      </c>
      <c r="E43" s="434" t="s">
        <v>603</v>
      </c>
      <c r="F43" s="435" t="s">
        <v>604</v>
      </c>
      <c r="G43" s="434" t="s">
        <v>491</v>
      </c>
      <c r="H43" s="434" t="s">
        <v>492</v>
      </c>
      <c r="I43" s="436">
        <v>2072.9299999999998</v>
      </c>
      <c r="J43" s="436">
        <v>2</v>
      </c>
      <c r="K43" s="437">
        <v>4145.8500000000004</v>
      </c>
    </row>
    <row r="44" spans="1:11" ht="14.4" customHeight="1" x14ac:dyDescent="0.3">
      <c r="A44" s="432" t="s">
        <v>393</v>
      </c>
      <c r="B44" s="433" t="s">
        <v>394</v>
      </c>
      <c r="C44" s="434" t="s">
        <v>400</v>
      </c>
      <c r="D44" s="435" t="s">
        <v>411</v>
      </c>
      <c r="E44" s="434" t="s">
        <v>603</v>
      </c>
      <c r="F44" s="435" t="s">
        <v>604</v>
      </c>
      <c r="G44" s="434" t="s">
        <v>493</v>
      </c>
      <c r="H44" s="434" t="s">
        <v>494</v>
      </c>
      <c r="I44" s="436">
        <v>240.31</v>
      </c>
      <c r="J44" s="436">
        <v>50</v>
      </c>
      <c r="K44" s="437">
        <v>12015.3</v>
      </c>
    </row>
    <row r="45" spans="1:11" ht="14.4" customHeight="1" x14ac:dyDescent="0.3">
      <c r="A45" s="432" t="s">
        <v>393</v>
      </c>
      <c r="B45" s="433" t="s">
        <v>394</v>
      </c>
      <c r="C45" s="434" t="s">
        <v>400</v>
      </c>
      <c r="D45" s="435" t="s">
        <v>411</v>
      </c>
      <c r="E45" s="434" t="s">
        <v>605</v>
      </c>
      <c r="F45" s="435" t="s">
        <v>606</v>
      </c>
      <c r="G45" s="434" t="s">
        <v>495</v>
      </c>
      <c r="H45" s="434" t="s">
        <v>496</v>
      </c>
      <c r="I45" s="436">
        <v>0.64</v>
      </c>
      <c r="J45" s="436">
        <v>100</v>
      </c>
      <c r="K45" s="437">
        <v>64.13</v>
      </c>
    </row>
    <row r="46" spans="1:11" ht="14.4" customHeight="1" x14ac:dyDescent="0.3">
      <c r="A46" s="432" t="s">
        <v>393</v>
      </c>
      <c r="B46" s="433" t="s">
        <v>394</v>
      </c>
      <c r="C46" s="434" t="s">
        <v>400</v>
      </c>
      <c r="D46" s="435" t="s">
        <v>411</v>
      </c>
      <c r="E46" s="434" t="s">
        <v>605</v>
      </c>
      <c r="F46" s="435" t="s">
        <v>606</v>
      </c>
      <c r="G46" s="434" t="s">
        <v>497</v>
      </c>
      <c r="H46" s="434" t="s">
        <v>498</v>
      </c>
      <c r="I46" s="436">
        <v>7.5</v>
      </c>
      <c r="J46" s="436">
        <v>200</v>
      </c>
      <c r="K46" s="437">
        <v>1500</v>
      </c>
    </row>
    <row r="47" spans="1:11" ht="14.4" customHeight="1" x14ac:dyDescent="0.3">
      <c r="A47" s="432" t="s">
        <v>393</v>
      </c>
      <c r="B47" s="433" t="s">
        <v>394</v>
      </c>
      <c r="C47" s="434" t="s">
        <v>400</v>
      </c>
      <c r="D47" s="435" t="s">
        <v>411</v>
      </c>
      <c r="E47" s="434" t="s">
        <v>605</v>
      </c>
      <c r="F47" s="435" t="s">
        <v>606</v>
      </c>
      <c r="G47" s="434" t="s">
        <v>499</v>
      </c>
      <c r="H47" s="434" t="s">
        <v>500</v>
      </c>
      <c r="I47" s="436">
        <v>7.5</v>
      </c>
      <c r="J47" s="436">
        <v>200</v>
      </c>
      <c r="K47" s="437">
        <v>1500</v>
      </c>
    </row>
    <row r="48" spans="1:11" ht="14.4" customHeight="1" x14ac:dyDescent="0.3">
      <c r="A48" s="432" t="s">
        <v>393</v>
      </c>
      <c r="B48" s="433" t="s">
        <v>394</v>
      </c>
      <c r="C48" s="434" t="s">
        <v>400</v>
      </c>
      <c r="D48" s="435" t="s">
        <v>411</v>
      </c>
      <c r="E48" s="434" t="s">
        <v>605</v>
      </c>
      <c r="F48" s="435" t="s">
        <v>606</v>
      </c>
      <c r="G48" s="434" t="s">
        <v>501</v>
      </c>
      <c r="H48" s="434" t="s">
        <v>502</v>
      </c>
      <c r="I48" s="436">
        <v>2.94</v>
      </c>
      <c r="J48" s="436">
        <v>50</v>
      </c>
      <c r="K48" s="437">
        <v>146.96</v>
      </c>
    </row>
    <row r="49" spans="1:11" ht="14.4" customHeight="1" x14ac:dyDescent="0.3">
      <c r="A49" s="432" t="s">
        <v>393</v>
      </c>
      <c r="B49" s="433" t="s">
        <v>394</v>
      </c>
      <c r="C49" s="434" t="s">
        <v>400</v>
      </c>
      <c r="D49" s="435" t="s">
        <v>411</v>
      </c>
      <c r="E49" s="434" t="s">
        <v>605</v>
      </c>
      <c r="F49" s="435" t="s">
        <v>606</v>
      </c>
      <c r="G49" s="434" t="s">
        <v>503</v>
      </c>
      <c r="H49" s="434" t="s">
        <v>504</v>
      </c>
      <c r="I49" s="436">
        <v>7.5</v>
      </c>
      <c r="J49" s="436">
        <v>300</v>
      </c>
      <c r="K49" s="437">
        <v>2250.6000000000004</v>
      </c>
    </row>
    <row r="50" spans="1:11" ht="14.4" customHeight="1" x14ac:dyDescent="0.3">
      <c r="A50" s="432" t="s">
        <v>393</v>
      </c>
      <c r="B50" s="433" t="s">
        <v>394</v>
      </c>
      <c r="C50" s="434" t="s">
        <v>400</v>
      </c>
      <c r="D50" s="435" t="s">
        <v>411</v>
      </c>
      <c r="E50" s="434" t="s">
        <v>605</v>
      </c>
      <c r="F50" s="435" t="s">
        <v>606</v>
      </c>
      <c r="G50" s="434" t="s">
        <v>505</v>
      </c>
      <c r="H50" s="434" t="s">
        <v>506</v>
      </c>
      <c r="I50" s="436">
        <v>0.71</v>
      </c>
      <c r="J50" s="436">
        <v>2000</v>
      </c>
      <c r="K50" s="437">
        <v>1420</v>
      </c>
    </row>
    <row r="51" spans="1:11" ht="14.4" customHeight="1" x14ac:dyDescent="0.3">
      <c r="A51" s="432" t="s">
        <v>393</v>
      </c>
      <c r="B51" s="433" t="s">
        <v>394</v>
      </c>
      <c r="C51" s="434" t="s">
        <v>400</v>
      </c>
      <c r="D51" s="435" t="s">
        <v>411</v>
      </c>
      <c r="E51" s="434" t="s">
        <v>605</v>
      </c>
      <c r="F51" s="435" t="s">
        <v>606</v>
      </c>
      <c r="G51" s="434" t="s">
        <v>507</v>
      </c>
      <c r="H51" s="434" t="s">
        <v>508</v>
      </c>
      <c r="I51" s="436">
        <v>0.71</v>
      </c>
      <c r="J51" s="436">
        <v>3200</v>
      </c>
      <c r="K51" s="437">
        <v>2272</v>
      </c>
    </row>
    <row r="52" spans="1:11" ht="14.4" customHeight="1" x14ac:dyDescent="0.3">
      <c r="A52" s="432" t="s">
        <v>393</v>
      </c>
      <c r="B52" s="433" t="s">
        <v>394</v>
      </c>
      <c r="C52" s="434" t="s">
        <v>400</v>
      </c>
      <c r="D52" s="435" t="s">
        <v>411</v>
      </c>
      <c r="E52" s="434" t="s">
        <v>605</v>
      </c>
      <c r="F52" s="435" t="s">
        <v>606</v>
      </c>
      <c r="G52" s="434" t="s">
        <v>509</v>
      </c>
      <c r="H52" s="434" t="s">
        <v>510</v>
      </c>
      <c r="I52" s="436">
        <v>0.71</v>
      </c>
      <c r="J52" s="436">
        <v>8600</v>
      </c>
      <c r="K52" s="437">
        <v>6106</v>
      </c>
    </row>
    <row r="53" spans="1:11" ht="14.4" customHeight="1" x14ac:dyDescent="0.3">
      <c r="A53" s="432" t="s">
        <v>393</v>
      </c>
      <c r="B53" s="433" t="s">
        <v>394</v>
      </c>
      <c r="C53" s="434" t="s">
        <v>400</v>
      </c>
      <c r="D53" s="435" t="s">
        <v>411</v>
      </c>
      <c r="E53" s="434" t="s">
        <v>605</v>
      </c>
      <c r="F53" s="435" t="s">
        <v>606</v>
      </c>
      <c r="G53" s="434" t="s">
        <v>511</v>
      </c>
      <c r="H53" s="434" t="s">
        <v>512</v>
      </c>
      <c r="I53" s="436">
        <v>12.585000000000001</v>
      </c>
      <c r="J53" s="436">
        <v>420</v>
      </c>
      <c r="K53" s="437">
        <v>5286.8</v>
      </c>
    </row>
    <row r="54" spans="1:11" ht="14.4" customHeight="1" x14ac:dyDescent="0.3">
      <c r="A54" s="432" t="s">
        <v>393</v>
      </c>
      <c r="B54" s="433" t="s">
        <v>394</v>
      </c>
      <c r="C54" s="434" t="s">
        <v>400</v>
      </c>
      <c r="D54" s="435" t="s">
        <v>411</v>
      </c>
      <c r="E54" s="434" t="s">
        <v>605</v>
      </c>
      <c r="F54" s="435" t="s">
        <v>606</v>
      </c>
      <c r="G54" s="434" t="s">
        <v>513</v>
      </c>
      <c r="H54" s="434" t="s">
        <v>514</v>
      </c>
      <c r="I54" s="436">
        <v>2.94</v>
      </c>
      <c r="J54" s="436">
        <v>50</v>
      </c>
      <c r="K54" s="437">
        <v>146.97</v>
      </c>
    </row>
    <row r="55" spans="1:11" ht="14.4" customHeight="1" x14ac:dyDescent="0.3">
      <c r="A55" s="432" t="s">
        <v>393</v>
      </c>
      <c r="B55" s="433" t="s">
        <v>394</v>
      </c>
      <c r="C55" s="434" t="s">
        <v>400</v>
      </c>
      <c r="D55" s="435" t="s">
        <v>411</v>
      </c>
      <c r="E55" s="434" t="s">
        <v>605</v>
      </c>
      <c r="F55" s="435" t="s">
        <v>606</v>
      </c>
      <c r="G55" s="434" t="s">
        <v>515</v>
      </c>
      <c r="H55" s="434" t="s">
        <v>516</v>
      </c>
      <c r="I55" s="436">
        <v>9.68</v>
      </c>
      <c r="J55" s="436">
        <v>50</v>
      </c>
      <c r="K55" s="437">
        <v>484</v>
      </c>
    </row>
    <row r="56" spans="1:11" ht="14.4" customHeight="1" x14ac:dyDescent="0.3">
      <c r="A56" s="432" t="s">
        <v>393</v>
      </c>
      <c r="B56" s="433" t="s">
        <v>394</v>
      </c>
      <c r="C56" s="434" t="s">
        <v>400</v>
      </c>
      <c r="D56" s="435" t="s">
        <v>411</v>
      </c>
      <c r="E56" s="434" t="s">
        <v>607</v>
      </c>
      <c r="F56" s="435" t="s">
        <v>608</v>
      </c>
      <c r="G56" s="434" t="s">
        <v>517</v>
      </c>
      <c r="H56" s="434" t="s">
        <v>518</v>
      </c>
      <c r="I56" s="436">
        <v>139.44</v>
      </c>
      <c r="J56" s="436">
        <v>1</v>
      </c>
      <c r="K56" s="437">
        <v>139.44</v>
      </c>
    </row>
    <row r="57" spans="1:11" ht="14.4" customHeight="1" x14ac:dyDescent="0.3">
      <c r="A57" s="432" t="s">
        <v>393</v>
      </c>
      <c r="B57" s="433" t="s">
        <v>394</v>
      </c>
      <c r="C57" s="434" t="s">
        <v>400</v>
      </c>
      <c r="D57" s="435" t="s">
        <v>411</v>
      </c>
      <c r="E57" s="434" t="s">
        <v>607</v>
      </c>
      <c r="F57" s="435" t="s">
        <v>608</v>
      </c>
      <c r="G57" s="434" t="s">
        <v>519</v>
      </c>
      <c r="H57" s="434" t="s">
        <v>520</v>
      </c>
      <c r="I57" s="436">
        <v>461</v>
      </c>
      <c r="J57" s="436">
        <v>15</v>
      </c>
      <c r="K57" s="437">
        <v>6915</v>
      </c>
    </row>
    <row r="58" spans="1:11" ht="14.4" customHeight="1" x14ac:dyDescent="0.3">
      <c r="A58" s="432" t="s">
        <v>393</v>
      </c>
      <c r="B58" s="433" t="s">
        <v>394</v>
      </c>
      <c r="C58" s="434" t="s">
        <v>400</v>
      </c>
      <c r="D58" s="435" t="s">
        <v>411</v>
      </c>
      <c r="E58" s="434" t="s">
        <v>607</v>
      </c>
      <c r="F58" s="435" t="s">
        <v>608</v>
      </c>
      <c r="G58" s="434" t="s">
        <v>521</v>
      </c>
      <c r="H58" s="434" t="s">
        <v>522</v>
      </c>
      <c r="I58" s="436">
        <v>6.5000000000000002E-2</v>
      </c>
      <c r="J58" s="436">
        <v>22000</v>
      </c>
      <c r="K58" s="437">
        <v>1371</v>
      </c>
    </row>
    <row r="59" spans="1:11" ht="14.4" customHeight="1" x14ac:dyDescent="0.3">
      <c r="A59" s="432" t="s">
        <v>393</v>
      </c>
      <c r="B59" s="433" t="s">
        <v>394</v>
      </c>
      <c r="C59" s="434" t="s">
        <v>400</v>
      </c>
      <c r="D59" s="435" t="s">
        <v>411</v>
      </c>
      <c r="E59" s="434" t="s">
        <v>607</v>
      </c>
      <c r="F59" s="435" t="s">
        <v>608</v>
      </c>
      <c r="G59" s="434" t="s">
        <v>523</v>
      </c>
      <c r="H59" s="434" t="s">
        <v>524</v>
      </c>
      <c r="I59" s="436">
        <v>273.94428571428574</v>
      </c>
      <c r="J59" s="436">
        <v>132</v>
      </c>
      <c r="K59" s="437">
        <v>36195.46</v>
      </c>
    </row>
    <row r="60" spans="1:11" ht="14.4" customHeight="1" x14ac:dyDescent="0.3">
      <c r="A60" s="432" t="s">
        <v>393</v>
      </c>
      <c r="B60" s="433" t="s">
        <v>394</v>
      </c>
      <c r="C60" s="434" t="s">
        <v>400</v>
      </c>
      <c r="D60" s="435" t="s">
        <v>411</v>
      </c>
      <c r="E60" s="434" t="s">
        <v>607</v>
      </c>
      <c r="F60" s="435" t="s">
        <v>608</v>
      </c>
      <c r="G60" s="434" t="s">
        <v>525</v>
      </c>
      <c r="H60" s="434" t="s">
        <v>526</v>
      </c>
      <c r="I60" s="436">
        <v>82.4</v>
      </c>
      <c r="J60" s="436">
        <v>2</v>
      </c>
      <c r="K60" s="437">
        <v>164.8</v>
      </c>
    </row>
    <row r="61" spans="1:11" ht="14.4" customHeight="1" x14ac:dyDescent="0.3">
      <c r="A61" s="432" t="s">
        <v>393</v>
      </c>
      <c r="B61" s="433" t="s">
        <v>394</v>
      </c>
      <c r="C61" s="434" t="s">
        <v>400</v>
      </c>
      <c r="D61" s="435" t="s">
        <v>411</v>
      </c>
      <c r="E61" s="434" t="s">
        <v>607</v>
      </c>
      <c r="F61" s="435" t="s">
        <v>608</v>
      </c>
      <c r="G61" s="434" t="s">
        <v>527</v>
      </c>
      <c r="H61" s="434" t="s">
        <v>528</v>
      </c>
      <c r="I61" s="436">
        <v>120.04</v>
      </c>
      <c r="J61" s="436">
        <v>1</v>
      </c>
      <c r="K61" s="437">
        <v>120.04</v>
      </c>
    </row>
    <row r="62" spans="1:11" ht="14.4" customHeight="1" x14ac:dyDescent="0.3">
      <c r="A62" s="432" t="s">
        <v>393</v>
      </c>
      <c r="B62" s="433" t="s">
        <v>394</v>
      </c>
      <c r="C62" s="434" t="s">
        <v>400</v>
      </c>
      <c r="D62" s="435" t="s">
        <v>411</v>
      </c>
      <c r="E62" s="434" t="s">
        <v>607</v>
      </c>
      <c r="F62" s="435" t="s">
        <v>608</v>
      </c>
      <c r="G62" s="434" t="s">
        <v>529</v>
      </c>
      <c r="H62" s="434" t="s">
        <v>530</v>
      </c>
      <c r="I62" s="436">
        <v>780.45</v>
      </c>
      <c r="J62" s="436">
        <v>20</v>
      </c>
      <c r="K62" s="437">
        <v>15609</v>
      </c>
    </row>
    <row r="63" spans="1:11" ht="14.4" customHeight="1" x14ac:dyDescent="0.3">
      <c r="A63" s="432" t="s">
        <v>393</v>
      </c>
      <c r="B63" s="433" t="s">
        <v>394</v>
      </c>
      <c r="C63" s="434" t="s">
        <v>400</v>
      </c>
      <c r="D63" s="435" t="s">
        <v>411</v>
      </c>
      <c r="E63" s="434" t="s">
        <v>607</v>
      </c>
      <c r="F63" s="435" t="s">
        <v>608</v>
      </c>
      <c r="G63" s="434" t="s">
        <v>531</v>
      </c>
      <c r="H63" s="434" t="s">
        <v>532</v>
      </c>
      <c r="I63" s="436">
        <v>73.563333333333333</v>
      </c>
      <c r="J63" s="436">
        <v>3</v>
      </c>
      <c r="K63" s="437">
        <v>220.69</v>
      </c>
    </row>
    <row r="64" spans="1:11" ht="14.4" customHeight="1" x14ac:dyDescent="0.3">
      <c r="A64" s="432" t="s">
        <v>393</v>
      </c>
      <c r="B64" s="433" t="s">
        <v>394</v>
      </c>
      <c r="C64" s="434" t="s">
        <v>400</v>
      </c>
      <c r="D64" s="435" t="s">
        <v>411</v>
      </c>
      <c r="E64" s="434" t="s">
        <v>607</v>
      </c>
      <c r="F64" s="435" t="s">
        <v>608</v>
      </c>
      <c r="G64" s="434" t="s">
        <v>533</v>
      </c>
      <c r="H64" s="434" t="s">
        <v>534</v>
      </c>
      <c r="I64" s="436">
        <v>2792.7</v>
      </c>
      <c r="J64" s="436">
        <v>1</v>
      </c>
      <c r="K64" s="437">
        <v>2792.7</v>
      </c>
    </row>
    <row r="65" spans="1:11" ht="14.4" customHeight="1" x14ac:dyDescent="0.3">
      <c r="A65" s="432" t="s">
        <v>393</v>
      </c>
      <c r="B65" s="433" t="s">
        <v>394</v>
      </c>
      <c r="C65" s="434" t="s">
        <v>400</v>
      </c>
      <c r="D65" s="435" t="s">
        <v>411</v>
      </c>
      <c r="E65" s="434" t="s">
        <v>607</v>
      </c>
      <c r="F65" s="435" t="s">
        <v>608</v>
      </c>
      <c r="G65" s="434" t="s">
        <v>535</v>
      </c>
      <c r="H65" s="434" t="s">
        <v>536</v>
      </c>
      <c r="I65" s="436">
        <v>3345.7</v>
      </c>
      <c r="J65" s="436">
        <v>1</v>
      </c>
      <c r="K65" s="437">
        <v>3345.7</v>
      </c>
    </row>
    <row r="66" spans="1:11" ht="14.4" customHeight="1" x14ac:dyDescent="0.3">
      <c r="A66" s="432" t="s">
        <v>393</v>
      </c>
      <c r="B66" s="433" t="s">
        <v>394</v>
      </c>
      <c r="C66" s="434" t="s">
        <v>400</v>
      </c>
      <c r="D66" s="435" t="s">
        <v>411</v>
      </c>
      <c r="E66" s="434" t="s">
        <v>607</v>
      </c>
      <c r="F66" s="435" t="s">
        <v>608</v>
      </c>
      <c r="G66" s="434" t="s">
        <v>537</v>
      </c>
      <c r="H66" s="434" t="s">
        <v>538</v>
      </c>
      <c r="I66" s="436">
        <v>15663.44</v>
      </c>
      <c r="J66" s="436">
        <v>1</v>
      </c>
      <c r="K66" s="437">
        <v>15663.44</v>
      </c>
    </row>
    <row r="67" spans="1:11" ht="14.4" customHeight="1" x14ac:dyDescent="0.3">
      <c r="A67" s="432" t="s">
        <v>393</v>
      </c>
      <c r="B67" s="433" t="s">
        <v>394</v>
      </c>
      <c r="C67" s="434" t="s">
        <v>400</v>
      </c>
      <c r="D67" s="435" t="s">
        <v>411</v>
      </c>
      <c r="E67" s="434" t="s">
        <v>607</v>
      </c>
      <c r="F67" s="435" t="s">
        <v>608</v>
      </c>
      <c r="G67" s="434" t="s">
        <v>539</v>
      </c>
      <c r="H67" s="434" t="s">
        <v>540</v>
      </c>
      <c r="I67" s="436">
        <v>15578.8</v>
      </c>
      <c r="J67" s="436">
        <v>1</v>
      </c>
      <c r="K67" s="437">
        <v>15578.8</v>
      </c>
    </row>
    <row r="68" spans="1:11" ht="14.4" customHeight="1" x14ac:dyDescent="0.3">
      <c r="A68" s="432" t="s">
        <v>393</v>
      </c>
      <c r="B68" s="433" t="s">
        <v>394</v>
      </c>
      <c r="C68" s="434" t="s">
        <v>400</v>
      </c>
      <c r="D68" s="435" t="s">
        <v>411</v>
      </c>
      <c r="E68" s="434" t="s">
        <v>607</v>
      </c>
      <c r="F68" s="435" t="s">
        <v>608</v>
      </c>
      <c r="G68" s="434" t="s">
        <v>541</v>
      </c>
      <c r="H68" s="434" t="s">
        <v>542</v>
      </c>
      <c r="I68" s="436">
        <v>15277.46</v>
      </c>
      <c r="J68" s="436">
        <v>1</v>
      </c>
      <c r="K68" s="437">
        <v>15277.46</v>
      </c>
    </row>
    <row r="69" spans="1:11" ht="14.4" customHeight="1" x14ac:dyDescent="0.3">
      <c r="A69" s="432" t="s">
        <v>393</v>
      </c>
      <c r="B69" s="433" t="s">
        <v>394</v>
      </c>
      <c r="C69" s="434" t="s">
        <v>400</v>
      </c>
      <c r="D69" s="435" t="s">
        <v>411</v>
      </c>
      <c r="E69" s="434" t="s">
        <v>607</v>
      </c>
      <c r="F69" s="435" t="s">
        <v>608</v>
      </c>
      <c r="G69" s="434" t="s">
        <v>543</v>
      </c>
      <c r="H69" s="434" t="s">
        <v>544</v>
      </c>
      <c r="I69" s="436">
        <v>98.86</v>
      </c>
      <c r="J69" s="436">
        <v>1</v>
      </c>
      <c r="K69" s="437">
        <v>98.86</v>
      </c>
    </row>
    <row r="70" spans="1:11" ht="14.4" customHeight="1" x14ac:dyDescent="0.3">
      <c r="A70" s="432" t="s">
        <v>393</v>
      </c>
      <c r="B70" s="433" t="s">
        <v>394</v>
      </c>
      <c r="C70" s="434" t="s">
        <v>400</v>
      </c>
      <c r="D70" s="435" t="s">
        <v>411</v>
      </c>
      <c r="E70" s="434" t="s">
        <v>607</v>
      </c>
      <c r="F70" s="435" t="s">
        <v>608</v>
      </c>
      <c r="G70" s="434" t="s">
        <v>545</v>
      </c>
      <c r="H70" s="434" t="s">
        <v>546</v>
      </c>
      <c r="I70" s="436">
        <v>2662</v>
      </c>
      <c r="J70" s="436">
        <v>1</v>
      </c>
      <c r="K70" s="437">
        <v>2662</v>
      </c>
    </row>
    <row r="71" spans="1:11" ht="14.4" customHeight="1" x14ac:dyDescent="0.3">
      <c r="A71" s="432" t="s">
        <v>393</v>
      </c>
      <c r="B71" s="433" t="s">
        <v>394</v>
      </c>
      <c r="C71" s="434" t="s">
        <v>400</v>
      </c>
      <c r="D71" s="435" t="s">
        <v>411</v>
      </c>
      <c r="E71" s="434" t="s">
        <v>607</v>
      </c>
      <c r="F71" s="435" t="s">
        <v>608</v>
      </c>
      <c r="G71" s="434" t="s">
        <v>547</v>
      </c>
      <c r="H71" s="434" t="s">
        <v>548</v>
      </c>
      <c r="I71" s="436">
        <v>7687.1</v>
      </c>
      <c r="J71" s="436">
        <v>1</v>
      </c>
      <c r="K71" s="437">
        <v>7687.1</v>
      </c>
    </row>
    <row r="72" spans="1:11" ht="14.4" customHeight="1" x14ac:dyDescent="0.3">
      <c r="A72" s="432" t="s">
        <v>393</v>
      </c>
      <c r="B72" s="433" t="s">
        <v>394</v>
      </c>
      <c r="C72" s="434" t="s">
        <v>400</v>
      </c>
      <c r="D72" s="435" t="s">
        <v>411</v>
      </c>
      <c r="E72" s="434" t="s">
        <v>607</v>
      </c>
      <c r="F72" s="435" t="s">
        <v>608</v>
      </c>
      <c r="G72" s="434" t="s">
        <v>549</v>
      </c>
      <c r="H72" s="434" t="s">
        <v>550</v>
      </c>
      <c r="I72" s="436">
        <v>11948.74</v>
      </c>
      <c r="J72" s="436">
        <v>1</v>
      </c>
      <c r="K72" s="437">
        <v>11948.74</v>
      </c>
    </row>
    <row r="73" spans="1:11" ht="14.4" customHeight="1" x14ac:dyDescent="0.3">
      <c r="A73" s="432" t="s">
        <v>393</v>
      </c>
      <c r="B73" s="433" t="s">
        <v>394</v>
      </c>
      <c r="C73" s="434" t="s">
        <v>400</v>
      </c>
      <c r="D73" s="435" t="s">
        <v>411</v>
      </c>
      <c r="E73" s="434" t="s">
        <v>607</v>
      </c>
      <c r="F73" s="435" t="s">
        <v>608</v>
      </c>
      <c r="G73" s="434" t="s">
        <v>551</v>
      </c>
      <c r="H73" s="434" t="s">
        <v>552</v>
      </c>
      <c r="I73" s="436">
        <v>101035</v>
      </c>
      <c r="J73" s="436">
        <v>0.66</v>
      </c>
      <c r="K73" s="437">
        <v>66683.100000000006</v>
      </c>
    </row>
    <row r="74" spans="1:11" ht="14.4" customHeight="1" x14ac:dyDescent="0.3">
      <c r="A74" s="432" t="s">
        <v>393</v>
      </c>
      <c r="B74" s="433" t="s">
        <v>394</v>
      </c>
      <c r="C74" s="434" t="s">
        <v>400</v>
      </c>
      <c r="D74" s="435" t="s">
        <v>411</v>
      </c>
      <c r="E74" s="434" t="s">
        <v>607</v>
      </c>
      <c r="F74" s="435" t="s">
        <v>608</v>
      </c>
      <c r="G74" s="434" t="s">
        <v>553</v>
      </c>
      <c r="H74" s="434" t="s">
        <v>554</v>
      </c>
      <c r="I74" s="436">
        <v>1263.52</v>
      </c>
      <c r="J74" s="436">
        <v>1</v>
      </c>
      <c r="K74" s="437">
        <v>1263.52</v>
      </c>
    </row>
    <row r="75" spans="1:11" ht="14.4" customHeight="1" x14ac:dyDescent="0.3">
      <c r="A75" s="432" t="s">
        <v>393</v>
      </c>
      <c r="B75" s="433" t="s">
        <v>394</v>
      </c>
      <c r="C75" s="434" t="s">
        <v>400</v>
      </c>
      <c r="D75" s="435" t="s">
        <v>411</v>
      </c>
      <c r="E75" s="434" t="s">
        <v>607</v>
      </c>
      <c r="F75" s="435" t="s">
        <v>608</v>
      </c>
      <c r="G75" s="434" t="s">
        <v>555</v>
      </c>
      <c r="H75" s="434" t="s">
        <v>556</v>
      </c>
      <c r="I75" s="436">
        <v>1661.33</v>
      </c>
      <c r="J75" s="436">
        <v>2</v>
      </c>
      <c r="K75" s="437">
        <v>3322.66</v>
      </c>
    </row>
    <row r="76" spans="1:11" ht="14.4" customHeight="1" x14ac:dyDescent="0.3">
      <c r="A76" s="432" t="s">
        <v>393</v>
      </c>
      <c r="B76" s="433" t="s">
        <v>394</v>
      </c>
      <c r="C76" s="434" t="s">
        <v>400</v>
      </c>
      <c r="D76" s="435" t="s">
        <v>411</v>
      </c>
      <c r="E76" s="434" t="s">
        <v>607</v>
      </c>
      <c r="F76" s="435" t="s">
        <v>608</v>
      </c>
      <c r="G76" s="434" t="s">
        <v>557</v>
      </c>
      <c r="H76" s="434" t="s">
        <v>558</v>
      </c>
      <c r="I76" s="436">
        <v>137.94</v>
      </c>
      <c r="J76" s="436">
        <v>6</v>
      </c>
      <c r="K76" s="437">
        <v>827.64</v>
      </c>
    </row>
    <row r="77" spans="1:11" ht="14.4" customHeight="1" x14ac:dyDescent="0.3">
      <c r="A77" s="432" t="s">
        <v>393</v>
      </c>
      <c r="B77" s="433" t="s">
        <v>394</v>
      </c>
      <c r="C77" s="434" t="s">
        <v>400</v>
      </c>
      <c r="D77" s="435" t="s">
        <v>411</v>
      </c>
      <c r="E77" s="434" t="s">
        <v>607</v>
      </c>
      <c r="F77" s="435" t="s">
        <v>608</v>
      </c>
      <c r="G77" s="434" t="s">
        <v>559</v>
      </c>
      <c r="H77" s="434" t="s">
        <v>560</v>
      </c>
      <c r="I77" s="436">
        <v>826.6</v>
      </c>
      <c r="J77" s="436">
        <v>1</v>
      </c>
      <c r="K77" s="437">
        <v>826.6</v>
      </c>
    </row>
    <row r="78" spans="1:11" ht="14.4" customHeight="1" x14ac:dyDescent="0.3">
      <c r="A78" s="432" t="s">
        <v>393</v>
      </c>
      <c r="B78" s="433" t="s">
        <v>394</v>
      </c>
      <c r="C78" s="434" t="s">
        <v>400</v>
      </c>
      <c r="D78" s="435" t="s">
        <v>411</v>
      </c>
      <c r="E78" s="434" t="s">
        <v>607</v>
      </c>
      <c r="F78" s="435" t="s">
        <v>608</v>
      </c>
      <c r="G78" s="434" t="s">
        <v>561</v>
      </c>
      <c r="H78" s="434" t="s">
        <v>562</v>
      </c>
      <c r="I78" s="436">
        <v>926.7</v>
      </c>
      <c r="J78" s="436">
        <v>1</v>
      </c>
      <c r="K78" s="437">
        <v>926.7</v>
      </c>
    </row>
    <row r="79" spans="1:11" ht="14.4" customHeight="1" x14ac:dyDescent="0.3">
      <c r="A79" s="432" t="s">
        <v>393</v>
      </c>
      <c r="B79" s="433" t="s">
        <v>394</v>
      </c>
      <c r="C79" s="434" t="s">
        <v>400</v>
      </c>
      <c r="D79" s="435" t="s">
        <v>411</v>
      </c>
      <c r="E79" s="434" t="s">
        <v>607</v>
      </c>
      <c r="F79" s="435" t="s">
        <v>608</v>
      </c>
      <c r="G79" s="434" t="s">
        <v>563</v>
      </c>
      <c r="H79" s="434" t="s">
        <v>564</v>
      </c>
      <c r="I79" s="436">
        <v>972.56</v>
      </c>
      <c r="J79" s="436">
        <v>1</v>
      </c>
      <c r="K79" s="437">
        <v>972.56</v>
      </c>
    </row>
    <row r="80" spans="1:11" ht="14.4" customHeight="1" x14ac:dyDescent="0.3">
      <c r="A80" s="432" t="s">
        <v>393</v>
      </c>
      <c r="B80" s="433" t="s">
        <v>394</v>
      </c>
      <c r="C80" s="434" t="s">
        <v>400</v>
      </c>
      <c r="D80" s="435" t="s">
        <v>411</v>
      </c>
      <c r="E80" s="434" t="s">
        <v>607</v>
      </c>
      <c r="F80" s="435" t="s">
        <v>608</v>
      </c>
      <c r="G80" s="434" t="s">
        <v>565</v>
      </c>
      <c r="H80" s="434" t="s">
        <v>566</v>
      </c>
      <c r="I80" s="436">
        <v>677.84</v>
      </c>
      <c r="J80" s="436">
        <v>1</v>
      </c>
      <c r="K80" s="437">
        <v>677.84</v>
      </c>
    </row>
    <row r="81" spans="1:11" ht="14.4" customHeight="1" x14ac:dyDescent="0.3">
      <c r="A81" s="432" t="s">
        <v>393</v>
      </c>
      <c r="B81" s="433" t="s">
        <v>394</v>
      </c>
      <c r="C81" s="434" t="s">
        <v>400</v>
      </c>
      <c r="D81" s="435" t="s">
        <v>411</v>
      </c>
      <c r="E81" s="434" t="s">
        <v>607</v>
      </c>
      <c r="F81" s="435" t="s">
        <v>608</v>
      </c>
      <c r="G81" s="434" t="s">
        <v>567</v>
      </c>
      <c r="H81" s="434" t="s">
        <v>568</v>
      </c>
      <c r="I81" s="436">
        <v>2439.6</v>
      </c>
      <c r="J81" s="436">
        <v>1</v>
      </c>
      <c r="K81" s="437">
        <v>2439.6</v>
      </c>
    </row>
    <row r="82" spans="1:11" ht="14.4" customHeight="1" x14ac:dyDescent="0.3">
      <c r="A82" s="432" t="s">
        <v>393</v>
      </c>
      <c r="B82" s="433" t="s">
        <v>394</v>
      </c>
      <c r="C82" s="434" t="s">
        <v>400</v>
      </c>
      <c r="D82" s="435" t="s">
        <v>411</v>
      </c>
      <c r="E82" s="434" t="s">
        <v>607</v>
      </c>
      <c r="F82" s="435" t="s">
        <v>608</v>
      </c>
      <c r="G82" s="434" t="s">
        <v>569</v>
      </c>
      <c r="H82" s="434" t="s">
        <v>570</v>
      </c>
      <c r="I82" s="436">
        <v>903.87</v>
      </c>
      <c r="J82" s="436">
        <v>1</v>
      </c>
      <c r="K82" s="437">
        <v>903.87</v>
      </c>
    </row>
    <row r="83" spans="1:11" ht="14.4" customHeight="1" x14ac:dyDescent="0.3">
      <c r="A83" s="432" t="s">
        <v>393</v>
      </c>
      <c r="B83" s="433" t="s">
        <v>394</v>
      </c>
      <c r="C83" s="434" t="s">
        <v>400</v>
      </c>
      <c r="D83" s="435" t="s">
        <v>411</v>
      </c>
      <c r="E83" s="434" t="s">
        <v>607</v>
      </c>
      <c r="F83" s="435" t="s">
        <v>608</v>
      </c>
      <c r="G83" s="434" t="s">
        <v>571</v>
      </c>
      <c r="H83" s="434" t="s">
        <v>572</v>
      </c>
      <c r="I83" s="436">
        <v>357</v>
      </c>
      <c r="J83" s="436">
        <v>1</v>
      </c>
      <c r="K83" s="437">
        <v>357</v>
      </c>
    </row>
    <row r="84" spans="1:11" ht="14.4" customHeight="1" x14ac:dyDescent="0.3">
      <c r="A84" s="432" t="s">
        <v>393</v>
      </c>
      <c r="B84" s="433" t="s">
        <v>394</v>
      </c>
      <c r="C84" s="434" t="s">
        <v>400</v>
      </c>
      <c r="D84" s="435" t="s">
        <v>411</v>
      </c>
      <c r="E84" s="434" t="s">
        <v>607</v>
      </c>
      <c r="F84" s="435" t="s">
        <v>608</v>
      </c>
      <c r="G84" s="434" t="s">
        <v>573</v>
      </c>
      <c r="H84" s="434" t="s">
        <v>574</v>
      </c>
      <c r="I84" s="436">
        <v>1228.2</v>
      </c>
      <c r="J84" s="436">
        <v>1</v>
      </c>
      <c r="K84" s="437">
        <v>1228.2</v>
      </c>
    </row>
    <row r="85" spans="1:11" ht="14.4" customHeight="1" x14ac:dyDescent="0.3">
      <c r="A85" s="432" t="s">
        <v>393</v>
      </c>
      <c r="B85" s="433" t="s">
        <v>394</v>
      </c>
      <c r="C85" s="434" t="s">
        <v>400</v>
      </c>
      <c r="D85" s="435" t="s">
        <v>411</v>
      </c>
      <c r="E85" s="434" t="s">
        <v>607</v>
      </c>
      <c r="F85" s="435" t="s">
        <v>608</v>
      </c>
      <c r="G85" s="434" t="s">
        <v>575</v>
      </c>
      <c r="H85" s="434" t="s">
        <v>576</v>
      </c>
      <c r="I85" s="436">
        <v>1222.0999999999999</v>
      </c>
      <c r="J85" s="436">
        <v>1</v>
      </c>
      <c r="K85" s="437">
        <v>1222.0999999999999</v>
      </c>
    </row>
    <row r="86" spans="1:11" ht="14.4" customHeight="1" x14ac:dyDescent="0.3">
      <c r="A86" s="432" t="s">
        <v>393</v>
      </c>
      <c r="B86" s="433" t="s">
        <v>394</v>
      </c>
      <c r="C86" s="434" t="s">
        <v>400</v>
      </c>
      <c r="D86" s="435" t="s">
        <v>411</v>
      </c>
      <c r="E86" s="434" t="s">
        <v>607</v>
      </c>
      <c r="F86" s="435" t="s">
        <v>608</v>
      </c>
      <c r="G86" s="434" t="s">
        <v>577</v>
      </c>
      <c r="H86" s="434" t="s">
        <v>578</v>
      </c>
      <c r="I86" s="436">
        <v>0.39</v>
      </c>
      <c r="J86" s="436">
        <v>998</v>
      </c>
      <c r="K86" s="437">
        <v>386.03</v>
      </c>
    </row>
    <row r="87" spans="1:11" ht="14.4" customHeight="1" x14ac:dyDescent="0.3">
      <c r="A87" s="432" t="s">
        <v>393</v>
      </c>
      <c r="B87" s="433" t="s">
        <v>394</v>
      </c>
      <c r="C87" s="434" t="s">
        <v>400</v>
      </c>
      <c r="D87" s="435" t="s">
        <v>411</v>
      </c>
      <c r="E87" s="434" t="s">
        <v>607</v>
      </c>
      <c r="F87" s="435" t="s">
        <v>608</v>
      </c>
      <c r="G87" s="434" t="s">
        <v>579</v>
      </c>
      <c r="H87" s="434" t="s">
        <v>580</v>
      </c>
      <c r="I87" s="436">
        <v>15589.6</v>
      </c>
      <c r="J87" s="436">
        <v>1</v>
      </c>
      <c r="K87" s="437">
        <v>15589.6</v>
      </c>
    </row>
    <row r="88" spans="1:11" ht="14.4" customHeight="1" x14ac:dyDescent="0.3">
      <c r="A88" s="432" t="s">
        <v>393</v>
      </c>
      <c r="B88" s="433" t="s">
        <v>394</v>
      </c>
      <c r="C88" s="434" t="s">
        <v>400</v>
      </c>
      <c r="D88" s="435" t="s">
        <v>411</v>
      </c>
      <c r="E88" s="434" t="s">
        <v>607</v>
      </c>
      <c r="F88" s="435" t="s">
        <v>608</v>
      </c>
      <c r="G88" s="434" t="s">
        <v>581</v>
      </c>
      <c r="H88" s="434" t="s">
        <v>582</v>
      </c>
      <c r="I88" s="436">
        <v>2538.1799999999998</v>
      </c>
      <c r="J88" s="436">
        <v>1</v>
      </c>
      <c r="K88" s="437">
        <v>2538.1799999999998</v>
      </c>
    </row>
    <row r="89" spans="1:11" ht="14.4" customHeight="1" x14ac:dyDescent="0.3">
      <c r="A89" s="432" t="s">
        <v>393</v>
      </c>
      <c r="B89" s="433" t="s">
        <v>394</v>
      </c>
      <c r="C89" s="434" t="s">
        <v>400</v>
      </c>
      <c r="D89" s="435" t="s">
        <v>411</v>
      </c>
      <c r="E89" s="434" t="s">
        <v>607</v>
      </c>
      <c r="F89" s="435" t="s">
        <v>608</v>
      </c>
      <c r="G89" s="434" t="s">
        <v>583</v>
      </c>
      <c r="H89" s="434" t="s">
        <v>584</v>
      </c>
      <c r="I89" s="436">
        <v>10599.61</v>
      </c>
      <c r="J89" s="436">
        <v>1</v>
      </c>
      <c r="K89" s="437">
        <v>10599.61</v>
      </c>
    </row>
    <row r="90" spans="1:11" ht="14.4" customHeight="1" x14ac:dyDescent="0.3">
      <c r="A90" s="432" t="s">
        <v>393</v>
      </c>
      <c r="B90" s="433" t="s">
        <v>394</v>
      </c>
      <c r="C90" s="434" t="s">
        <v>400</v>
      </c>
      <c r="D90" s="435" t="s">
        <v>411</v>
      </c>
      <c r="E90" s="434" t="s">
        <v>607</v>
      </c>
      <c r="F90" s="435" t="s">
        <v>608</v>
      </c>
      <c r="G90" s="434" t="s">
        <v>585</v>
      </c>
      <c r="H90" s="434" t="s">
        <v>586</v>
      </c>
      <c r="I90" s="436">
        <v>1208.79</v>
      </c>
      <c r="J90" s="436">
        <v>1</v>
      </c>
      <c r="K90" s="437">
        <v>1208.79</v>
      </c>
    </row>
    <row r="91" spans="1:11" ht="14.4" customHeight="1" x14ac:dyDescent="0.3">
      <c r="A91" s="432" t="s">
        <v>393</v>
      </c>
      <c r="B91" s="433" t="s">
        <v>394</v>
      </c>
      <c r="C91" s="434" t="s">
        <v>400</v>
      </c>
      <c r="D91" s="435" t="s">
        <v>411</v>
      </c>
      <c r="E91" s="434" t="s">
        <v>607</v>
      </c>
      <c r="F91" s="435" t="s">
        <v>608</v>
      </c>
      <c r="G91" s="434" t="s">
        <v>587</v>
      </c>
      <c r="H91" s="434" t="s">
        <v>588</v>
      </c>
      <c r="I91" s="436">
        <v>4524.8</v>
      </c>
      <c r="J91" s="436">
        <v>1</v>
      </c>
      <c r="K91" s="437">
        <v>4524.8</v>
      </c>
    </row>
    <row r="92" spans="1:11" ht="14.4" customHeight="1" x14ac:dyDescent="0.3">
      <c r="A92" s="432" t="s">
        <v>393</v>
      </c>
      <c r="B92" s="433" t="s">
        <v>394</v>
      </c>
      <c r="C92" s="434" t="s">
        <v>400</v>
      </c>
      <c r="D92" s="435" t="s">
        <v>411</v>
      </c>
      <c r="E92" s="434" t="s">
        <v>607</v>
      </c>
      <c r="F92" s="435" t="s">
        <v>608</v>
      </c>
      <c r="G92" s="434" t="s">
        <v>589</v>
      </c>
      <c r="H92" s="434" t="s">
        <v>590</v>
      </c>
      <c r="I92" s="436">
        <v>30.25</v>
      </c>
      <c r="J92" s="436">
        <v>50</v>
      </c>
      <c r="K92" s="437">
        <v>1512.5</v>
      </c>
    </row>
    <row r="93" spans="1:11" ht="14.4" customHeight="1" x14ac:dyDescent="0.3">
      <c r="A93" s="432" t="s">
        <v>393</v>
      </c>
      <c r="B93" s="433" t="s">
        <v>394</v>
      </c>
      <c r="C93" s="434" t="s">
        <v>400</v>
      </c>
      <c r="D93" s="435" t="s">
        <v>411</v>
      </c>
      <c r="E93" s="434" t="s">
        <v>607</v>
      </c>
      <c r="F93" s="435" t="s">
        <v>608</v>
      </c>
      <c r="G93" s="434" t="s">
        <v>591</v>
      </c>
      <c r="H93" s="434" t="s">
        <v>592</v>
      </c>
      <c r="I93" s="436">
        <v>5672.61</v>
      </c>
      <c r="J93" s="436">
        <v>1</v>
      </c>
      <c r="K93" s="437">
        <v>5672.61</v>
      </c>
    </row>
    <row r="94" spans="1:11" ht="14.4" customHeight="1" x14ac:dyDescent="0.3">
      <c r="A94" s="432" t="s">
        <v>393</v>
      </c>
      <c r="B94" s="433" t="s">
        <v>394</v>
      </c>
      <c r="C94" s="434" t="s">
        <v>400</v>
      </c>
      <c r="D94" s="435" t="s">
        <v>411</v>
      </c>
      <c r="E94" s="434" t="s">
        <v>607</v>
      </c>
      <c r="F94" s="435" t="s">
        <v>608</v>
      </c>
      <c r="G94" s="434" t="s">
        <v>593</v>
      </c>
      <c r="H94" s="434" t="s">
        <v>594</v>
      </c>
      <c r="I94" s="436">
        <v>5269.79</v>
      </c>
      <c r="J94" s="436">
        <v>1</v>
      </c>
      <c r="K94" s="437">
        <v>5269.79</v>
      </c>
    </row>
    <row r="95" spans="1:11" ht="14.4" customHeight="1" x14ac:dyDescent="0.3">
      <c r="A95" s="432" t="s">
        <v>393</v>
      </c>
      <c r="B95" s="433" t="s">
        <v>394</v>
      </c>
      <c r="C95" s="434" t="s">
        <v>400</v>
      </c>
      <c r="D95" s="435" t="s">
        <v>411</v>
      </c>
      <c r="E95" s="434" t="s">
        <v>607</v>
      </c>
      <c r="F95" s="435" t="s">
        <v>608</v>
      </c>
      <c r="G95" s="434" t="s">
        <v>595</v>
      </c>
      <c r="H95" s="434" t="s">
        <v>596</v>
      </c>
      <c r="I95" s="436">
        <v>2964.5</v>
      </c>
      <c r="J95" s="436">
        <v>1</v>
      </c>
      <c r="K95" s="437">
        <v>2964.5</v>
      </c>
    </row>
    <row r="96" spans="1:11" ht="14.4" customHeight="1" thickBot="1" x14ac:dyDescent="0.35">
      <c r="A96" s="438" t="s">
        <v>393</v>
      </c>
      <c r="B96" s="439" t="s">
        <v>394</v>
      </c>
      <c r="C96" s="440" t="s">
        <v>400</v>
      </c>
      <c r="D96" s="441" t="s">
        <v>411</v>
      </c>
      <c r="E96" s="440" t="s">
        <v>607</v>
      </c>
      <c r="F96" s="441" t="s">
        <v>608</v>
      </c>
      <c r="G96" s="440" t="s">
        <v>597</v>
      </c>
      <c r="H96" s="440" t="s">
        <v>598</v>
      </c>
      <c r="I96" s="415">
        <v>1444.1</v>
      </c>
      <c r="J96" s="415">
        <v>1</v>
      </c>
      <c r="K96" s="425">
        <v>1444.1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N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M1"/>
    </sheetView>
  </sheetViews>
  <sheetFormatPr defaultRowHeight="14.4" outlineLevelRow="1" x14ac:dyDescent="0.3"/>
  <cols>
    <col min="1" max="1" width="37.21875" customWidth="1"/>
    <col min="2" max="7" width="13.109375" customWidth="1"/>
    <col min="8" max="8" width="13.109375" hidden="1" customWidth="1"/>
    <col min="9" max="13" width="13.109375" customWidth="1"/>
  </cols>
  <sheetData>
    <row r="1" spans="1:14" ht="18.600000000000001" thickBot="1" x14ac:dyDescent="0.4">
      <c r="A1" s="339" t="s">
        <v>92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</row>
    <row r="2" spans="1:14" ht="15" thickBot="1" x14ac:dyDescent="0.35">
      <c r="A2" s="202" t="s">
        <v>222</v>
      </c>
      <c r="B2" s="203"/>
      <c r="C2" s="203"/>
      <c r="D2" s="203"/>
      <c r="E2" s="203"/>
      <c r="F2" s="203"/>
      <c r="G2" s="203"/>
      <c r="H2" s="203"/>
      <c r="I2" s="203"/>
      <c r="J2" s="203"/>
    </row>
    <row r="3" spans="1:14" x14ac:dyDescent="0.3">
      <c r="A3" s="221" t="s">
        <v>165</v>
      </c>
      <c r="B3" s="337" t="s">
        <v>146</v>
      </c>
      <c r="C3" s="204">
        <v>0</v>
      </c>
      <c r="D3" s="205">
        <v>25</v>
      </c>
      <c r="E3" s="205">
        <v>99</v>
      </c>
      <c r="F3" s="224">
        <v>100</v>
      </c>
      <c r="G3" s="224">
        <v>101</v>
      </c>
      <c r="H3" s="224">
        <v>302</v>
      </c>
      <c r="I3" s="224">
        <v>409</v>
      </c>
      <c r="J3" s="224">
        <v>526</v>
      </c>
      <c r="K3" s="205">
        <v>640</v>
      </c>
      <c r="L3" s="205">
        <v>642</v>
      </c>
      <c r="M3" s="456">
        <v>930</v>
      </c>
      <c r="N3" s="471"/>
    </row>
    <row r="4" spans="1:14" ht="36.6" outlineLevel="1" thickBot="1" x14ac:dyDescent="0.35">
      <c r="A4" s="222">
        <v>2016</v>
      </c>
      <c r="B4" s="338"/>
      <c r="C4" s="206" t="s">
        <v>147</v>
      </c>
      <c r="D4" s="207" t="s">
        <v>149</v>
      </c>
      <c r="E4" s="207" t="s">
        <v>148</v>
      </c>
      <c r="F4" s="225" t="s">
        <v>195</v>
      </c>
      <c r="G4" s="225" t="s">
        <v>196</v>
      </c>
      <c r="H4" s="225" t="s">
        <v>197</v>
      </c>
      <c r="I4" s="225" t="s">
        <v>174</v>
      </c>
      <c r="J4" s="225" t="s">
        <v>175</v>
      </c>
      <c r="K4" s="207" t="s">
        <v>176</v>
      </c>
      <c r="L4" s="207" t="s">
        <v>177</v>
      </c>
      <c r="M4" s="457" t="s">
        <v>167</v>
      </c>
      <c r="N4" s="471"/>
    </row>
    <row r="5" spans="1:14" x14ac:dyDescent="0.3">
      <c r="A5" s="208" t="s">
        <v>150</v>
      </c>
      <c r="B5" s="244"/>
      <c r="C5" s="245"/>
      <c r="D5" s="246"/>
      <c r="E5" s="246"/>
      <c r="F5" s="246"/>
      <c r="G5" s="246"/>
      <c r="H5" s="246"/>
      <c r="I5" s="246"/>
      <c r="J5" s="246"/>
      <c r="K5" s="246"/>
      <c r="L5" s="246"/>
      <c r="M5" s="458"/>
      <c r="N5" s="471"/>
    </row>
    <row r="6" spans="1:14" ht="15" collapsed="1" thickBot="1" x14ac:dyDescent="0.35">
      <c r="A6" s="209" t="s">
        <v>59</v>
      </c>
      <c r="B6" s="247">
        <f xml:space="preserve">
TRUNC(IF($A$4&lt;=12,SUMIFS('ON Data'!F:F,'ON Data'!$D:$D,$A$4,'ON Data'!$E:$E,1),SUMIFS('ON Data'!F:F,'ON Data'!$E:$E,1)/'ON Data'!$D$3),1)</f>
        <v>27.6</v>
      </c>
      <c r="C6" s="248">
        <f xml:space="preserve">
TRUNC(IF($A$4&lt;=12,SUMIFS('ON Data'!G:G,'ON Data'!$D:$D,$A$4,'ON Data'!$E:$E,1),SUMIFS('ON Data'!G:G,'ON Data'!$E:$E,1)/'ON Data'!$D$3),1)</f>
        <v>0</v>
      </c>
      <c r="D6" s="249">
        <f xml:space="preserve">
TRUNC(IF($A$4&lt;=12,SUMIFS('ON Data'!H:H,'ON Data'!$D:$D,$A$4,'ON Data'!$E:$E,1),SUMIFS('ON Data'!H:H,'ON Data'!$E:$E,1)/'ON Data'!$D$3),1)</f>
        <v>0.5</v>
      </c>
      <c r="E6" s="249">
        <f xml:space="preserve">
TRUNC(IF($A$4&lt;=12,SUMIFS('ON Data'!I:I,'ON Data'!$D:$D,$A$4,'ON Data'!$E:$E,1),SUMIFS('ON Data'!I:I,'ON Data'!$E:$E,1)/'ON Data'!$D$3),1)</f>
        <v>0.8</v>
      </c>
      <c r="F6" s="249">
        <f xml:space="preserve">
TRUNC(IF($A$4&lt;=12,SUMIFS('ON Data'!J:J,'ON Data'!$D:$D,$A$4,'ON Data'!$E:$E,1),SUMIFS('ON Data'!J:J,'ON Data'!$E:$E,1)/'ON Data'!$D$3),1)</f>
        <v>0.6</v>
      </c>
      <c r="G6" s="249">
        <f xml:space="preserve">
TRUNC(IF($A$4&lt;=12,SUMIFS('ON Data'!K:K,'ON Data'!$D:$D,$A$4,'ON Data'!$E:$E,1),SUMIFS('ON Data'!K:K,'ON Data'!$E:$E,1)/'ON Data'!$D$3),1)</f>
        <v>5</v>
      </c>
      <c r="H6" s="249">
        <f xml:space="preserve">
TRUNC(IF($A$4&lt;=12,SUMIFS('ON Data'!O:O,'ON Data'!$D:$D,$A$4,'ON Data'!$E:$E,1),SUMIFS('ON Data'!O:O,'ON Data'!$E:$E,1)/'ON Data'!$D$3),1)</f>
        <v>0</v>
      </c>
      <c r="I6" s="249">
        <f xml:space="preserve">
TRUNC(IF($A$4&lt;=12,SUMIFS('ON Data'!V:V,'ON Data'!$D:$D,$A$4,'ON Data'!$E:$E,1),SUMIFS('ON Data'!V:V,'ON Data'!$E:$E,1)/'ON Data'!$D$3),1)</f>
        <v>9.1999999999999993</v>
      </c>
      <c r="J6" s="249">
        <f xml:space="preserve">
TRUNC(IF($A$4&lt;=12,SUMIFS('ON Data'!AJ:AJ,'ON Data'!$D:$D,$A$4,'ON Data'!$E:$E,1),SUMIFS('ON Data'!AJ:AJ,'ON Data'!$E:$E,1)/'ON Data'!$D$3),1)</f>
        <v>4</v>
      </c>
      <c r="K6" s="249">
        <f xml:space="preserve">
TRUNC(IF($A$4&lt;=12,SUMIFS('ON Data'!AQ:AQ,'ON Data'!$D:$D,$A$4,'ON Data'!$E:$E,1),SUMIFS('ON Data'!AQ:AQ,'ON Data'!$E:$E,1)/'ON Data'!$D$3),1)</f>
        <v>0</v>
      </c>
      <c r="L6" s="249">
        <f xml:space="preserve">
TRUNC(IF($A$4&lt;=12,SUMIFS('ON Data'!AR:AR,'ON Data'!$D:$D,$A$4,'ON Data'!$E:$E,1),SUMIFS('ON Data'!AR:AR,'ON Data'!$E:$E,1)/'ON Data'!$D$3),1)</f>
        <v>5</v>
      </c>
      <c r="M6" s="459">
        <f xml:space="preserve">
TRUNC(IF($A$4&lt;=12,SUMIFS('ON Data'!AW:AW,'ON Data'!$D:$D,$A$4,'ON Data'!$E:$E,1),SUMIFS('ON Data'!AW:AW,'ON Data'!$E:$E,1)/'ON Data'!$D$3),1)</f>
        <v>2.5</v>
      </c>
      <c r="N6" s="471"/>
    </row>
    <row r="7" spans="1:14" ht="15" hidden="1" outlineLevel="1" thickBot="1" x14ac:dyDescent="0.35">
      <c r="A7" s="209" t="s">
        <v>93</v>
      </c>
      <c r="B7" s="247"/>
      <c r="C7" s="250"/>
      <c r="D7" s="249"/>
      <c r="E7" s="249"/>
      <c r="F7" s="249"/>
      <c r="G7" s="249"/>
      <c r="H7" s="249"/>
      <c r="I7" s="249"/>
      <c r="J7" s="249"/>
      <c r="K7" s="249"/>
      <c r="L7" s="249"/>
      <c r="M7" s="459"/>
      <c r="N7" s="471"/>
    </row>
    <row r="8" spans="1:14" ht="15" hidden="1" outlineLevel="1" thickBot="1" x14ac:dyDescent="0.35">
      <c r="A8" s="209" t="s">
        <v>61</v>
      </c>
      <c r="B8" s="247"/>
      <c r="C8" s="250"/>
      <c r="D8" s="249"/>
      <c r="E8" s="249"/>
      <c r="F8" s="249"/>
      <c r="G8" s="249"/>
      <c r="H8" s="249"/>
      <c r="I8" s="249"/>
      <c r="J8" s="249"/>
      <c r="K8" s="249"/>
      <c r="L8" s="249"/>
      <c r="M8" s="459"/>
      <c r="N8" s="471"/>
    </row>
    <row r="9" spans="1:14" ht="15" hidden="1" outlineLevel="1" thickBot="1" x14ac:dyDescent="0.35">
      <c r="A9" s="210" t="s">
        <v>54</v>
      </c>
      <c r="B9" s="251"/>
      <c r="C9" s="252"/>
      <c r="D9" s="253"/>
      <c r="E9" s="253"/>
      <c r="F9" s="253"/>
      <c r="G9" s="253"/>
      <c r="H9" s="253"/>
      <c r="I9" s="253"/>
      <c r="J9" s="253"/>
      <c r="K9" s="253"/>
      <c r="L9" s="253"/>
      <c r="M9" s="460"/>
      <c r="N9" s="471"/>
    </row>
    <row r="10" spans="1:14" x14ac:dyDescent="0.3">
      <c r="A10" s="211" t="s">
        <v>151</v>
      </c>
      <c r="B10" s="226"/>
      <c r="C10" s="227"/>
      <c r="D10" s="228"/>
      <c r="E10" s="228"/>
      <c r="F10" s="228"/>
      <c r="G10" s="228"/>
      <c r="H10" s="228"/>
      <c r="I10" s="228"/>
      <c r="J10" s="228"/>
      <c r="K10" s="228"/>
      <c r="L10" s="228"/>
      <c r="M10" s="461"/>
      <c r="N10" s="471"/>
    </row>
    <row r="11" spans="1:14" x14ac:dyDescent="0.3">
      <c r="A11" s="212" t="s">
        <v>152</v>
      </c>
      <c r="B11" s="229">
        <f xml:space="preserve">
IF($A$4&lt;=12,SUMIFS('ON Data'!F:F,'ON Data'!$D:$D,$A$4,'ON Data'!$E:$E,2),SUMIFS('ON Data'!F:F,'ON Data'!$E:$E,2))</f>
        <v>21038.800000000003</v>
      </c>
      <c r="C11" s="230">
        <f xml:space="preserve">
IF($A$4&lt;=12,SUMIFS('ON Data'!G:G,'ON Data'!$D:$D,$A$4,'ON Data'!$E:$E,2),SUMIFS('ON Data'!G:G,'ON Data'!$E:$E,2))</f>
        <v>0</v>
      </c>
      <c r="D11" s="231">
        <f xml:space="preserve">
IF($A$4&lt;=12,SUMIFS('ON Data'!H:H,'ON Data'!$D:$D,$A$4,'ON Data'!$E:$E,2),SUMIFS('ON Data'!H:H,'ON Data'!$E:$E,2))</f>
        <v>376</v>
      </c>
      <c r="E11" s="231">
        <f xml:space="preserve">
IF($A$4&lt;=12,SUMIFS('ON Data'!I:I,'ON Data'!$D:$D,$A$4,'ON Data'!$E:$E,2),SUMIFS('ON Data'!I:I,'ON Data'!$E:$E,2))</f>
        <v>643.19999999999993</v>
      </c>
      <c r="F11" s="231">
        <f xml:space="preserve">
IF($A$4&lt;=12,SUMIFS('ON Data'!J:J,'ON Data'!$D:$D,$A$4,'ON Data'!$E:$E,2),SUMIFS('ON Data'!J:J,'ON Data'!$E:$E,2))</f>
        <v>228.8</v>
      </c>
      <c r="G11" s="231">
        <f xml:space="preserve">
IF($A$4&lt;=12,SUMIFS('ON Data'!K:K,'ON Data'!$D:$D,$A$4,'ON Data'!$E:$E,2),SUMIFS('ON Data'!K:K,'ON Data'!$E:$E,2))</f>
        <v>3674</v>
      </c>
      <c r="H11" s="231">
        <f xml:space="preserve">
IF($A$4&lt;=12,SUMIFS('ON Data'!O:O,'ON Data'!$D:$D,$A$4,'ON Data'!$E:$E,2),SUMIFS('ON Data'!O:O,'ON Data'!$E:$E,2))</f>
        <v>0</v>
      </c>
      <c r="I11" s="231">
        <f xml:space="preserve">
IF($A$4&lt;=12,SUMIFS('ON Data'!V:V,'ON Data'!$D:$D,$A$4,'ON Data'!$E:$E,2),SUMIFS('ON Data'!V:V,'ON Data'!$E:$E,2))</f>
        <v>7024</v>
      </c>
      <c r="J11" s="231">
        <f xml:space="preserve">
IF($A$4&lt;=12,SUMIFS('ON Data'!AJ:AJ,'ON Data'!$D:$D,$A$4,'ON Data'!$E:$E,2),SUMIFS('ON Data'!AJ:AJ,'ON Data'!$E:$E,2))</f>
        <v>3240.8</v>
      </c>
      <c r="K11" s="231">
        <f xml:space="preserve">
IF($A$4&lt;=12,SUMIFS('ON Data'!AQ:AQ,'ON Data'!$D:$D,$A$4,'ON Data'!$E:$E,2),SUMIFS('ON Data'!AQ:AQ,'ON Data'!$E:$E,2))</f>
        <v>0</v>
      </c>
      <c r="L11" s="231">
        <f xml:space="preserve">
IF($A$4&lt;=12,SUMIFS('ON Data'!AR:AR,'ON Data'!$D:$D,$A$4,'ON Data'!$E:$E,2),SUMIFS('ON Data'!AR:AR,'ON Data'!$E:$E,2))</f>
        <v>3924</v>
      </c>
      <c r="M11" s="462">
        <f xml:space="preserve">
IF($A$4&lt;=12,SUMIFS('ON Data'!AW:AW,'ON Data'!$D:$D,$A$4,'ON Data'!$E:$E,2),SUMIFS('ON Data'!AW:AW,'ON Data'!$E:$E,2))</f>
        <v>1928</v>
      </c>
      <c r="N11" s="471"/>
    </row>
    <row r="12" spans="1:14" x14ac:dyDescent="0.3">
      <c r="A12" s="212" t="s">
        <v>153</v>
      </c>
      <c r="B12" s="229">
        <f xml:space="preserve">
IF($A$4&lt;=12,SUMIFS('ON Data'!F:F,'ON Data'!$D:$D,$A$4,'ON Data'!$E:$E,3),SUMIFS('ON Data'!F:F,'ON Data'!$E:$E,3))</f>
        <v>410.8</v>
      </c>
      <c r="C12" s="230">
        <f xml:space="preserve">
IF($A$4&lt;=12,SUMIFS('ON Data'!G:G,'ON Data'!$D:$D,$A$4,'ON Data'!$E:$E,3),SUMIFS('ON Data'!G:G,'ON Data'!$E:$E,3))</f>
        <v>0</v>
      </c>
      <c r="D12" s="231">
        <f xml:space="preserve">
IF($A$4&lt;=12,SUMIFS('ON Data'!H:H,'ON Data'!$D:$D,$A$4,'ON Data'!$E:$E,3),SUMIFS('ON Data'!H:H,'ON Data'!$E:$E,3))</f>
        <v>0</v>
      </c>
      <c r="E12" s="231">
        <f xml:space="preserve">
IF($A$4&lt;=12,SUMIFS('ON Data'!I:I,'ON Data'!$D:$D,$A$4,'ON Data'!$E:$E,3),SUMIFS('ON Data'!I:I,'ON Data'!$E:$E,3))</f>
        <v>0</v>
      </c>
      <c r="F12" s="231">
        <f xml:space="preserve">
IF($A$4&lt;=12,SUMIFS('ON Data'!J:J,'ON Data'!$D:$D,$A$4,'ON Data'!$E:$E,3),SUMIFS('ON Data'!J:J,'ON Data'!$E:$E,3))</f>
        <v>0</v>
      </c>
      <c r="G12" s="231">
        <f xml:space="preserve">
IF($A$4&lt;=12,SUMIFS('ON Data'!K:K,'ON Data'!$D:$D,$A$4,'ON Data'!$E:$E,3),SUMIFS('ON Data'!K:K,'ON Data'!$E:$E,3))</f>
        <v>0</v>
      </c>
      <c r="H12" s="231">
        <f xml:space="preserve">
IF($A$4&lt;=12,SUMIFS('ON Data'!O:O,'ON Data'!$D:$D,$A$4,'ON Data'!$E:$E,3),SUMIFS('ON Data'!O:O,'ON Data'!$E:$E,3))</f>
        <v>0</v>
      </c>
      <c r="I12" s="231">
        <f xml:space="preserve">
IF($A$4&lt;=12,SUMIFS('ON Data'!V:V,'ON Data'!$D:$D,$A$4,'ON Data'!$E:$E,3),SUMIFS('ON Data'!V:V,'ON Data'!$E:$E,3))</f>
        <v>0</v>
      </c>
      <c r="J12" s="231">
        <f xml:space="preserve">
IF($A$4&lt;=12,SUMIFS('ON Data'!AJ:AJ,'ON Data'!$D:$D,$A$4,'ON Data'!$E:$E,3),SUMIFS('ON Data'!AJ:AJ,'ON Data'!$E:$E,3))</f>
        <v>410.8</v>
      </c>
      <c r="K12" s="231">
        <f xml:space="preserve">
IF($A$4&lt;=12,SUMIFS('ON Data'!AQ:AQ,'ON Data'!$D:$D,$A$4,'ON Data'!$E:$E,3),SUMIFS('ON Data'!AQ:AQ,'ON Data'!$E:$E,3))</f>
        <v>0</v>
      </c>
      <c r="L12" s="231">
        <f xml:space="preserve">
IF($A$4&lt;=12,SUMIFS('ON Data'!AR:AR,'ON Data'!$D:$D,$A$4,'ON Data'!$E:$E,3),SUMIFS('ON Data'!AR:AR,'ON Data'!$E:$E,3))</f>
        <v>0</v>
      </c>
      <c r="M12" s="462">
        <f xml:space="preserve">
IF($A$4&lt;=12,SUMIFS('ON Data'!AW:AW,'ON Data'!$D:$D,$A$4,'ON Data'!$E:$E,3),SUMIFS('ON Data'!AW:AW,'ON Data'!$E:$E,3))</f>
        <v>0</v>
      </c>
      <c r="N12" s="471"/>
    </row>
    <row r="13" spans="1:14" x14ac:dyDescent="0.3">
      <c r="A13" s="212" t="s">
        <v>160</v>
      </c>
      <c r="B13" s="229">
        <f xml:space="preserve">
IF($A$4&lt;=12,SUMIFS('ON Data'!F:F,'ON Data'!$D:$D,$A$4,'ON Data'!$E:$E,4),SUMIFS('ON Data'!F:F,'ON Data'!$E:$E,4))</f>
        <v>520</v>
      </c>
      <c r="C13" s="230">
        <f xml:space="preserve">
IF($A$4&lt;=12,SUMIFS('ON Data'!G:G,'ON Data'!$D:$D,$A$4,'ON Data'!$E:$E,4),SUMIFS('ON Data'!G:G,'ON Data'!$E:$E,4))</f>
        <v>0</v>
      </c>
      <c r="D13" s="231">
        <f xml:space="preserve">
IF($A$4&lt;=12,SUMIFS('ON Data'!H:H,'ON Data'!$D:$D,$A$4,'ON Data'!$E:$E,4),SUMIFS('ON Data'!H:H,'ON Data'!$E:$E,4))</f>
        <v>0</v>
      </c>
      <c r="E13" s="231">
        <f xml:space="preserve">
IF($A$4&lt;=12,SUMIFS('ON Data'!I:I,'ON Data'!$D:$D,$A$4,'ON Data'!$E:$E,4),SUMIFS('ON Data'!I:I,'ON Data'!$E:$E,4))</f>
        <v>0</v>
      </c>
      <c r="F13" s="231">
        <f xml:space="preserve">
IF($A$4&lt;=12,SUMIFS('ON Data'!J:J,'ON Data'!$D:$D,$A$4,'ON Data'!$E:$E,4),SUMIFS('ON Data'!J:J,'ON Data'!$E:$E,4))</f>
        <v>0</v>
      </c>
      <c r="G13" s="231">
        <f xml:space="preserve">
IF($A$4&lt;=12,SUMIFS('ON Data'!K:K,'ON Data'!$D:$D,$A$4,'ON Data'!$E:$E,4),SUMIFS('ON Data'!K:K,'ON Data'!$E:$E,4))</f>
        <v>0</v>
      </c>
      <c r="H13" s="231">
        <f xml:space="preserve">
IF($A$4&lt;=12,SUMIFS('ON Data'!O:O,'ON Data'!$D:$D,$A$4,'ON Data'!$E:$E,4),SUMIFS('ON Data'!O:O,'ON Data'!$E:$E,4))</f>
        <v>0</v>
      </c>
      <c r="I13" s="231">
        <f xml:space="preserve">
IF($A$4&lt;=12,SUMIFS('ON Data'!V:V,'ON Data'!$D:$D,$A$4,'ON Data'!$E:$E,4),SUMIFS('ON Data'!V:V,'ON Data'!$E:$E,4))</f>
        <v>0</v>
      </c>
      <c r="J13" s="231">
        <f xml:space="preserve">
IF($A$4&lt;=12,SUMIFS('ON Data'!AJ:AJ,'ON Data'!$D:$D,$A$4,'ON Data'!$E:$E,4),SUMIFS('ON Data'!AJ:AJ,'ON Data'!$E:$E,4))</f>
        <v>460</v>
      </c>
      <c r="K13" s="231">
        <f xml:space="preserve">
IF($A$4&lt;=12,SUMIFS('ON Data'!AQ:AQ,'ON Data'!$D:$D,$A$4,'ON Data'!$E:$E,4),SUMIFS('ON Data'!AQ:AQ,'ON Data'!$E:$E,4))</f>
        <v>11</v>
      </c>
      <c r="L13" s="231">
        <f xml:space="preserve">
IF($A$4&lt;=12,SUMIFS('ON Data'!AR:AR,'ON Data'!$D:$D,$A$4,'ON Data'!$E:$E,4),SUMIFS('ON Data'!AR:AR,'ON Data'!$E:$E,4))</f>
        <v>49</v>
      </c>
      <c r="M13" s="462">
        <f xml:space="preserve">
IF($A$4&lt;=12,SUMIFS('ON Data'!AW:AW,'ON Data'!$D:$D,$A$4,'ON Data'!$E:$E,4),SUMIFS('ON Data'!AW:AW,'ON Data'!$E:$E,4))</f>
        <v>0</v>
      </c>
      <c r="N13" s="471"/>
    </row>
    <row r="14" spans="1:14" ht="15" thickBot="1" x14ac:dyDescent="0.35">
      <c r="A14" s="213" t="s">
        <v>154</v>
      </c>
      <c r="B14" s="232">
        <f xml:space="preserve">
IF($A$4&lt;=12,SUMIFS('ON Data'!F:F,'ON Data'!$D:$D,$A$4,'ON Data'!$E:$E,5),SUMIFS('ON Data'!F:F,'ON Data'!$E:$E,5))</f>
        <v>3949</v>
      </c>
      <c r="C14" s="233">
        <f xml:space="preserve">
IF($A$4&lt;=12,SUMIFS('ON Data'!G:G,'ON Data'!$D:$D,$A$4,'ON Data'!$E:$E,5),SUMIFS('ON Data'!G:G,'ON Data'!$E:$E,5))</f>
        <v>3949</v>
      </c>
      <c r="D14" s="234">
        <f xml:space="preserve">
IF($A$4&lt;=12,SUMIFS('ON Data'!H:H,'ON Data'!$D:$D,$A$4,'ON Data'!$E:$E,5),SUMIFS('ON Data'!H:H,'ON Data'!$E:$E,5))</f>
        <v>0</v>
      </c>
      <c r="E14" s="234">
        <f xml:space="preserve">
IF($A$4&lt;=12,SUMIFS('ON Data'!I:I,'ON Data'!$D:$D,$A$4,'ON Data'!$E:$E,5),SUMIFS('ON Data'!I:I,'ON Data'!$E:$E,5))</f>
        <v>0</v>
      </c>
      <c r="F14" s="234">
        <f xml:space="preserve">
IF($A$4&lt;=12,SUMIFS('ON Data'!J:J,'ON Data'!$D:$D,$A$4,'ON Data'!$E:$E,5),SUMIFS('ON Data'!J:J,'ON Data'!$E:$E,5))</f>
        <v>0</v>
      </c>
      <c r="G14" s="234">
        <f xml:space="preserve">
IF($A$4&lt;=12,SUMIFS('ON Data'!K:K,'ON Data'!$D:$D,$A$4,'ON Data'!$E:$E,5),SUMIFS('ON Data'!K:K,'ON Data'!$E:$E,5))</f>
        <v>0</v>
      </c>
      <c r="H14" s="234">
        <f xml:space="preserve">
IF($A$4&lt;=12,SUMIFS('ON Data'!O:O,'ON Data'!$D:$D,$A$4,'ON Data'!$E:$E,5),SUMIFS('ON Data'!O:O,'ON Data'!$E:$E,5))</f>
        <v>0</v>
      </c>
      <c r="I14" s="234">
        <f xml:space="preserve">
IF($A$4&lt;=12,SUMIFS('ON Data'!V:V,'ON Data'!$D:$D,$A$4,'ON Data'!$E:$E,5),SUMIFS('ON Data'!V:V,'ON Data'!$E:$E,5))</f>
        <v>0</v>
      </c>
      <c r="J14" s="234">
        <f xml:space="preserve">
IF($A$4&lt;=12,SUMIFS('ON Data'!AJ:AJ,'ON Data'!$D:$D,$A$4,'ON Data'!$E:$E,5),SUMIFS('ON Data'!AJ:AJ,'ON Data'!$E:$E,5))</f>
        <v>0</v>
      </c>
      <c r="K14" s="234">
        <f xml:space="preserve">
IF($A$4&lt;=12,SUMIFS('ON Data'!AQ:AQ,'ON Data'!$D:$D,$A$4,'ON Data'!$E:$E,5),SUMIFS('ON Data'!AQ:AQ,'ON Data'!$E:$E,5))</f>
        <v>0</v>
      </c>
      <c r="L14" s="234">
        <f xml:space="preserve">
IF($A$4&lt;=12,SUMIFS('ON Data'!AR:AR,'ON Data'!$D:$D,$A$4,'ON Data'!$E:$E,5),SUMIFS('ON Data'!AR:AR,'ON Data'!$E:$E,5))</f>
        <v>0</v>
      </c>
      <c r="M14" s="463">
        <f xml:space="preserve">
IF($A$4&lt;=12,SUMIFS('ON Data'!AW:AW,'ON Data'!$D:$D,$A$4,'ON Data'!$E:$E,5),SUMIFS('ON Data'!AW:AW,'ON Data'!$E:$E,5))</f>
        <v>0</v>
      </c>
      <c r="N14" s="471"/>
    </row>
    <row r="15" spans="1:14" x14ac:dyDescent="0.3">
      <c r="A15" s="136" t="s">
        <v>164</v>
      </c>
      <c r="B15" s="235"/>
      <c r="C15" s="236"/>
      <c r="D15" s="237"/>
      <c r="E15" s="237"/>
      <c r="F15" s="237"/>
      <c r="G15" s="237"/>
      <c r="H15" s="237"/>
      <c r="I15" s="237"/>
      <c r="J15" s="237"/>
      <c r="K15" s="237"/>
      <c r="L15" s="237"/>
      <c r="M15" s="464"/>
      <c r="N15" s="471"/>
    </row>
    <row r="16" spans="1:14" x14ac:dyDescent="0.3">
      <c r="A16" s="214" t="s">
        <v>155</v>
      </c>
      <c r="B16" s="229">
        <f xml:space="preserve">
IF($A$4&lt;=12,SUMIFS('ON Data'!F:F,'ON Data'!$D:$D,$A$4,'ON Data'!$E:$E,7),SUMIFS('ON Data'!F:F,'ON Data'!$E:$E,7))</f>
        <v>0</v>
      </c>
      <c r="C16" s="230">
        <f xml:space="preserve">
IF($A$4&lt;=12,SUMIFS('ON Data'!G:G,'ON Data'!$D:$D,$A$4,'ON Data'!$E:$E,7),SUMIFS('ON Data'!G:G,'ON Data'!$E:$E,7))</f>
        <v>0</v>
      </c>
      <c r="D16" s="231">
        <f xml:space="preserve">
IF($A$4&lt;=12,SUMIFS('ON Data'!H:H,'ON Data'!$D:$D,$A$4,'ON Data'!$E:$E,7),SUMIFS('ON Data'!H:H,'ON Data'!$E:$E,7))</f>
        <v>0</v>
      </c>
      <c r="E16" s="231">
        <f xml:space="preserve">
IF($A$4&lt;=12,SUMIFS('ON Data'!I:I,'ON Data'!$D:$D,$A$4,'ON Data'!$E:$E,7),SUMIFS('ON Data'!I:I,'ON Data'!$E:$E,7))</f>
        <v>0</v>
      </c>
      <c r="F16" s="231">
        <f xml:space="preserve">
IF($A$4&lt;=12,SUMIFS('ON Data'!J:J,'ON Data'!$D:$D,$A$4,'ON Data'!$E:$E,7),SUMIFS('ON Data'!J:J,'ON Data'!$E:$E,7))</f>
        <v>0</v>
      </c>
      <c r="G16" s="231">
        <f xml:space="preserve">
IF($A$4&lt;=12,SUMIFS('ON Data'!K:K,'ON Data'!$D:$D,$A$4,'ON Data'!$E:$E,7),SUMIFS('ON Data'!K:K,'ON Data'!$E:$E,7))</f>
        <v>0</v>
      </c>
      <c r="H16" s="231">
        <f xml:space="preserve">
IF($A$4&lt;=12,SUMIFS('ON Data'!O:O,'ON Data'!$D:$D,$A$4,'ON Data'!$E:$E,7),SUMIFS('ON Data'!O:O,'ON Data'!$E:$E,7))</f>
        <v>0</v>
      </c>
      <c r="I16" s="231">
        <f xml:space="preserve">
IF($A$4&lt;=12,SUMIFS('ON Data'!V:V,'ON Data'!$D:$D,$A$4,'ON Data'!$E:$E,7),SUMIFS('ON Data'!V:V,'ON Data'!$E:$E,7))</f>
        <v>0</v>
      </c>
      <c r="J16" s="231">
        <f xml:space="preserve">
IF($A$4&lt;=12,SUMIFS('ON Data'!AJ:AJ,'ON Data'!$D:$D,$A$4,'ON Data'!$E:$E,7),SUMIFS('ON Data'!AJ:AJ,'ON Data'!$E:$E,7))</f>
        <v>0</v>
      </c>
      <c r="K16" s="231">
        <f xml:space="preserve">
IF($A$4&lt;=12,SUMIFS('ON Data'!AQ:AQ,'ON Data'!$D:$D,$A$4,'ON Data'!$E:$E,7),SUMIFS('ON Data'!AQ:AQ,'ON Data'!$E:$E,7))</f>
        <v>0</v>
      </c>
      <c r="L16" s="231">
        <f xml:space="preserve">
IF($A$4&lt;=12,SUMIFS('ON Data'!AR:AR,'ON Data'!$D:$D,$A$4,'ON Data'!$E:$E,7),SUMIFS('ON Data'!AR:AR,'ON Data'!$E:$E,7))</f>
        <v>0</v>
      </c>
      <c r="M16" s="462">
        <f xml:space="preserve">
IF($A$4&lt;=12,SUMIFS('ON Data'!AW:AW,'ON Data'!$D:$D,$A$4,'ON Data'!$E:$E,7),SUMIFS('ON Data'!AW:AW,'ON Data'!$E:$E,7))</f>
        <v>0</v>
      </c>
      <c r="N16" s="471"/>
    </row>
    <row r="17" spans="1:14" x14ac:dyDescent="0.3">
      <c r="A17" s="214" t="s">
        <v>156</v>
      </c>
      <c r="B17" s="229">
        <f xml:space="preserve">
IF($A$4&lt;=12,SUMIFS('ON Data'!F:F,'ON Data'!$D:$D,$A$4,'ON Data'!$E:$E,8),SUMIFS('ON Data'!F:F,'ON Data'!$E:$E,8))</f>
        <v>0</v>
      </c>
      <c r="C17" s="230">
        <f xml:space="preserve">
IF($A$4&lt;=12,SUMIFS('ON Data'!G:G,'ON Data'!$D:$D,$A$4,'ON Data'!$E:$E,8),SUMIFS('ON Data'!G:G,'ON Data'!$E:$E,8))</f>
        <v>0</v>
      </c>
      <c r="D17" s="231">
        <f xml:space="preserve">
IF($A$4&lt;=12,SUMIFS('ON Data'!H:H,'ON Data'!$D:$D,$A$4,'ON Data'!$E:$E,8),SUMIFS('ON Data'!H:H,'ON Data'!$E:$E,8))</f>
        <v>0</v>
      </c>
      <c r="E17" s="231">
        <f xml:space="preserve">
IF($A$4&lt;=12,SUMIFS('ON Data'!I:I,'ON Data'!$D:$D,$A$4,'ON Data'!$E:$E,8),SUMIFS('ON Data'!I:I,'ON Data'!$E:$E,8))</f>
        <v>0</v>
      </c>
      <c r="F17" s="231">
        <f xml:space="preserve">
IF($A$4&lt;=12,SUMIFS('ON Data'!J:J,'ON Data'!$D:$D,$A$4,'ON Data'!$E:$E,8),SUMIFS('ON Data'!J:J,'ON Data'!$E:$E,8))</f>
        <v>0</v>
      </c>
      <c r="G17" s="231">
        <f xml:space="preserve">
IF($A$4&lt;=12,SUMIFS('ON Data'!K:K,'ON Data'!$D:$D,$A$4,'ON Data'!$E:$E,8),SUMIFS('ON Data'!K:K,'ON Data'!$E:$E,8))</f>
        <v>0</v>
      </c>
      <c r="H17" s="231">
        <f xml:space="preserve">
IF($A$4&lt;=12,SUMIFS('ON Data'!O:O,'ON Data'!$D:$D,$A$4,'ON Data'!$E:$E,8),SUMIFS('ON Data'!O:O,'ON Data'!$E:$E,8))</f>
        <v>0</v>
      </c>
      <c r="I17" s="231">
        <f xml:space="preserve">
IF($A$4&lt;=12,SUMIFS('ON Data'!V:V,'ON Data'!$D:$D,$A$4,'ON Data'!$E:$E,8),SUMIFS('ON Data'!V:V,'ON Data'!$E:$E,8))</f>
        <v>0</v>
      </c>
      <c r="J17" s="231">
        <f xml:space="preserve">
IF($A$4&lt;=12,SUMIFS('ON Data'!AJ:AJ,'ON Data'!$D:$D,$A$4,'ON Data'!$E:$E,8),SUMIFS('ON Data'!AJ:AJ,'ON Data'!$E:$E,8))</f>
        <v>0</v>
      </c>
      <c r="K17" s="231">
        <f xml:space="preserve">
IF($A$4&lt;=12,SUMIFS('ON Data'!AQ:AQ,'ON Data'!$D:$D,$A$4,'ON Data'!$E:$E,8),SUMIFS('ON Data'!AQ:AQ,'ON Data'!$E:$E,8))</f>
        <v>0</v>
      </c>
      <c r="L17" s="231">
        <f xml:space="preserve">
IF($A$4&lt;=12,SUMIFS('ON Data'!AR:AR,'ON Data'!$D:$D,$A$4,'ON Data'!$E:$E,8),SUMIFS('ON Data'!AR:AR,'ON Data'!$E:$E,8))</f>
        <v>0</v>
      </c>
      <c r="M17" s="462">
        <f xml:space="preserve">
IF($A$4&lt;=12,SUMIFS('ON Data'!AW:AW,'ON Data'!$D:$D,$A$4,'ON Data'!$E:$E,8),SUMIFS('ON Data'!AW:AW,'ON Data'!$E:$E,8))</f>
        <v>0</v>
      </c>
      <c r="N17" s="471"/>
    </row>
    <row r="18" spans="1:14" x14ac:dyDescent="0.3">
      <c r="A18" s="214" t="s">
        <v>157</v>
      </c>
      <c r="B18" s="229">
        <f xml:space="preserve">
B19-B16-B17</f>
        <v>165006</v>
      </c>
      <c r="C18" s="230">
        <f t="shared" ref="C18:G18" si="0" xml:space="preserve">
C19-C16-C17</f>
        <v>0</v>
      </c>
      <c r="D18" s="231">
        <f t="shared" si="0"/>
        <v>0</v>
      </c>
      <c r="E18" s="231">
        <f t="shared" si="0"/>
        <v>11357</v>
      </c>
      <c r="F18" s="231">
        <f t="shared" si="0"/>
        <v>0</v>
      </c>
      <c r="G18" s="231">
        <f t="shared" si="0"/>
        <v>64790</v>
      </c>
      <c r="H18" s="231">
        <f t="shared" ref="H18:J18" si="1" xml:space="preserve">
H19-H16-H17</f>
        <v>0</v>
      </c>
      <c r="I18" s="231">
        <f t="shared" si="1"/>
        <v>10000</v>
      </c>
      <c r="J18" s="231">
        <f t="shared" si="1"/>
        <v>52929</v>
      </c>
      <c r="K18" s="231">
        <f t="shared" ref="K18:M18" si="2" xml:space="preserve">
K19-K16-K17</f>
        <v>4053</v>
      </c>
      <c r="L18" s="231">
        <f t="shared" si="2"/>
        <v>20184</v>
      </c>
      <c r="M18" s="462">
        <f t="shared" si="2"/>
        <v>1693</v>
      </c>
      <c r="N18" s="471"/>
    </row>
    <row r="19" spans="1:14" ht="15" thickBot="1" x14ac:dyDescent="0.35">
      <c r="A19" s="215" t="s">
        <v>158</v>
      </c>
      <c r="B19" s="238">
        <f xml:space="preserve">
IF($A$4&lt;=12,SUMIFS('ON Data'!F:F,'ON Data'!$D:$D,$A$4,'ON Data'!$E:$E,9),SUMIFS('ON Data'!F:F,'ON Data'!$E:$E,9))</f>
        <v>165006</v>
      </c>
      <c r="C19" s="239">
        <f xml:space="preserve">
IF($A$4&lt;=12,SUMIFS('ON Data'!G:G,'ON Data'!$D:$D,$A$4,'ON Data'!$E:$E,9),SUMIFS('ON Data'!G:G,'ON Data'!$E:$E,9))</f>
        <v>0</v>
      </c>
      <c r="D19" s="240">
        <f xml:space="preserve">
IF($A$4&lt;=12,SUMIFS('ON Data'!H:H,'ON Data'!$D:$D,$A$4,'ON Data'!$E:$E,9),SUMIFS('ON Data'!H:H,'ON Data'!$E:$E,9))</f>
        <v>0</v>
      </c>
      <c r="E19" s="240">
        <f xml:space="preserve">
IF($A$4&lt;=12,SUMIFS('ON Data'!I:I,'ON Data'!$D:$D,$A$4,'ON Data'!$E:$E,9),SUMIFS('ON Data'!I:I,'ON Data'!$E:$E,9))</f>
        <v>11357</v>
      </c>
      <c r="F19" s="240">
        <f xml:space="preserve">
IF($A$4&lt;=12,SUMIFS('ON Data'!J:J,'ON Data'!$D:$D,$A$4,'ON Data'!$E:$E,9),SUMIFS('ON Data'!J:J,'ON Data'!$E:$E,9))</f>
        <v>0</v>
      </c>
      <c r="G19" s="240">
        <f xml:space="preserve">
IF($A$4&lt;=12,SUMIFS('ON Data'!K:K,'ON Data'!$D:$D,$A$4,'ON Data'!$E:$E,9),SUMIFS('ON Data'!K:K,'ON Data'!$E:$E,9))</f>
        <v>64790</v>
      </c>
      <c r="H19" s="240">
        <f xml:space="preserve">
IF($A$4&lt;=12,SUMIFS('ON Data'!O:O,'ON Data'!$D:$D,$A$4,'ON Data'!$E:$E,9),SUMIFS('ON Data'!O:O,'ON Data'!$E:$E,9))</f>
        <v>0</v>
      </c>
      <c r="I19" s="240">
        <f xml:space="preserve">
IF($A$4&lt;=12,SUMIFS('ON Data'!V:V,'ON Data'!$D:$D,$A$4,'ON Data'!$E:$E,9),SUMIFS('ON Data'!V:V,'ON Data'!$E:$E,9))</f>
        <v>10000</v>
      </c>
      <c r="J19" s="240">
        <f xml:space="preserve">
IF($A$4&lt;=12,SUMIFS('ON Data'!AJ:AJ,'ON Data'!$D:$D,$A$4,'ON Data'!$E:$E,9),SUMIFS('ON Data'!AJ:AJ,'ON Data'!$E:$E,9))</f>
        <v>52929</v>
      </c>
      <c r="K19" s="240">
        <f xml:space="preserve">
IF($A$4&lt;=12,SUMIFS('ON Data'!AQ:AQ,'ON Data'!$D:$D,$A$4,'ON Data'!$E:$E,9),SUMIFS('ON Data'!AQ:AQ,'ON Data'!$E:$E,9))</f>
        <v>4053</v>
      </c>
      <c r="L19" s="240">
        <f xml:space="preserve">
IF($A$4&lt;=12,SUMIFS('ON Data'!AR:AR,'ON Data'!$D:$D,$A$4,'ON Data'!$E:$E,9),SUMIFS('ON Data'!AR:AR,'ON Data'!$E:$E,9))</f>
        <v>20184</v>
      </c>
      <c r="M19" s="465">
        <f xml:space="preserve">
IF($A$4&lt;=12,SUMIFS('ON Data'!AW:AW,'ON Data'!$D:$D,$A$4,'ON Data'!$E:$E,9),SUMIFS('ON Data'!AW:AW,'ON Data'!$E:$E,9))</f>
        <v>1693</v>
      </c>
      <c r="N19" s="471"/>
    </row>
    <row r="20" spans="1:14" ht="15" collapsed="1" thickBot="1" x14ac:dyDescent="0.35">
      <c r="A20" s="216" t="s">
        <v>59</v>
      </c>
      <c r="B20" s="241">
        <f xml:space="preserve">
IF($A$4&lt;=12,SUMIFS('ON Data'!F:F,'ON Data'!$D:$D,$A$4,'ON Data'!$E:$E,6),SUMIFS('ON Data'!F:F,'ON Data'!$E:$E,6))</f>
        <v>5401019</v>
      </c>
      <c r="C20" s="242">
        <f xml:space="preserve">
IF($A$4&lt;=12,SUMIFS('ON Data'!G:G,'ON Data'!$D:$D,$A$4,'ON Data'!$E:$E,6),SUMIFS('ON Data'!G:G,'ON Data'!$E:$E,6))</f>
        <v>472330</v>
      </c>
      <c r="D20" s="243">
        <f xml:space="preserve">
IF($A$4&lt;=12,SUMIFS('ON Data'!H:H,'ON Data'!$D:$D,$A$4,'ON Data'!$E:$E,6),SUMIFS('ON Data'!H:H,'ON Data'!$E:$E,6))</f>
        <v>48493</v>
      </c>
      <c r="E20" s="243">
        <f xml:space="preserve">
IF($A$4&lt;=12,SUMIFS('ON Data'!I:I,'ON Data'!$D:$D,$A$4,'ON Data'!$E:$E,6),SUMIFS('ON Data'!I:I,'ON Data'!$E:$E,6))</f>
        <v>124843</v>
      </c>
      <c r="F20" s="243">
        <f xml:space="preserve">
IF($A$4&lt;=12,SUMIFS('ON Data'!J:J,'ON Data'!$D:$D,$A$4,'ON Data'!$E:$E,6),SUMIFS('ON Data'!J:J,'ON Data'!$E:$E,6))</f>
        <v>68742</v>
      </c>
      <c r="G20" s="243">
        <f xml:space="preserve">
IF($A$4&lt;=12,SUMIFS('ON Data'!K:K,'ON Data'!$D:$D,$A$4,'ON Data'!$E:$E,6),SUMIFS('ON Data'!K:K,'ON Data'!$E:$E,6))</f>
        <v>1325149</v>
      </c>
      <c r="H20" s="243">
        <f xml:space="preserve">
IF($A$4&lt;=12,SUMIFS('ON Data'!O:O,'ON Data'!$D:$D,$A$4,'ON Data'!$E:$E,6),SUMIFS('ON Data'!O:O,'ON Data'!$E:$E,6))</f>
        <v>0</v>
      </c>
      <c r="I20" s="243">
        <f xml:space="preserve">
IF($A$4&lt;=12,SUMIFS('ON Data'!V:V,'ON Data'!$D:$D,$A$4,'ON Data'!$E:$E,6),SUMIFS('ON Data'!V:V,'ON Data'!$E:$E,6))</f>
        <v>1221806</v>
      </c>
      <c r="J20" s="243">
        <f xml:space="preserve">
IF($A$4&lt;=12,SUMIFS('ON Data'!AJ:AJ,'ON Data'!$D:$D,$A$4,'ON Data'!$E:$E,6),SUMIFS('ON Data'!AJ:AJ,'ON Data'!$E:$E,6))</f>
        <v>1301650</v>
      </c>
      <c r="K20" s="243">
        <f xml:space="preserve">
IF($A$4&lt;=12,SUMIFS('ON Data'!AQ:AQ,'ON Data'!$D:$D,$A$4,'ON Data'!$E:$E,6),SUMIFS('ON Data'!AQ:AQ,'ON Data'!$E:$E,6))</f>
        <v>10996</v>
      </c>
      <c r="L20" s="243">
        <f xml:space="preserve">
IF($A$4&lt;=12,SUMIFS('ON Data'!AR:AR,'ON Data'!$D:$D,$A$4,'ON Data'!$E:$E,6),SUMIFS('ON Data'!AR:AR,'ON Data'!$E:$E,6))</f>
        <v>527508</v>
      </c>
      <c r="M20" s="466">
        <f xml:space="preserve">
IF($A$4&lt;=12,SUMIFS('ON Data'!AW:AW,'ON Data'!$D:$D,$A$4,'ON Data'!$E:$E,6),SUMIFS('ON Data'!AW:AW,'ON Data'!$E:$E,6))</f>
        <v>299502</v>
      </c>
      <c r="N20" s="471"/>
    </row>
    <row r="21" spans="1:14" ht="15" hidden="1" outlineLevel="1" thickBot="1" x14ac:dyDescent="0.35">
      <c r="A21" s="209" t="s">
        <v>93</v>
      </c>
      <c r="B21" s="229">
        <f xml:space="preserve">
IF($A$4&lt;=12,SUMIFS('ON Data'!F:F,'ON Data'!$D:$D,$A$4,'ON Data'!$E:$E,12),SUMIFS('ON Data'!F:F,'ON Data'!$E:$E,12))</f>
        <v>0</v>
      </c>
      <c r="C21" s="230">
        <f xml:space="preserve">
IF($A$4&lt;=12,SUMIFS('ON Data'!G:G,'ON Data'!$D:$D,$A$4,'ON Data'!$E:$E,12),SUMIFS('ON Data'!G:G,'ON Data'!$E:$E,12))</f>
        <v>0</v>
      </c>
      <c r="D21" s="231">
        <f xml:space="preserve">
IF($A$4&lt;=12,SUMIFS('ON Data'!H:H,'ON Data'!$D:$D,$A$4,'ON Data'!$E:$E,12),SUMIFS('ON Data'!H:H,'ON Data'!$E:$E,12))</f>
        <v>0</v>
      </c>
      <c r="E21" s="231">
        <f xml:space="preserve">
IF($A$4&lt;=12,SUMIFS('ON Data'!I:I,'ON Data'!$D:$D,$A$4,'ON Data'!$E:$E,12),SUMIFS('ON Data'!I:I,'ON Data'!$E:$E,12))</f>
        <v>0</v>
      </c>
      <c r="F21" s="231">
        <f xml:space="preserve">
IF($A$4&lt;=12,SUMIFS('ON Data'!J:J,'ON Data'!$D:$D,$A$4,'ON Data'!$E:$E,12),SUMIFS('ON Data'!J:J,'ON Data'!$E:$E,12))</f>
        <v>0</v>
      </c>
      <c r="G21" s="231">
        <f xml:space="preserve">
IF($A$4&lt;=12,SUMIFS('ON Data'!K:K,'ON Data'!$D:$D,$A$4,'ON Data'!$E:$E,12),SUMIFS('ON Data'!K:K,'ON Data'!$E:$E,12))</f>
        <v>0</v>
      </c>
      <c r="H21" s="231">
        <f xml:space="preserve">
IF($A$4&lt;=12,SUMIFS('ON Data'!O:O,'ON Data'!$D:$D,$A$4,'ON Data'!$E:$E,12),SUMIFS('ON Data'!O:O,'ON Data'!$E:$E,12))</f>
        <v>0</v>
      </c>
      <c r="I21" s="231">
        <f xml:space="preserve">
IF($A$4&lt;=12,SUMIFS('ON Data'!V:V,'ON Data'!$D:$D,$A$4,'ON Data'!$E:$E,12),SUMIFS('ON Data'!V:V,'ON Data'!$E:$E,12))</f>
        <v>0</v>
      </c>
      <c r="J21" s="231">
        <f xml:space="preserve">
IF($A$4&lt;=12,SUMIFS('ON Data'!AJ:AJ,'ON Data'!$D:$D,$A$4,'ON Data'!$E:$E,12),SUMIFS('ON Data'!AJ:AJ,'ON Data'!$E:$E,12))</f>
        <v>0</v>
      </c>
      <c r="N21" s="471"/>
    </row>
    <row r="22" spans="1:14" ht="15" hidden="1" outlineLevel="1" thickBot="1" x14ac:dyDescent="0.35">
      <c r="A22" s="209" t="s">
        <v>61</v>
      </c>
      <c r="B22" s="285" t="str">
        <f xml:space="preserve">
IF(OR(B21="",B21=0),"",B20/B21)</f>
        <v/>
      </c>
      <c r="C22" s="286" t="str">
        <f t="shared" ref="C22:G22" si="3" xml:space="preserve">
IF(OR(C21="",C21=0),"",C20/C21)</f>
        <v/>
      </c>
      <c r="D22" s="287" t="str">
        <f t="shared" si="3"/>
        <v/>
      </c>
      <c r="E22" s="287" t="str">
        <f t="shared" si="3"/>
        <v/>
      </c>
      <c r="F22" s="287" t="str">
        <f t="shared" si="3"/>
        <v/>
      </c>
      <c r="G22" s="287" t="str">
        <f t="shared" si="3"/>
        <v/>
      </c>
      <c r="H22" s="287" t="str">
        <f t="shared" ref="H22:J22" si="4" xml:space="preserve">
IF(OR(H21="",H21=0),"",H20/H21)</f>
        <v/>
      </c>
      <c r="I22" s="287" t="str">
        <f t="shared" si="4"/>
        <v/>
      </c>
      <c r="J22" s="287" t="str">
        <f t="shared" si="4"/>
        <v/>
      </c>
      <c r="N22" s="471"/>
    </row>
    <row r="23" spans="1:14" ht="15" hidden="1" outlineLevel="1" thickBot="1" x14ac:dyDescent="0.35">
      <c r="A23" s="217" t="s">
        <v>54</v>
      </c>
      <c r="B23" s="232">
        <f xml:space="preserve">
IF(B21="","",B20-B21)</f>
        <v>5401019</v>
      </c>
      <c r="C23" s="233">
        <f t="shared" ref="C23:G23" si="5" xml:space="preserve">
IF(C21="","",C20-C21)</f>
        <v>472330</v>
      </c>
      <c r="D23" s="234">
        <f t="shared" si="5"/>
        <v>48493</v>
      </c>
      <c r="E23" s="234">
        <f t="shared" si="5"/>
        <v>124843</v>
      </c>
      <c r="F23" s="234">
        <f t="shared" si="5"/>
        <v>68742</v>
      </c>
      <c r="G23" s="234">
        <f t="shared" si="5"/>
        <v>1325149</v>
      </c>
      <c r="H23" s="234">
        <f t="shared" ref="H23:J23" si="6" xml:space="preserve">
IF(H21="","",H20-H21)</f>
        <v>0</v>
      </c>
      <c r="I23" s="234">
        <f t="shared" si="6"/>
        <v>1221806</v>
      </c>
      <c r="J23" s="234">
        <f t="shared" si="6"/>
        <v>1301650</v>
      </c>
      <c r="N23" s="471"/>
    </row>
    <row r="24" spans="1:14" x14ac:dyDescent="0.3">
      <c r="A24" s="211" t="s">
        <v>159</v>
      </c>
      <c r="B24" s="258" t="s">
        <v>3</v>
      </c>
      <c r="C24" s="472" t="s">
        <v>170</v>
      </c>
      <c r="D24" s="442"/>
      <c r="E24" s="443"/>
      <c r="F24" s="443"/>
      <c r="G24" s="444"/>
      <c r="H24" s="443" t="s">
        <v>171</v>
      </c>
      <c r="I24" s="445"/>
      <c r="J24" s="445"/>
      <c r="K24" s="445"/>
      <c r="L24" s="445"/>
      <c r="M24" s="467" t="s">
        <v>172</v>
      </c>
      <c r="N24" s="471"/>
    </row>
    <row r="25" spans="1:14" x14ac:dyDescent="0.3">
      <c r="A25" s="212" t="s">
        <v>59</v>
      </c>
      <c r="B25" s="229">
        <f xml:space="preserve">
SUM(C25:M25)</f>
        <v>5465</v>
      </c>
      <c r="C25" s="473">
        <f xml:space="preserve">
IF($A$4&lt;=12,SUMIFS('ON Data'!J:J,'ON Data'!$D:$D,$A$4,'ON Data'!$E:$E,10),SUMIFS('ON Data'!J:J,'ON Data'!$E:$E,10))</f>
        <v>110</v>
      </c>
      <c r="D25" s="446"/>
      <c r="E25" s="447"/>
      <c r="F25" s="447"/>
      <c r="G25" s="448"/>
      <c r="H25" s="447">
        <f xml:space="preserve">
IF($A$4&lt;=12,SUMIFS('ON Data'!O:O,'ON Data'!$D:$D,$A$4,'ON Data'!$E:$E,10),SUMIFS('ON Data'!O:O,'ON Data'!$E:$E,10))</f>
        <v>5355</v>
      </c>
      <c r="I25" s="448"/>
      <c r="J25" s="448"/>
      <c r="K25" s="448"/>
      <c r="L25" s="448"/>
      <c r="M25" s="468">
        <f xml:space="preserve">
IF($A$4&lt;=12,SUMIFS('ON Data'!AW:AW,'ON Data'!$D:$D,$A$4,'ON Data'!$E:$E,10),SUMIFS('ON Data'!AW:AW,'ON Data'!$E:$E,10))</f>
        <v>0</v>
      </c>
      <c r="N25" s="471"/>
    </row>
    <row r="26" spans="1:14" x14ac:dyDescent="0.3">
      <c r="A26" s="218" t="s">
        <v>169</v>
      </c>
      <c r="B26" s="238">
        <f xml:space="preserve">
SUM(C26:M26)</f>
        <v>12929.389312977099</v>
      </c>
      <c r="C26" s="473">
        <f xml:space="preserve">
IF($A$4&lt;=12,SUMIFS('ON Data'!J:J,'ON Data'!$D:$D,$A$4,'ON Data'!$E:$E,11),SUMIFS('ON Data'!J:J,'ON Data'!$E:$E,11))</f>
        <v>6679.3893129770995</v>
      </c>
      <c r="D26" s="446"/>
      <c r="E26" s="447"/>
      <c r="F26" s="447"/>
      <c r="G26" s="448"/>
      <c r="H26" s="449">
        <f xml:space="preserve">
IF($A$4&lt;=12,SUMIFS('ON Data'!O:O,'ON Data'!$D:$D,$A$4,'ON Data'!$E:$E,11),SUMIFS('ON Data'!O:O,'ON Data'!$E:$E,11))</f>
        <v>6250</v>
      </c>
      <c r="I26" s="450"/>
      <c r="J26" s="450"/>
      <c r="K26" s="450"/>
      <c r="L26" s="450"/>
      <c r="M26" s="468">
        <f xml:space="preserve">
IF($A$4&lt;=12,SUMIFS('ON Data'!AW:AW,'ON Data'!$D:$D,$A$4,'ON Data'!$E:$E,11),SUMIFS('ON Data'!AW:AW,'ON Data'!$E:$E,11))</f>
        <v>0</v>
      </c>
      <c r="N26" s="471"/>
    </row>
    <row r="27" spans="1:14" x14ac:dyDescent="0.3">
      <c r="A27" s="218" t="s">
        <v>61</v>
      </c>
      <c r="B27" s="259">
        <f xml:space="preserve">
IF(B26=0,0,B25/B26)</f>
        <v>0.42268044280442807</v>
      </c>
      <c r="C27" s="474">
        <f xml:space="preserve">
IF(C26=0,0,C25/C26)</f>
        <v>1.646857142857143E-2</v>
      </c>
      <c r="D27" s="451"/>
      <c r="E27" s="452"/>
      <c r="F27" s="452"/>
      <c r="G27" s="448"/>
      <c r="H27" s="452">
        <f xml:space="preserve">
IF(H26=0,0,H25/H26)</f>
        <v>0.85680000000000001</v>
      </c>
      <c r="I27" s="448"/>
      <c r="J27" s="448"/>
      <c r="K27" s="448"/>
      <c r="L27" s="448"/>
      <c r="M27" s="469">
        <f xml:space="preserve">
IF(M26=0,0,M25/M26)</f>
        <v>0</v>
      </c>
      <c r="N27" s="471"/>
    </row>
    <row r="28" spans="1:14" ht="15" thickBot="1" x14ac:dyDescent="0.35">
      <c r="A28" s="218" t="s">
        <v>168</v>
      </c>
      <c r="B28" s="238">
        <f xml:space="preserve">
SUM(C28:M28)</f>
        <v>7464.3893129770995</v>
      </c>
      <c r="C28" s="475">
        <f xml:space="preserve">
C26-C25</f>
        <v>6569.3893129770995</v>
      </c>
      <c r="D28" s="453"/>
      <c r="E28" s="454"/>
      <c r="F28" s="454"/>
      <c r="G28" s="455"/>
      <c r="H28" s="454">
        <f xml:space="preserve">
H26-H25</f>
        <v>895</v>
      </c>
      <c r="I28" s="455"/>
      <c r="J28" s="455"/>
      <c r="K28" s="455"/>
      <c r="L28" s="455"/>
      <c r="M28" s="470">
        <f xml:space="preserve">
M26-M25</f>
        <v>0</v>
      </c>
      <c r="N28" s="471"/>
    </row>
    <row r="29" spans="1:14" x14ac:dyDescent="0.3">
      <c r="A29" s="219"/>
      <c r="B29" s="219"/>
      <c r="C29" s="220"/>
      <c r="D29" s="219"/>
      <c r="E29" s="219"/>
      <c r="F29" s="220"/>
      <c r="G29" s="220"/>
      <c r="H29" s="220"/>
      <c r="I29" s="220"/>
      <c r="J29" s="220"/>
    </row>
    <row r="30" spans="1:14" x14ac:dyDescent="0.3">
      <c r="A30" s="88" t="s">
        <v>128</v>
      </c>
      <c r="B30" s="105"/>
      <c r="C30" s="105"/>
      <c r="D30" s="105"/>
      <c r="E30" s="105"/>
      <c r="F30" s="105"/>
      <c r="G30" s="105"/>
      <c r="H30" s="105"/>
      <c r="I30" s="105"/>
      <c r="J30" s="105"/>
    </row>
    <row r="31" spans="1:14" x14ac:dyDescent="0.3">
      <c r="A31" s="89" t="s">
        <v>166</v>
      </c>
      <c r="B31" s="105"/>
      <c r="C31" s="105"/>
      <c r="D31" s="105"/>
      <c r="E31" s="105"/>
      <c r="F31" s="105"/>
      <c r="G31" s="105"/>
      <c r="H31" s="105"/>
      <c r="I31" s="105"/>
      <c r="J31" s="105"/>
    </row>
    <row r="32" spans="1:14" ht="14.4" customHeight="1" x14ac:dyDescent="0.3">
      <c r="A32" s="255" t="s">
        <v>163</v>
      </c>
      <c r="B32" s="256"/>
      <c r="C32" s="256"/>
      <c r="D32" s="256"/>
      <c r="E32" s="256"/>
      <c r="F32" s="256"/>
      <c r="G32" s="256"/>
      <c r="H32" s="256"/>
      <c r="I32" s="256"/>
      <c r="J32" s="256"/>
    </row>
    <row r="33" spans="1:1" x14ac:dyDescent="0.3">
      <c r="A33" s="257" t="s">
        <v>198</v>
      </c>
    </row>
    <row r="34" spans="1:1" x14ac:dyDescent="0.3">
      <c r="A34" s="257" t="s">
        <v>199</v>
      </c>
    </row>
    <row r="35" spans="1:1" x14ac:dyDescent="0.3">
      <c r="A35" s="257" t="s">
        <v>200</v>
      </c>
    </row>
    <row r="36" spans="1:1" x14ac:dyDescent="0.3">
      <c r="A36" s="257" t="s">
        <v>173</v>
      </c>
    </row>
  </sheetData>
  <mergeCells count="12">
    <mergeCell ref="B3:B4"/>
    <mergeCell ref="A1:M1"/>
    <mergeCell ref="C27:G27"/>
    <mergeCell ref="C28:G28"/>
    <mergeCell ref="H27:L27"/>
    <mergeCell ref="H28:L28"/>
    <mergeCell ref="C24:G24"/>
    <mergeCell ref="C25:G25"/>
    <mergeCell ref="C26:G26"/>
    <mergeCell ref="H24:L24"/>
    <mergeCell ref="H25:L25"/>
    <mergeCell ref="H26:L26"/>
  </mergeCells>
  <conditionalFormatting sqref="C27">
    <cfRule type="cellIs" dxfId="8" priority="8" operator="greaterThan">
      <formula>1</formula>
    </cfRule>
  </conditionalFormatting>
  <conditionalFormatting sqref="C28">
    <cfRule type="cellIs" dxfId="7" priority="7" operator="lessThan">
      <formula>0</formula>
    </cfRule>
  </conditionalFormatting>
  <conditionalFormatting sqref="B22:J22">
    <cfRule type="cellIs" dxfId="6" priority="6" operator="greaterThan">
      <formula>1</formula>
    </cfRule>
  </conditionalFormatting>
  <conditionalFormatting sqref="B23:J23">
    <cfRule type="cellIs" dxfId="5" priority="5" operator="greaterThan">
      <formula>0</formula>
    </cfRule>
  </conditionalFormatting>
  <conditionalFormatting sqref="M27">
    <cfRule type="cellIs" dxfId="4" priority="4" operator="greaterThan">
      <formula>1</formula>
    </cfRule>
  </conditionalFormatting>
  <conditionalFormatting sqref="M28">
    <cfRule type="cellIs" dxfId="3" priority="3" operator="lessThan">
      <formula>0</formula>
    </cfRule>
  </conditionalFormatting>
  <conditionalFormatting sqref="H28">
    <cfRule type="cellIs" dxfId="2" priority="1" operator="lessThan">
      <formula>0</formula>
    </cfRule>
  </conditionalFormatting>
  <conditionalFormatting sqref="H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47"/>
  <sheetViews>
    <sheetView showGridLines="0" showRowColHeaders="0" workbookViewId="0"/>
  </sheetViews>
  <sheetFormatPr defaultRowHeight="14.4" x14ac:dyDescent="0.3"/>
  <cols>
    <col min="1" max="16384" width="8.88671875" style="198"/>
  </cols>
  <sheetData>
    <row r="1" spans="1:49" x14ac:dyDescent="0.3">
      <c r="A1" s="198" t="s">
        <v>610</v>
      </c>
    </row>
    <row r="2" spans="1:49" x14ac:dyDescent="0.3">
      <c r="A2" s="202" t="s">
        <v>222</v>
      </c>
    </row>
    <row r="3" spans="1:49" x14ac:dyDescent="0.3">
      <c r="A3" s="198" t="s">
        <v>133</v>
      </c>
      <c r="B3" s="223">
        <v>2016</v>
      </c>
      <c r="D3" s="199">
        <f>MAX(D5:D1048576)</f>
        <v>5</v>
      </c>
      <c r="F3" s="199">
        <f>SUMIF($E5:$E1048576,"&lt;10",F5:F1048576)</f>
        <v>5592081.5999999996</v>
      </c>
      <c r="G3" s="199">
        <f t="shared" ref="G3:AW3" si="0">SUMIF($E5:$E1048576,"&lt;10",G5:G1048576)</f>
        <v>476279</v>
      </c>
      <c r="H3" s="199">
        <f t="shared" si="0"/>
        <v>48871.5</v>
      </c>
      <c r="I3" s="199">
        <f t="shared" si="0"/>
        <v>136847.20000000001</v>
      </c>
      <c r="J3" s="199">
        <f t="shared" si="0"/>
        <v>68973.799999999988</v>
      </c>
      <c r="K3" s="199">
        <f t="shared" si="0"/>
        <v>1393638</v>
      </c>
      <c r="L3" s="199">
        <f t="shared" si="0"/>
        <v>0</v>
      </c>
      <c r="M3" s="199">
        <f t="shared" si="0"/>
        <v>0</v>
      </c>
      <c r="N3" s="199">
        <f t="shared" si="0"/>
        <v>0</v>
      </c>
      <c r="O3" s="199">
        <f t="shared" si="0"/>
        <v>0</v>
      </c>
      <c r="P3" s="199">
        <f t="shared" si="0"/>
        <v>0</v>
      </c>
      <c r="Q3" s="199">
        <f t="shared" si="0"/>
        <v>0</v>
      </c>
      <c r="R3" s="199">
        <f t="shared" si="0"/>
        <v>0</v>
      </c>
      <c r="S3" s="199">
        <f t="shared" si="0"/>
        <v>0</v>
      </c>
      <c r="T3" s="199">
        <f t="shared" si="0"/>
        <v>0</v>
      </c>
      <c r="U3" s="199">
        <f t="shared" si="0"/>
        <v>0</v>
      </c>
      <c r="V3" s="199">
        <f t="shared" si="0"/>
        <v>1238876</v>
      </c>
      <c r="W3" s="199">
        <f t="shared" si="0"/>
        <v>0</v>
      </c>
      <c r="X3" s="199">
        <f t="shared" si="0"/>
        <v>0</v>
      </c>
      <c r="Y3" s="199">
        <f t="shared" si="0"/>
        <v>0</v>
      </c>
      <c r="Z3" s="199">
        <f t="shared" si="0"/>
        <v>0</v>
      </c>
      <c r="AA3" s="199">
        <f t="shared" si="0"/>
        <v>0</v>
      </c>
      <c r="AB3" s="199">
        <f t="shared" si="0"/>
        <v>0</v>
      </c>
      <c r="AC3" s="199">
        <f t="shared" si="0"/>
        <v>0</v>
      </c>
      <c r="AD3" s="199">
        <f t="shared" si="0"/>
        <v>0</v>
      </c>
      <c r="AE3" s="199">
        <f t="shared" si="0"/>
        <v>0</v>
      </c>
      <c r="AF3" s="199">
        <f t="shared" si="0"/>
        <v>0</v>
      </c>
      <c r="AG3" s="199">
        <f t="shared" si="0"/>
        <v>0</v>
      </c>
      <c r="AH3" s="199">
        <f t="shared" si="0"/>
        <v>0</v>
      </c>
      <c r="AI3" s="199">
        <f t="shared" si="0"/>
        <v>0</v>
      </c>
      <c r="AJ3" s="199">
        <f t="shared" si="0"/>
        <v>1358710.6</v>
      </c>
      <c r="AK3" s="199">
        <f t="shared" si="0"/>
        <v>0</v>
      </c>
      <c r="AL3" s="199">
        <f t="shared" si="0"/>
        <v>0</v>
      </c>
      <c r="AM3" s="199">
        <f t="shared" si="0"/>
        <v>0</v>
      </c>
      <c r="AN3" s="199">
        <f t="shared" si="0"/>
        <v>0</v>
      </c>
      <c r="AO3" s="199">
        <f t="shared" si="0"/>
        <v>0</v>
      </c>
      <c r="AP3" s="199">
        <f t="shared" si="0"/>
        <v>0</v>
      </c>
      <c r="AQ3" s="199">
        <f t="shared" si="0"/>
        <v>15060</v>
      </c>
      <c r="AR3" s="199">
        <f t="shared" si="0"/>
        <v>551690</v>
      </c>
      <c r="AS3" s="199">
        <f t="shared" si="0"/>
        <v>0</v>
      </c>
      <c r="AT3" s="199">
        <f t="shared" si="0"/>
        <v>0</v>
      </c>
      <c r="AU3" s="199">
        <f t="shared" si="0"/>
        <v>0</v>
      </c>
      <c r="AV3" s="199">
        <f t="shared" si="0"/>
        <v>0</v>
      </c>
      <c r="AW3" s="199">
        <f t="shared" si="0"/>
        <v>303135.5</v>
      </c>
    </row>
    <row r="4" spans="1:49" x14ac:dyDescent="0.3">
      <c r="A4" s="198" t="s">
        <v>134</v>
      </c>
      <c r="B4" s="223">
        <v>1</v>
      </c>
      <c r="C4" s="200" t="s">
        <v>5</v>
      </c>
      <c r="D4" s="201" t="s">
        <v>53</v>
      </c>
      <c r="E4" s="201" t="s">
        <v>132</v>
      </c>
      <c r="F4" s="201" t="s">
        <v>3</v>
      </c>
      <c r="G4" s="201">
        <v>0</v>
      </c>
      <c r="H4" s="201">
        <v>25</v>
      </c>
      <c r="I4" s="201">
        <v>99</v>
      </c>
      <c r="J4" s="201">
        <v>100</v>
      </c>
      <c r="K4" s="201">
        <v>101</v>
      </c>
      <c r="L4" s="201">
        <v>102</v>
      </c>
      <c r="M4" s="201">
        <v>103</v>
      </c>
      <c r="N4" s="201">
        <v>203</v>
      </c>
      <c r="O4" s="201">
        <v>302</v>
      </c>
      <c r="P4" s="201">
        <v>303</v>
      </c>
      <c r="Q4" s="201">
        <v>304</v>
      </c>
      <c r="R4" s="201">
        <v>305</v>
      </c>
      <c r="S4" s="201">
        <v>306</v>
      </c>
      <c r="T4" s="201">
        <v>407</v>
      </c>
      <c r="U4" s="201">
        <v>408</v>
      </c>
      <c r="V4" s="201">
        <v>409</v>
      </c>
      <c r="W4" s="201">
        <v>410</v>
      </c>
      <c r="X4" s="201">
        <v>415</v>
      </c>
      <c r="Y4" s="201">
        <v>416</v>
      </c>
      <c r="Z4" s="201">
        <v>418</v>
      </c>
      <c r="AA4" s="201">
        <v>419</v>
      </c>
      <c r="AB4" s="201">
        <v>420</v>
      </c>
      <c r="AC4" s="201">
        <v>421</v>
      </c>
      <c r="AD4" s="201">
        <v>520</v>
      </c>
      <c r="AE4" s="201">
        <v>521</v>
      </c>
      <c r="AF4" s="201">
        <v>522</v>
      </c>
      <c r="AG4" s="201">
        <v>523</v>
      </c>
      <c r="AH4" s="201">
        <v>524</v>
      </c>
      <c r="AI4" s="201">
        <v>525</v>
      </c>
      <c r="AJ4" s="201">
        <v>526</v>
      </c>
      <c r="AK4" s="201">
        <v>527</v>
      </c>
      <c r="AL4" s="201">
        <v>528</v>
      </c>
      <c r="AM4" s="201">
        <v>629</v>
      </c>
      <c r="AN4" s="201">
        <v>630</v>
      </c>
      <c r="AO4" s="201">
        <v>636</v>
      </c>
      <c r="AP4" s="201">
        <v>637</v>
      </c>
      <c r="AQ4" s="201">
        <v>640</v>
      </c>
      <c r="AR4" s="201">
        <v>642</v>
      </c>
      <c r="AS4" s="201">
        <v>743</v>
      </c>
      <c r="AT4" s="201">
        <v>745</v>
      </c>
      <c r="AU4" s="201">
        <v>746</v>
      </c>
      <c r="AV4" s="201">
        <v>747</v>
      </c>
      <c r="AW4" s="201">
        <v>930</v>
      </c>
    </row>
    <row r="5" spans="1:49" x14ac:dyDescent="0.3">
      <c r="A5" s="198" t="s">
        <v>135</v>
      </c>
      <c r="B5" s="223">
        <v>2</v>
      </c>
      <c r="C5" s="198">
        <v>38</v>
      </c>
      <c r="D5" s="198">
        <v>1</v>
      </c>
      <c r="E5" s="198">
        <v>1</v>
      </c>
      <c r="F5" s="198">
        <v>27.4</v>
      </c>
      <c r="G5" s="198">
        <v>0</v>
      </c>
      <c r="H5" s="198">
        <v>0.5</v>
      </c>
      <c r="I5" s="198">
        <v>0.8</v>
      </c>
      <c r="J5" s="198">
        <v>0.6</v>
      </c>
      <c r="K5" s="198">
        <v>5</v>
      </c>
      <c r="L5" s="198">
        <v>0</v>
      </c>
      <c r="M5" s="198">
        <v>0</v>
      </c>
      <c r="N5" s="198">
        <v>0</v>
      </c>
      <c r="O5" s="198">
        <v>0</v>
      </c>
      <c r="P5" s="198">
        <v>0</v>
      </c>
      <c r="Q5" s="198">
        <v>0</v>
      </c>
      <c r="R5" s="198">
        <v>0</v>
      </c>
      <c r="S5" s="198">
        <v>0</v>
      </c>
      <c r="T5" s="198">
        <v>0</v>
      </c>
      <c r="U5" s="198">
        <v>0</v>
      </c>
      <c r="V5" s="198">
        <v>9</v>
      </c>
      <c r="W5" s="198">
        <v>0</v>
      </c>
      <c r="X5" s="198">
        <v>0</v>
      </c>
      <c r="Y5" s="198">
        <v>0</v>
      </c>
      <c r="Z5" s="198">
        <v>0</v>
      </c>
      <c r="AA5" s="198">
        <v>0</v>
      </c>
      <c r="AB5" s="198">
        <v>0</v>
      </c>
      <c r="AC5" s="198">
        <v>0</v>
      </c>
      <c r="AD5" s="198">
        <v>0</v>
      </c>
      <c r="AE5" s="198">
        <v>0</v>
      </c>
      <c r="AF5" s="198">
        <v>0</v>
      </c>
      <c r="AG5" s="198">
        <v>0</v>
      </c>
      <c r="AH5" s="198">
        <v>0</v>
      </c>
      <c r="AI5" s="198">
        <v>0</v>
      </c>
      <c r="AJ5" s="198">
        <v>4</v>
      </c>
      <c r="AK5" s="198">
        <v>0</v>
      </c>
      <c r="AL5" s="198">
        <v>0</v>
      </c>
      <c r="AM5" s="198">
        <v>0</v>
      </c>
      <c r="AN5" s="198">
        <v>0</v>
      </c>
      <c r="AO5" s="198">
        <v>0</v>
      </c>
      <c r="AP5" s="198">
        <v>0</v>
      </c>
      <c r="AQ5" s="198">
        <v>0</v>
      </c>
      <c r="AR5" s="198">
        <v>5</v>
      </c>
      <c r="AS5" s="198">
        <v>0</v>
      </c>
      <c r="AT5" s="198">
        <v>0</v>
      </c>
      <c r="AU5" s="198">
        <v>0</v>
      </c>
      <c r="AV5" s="198">
        <v>0</v>
      </c>
      <c r="AW5" s="198">
        <v>2.5</v>
      </c>
    </row>
    <row r="6" spans="1:49" x14ac:dyDescent="0.3">
      <c r="A6" s="198" t="s">
        <v>136</v>
      </c>
      <c r="B6" s="223">
        <v>3</v>
      </c>
      <c r="C6" s="198">
        <v>38</v>
      </c>
      <c r="D6" s="198">
        <v>1</v>
      </c>
      <c r="E6" s="198">
        <v>2</v>
      </c>
      <c r="F6" s="198">
        <v>4092.8</v>
      </c>
      <c r="G6" s="198">
        <v>0</v>
      </c>
      <c r="H6" s="198">
        <v>40</v>
      </c>
      <c r="I6" s="198">
        <v>134.4</v>
      </c>
      <c r="J6" s="198">
        <v>100.8</v>
      </c>
      <c r="K6" s="198">
        <v>748</v>
      </c>
      <c r="L6" s="198">
        <v>0</v>
      </c>
      <c r="M6" s="198">
        <v>0</v>
      </c>
      <c r="N6" s="198">
        <v>0</v>
      </c>
      <c r="O6" s="198">
        <v>0</v>
      </c>
      <c r="P6" s="198">
        <v>0</v>
      </c>
      <c r="Q6" s="198">
        <v>0</v>
      </c>
      <c r="R6" s="198">
        <v>0</v>
      </c>
      <c r="S6" s="198">
        <v>0</v>
      </c>
      <c r="T6" s="198">
        <v>0</v>
      </c>
      <c r="U6" s="198">
        <v>0</v>
      </c>
      <c r="V6" s="198">
        <v>1264</v>
      </c>
      <c r="W6" s="198">
        <v>0</v>
      </c>
      <c r="X6" s="198">
        <v>0</v>
      </c>
      <c r="Y6" s="198">
        <v>0</v>
      </c>
      <c r="Z6" s="198">
        <v>0</v>
      </c>
      <c r="AA6" s="198">
        <v>0</v>
      </c>
      <c r="AB6" s="198">
        <v>0</v>
      </c>
      <c r="AC6" s="198">
        <v>0</v>
      </c>
      <c r="AD6" s="198">
        <v>0</v>
      </c>
      <c r="AE6" s="198">
        <v>0</v>
      </c>
      <c r="AF6" s="198">
        <v>0</v>
      </c>
      <c r="AG6" s="198">
        <v>0</v>
      </c>
      <c r="AH6" s="198">
        <v>0</v>
      </c>
      <c r="AI6" s="198">
        <v>0</v>
      </c>
      <c r="AJ6" s="198">
        <v>625.6</v>
      </c>
      <c r="AK6" s="198">
        <v>0</v>
      </c>
      <c r="AL6" s="198">
        <v>0</v>
      </c>
      <c r="AM6" s="198">
        <v>0</v>
      </c>
      <c r="AN6" s="198">
        <v>0</v>
      </c>
      <c r="AO6" s="198">
        <v>0</v>
      </c>
      <c r="AP6" s="198">
        <v>0</v>
      </c>
      <c r="AQ6" s="198">
        <v>0</v>
      </c>
      <c r="AR6" s="198">
        <v>776</v>
      </c>
      <c r="AS6" s="198">
        <v>0</v>
      </c>
      <c r="AT6" s="198">
        <v>0</v>
      </c>
      <c r="AU6" s="198">
        <v>0</v>
      </c>
      <c r="AV6" s="198">
        <v>0</v>
      </c>
      <c r="AW6" s="198">
        <v>404</v>
      </c>
    </row>
    <row r="7" spans="1:49" x14ac:dyDescent="0.3">
      <c r="A7" s="198" t="s">
        <v>137</v>
      </c>
      <c r="B7" s="223">
        <v>4</v>
      </c>
      <c r="C7" s="198">
        <v>38</v>
      </c>
      <c r="D7" s="198">
        <v>1</v>
      </c>
      <c r="E7" s="198">
        <v>3</v>
      </c>
      <c r="F7" s="198">
        <v>56</v>
      </c>
      <c r="G7" s="198">
        <v>0</v>
      </c>
      <c r="H7" s="198">
        <v>0</v>
      </c>
      <c r="I7" s="198">
        <v>0</v>
      </c>
      <c r="J7" s="198">
        <v>0</v>
      </c>
      <c r="K7" s="198">
        <v>0</v>
      </c>
      <c r="L7" s="198">
        <v>0</v>
      </c>
      <c r="M7" s="198">
        <v>0</v>
      </c>
      <c r="N7" s="198">
        <v>0</v>
      </c>
      <c r="O7" s="198">
        <v>0</v>
      </c>
      <c r="P7" s="198">
        <v>0</v>
      </c>
      <c r="Q7" s="198">
        <v>0</v>
      </c>
      <c r="R7" s="198">
        <v>0</v>
      </c>
      <c r="S7" s="198">
        <v>0</v>
      </c>
      <c r="T7" s="198">
        <v>0</v>
      </c>
      <c r="U7" s="198">
        <v>0</v>
      </c>
      <c r="V7" s="198">
        <v>0</v>
      </c>
      <c r="W7" s="198">
        <v>0</v>
      </c>
      <c r="X7" s="198">
        <v>0</v>
      </c>
      <c r="Y7" s="198">
        <v>0</v>
      </c>
      <c r="Z7" s="198">
        <v>0</v>
      </c>
      <c r="AA7" s="198">
        <v>0</v>
      </c>
      <c r="AB7" s="198">
        <v>0</v>
      </c>
      <c r="AC7" s="198">
        <v>0</v>
      </c>
      <c r="AD7" s="198">
        <v>0</v>
      </c>
      <c r="AE7" s="198">
        <v>0</v>
      </c>
      <c r="AF7" s="198">
        <v>0</v>
      </c>
      <c r="AG7" s="198">
        <v>0</v>
      </c>
      <c r="AH7" s="198">
        <v>0</v>
      </c>
      <c r="AI7" s="198">
        <v>0</v>
      </c>
      <c r="AJ7" s="198">
        <v>56</v>
      </c>
      <c r="AK7" s="198">
        <v>0</v>
      </c>
      <c r="AL7" s="198">
        <v>0</v>
      </c>
      <c r="AM7" s="198">
        <v>0</v>
      </c>
      <c r="AN7" s="198">
        <v>0</v>
      </c>
      <c r="AO7" s="198">
        <v>0</v>
      </c>
      <c r="AP7" s="198">
        <v>0</v>
      </c>
      <c r="AQ7" s="198">
        <v>0</v>
      </c>
      <c r="AR7" s="198">
        <v>0</v>
      </c>
      <c r="AS7" s="198">
        <v>0</v>
      </c>
      <c r="AT7" s="198">
        <v>0</v>
      </c>
      <c r="AU7" s="198">
        <v>0</v>
      </c>
      <c r="AV7" s="198">
        <v>0</v>
      </c>
      <c r="AW7" s="198">
        <v>0</v>
      </c>
    </row>
    <row r="8" spans="1:49" x14ac:dyDescent="0.3">
      <c r="A8" s="198" t="s">
        <v>138</v>
      </c>
      <c r="B8" s="223">
        <v>5</v>
      </c>
      <c r="C8" s="198">
        <v>38</v>
      </c>
      <c r="D8" s="198">
        <v>1</v>
      </c>
      <c r="E8" s="198">
        <v>4</v>
      </c>
      <c r="F8" s="198">
        <v>99</v>
      </c>
      <c r="G8" s="198">
        <v>0</v>
      </c>
      <c r="H8" s="198">
        <v>0</v>
      </c>
      <c r="I8" s="198">
        <v>0</v>
      </c>
      <c r="J8" s="198">
        <v>0</v>
      </c>
      <c r="K8" s="198">
        <v>0</v>
      </c>
      <c r="L8" s="198">
        <v>0</v>
      </c>
      <c r="M8" s="198">
        <v>0</v>
      </c>
      <c r="N8" s="198">
        <v>0</v>
      </c>
      <c r="O8" s="198">
        <v>0</v>
      </c>
      <c r="P8" s="198">
        <v>0</v>
      </c>
      <c r="Q8" s="198">
        <v>0</v>
      </c>
      <c r="R8" s="198">
        <v>0</v>
      </c>
      <c r="S8" s="198">
        <v>0</v>
      </c>
      <c r="T8" s="198">
        <v>0</v>
      </c>
      <c r="U8" s="198">
        <v>0</v>
      </c>
      <c r="V8" s="198">
        <v>0</v>
      </c>
      <c r="W8" s="198">
        <v>0</v>
      </c>
      <c r="X8" s="198">
        <v>0</v>
      </c>
      <c r="Y8" s="198">
        <v>0</v>
      </c>
      <c r="Z8" s="198">
        <v>0</v>
      </c>
      <c r="AA8" s="198">
        <v>0</v>
      </c>
      <c r="AB8" s="198">
        <v>0</v>
      </c>
      <c r="AC8" s="198">
        <v>0</v>
      </c>
      <c r="AD8" s="198">
        <v>0</v>
      </c>
      <c r="AE8" s="198">
        <v>0</v>
      </c>
      <c r="AF8" s="198">
        <v>0</v>
      </c>
      <c r="AG8" s="198">
        <v>0</v>
      </c>
      <c r="AH8" s="198">
        <v>0</v>
      </c>
      <c r="AI8" s="198">
        <v>0</v>
      </c>
      <c r="AJ8" s="198">
        <v>92</v>
      </c>
      <c r="AK8" s="198">
        <v>0</v>
      </c>
      <c r="AL8" s="198">
        <v>0</v>
      </c>
      <c r="AM8" s="198">
        <v>0</v>
      </c>
      <c r="AN8" s="198">
        <v>0</v>
      </c>
      <c r="AO8" s="198">
        <v>0</v>
      </c>
      <c r="AP8" s="198">
        <v>0</v>
      </c>
      <c r="AQ8" s="198">
        <v>0</v>
      </c>
      <c r="AR8" s="198">
        <v>7</v>
      </c>
      <c r="AS8" s="198">
        <v>0</v>
      </c>
      <c r="AT8" s="198">
        <v>0</v>
      </c>
      <c r="AU8" s="198">
        <v>0</v>
      </c>
      <c r="AV8" s="198">
        <v>0</v>
      </c>
      <c r="AW8" s="198">
        <v>0</v>
      </c>
    </row>
    <row r="9" spans="1:49" x14ac:dyDescent="0.3">
      <c r="A9" s="198" t="s">
        <v>139</v>
      </c>
      <c r="B9" s="223">
        <v>6</v>
      </c>
      <c r="C9" s="198">
        <v>38</v>
      </c>
      <c r="D9" s="198">
        <v>1</v>
      </c>
      <c r="E9" s="198">
        <v>5</v>
      </c>
      <c r="F9" s="198">
        <v>917</v>
      </c>
      <c r="G9" s="198">
        <v>917</v>
      </c>
      <c r="H9" s="198">
        <v>0</v>
      </c>
      <c r="I9" s="198">
        <v>0</v>
      </c>
      <c r="J9" s="198">
        <v>0</v>
      </c>
      <c r="K9" s="198">
        <v>0</v>
      </c>
      <c r="L9" s="198">
        <v>0</v>
      </c>
      <c r="M9" s="198">
        <v>0</v>
      </c>
      <c r="N9" s="198">
        <v>0</v>
      </c>
      <c r="O9" s="198">
        <v>0</v>
      </c>
      <c r="P9" s="198">
        <v>0</v>
      </c>
      <c r="Q9" s="198">
        <v>0</v>
      </c>
      <c r="R9" s="198">
        <v>0</v>
      </c>
      <c r="S9" s="198">
        <v>0</v>
      </c>
      <c r="T9" s="198">
        <v>0</v>
      </c>
      <c r="U9" s="198">
        <v>0</v>
      </c>
      <c r="V9" s="198">
        <v>0</v>
      </c>
      <c r="W9" s="198">
        <v>0</v>
      </c>
      <c r="X9" s="198">
        <v>0</v>
      </c>
      <c r="Y9" s="198">
        <v>0</v>
      </c>
      <c r="Z9" s="198">
        <v>0</v>
      </c>
      <c r="AA9" s="198">
        <v>0</v>
      </c>
      <c r="AB9" s="198">
        <v>0</v>
      </c>
      <c r="AC9" s="198">
        <v>0</v>
      </c>
      <c r="AD9" s="198">
        <v>0</v>
      </c>
      <c r="AE9" s="198">
        <v>0</v>
      </c>
      <c r="AF9" s="198">
        <v>0</v>
      </c>
      <c r="AG9" s="198">
        <v>0</v>
      </c>
      <c r="AH9" s="198">
        <v>0</v>
      </c>
      <c r="AI9" s="198">
        <v>0</v>
      </c>
      <c r="AJ9" s="198">
        <v>0</v>
      </c>
      <c r="AK9" s="198">
        <v>0</v>
      </c>
      <c r="AL9" s="198">
        <v>0</v>
      </c>
      <c r="AM9" s="198">
        <v>0</v>
      </c>
      <c r="AN9" s="198">
        <v>0</v>
      </c>
      <c r="AO9" s="198">
        <v>0</v>
      </c>
      <c r="AP9" s="198">
        <v>0</v>
      </c>
      <c r="AQ9" s="198">
        <v>0</v>
      </c>
      <c r="AR9" s="198">
        <v>0</v>
      </c>
      <c r="AS9" s="198">
        <v>0</v>
      </c>
      <c r="AT9" s="198">
        <v>0</v>
      </c>
      <c r="AU9" s="198">
        <v>0</v>
      </c>
      <c r="AV9" s="198">
        <v>0</v>
      </c>
      <c r="AW9" s="198">
        <v>0</v>
      </c>
    </row>
    <row r="10" spans="1:49" x14ac:dyDescent="0.3">
      <c r="A10" s="198" t="s">
        <v>140</v>
      </c>
      <c r="B10" s="223">
        <v>7</v>
      </c>
      <c r="C10" s="198">
        <v>38</v>
      </c>
      <c r="D10" s="198">
        <v>1</v>
      </c>
      <c r="E10" s="198">
        <v>6</v>
      </c>
      <c r="F10" s="198">
        <v>1079736</v>
      </c>
      <c r="G10" s="198">
        <v>113830</v>
      </c>
      <c r="H10" s="198">
        <v>9528</v>
      </c>
      <c r="I10" s="198">
        <v>21624</v>
      </c>
      <c r="J10" s="198">
        <v>26087</v>
      </c>
      <c r="K10" s="198">
        <v>268014</v>
      </c>
      <c r="L10" s="198">
        <v>0</v>
      </c>
      <c r="M10" s="198">
        <v>0</v>
      </c>
      <c r="N10" s="198">
        <v>0</v>
      </c>
      <c r="O10" s="198">
        <v>0</v>
      </c>
      <c r="P10" s="198">
        <v>0</v>
      </c>
      <c r="Q10" s="198">
        <v>0</v>
      </c>
      <c r="R10" s="198">
        <v>0</v>
      </c>
      <c r="S10" s="198">
        <v>0</v>
      </c>
      <c r="T10" s="198">
        <v>0</v>
      </c>
      <c r="U10" s="198">
        <v>0</v>
      </c>
      <c r="V10" s="198">
        <v>230661</v>
      </c>
      <c r="W10" s="198">
        <v>0</v>
      </c>
      <c r="X10" s="198">
        <v>0</v>
      </c>
      <c r="Y10" s="198">
        <v>0</v>
      </c>
      <c r="Z10" s="198">
        <v>0</v>
      </c>
      <c r="AA10" s="198">
        <v>0</v>
      </c>
      <c r="AB10" s="198">
        <v>0</v>
      </c>
      <c r="AC10" s="198">
        <v>0</v>
      </c>
      <c r="AD10" s="198">
        <v>0</v>
      </c>
      <c r="AE10" s="198">
        <v>0</v>
      </c>
      <c r="AF10" s="198">
        <v>0</v>
      </c>
      <c r="AG10" s="198">
        <v>0</v>
      </c>
      <c r="AH10" s="198">
        <v>0</v>
      </c>
      <c r="AI10" s="198">
        <v>0</v>
      </c>
      <c r="AJ10" s="198">
        <v>247856</v>
      </c>
      <c r="AK10" s="198">
        <v>0</v>
      </c>
      <c r="AL10" s="198">
        <v>0</v>
      </c>
      <c r="AM10" s="198">
        <v>0</v>
      </c>
      <c r="AN10" s="198">
        <v>0</v>
      </c>
      <c r="AO10" s="198">
        <v>0</v>
      </c>
      <c r="AP10" s="198">
        <v>0</v>
      </c>
      <c r="AQ10" s="198">
        <v>0</v>
      </c>
      <c r="AR10" s="198">
        <v>103989</v>
      </c>
      <c r="AS10" s="198">
        <v>0</v>
      </c>
      <c r="AT10" s="198">
        <v>0</v>
      </c>
      <c r="AU10" s="198">
        <v>0</v>
      </c>
      <c r="AV10" s="198">
        <v>0</v>
      </c>
      <c r="AW10" s="198">
        <v>58147</v>
      </c>
    </row>
    <row r="11" spans="1:49" x14ac:dyDescent="0.3">
      <c r="A11" s="198" t="s">
        <v>141</v>
      </c>
      <c r="B11" s="223">
        <v>8</v>
      </c>
      <c r="C11" s="198">
        <v>38</v>
      </c>
      <c r="D11" s="198">
        <v>1</v>
      </c>
      <c r="E11" s="198">
        <v>9</v>
      </c>
      <c r="F11" s="198">
        <v>23510</v>
      </c>
      <c r="G11" s="198">
        <v>0</v>
      </c>
      <c r="H11" s="198">
        <v>0</v>
      </c>
      <c r="I11" s="198">
        <v>0</v>
      </c>
      <c r="J11" s="198">
        <v>0</v>
      </c>
      <c r="K11" s="198">
        <v>9300</v>
      </c>
      <c r="L11" s="198">
        <v>0</v>
      </c>
      <c r="M11" s="198">
        <v>0</v>
      </c>
      <c r="N11" s="198">
        <v>0</v>
      </c>
      <c r="O11" s="198">
        <v>0</v>
      </c>
      <c r="P11" s="198">
        <v>0</v>
      </c>
      <c r="Q11" s="198">
        <v>0</v>
      </c>
      <c r="R11" s="198">
        <v>0</v>
      </c>
      <c r="S11" s="198">
        <v>0</v>
      </c>
      <c r="T11" s="198">
        <v>0</v>
      </c>
      <c r="U11" s="198">
        <v>0</v>
      </c>
      <c r="V11" s="198">
        <v>0</v>
      </c>
      <c r="W11" s="198">
        <v>0</v>
      </c>
      <c r="X11" s="198">
        <v>0</v>
      </c>
      <c r="Y11" s="198">
        <v>0</v>
      </c>
      <c r="Z11" s="198">
        <v>0</v>
      </c>
      <c r="AA11" s="198">
        <v>0</v>
      </c>
      <c r="AB11" s="198">
        <v>0</v>
      </c>
      <c r="AC11" s="198">
        <v>0</v>
      </c>
      <c r="AD11" s="198">
        <v>0</v>
      </c>
      <c r="AE11" s="198">
        <v>0</v>
      </c>
      <c r="AF11" s="198">
        <v>0</v>
      </c>
      <c r="AG11" s="198">
        <v>0</v>
      </c>
      <c r="AH11" s="198">
        <v>0</v>
      </c>
      <c r="AI11" s="198">
        <v>0</v>
      </c>
      <c r="AJ11" s="198">
        <v>7085</v>
      </c>
      <c r="AK11" s="198">
        <v>0</v>
      </c>
      <c r="AL11" s="198">
        <v>0</v>
      </c>
      <c r="AM11" s="198">
        <v>0</v>
      </c>
      <c r="AN11" s="198">
        <v>0</v>
      </c>
      <c r="AO11" s="198">
        <v>0</v>
      </c>
      <c r="AP11" s="198">
        <v>0</v>
      </c>
      <c r="AQ11" s="198">
        <v>0</v>
      </c>
      <c r="AR11" s="198">
        <v>6528</v>
      </c>
      <c r="AS11" s="198">
        <v>0</v>
      </c>
      <c r="AT11" s="198">
        <v>0</v>
      </c>
      <c r="AU11" s="198">
        <v>0</v>
      </c>
      <c r="AV11" s="198">
        <v>0</v>
      </c>
      <c r="AW11" s="198">
        <v>597</v>
      </c>
    </row>
    <row r="12" spans="1:49" x14ac:dyDescent="0.3">
      <c r="A12" s="198" t="s">
        <v>142</v>
      </c>
      <c r="B12" s="223">
        <v>9</v>
      </c>
      <c r="C12" s="198">
        <v>38</v>
      </c>
      <c r="D12" s="198">
        <v>1</v>
      </c>
      <c r="E12" s="198">
        <v>11</v>
      </c>
      <c r="F12" s="198">
        <v>2585.8778625954201</v>
      </c>
      <c r="G12" s="198">
        <v>0</v>
      </c>
      <c r="H12" s="198">
        <v>0</v>
      </c>
      <c r="I12" s="198">
        <v>0</v>
      </c>
      <c r="J12" s="198">
        <v>1335.8778625954199</v>
      </c>
      <c r="K12" s="198">
        <v>0</v>
      </c>
      <c r="L12" s="198">
        <v>0</v>
      </c>
      <c r="M12" s="198">
        <v>0</v>
      </c>
      <c r="N12" s="198">
        <v>0</v>
      </c>
      <c r="O12" s="198">
        <v>1250</v>
      </c>
      <c r="P12" s="198">
        <v>0</v>
      </c>
      <c r="Q12" s="198">
        <v>0</v>
      </c>
      <c r="R12" s="198">
        <v>0</v>
      </c>
      <c r="S12" s="198">
        <v>0</v>
      </c>
      <c r="T12" s="198">
        <v>0</v>
      </c>
      <c r="U12" s="198">
        <v>0</v>
      </c>
      <c r="V12" s="198">
        <v>0</v>
      </c>
      <c r="W12" s="198">
        <v>0</v>
      </c>
      <c r="X12" s="198">
        <v>0</v>
      </c>
      <c r="Y12" s="198">
        <v>0</v>
      </c>
      <c r="Z12" s="198">
        <v>0</v>
      </c>
      <c r="AA12" s="198">
        <v>0</v>
      </c>
      <c r="AB12" s="198">
        <v>0</v>
      </c>
      <c r="AC12" s="198">
        <v>0</v>
      </c>
      <c r="AD12" s="198">
        <v>0</v>
      </c>
      <c r="AE12" s="198">
        <v>0</v>
      </c>
      <c r="AF12" s="198">
        <v>0</v>
      </c>
      <c r="AG12" s="198">
        <v>0</v>
      </c>
      <c r="AH12" s="198">
        <v>0</v>
      </c>
      <c r="AI12" s="198">
        <v>0</v>
      </c>
      <c r="AJ12" s="198">
        <v>0</v>
      </c>
      <c r="AK12" s="198">
        <v>0</v>
      </c>
      <c r="AL12" s="198">
        <v>0</v>
      </c>
      <c r="AM12" s="198">
        <v>0</v>
      </c>
      <c r="AN12" s="198">
        <v>0</v>
      </c>
      <c r="AO12" s="198">
        <v>0</v>
      </c>
      <c r="AP12" s="198">
        <v>0</v>
      </c>
      <c r="AQ12" s="198">
        <v>0</v>
      </c>
      <c r="AR12" s="198">
        <v>0</v>
      </c>
      <c r="AS12" s="198">
        <v>0</v>
      </c>
      <c r="AT12" s="198">
        <v>0</v>
      </c>
      <c r="AU12" s="198">
        <v>0</v>
      </c>
      <c r="AV12" s="198">
        <v>0</v>
      </c>
      <c r="AW12" s="198">
        <v>0</v>
      </c>
    </row>
    <row r="13" spans="1:49" x14ac:dyDescent="0.3">
      <c r="A13" s="198" t="s">
        <v>143</v>
      </c>
      <c r="B13" s="223">
        <v>10</v>
      </c>
      <c r="C13" s="198">
        <v>38</v>
      </c>
      <c r="D13" s="198">
        <v>2</v>
      </c>
      <c r="E13" s="198">
        <v>1</v>
      </c>
      <c r="F13" s="198">
        <v>27.4</v>
      </c>
      <c r="G13" s="198">
        <v>0</v>
      </c>
      <c r="H13" s="198">
        <v>0.5</v>
      </c>
      <c r="I13" s="198">
        <v>0.8</v>
      </c>
      <c r="J13" s="198">
        <v>0.6</v>
      </c>
      <c r="K13" s="198">
        <v>5</v>
      </c>
      <c r="L13" s="198">
        <v>0</v>
      </c>
      <c r="M13" s="198">
        <v>0</v>
      </c>
      <c r="N13" s="198">
        <v>0</v>
      </c>
      <c r="O13" s="198">
        <v>0</v>
      </c>
      <c r="P13" s="198">
        <v>0</v>
      </c>
      <c r="Q13" s="198">
        <v>0</v>
      </c>
      <c r="R13" s="198">
        <v>0</v>
      </c>
      <c r="S13" s="198">
        <v>0</v>
      </c>
      <c r="T13" s="198">
        <v>0</v>
      </c>
      <c r="U13" s="198">
        <v>0</v>
      </c>
      <c r="V13" s="198">
        <v>9</v>
      </c>
      <c r="W13" s="198">
        <v>0</v>
      </c>
      <c r="X13" s="198">
        <v>0</v>
      </c>
      <c r="Y13" s="198">
        <v>0</v>
      </c>
      <c r="Z13" s="198">
        <v>0</v>
      </c>
      <c r="AA13" s="198">
        <v>0</v>
      </c>
      <c r="AB13" s="198">
        <v>0</v>
      </c>
      <c r="AC13" s="198">
        <v>0</v>
      </c>
      <c r="AD13" s="198">
        <v>0</v>
      </c>
      <c r="AE13" s="198">
        <v>0</v>
      </c>
      <c r="AF13" s="198">
        <v>0</v>
      </c>
      <c r="AG13" s="198">
        <v>0</v>
      </c>
      <c r="AH13" s="198">
        <v>0</v>
      </c>
      <c r="AI13" s="198">
        <v>0</v>
      </c>
      <c r="AJ13" s="198">
        <v>4</v>
      </c>
      <c r="AK13" s="198">
        <v>0</v>
      </c>
      <c r="AL13" s="198">
        <v>0</v>
      </c>
      <c r="AM13" s="198">
        <v>0</v>
      </c>
      <c r="AN13" s="198">
        <v>0</v>
      </c>
      <c r="AO13" s="198">
        <v>0</v>
      </c>
      <c r="AP13" s="198">
        <v>0</v>
      </c>
      <c r="AQ13" s="198">
        <v>0</v>
      </c>
      <c r="AR13" s="198">
        <v>5</v>
      </c>
      <c r="AS13" s="198">
        <v>0</v>
      </c>
      <c r="AT13" s="198">
        <v>0</v>
      </c>
      <c r="AU13" s="198">
        <v>0</v>
      </c>
      <c r="AV13" s="198">
        <v>0</v>
      </c>
      <c r="AW13" s="198">
        <v>2.5</v>
      </c>
    </row>
    <row r="14" spans="1:49" x14ac:dyDescent="0.3">
      <c r="A14" s="198" t="s">
        <v>144</v>
      </c>
      <c r="B14" s="223">
        <v>11</v>
      </c>
      <c r="C14" s="198">
        <v>38</v>
      </c>
      <c r="D14" s="198">
        <v>2</v>
      </c>
      <c r="E14" s="198">
        <v>2</v>
      </c>
      <c r="F14" s="198">
        <v>3849.2</v>
      </c>
      <c r="G14" s="198">
        <v>0</v>
      </c>
      <c r="H14" s="198">
        <v>84</v>
      </c>
      <c r="I14" s="198">
        <v>134.4</v>
      </c>
      <c r="J14" s="198">
        <v>72</v>
      </c>
      <c r="K14" s="198">
        <v>614</v>
      </c>
      <c r="L14" s="198">
        <v>0</v>
      </c>
      <c r="M14" s="198">
        <v>0</v>
      </c>
      <c r="N14" s="198">
        <v>0</v>
      </c>
      <c r="O14" s="198">
        <v>0</v>
      </c>
      <c r="P14" s="198">
        <v>0</v>
      </c>
      <c r="Q14" s="198">
        <v>0</v>
      </c>
      <c r="R14" s="198">
        <v>0</v>
      </c>
      <c r="S14" s="198">
        <v>0</v>
      </c>
      <c r="T14" s="198">
        <v>0</v>
      </c>
      <c r="U14" s="198">
        <v>0</v>
      </c>
      <c r="V14" s="198">
        <v>1284</v>
      </c>
      <c r="W14" s="198">
        <v>0</v>
      </c>
      <c r="X14" s="198">
        <v>0</v>
      </c>
      <c r="Y14" s="198">
        <v>0</v>
      </c>
      <c r="Z14" s="198">
        <v>0</v>
      </c>
      <c r="AA14" s="198">
        <v>0</v>
      </c>
      <c r="AB14" s="198">
        <v>0</v>
      </c>
      <c r="AC14" s="198">
        <v>0</v>
      </c>
      <c r="AD14" s="198">
        <v>0</v>
      </c>
      <c r="AE14" s="198">
        <v>0</v>
      </c>
      <c r="AF14" s="198">
        <v>0</v>
      </c>
      <c r="AG14" s="198">
        <v>0</v>
      </c>
      <c r="AH14" s="198">
        <v>0</v>
      </c>
      <c r="AI14" s="198">
        <v>0</v>
      </c>
      <c r="AJ14" s="198">
        <v>544.79999999999995</v>
      </c>
      <c r="AK14" s="198">
        <v>0</v>
      </c>
      <c r="AL14" s="198">
        <v>0</v>
      </c>
      <c r="AM14" s="198">
        <v>0</v>
      </c>
      <c r="AN14" s="198">
        <v>0</v>
      </c>
      <c r="AO14" s="198">
        <v>0</v>
      </c>
      <c r="AP14" s="198">
        <v>0</v>
      </c>
      <c r="AQ14" s="198">
        <v>0</v>
      </c>
      <c r="AR14" s="198">
        <v>740</v>
      </c>
      <c r="AS14" s="198">
        <v>0</v>
      </c>
      <c r="AT14" s="198">
        <v>0</v>
      </c>
      <c r="AU14" s="198">
        <v>0</v>
      </c>
      <c r="AV14" s="198">
        <v>0</v>
      </c>
      <c r="AW14" s="198">
        <v>376</v>
      </c>
    </row>
    <row r="15" spans="1:49" x14ac:dyDescent="0.3">
      <c r="A15" s="198" t="s">
        <v>145</v>
      </c>
      <c r="B15" s="223">
        <v>12</v>
      </c>
      <c r="C15" s="198">
        <v>38</v>
      </c>
      <c r="D15" s="198">
        <v>2</v>
      </c>
      <c r="E15" s="198">
        <v>3</v>
      </c>
      <c r="F15" s="198">
        <v>51.2</v>
      </c>
      <c r="G15" s="198">
        <v>0</v>
      </c>
      <c r="H15" s="198">
        <v>0</v>
      </c>
      <c r="I15" s="198">
        <v>0</v>
      </c>
      <c r="J15" s="198">
        <v>0</v>
      </c>
      <c r="K15" s="198">
        <v>0</v>
      </c>
      <c r="L15" s="198">
        <v>0</v>
      </c>
      <c r="M15" s="198">
        <v>0</v>
      </c>
      <c r="N15" s="198">
        <v>0</v>
      </c>
      <c r="O15" s="198">
        <v>0</v>
      </c>
      <c r="P15" s="198">
        <v>0</v>
      </c>
      <c r="Q15" s="198">
        <v>0</v>
      </c>
      <c r="R15" s="198">
        <v>0</v>
      </c>
      <c r="S15" s="198">
        <v>0</v>
      </c>
      <c r="T15" s="198">
        <v>0</v>
      </c>
      <c r="U15" s="198">
        <v>0</v>
      </c>
      <c r="V15" s="198">
        <v>0</v>
      </c>
      <c r="W15" s="198">
        <v>0</v>
      </c>
      <c r="X15" s="198">
        <v>0</v>
      </c>
      <c r="Y15" s="198">
        <v>0</v>
      </c>
      <c r="Z15" s="198">
        <v>0</v>
      </c>
      <c r="AA15" s="198">
        <v>0</v>
      </c>
      <c r="AB15" s="198">
        <v>0</v>
      </c>
      <c r="AC15" s="198">
        <v>0</v>
      </c>
      <c r="AD15" s="198">
        <v>0</v>
      </c>
      <c r="AE15" s="198">
        <v>0</v>
      </c>
      <c r="AF15" s="198">
        <v>0</v>
      </c>
      <c r="AG15" s="198">
        <v>0</v>
      </c>
      <c r="AH15" s="198">
        <v>0</v>
      </c>
      <c r="AI15" s="198">
        <v>0</v>
      </c>
      <c r="AJ15" s="198">
        <v>51.2</v>
      </c>
      <c r="AK15" s="198">
        <v>0</v>
      </c>
      <c r="AL15" s="198">
        <v>0</v>
      </c>
      <c r="AM15" s="198">
        <v>0</v>
      </c>
      <c r="AN15" s="198">
        <v>0</v>
      </c>
      <c r="AO15" s="198">
        <v>0</v>
      </c>
      <c r="AP15" s="198">
        <v>0</v>
      </c>
      <c r="AQ15" s="198">
        <v>0</v>
      </c>
      <c r="AR15" s="198">
        <v>0</v>
      </c>
      <c r="AS15" s="198">
        <v>0</v>
      </c>
      <c r="AT15" s="198">
        <v>0</v>
      </c>
      <c r="AU15" s="198">
        <v>0</v>
      </c>
      <c r="AV15" s="198">
        <v>0</v>
      </c>
      <c r="AW15" s="198">
        <v>0</v>
      </c>
    </row>
    <row r="16" spans="1:49" x14ac:dyDescent="0.3">
      <c r="A16" s="198" t="s">
        <v>133</v>
      </c>
      <c r="B16" s="223">
        <v>2016</v>
      </c>
      <c r="C16" s="198">
        <v>38</v>
      </c>
      <c r="D16" s="198">
        <v>2</v>
      </c>
      <c r="E16" s="198">
        <v>4</v>
      </c>
      <c r="F16" s="198">
        <v>103</v>
      </c>
      <c r="G16" s="198">
        <v>0</v>
      </c>
      <c r="H16" s="198">
        <v>0</v>
      </c>
      <c r="I16" s="198">
        <v>0</v>
      </c>
      <c r="J16" s="198">
        <v>0</v>
      </c>
      <c r="K16" s="198">
        <v>0</v>
      </c>
      <c r="L16" s="198">
        <v>0</v>
      </c>
      <c r="M16" s="198">
        <v>0</v>
      </c>
      <c r="N16" s="198">
        <v>0</v>
      </c>
      <c r="O16" s="198">
        <v>0</v>
      </c>
      <c r="P16" s="198">
        <v>0</v>
      </c>
      <c r="Q16" s="198">
        <v>0</v>
      </c>
      <c r="R16" s="198">
        <v>0</v>
      </c>
      <c r="S16" s="198">
        <v>0</v>
      </c>
      <c r="T16" s="198">
        <v>0</v>
      </c>
      <c r="U16" s="198">
        <v>0</v>
      </c>
      <c r="V16" s="198">
        <v>0</v>
      </c>
      <c r="W16" s="198">
        <v>0</v>
      </c>
      <c r="X16" s="198">
        <v>0</v>
      </c>
      <c r="Y16" s="198">
        <v>0</v>
      </c>
      <c r="Z16" s="198">
        <v>0</v>
      </c>
      <c r="AA16" s="198">
        <v>0</v>
      </c>
      <c r="AB16" s="198">
        <v>0</v>
      </c>
      <c r="AC16" s="198">
        <v>0</v>
      </c>
      <c r="AD16" s="198">
        <v>0</v>
      </c>
      <c r="AE16" s="198">
        <v>0</v>
      </c>
      <c r="AF16" s="198">
        <v>0</v>
      </c>
      <c r="AG16" s="198">
        <v>0</v>
      </c>
      <c r="AH16" s="198">
        <v>0</v>
      </c>
      <c r="AI16" s="198">
        <v>0</v>
      </c>
      <c r="AJ16" s="198">
        <v>92</v>
      </c>
      <c r="AK16" s="198">
        <v>0</v>
      </c>
      <c r="AL16" s="198">
        <v>0</v>
      </c>
      <c r="AM16" s="198">
        <v>0</v>
      </c>
      <c r="AN16" s="198">
        <v>0</v>
      </c>
      <c r="AO16" s="198">
        <v>0</v>
      </c>
      <c r="AP16" s="198">
        <v>0</v>
      </c>
      <c r="AQ16" s="198">
        <v>0</v>
      </c>
      <c r="AR16" s="198">
        <v>11</v>
      </c>
      <c r="AS16" s="198">
        <v>0</v>
      </c>
      <c r="AT16" s="198">
        <v>0</v>
      </c>
      <c r="AU16" s="198">
        <v>0</v>
      </c>
      <c r="AV16" s="198">
        <v>0</v>
      </c>
      <c r="AW16" s="198">
        <v>0</v>
      </c>
    </row>
    <row r="17" spans="3:49" x14ac:dyDescent="0.3">
      <c r="C17" s="198">
        <v>38</v>
      </c>
      <c r="D17" s="198">
        <v>2</v>
      </c>
      <c r="E17" s="198">
        <v>5</v>
      </c>
      <c r="F17" s="198">
        <v>766</v>
      </c>
      <c r="G17" s="198">
        <v>766</v>
      </c>
      <c r="H17" s="198">
        <v>0</v>
      </c>
      <c r="I17" s="198">
        <v>0</v>
      </c>
      <c r="J17" s="198">
        <v>0</v>
      </c>
      <c r="K17" s="198">
        <v>0</v>
      </c>
      <c r="L17" s="198">
        <v>0</v>
      </c>
      <c r="M17" s="198">
        <v>0</v>
      </c>
      <c r="N17" s="198">
        <v>0</v>
      </c>
      <c r="O17" s="198">
        <v>0</v>
      </c>
      <c r="P17" s="198">
        <v>0</v>
      </c>
      <c r="Q17" s="198">
        <v>0</v>
      </c>
      <c r="R17" s="198">
        <v>0</v>
      </c>
      <c r="S17" s="198">
        <v>0</v>
      </c>
      <c r="T17" s="198">
        <v>0</v>
      </c>
      <c r="U17" s="198">
        <v>0</v>
      </c>
      <c r="V17" s="198">
        <v>0</v>
      </c>
      <c r="W17" s="198">
        <v>0</v>
      </c>
      <c r="X17" s="198">
        <v>0</v>
      </c>
      <c r="Y17" s="198">
        <v>0</v>
      </c>
      <c r="Z17" s="198">
        <v>0</v>
      </c>
      <c r="AA17" s="198">
        <v>0</v>
      </c>
      <c r="AB17" s="198">
        <v>0</v>
      </c>
      <c r="AC17" s="198">
        <v>0</v>
      </c>
      <c r="AD17" s="198">
        <v>0</v>
      </c>
      <c r="AE17" s="198">
        <v>0</v>
      </c>
      <c r="AF17" s="198">
        <v>0</v>
      </c>
      <c r="AG17" s="198">
        <v>0</v>
      </c>
      <c r="AH17" s="198">
        <v>0</v>
      </c>
      <c r="AI17" s="198">
        <v>0</v>
      </c>
      <c r="AJ17" s="198">
        <v>0</v>
      </c>
      <c r="AK17" s="198">
        <v>0</v>
      </c>
      <c r="AL17" s="198">
        <v>0</v>
      </c>
      <c r="AM17" s="198">
        <v>0</v>
      </c>
      <c r="AN17" s="198">
        <v>0</v>
      </c>
      <c r="AO17" s="198">
        <v>0</v>
      </c>
      <c r="AP17" s="198">
        <v>0</v>
      </c>
      <c r="AQ17" s="198">
        <v>0</v>
      </c>
      <c r="AR17" s="198">
        <v>0</v>
      </c>
      <c r="AS17" s="198">
        <v>0</v>
      </c>
      <c r="AT17" s="198">
        <v>0</v>
      </c>
      <c r="AU17" s="198">
        <v>0</v>
      </c>
      <c r="AV17" s="198">
        <v>0</v>
      </c>
      <c r="AW17" s="198">
        <v>0</v>
      </c>
    </row>
    <row r="18" spans="3:49" x14ac:dyDescent="0.3">
      <c r="C18" s="198">
        <v>38</v>
      </c>
      <c r="D18" s="198">
        <v>2</v>
      </c>
      <c r="E18" s="198">
        <v>6</v>
      </c>
      <c r="F18" s="198">
        <v>1075999</v>
      </c>
      <c r="G18" s="198">
        <v>93040</v>
      </c>
      <c r="H18" s="198">
        <v>9350</v>
      </c>
      <c r="I18" s="198">
        <v>21624</v>
      </c>
      <c r="J18" s="198">
        <v>26737</v>
      </c>
      <c r="K18" s="198">
        <v>277212</v>
      </c>
      <c r="L18" s="198">
        <v>0</v>
      </c>
      <c r="M18" s="198">
        <v>0</v>
      </c>
      <c r="N18" s="198">
        <v>0</v>
      </c>
      <c r="O18" s="198">
        <v>0</v>
      </c>
      <c r="P18" s="198">
        <v>0</v>
      </c>
      <c r="Q18" s="198">
        <v>0</v>
      </c>
      <c r="R18" s="198">
        <v>0</v>
      </c>
      <c r="S18" s="198">
        <v>0</v>
      </c>
      <c r="T18" s="198">
        <v>0</v>
      </c>
      <c r="U18" s="198">
        <v>0</v>
      </c>
      <c r="V18" s="198">
        <v>228857</v>
      </c>
      <c r="W18" s="198">
        <v>0</v>
      </c>
      <c r="X18" s="198">
        <v>0</v>
      </c>
      <c r="Y18" s="198">
        <v>0</v>
      </c>
      <c r="Z18" s="198">
        <v>0</v>
      </c>
      <c r="AA18" s="198">
        <v>0</v>
      </c>
      <c r="AB18" s="198">
        <v>0</v>
      </c>
      <c r="AC18" s="198">
        <v>0</v>
      </c>
      <c r="AD18" s="198">
        <v>0</v>
      </c>
      <c r="AE18" s="198">
        <v>0</v>
      </c>
      <c r="AF18" s="198">
        <v>0</v>
      </c>
      <c r="AG18" s="198">
        <v>0</v>
      </c>
      <c r="AH18" s="198">
        <v>0</v>
      </c>
      <c r="AI18" s="198">
        <v>0</v>
      </c>
      <c r="AJ18" s="198">
        <v>254395</v>
      </c>
      <c r="AK18" s="198">
        <v>0</v>
      </c>
      <c r="AL18" s="198">
        <v>0</v>
      </c>
      <c r="AM18" s="198">
        <v>0</v>
      </c>
      <c r="AN18" s="198">
        <v>0</v>
      </c>
      <c r="AO18" s="198">
        <v>0</v>
      </c>
      <c r="AP18" s="198">
        <v>0</v>
      </c>
      <c r="AQ18" s="198">
        <v>2422</v>
      </c>
      <c r="AR18" s="198">
        <v>103644</v>
      </c>
      <c r="AS18" s="198">
        <v>0</v>
      </c>
      <c r="AT18" s="198">
        <v>0</v>
      </c>
      <c r="AU18" s="198">
        <v>0</v>
      </c>
      <c r="AV18" s="198">
        <v>0</v>
      </c>
      <c r="AW18" s="198">
        <v>58718</v>
      </c>
    </row>
    <row r="19" spans="3:49" x14ac:dyDescent="0.3">
      <c r="C19" s="198">
        <v>38</v>
      </c>
      <c r="D19" s="198">
        <v>2</v>
      </c>
      <c r="E19" s="198">
        <v>9</v>
      </c>
      <c r="F19" s="198">
        <v>43879</v>
      </c>
      <c r="G19" s="198">
        <v>0</v>
      </c>
      <c r="H19" s="198">
        <v>0</v>
      </c>
      <c r="I19" s="198">
        <v>0</v>
      </c>
      <c r="J19" s="198">
        <v>0</v>
      </c>
      <c r="K19" s="198">
        <v>27897</v>
      </c>
      <c r="L19" s="198">
        <v>0</v>
      </c>
      <c r="M19" s="198">
        <v>0</v>
      </c>
      <c r="N19" s="198">
        <v>0</v>
      </c>
      <c r="O19" s="198">
        <v>0</v>
      </c>
      <c r="P19" s="198">
        <v>0</v>
      </c>
      <c r="Q19" s="198">
        <v>0</v>
      </c>
      <c r="R19" s="198">
        <v>0</v>
      </c>
      <c r="S19" s="198">
        <v>0</v>
      </c>
      <c r="T19" s="198">
        <v>0</v>
      </c>
      <c r="U19" s="198">
        <v>0</v>
      </c>
      <c r="V19" s="198">
        <v>0</v>
      </c>
      <c r="W19" s="198">
        <v>0</v>
      </c>
      <c r="X19" s="198">
        <v>0</v>
      </c>
      <c r="Y19" s="198">
        <v>0</v>
      </c>
      <c r="Z19" s="198">
        <v>0</v>
      </c>
      <c r="AA19" s="198">
        <v>0</v>
      </c>
      <c r="AB19" s="198">
        <v>0</v>
      </c>
      <c r="AC19" s="198">
        <v>0</v>
      </c>
      <c r="AD19" s="198">
        <v>0</v>
      </c>
      <c r="AE19" s="198">
        <v>0</v>
      </c>
      <c r="AF19" s="198">
        <v>0</v>
      </c>
      <c r="AG19" s="198">
        <v>0</v>
      </c>
      <c r="AH19" s="198">
        <v>0</v>
      </c>
      <c r="AI19" s="198">
        <v>0</v>
      </c>
      <c r="AJ19" s="198">
        <v>7981</v>
      </c>
      <c r="AK19" s="198">
        <v>0</v>
      </c>
      <c r="AL19" s="198">
        <v>0</v>
      </c>
      <c r="AM19" s="198">
        <v>0</v>
      </c>
      <c r="AN19" s="198">
        <v>0</v>
      </c>
      <c r="AO19" s="198">
        <v>0</v>
      </c>
      <c r="AP19" s="198">
        <v>0</v>
      </c>
      <c r="AQ19" s="198">
        <v>1470</v>
      </c>
      <c r="AR19" s="198">
        <v>5734</v>
      </c>
      <c r="AS19" s="198">
        <v>0</v>
      </c>
      <c r="AT19" s="198">
        <v>0</v>
      </c>
      <c r="AU19" s="198">
        <v>0</v>
      </c>
      <c r="AV19" s="198">
        <v>0</v>
      </c>
      <c r="AW19" s="198">
        <v>797</v>
      </c>
    </row>
    <row r="20" spans="3:49" x14ac:dyDescent="0.3">
      <c r="C20" s="198">
        <v>38</v>
      </c>
      <c r="D20" s="198">
        <v>2</v>
      </c>
      <c r="E20" s="198">
        <v>11</v>
      </c>
      <c r="F20" s="198">
        <v>2585.8778625954201</v>
      </c>
      <c r="G20" s="198">
        <v>0</v>
      </c>
      <c r="H20" s="198">
        <v>0</v>
      </c>
      <c r="I20" s="198">
        <v>0</v>
      </c>
      <c r="J20" s="198">
        <v>1335.8778625954199</v>
      </c>
      <c r="K20" s="198">
        <v>0</v>
      </c>
      <c r="L20" s="198">
        <v>0</v>
      </c>
      <c r="M20" s="198">
        <v>0</v>
      </c>
      <c r="N20" s="198">
        <v>0</v>
      </c>
      <c r="O20" s="198">
        <v>1250</v>
      </c>
      <c r="P20" s="198">
        <v>0</v>
      </c>
      <c r="Q20" s="198">
        <v>0</v>
      </c>
      <c r="R20" s="198">
        <v>0</v>
      </c>
      <c r="S20" s="198">
        <v>0</v>
      </c>
      <c r="T20" s="198">
        <v>0</v>
      </c>
      <c r="U20" s="198">
        <v>0</v>
      </c>
      <c r="V20" s="198">
        <v>0</v>
      </c>
      <c r="W20" s="198">
        <v>0</v>
      </c>
      <c r="X20" s="198">
        <v>0</v>
      </c>
      <c r="Y20" s="198">
        <v>0</v>
      </c>
      <c r="Z20" s="198">
        <v>0</v>
      </c>
      <c r="AA20" s="198">
        <v>0</v>
      </c>
      <c r="AB20" s="198">
        <v>0</v>
      </c>
      <c r="AC20" s="198">
        <v>0</v>
      </c>
      <c r="AD20" s="198">
        <v>0</v>
      </c>
      <c r="AE20" s="198">
        <v>0</v>
      </c>
      <c r="AF20" s="198">
        <v>0</v>
      </c>
      <c r="AG20" s="198">
        <v>0</v>
      </c>
      <c r="AH20" s="198">
        <v>0</v>
      </c>
      <c r="AI20" s="198">
        <v>0</v>
      </c>
      <c r="AJ20" s="198">
        <v>0</v>
      </c>
      <c r="AK20" s="198">
        <v>0</v>
      </c>
      <c r="AL20" s="198">
        <v>0</v>
      </c>
      <c r="AM20" s="198">
        <v>0</v>
      </c>
      <c r="AN20" s="198">
        <v>0</v>
      </c>
      <c r="AO20" s="198">
        <v>0</v>
      </c>
      <c r="AP20" s="198">
        <v>0</v>
      </c>
      <c r="AQ20" s="198">
        <v>0</v>
      </c>
      <c r="AR20" s="198">
        <v>0</v>
      </c>
      <c r="AS20" s="198">
        <v>0</v>
      </c>
      <c r="AT20" s="198">
        <v>0</v>
      </c>
      <c r="AU20" s="198">
        <v>0</v>
      </c>
      <c r="AV20" s="198">
        <v>0</v>
      </c>
      <c r="AW20" s="198">
        <v>0</v>
      </c>
    </row>
    <row r="21" spans="3:49" x14ac:dyDescent="0.3">
      <c r="C21" s="198">
        <v>38</v>
      </c>
      <c r="D21" s="198">
        <v>3</v>
      </c>
      <c r="E21" s="198">
        <v>1</v>
      </c>
      <c r="F21" s="198">
        <v>27.4</v>
      </c>
      <c r="G21" s="198">
        <v>0</v>
      </c>
      <c r="H21" s="198">
        <v>0.5</v>
      </c>
      <c r="I21" s="198">
        <v>0.8</v>
      </c>
      <c r="J21" s="198">
        <v>0.6</v>
      </c>
      <c r="K21" s="198">
        <v>5</v>
      </c>
      <c r="L21" s="198">
        <v>0</v>
      </c>
      <c r="M21" s="198">
        <v>0</v>
      </c>
      <c r="N21" s="198">
        <v>0</v>
      </c>
      <c r="O21" s="198">
        <v>0</v>
      </c>
      <c r="P21" s="198">
        <v>0</v>
      </c>
      <c r="Q21" s="198">
        <v>0</v>
      </c>
      <c r="R21" s="198">
        <v>0</v>
      </c>
      <c r="S21" s="198">
        <v>0</v>
      </c>
      <c r="T21" s="198">
        <v>0</v>
      </c>
      <c r="U21" s="198">
        <v>0</v>
      </c>
      <c r="V21" s="198">
        <v>9</v>
      </c>
      <c r="W21" s="198">
        <v>0</v>
      </c>
      <c r="X21" s="198">
        <v>0</v>
      </c>
      <c r="Y21" s="198">
        <v>0</v>
      </c>
      <c r="Z21" s="198">
        <v>0</v>
      </c>
      <c r="AA21" s="198">
        <v>0</v>
      </c>
      <c r="AB21" s="198">
        <v>0</v>
      </c>
      <c r="AC21" s="198">
        <v>0</v>
      </c>
      <c r="AD21" s="198">
        <v>0</v>
      </c>
      <c r="AE21" s="198">
        <v>0</v>
      </c>
      <c r="AF21" s="198">
        <v>0</v>
      </c>
      <c r="AG21" s="198">
        <v>0</v>
      </c>
      <c r="AH21" s="198">
        <v>0</v>
      </c>
      <c r="AI21" s="198">
        <v>0</v>
      </c>
      <c r="AJ21" s="198">
        <v>4</v>
      </c>
      <c r="AK21" s="198">
        <v>0</v>
      </c>
      <c r="AL21" s="198">
        <v>0</v>
      </c>
      <c r="AM21" s="198">
        <v>0</v>
      </c>
      <c r="AN21" s="198">
        <v>0</v>
      </c>
      <c r="AO21" s="198">
        <v>0</v>
      </c>
      <c r="AP21" s="198">
        <v>0</v>
      </c>
      <c r="AQ21" s="198">
        <v>0</v>
      </c>
      <c r="AR21" s="198">
        <v>5</v>
      </c>
      <c r="AS21" s="198">
        <v>0</v>
      </c>
      <c r="AT21" s="198">
        <v>0</v>
      </c>
      <c r="AU21" s="198">
        <v>0</v>
      </c>
      <c r="AV21" s="198">
        <v>0</v>
      </c>
      <c r="AW21" s="198">
        <v>2.5</v>
      </c>
    </row>
    <row r="22" spans="3:49" x14ac:dyDescent="0.3">
      <c r="C22" s="198">
        <v>38</v>
      </c>
      <c r="D22" s="198">
        <v>3</v>
      </c>
      <c r="E22" s="198">
        <v>2</v>
      </c>
      <c r="F22" s="198">
        <v>4474.3999999999996</v>
      </c>
      <c r="G22" s="198">
        <v>0</v>
      </c>
      <c r="H22" s="198">
        <v>80</v>
      </c>
      <c r="I22" s="198">
        <v>115.2</v>
      </c>
      <c r="J22" s="198">
        <v>0</v>
      </c>
      <c r="K22" s="198">
        <v>824</v>
      </c>
      <c r="L22" s="198">
        <v>0</v>
      </c>
      <c r="M22" s="198">
        <v>0</v>
      </c>
      <c r="N22" s="198">
        <v>0</v>
      </c>
      <c r="O22" s="198">
        <v>0</v>
      </c>
      <c r="P22" s="198">
        <v>0</v>
      </c>
      <c r="Q22" s="198">
        <v>0</v>
      </c>
      <c r="R22" s="198">
        <v>0</v>
      </c>
      <c r="S22" s="198">
        <v>0</v>
      </c>
      <c r="T22" s="198">
        <v>0</v>
      </c>
      <c r="U22" s="198">
        <v>0</v>
      </c>
      <c r="V22" s="198">
        <v>1544</v>
      </c>
      <c r="W22" s="198">
        <v>0</v>
      </c>
      <c r="X22" s="198">
        <v>0</v>
      </c>
      <c r="Y22" s="198">
        <v>0</v>
      </c>
      <c r="Z22" s="198">
        <v>0</v>
      </c>
      <c r="AA22" s="198">
        <v>0</v>
      </c>
      <c r="AB22" s="198">
        <v>0</v>
      </c>
      <c r="AC22" s="198">
        <v>0</v>
      </c>
      <c r="AD22" s="198">
        <v>0</v>
      </c>
      <c r="AE22" s="198">
        <v>0</v>
      </c>
      <c r="AF22" s="198">
        <v>0</v>
      </c>
      <c r="AG22" s="198">
        <v>0</v>
      </c>
      <c r="AH22" s="198">
        <v>0</v>
      </c>
      <c r="AI22" s="198">
        <v>0</v>
      </c>
      <c r="AJ22" s="198">
        <v>699.2</v>
      </c>
      <c r="AK22" s="198">
        <v>0</v>
      </c>
      <c r="AL22" s="198">
        <v>0</v>
      </c>
      <c r="AM22" s="198">
        <v>0</v>
      </c>
      <c r="AN22" s="198">
        <v>0</v>
      </c>
      <c r="AO22" s="198">
        <v>0</v>
      </c>
      <c r="AP22" s="198">
        <v>0</v>
      </c>
      <c r="AQ22" s="198">
        <v>0</v>
      </c>
      <c r="AR22" s="198">
        <v>836</v>
      </c>
      <c r="AS22" s="198">
        <v>0</v>
      </c>
      <c r="AT22" s="198">
        <v>0</v>
      </c>
      <c r="AU22" s="198">
        <v>0</v>
      </c>
      <c r="AV22" s="198">
        <v>0</v>
      </c>
      <c r="AW22" s="198">
        <v>376</v>
      </c>
    </row>
    <row r="23" spans="3:49" x14ac:dyDescent="0.3">
      <c r="C23" s="198">
        <v>38</v>
      </c>
      <c r="D23" s="198">
        <v>3</v>
      </c>
      <c r="E23" s="198">
        <v>3</v>
      </c>
      <c r="F23" s="198">
        <v>102.8</v>
      </c>
      <c r="G23" s="198">
        <v>0</v>
      </c>
      <c r="H23" s="198">
        <v>0</v>
      </c>
      <c r="I23" s="198">
        <v>0</v>
      </c>
      <c r="J23" s="198">
        <v>0</v>
      </c>
      <c r="K23" s="198">
        <v>0</v>
      </c>
      <c r="L23" s="198">
        <v>0</v>
      </c>
      <c r="M23" s="198">
        <v>0</v>
      </c>
      <c r="N23" s="198">
        <v>0</v>
      </c>
      <c r="O23" s="198">
        <v>0</v>
      </c>
      <c r="P23" s="198">
        <v>0</v>
      </c>
      <c r="Q23" s="198">
        <v>0</v>
      </c>
      <c r="R23" s="198">
        <v>0</v>
      </c>
      <c r="S23" s="198">
        <v>0</v>
      </c>
      <c r="T23" s="198">
        <v>0</v>
      </c>
      <c r="U23" s="198">
        <v>0</v>
      </c>
      <c r="V23" s="198">
        <v>0</v>
      </c>
      <c r="W23" s="198">
        <v>0</v>
      </c>
      <c r="X23" s="198">
        <v>0</v>
      </c>
      <c r="Y23" s="198">
        <v>0</v>
      </c>
      <c r="Z23" s="198">
        <v>0</v>
      </c>
      <c r="AA23" s="198">
        <v>0</v>
      </c>
      <c r="AB23" s="198">
        <v>0</v>
      </c>
      <c r="AC23" s="198">
        <v>0</v>
      </c>
      <c r="AD23" s="198">
        <v>0</v>
      </c>
      <c r="AE23" s="198">
        <v>0</v>
      </c>
      <c r="AF23" s="198">
        <v>0</v>
      </c>
      <c r="AG23" s="198">
        <v>0</v>
      </c>
      <c r="AH23" s="198">
        <v>0</v>
      </c>
      <c r="AI23" s="198">
        <v>0</v>
      </c>
      <c r="AJ23" s="198">
        <v>102.8</v>
      </c>
      <c r="AK23" s="198">
        <v>0</v>
      </c>
      <c r="AL23" s="198">
        <v>0</v>
      </c>
      <c r="AM23" s="198">
        <v>0</v>
      </c>
      <c r="AN23" s="198">
        <v>0</v>
      </c>
      <c r="AO23" s="198">
        <v>0</v>
      </c>
      <c r="AP23" s="198">
        <v>0</v>
      </c>
      <c r="AQ23" s="198">
        <v>0</v>
      </c>
      <c r="AR23" s="198">
        <v>0</v>
      </c>
      <c r="AS23" s="198">
        <v>0</v>
      </c>
      <c r="AT23" s="198">
        <v>0</v>
      </c>
      <c r="AU23" s="198">
        <v>0</v>
      </c>
      <c r="AV23" s="198">
        <v>0</v>
      </c>
      <c r="AW23" s="198">
        <v>0</v>
      </c>
    </row>
    <row r="24" spans="3:49" x14ac:dyDescent="0.3">
      <c r="C24" s="198">
        <v>38</v>
      </c>
      <c r="D24" s="198">
        <v>3</v>
      </c>
      <c r="E24" s="198">
        <v>4</v>
      </c>
      <c r="F24" s="198">
        <v>108</v>
      </c>
      <c r="G24" s="198">
        <v>0</v>
      </c>
      <c r="H24" s="198">
        <v>0</v>
      </c>
      <c r="I24" s="198">
        <v>0</v>
      </c>
      <c r="J24" s="198">
        <v>0</v>
      </c>
      <c r="K24" s="198">
        <v>0</v>
      </c>
      <c r="L24" s="198">
        <v>0</v>
      </c>
      <c r="M24" s="198">
        <v>0</v>
      </c>
      <c r="N24" s="198">
        <v>0</v>
      </c>
      <c r="O24" s="198">
        <v>0</v>
      </c>
      <c r="P24" s="198">
        <v>0</v>
      </c>
      <c r="Q24" s="198">
        <v>0</v>
      </c>
      <c r="R24" s="198">
        <v>0</v>
      </c>
      <c r="S24" s="198">
        <v>0</v>
      </c>
      <c r="T24" s="198">
        <v>0</v>
      </c>
      <c r="U24" s="198">
        <v>0</v>
      </c>
      <c r="V24" s="198">
        <v>0</v>
      </c>
      <c r="W24" s="198">
        <v>0</v>
      </c>
      <c r="X24" s="198">
        <v>0</v>
      </c>
      <c r="Y24" s="198">
        <v>0</v>
      </c>
      <c r="Z24" s="198">
        <v>0</v>
      </c>
      <c r="AA24" s="198">
        <v>0</v>
      </c>
      <c r="AB24" s="198">
        <v>0</v>
      </c>
      <c r="AC24" s="198">
        <v>0</v>
      </c>
      <c r="AD24" s="198">
        <v>0</v>
      </c>
      <c r="AE24" s="198">
        <v>0</v>
      </c>
      <c r="AF24" s="198">
        <v>0</v>
      </c>
      <c r="AG24" s="198">
        <v>0</v>
      </c>
      <c r="AH24" s="198">
        <v>0</v>
      </c>
      <c r="AI24" s="198">
        <v>0</v>
      </c>
      <c r="AJ24" s="198">
        <v>92</v>
      </c>
      <c r="AK24" s="198">
        <v>0</v>
      </c>
      <c r="AL24" s="198">
        <v>0</v>
      </c>
      <c r="AM24" s="198">
        <v>0</v>
      </c>
      <c r="AN24" s="198">
        <v>0</v>
      </c>
      <c r="AO24" s="198">
        <v>0</v>
      </c>
      <c r="AP24" s="198">
        <v>0</v>
      </c>
      <c r="AQ24" s="198">
        <v>4</v>
      </c>
      <c r="AR24" s="198">
        <v>12</v>
      </c>
      <c r="AS24" s="198">
        <v>0</v>
      </c>
      <c r="AT24" s="198">
        <v>0</v>
      </c>
      <c r="AU24" s="198">
        <v>0</v>
      </c>
      <c r="AV24" s="198">
        <v>0</v>
      </c>
      <c r="AW24" s="198">
        <v>0</v>
      </c>
    </row>
    <row r="25" spans="3:49" x14ac:dyDescent="0.3">
      <c r="C25" s="198">
        <v>38</v>
      </c>
      <c r="D25" s="198">
        <v>3</v>
      </c>
      <c r="E25" s="198">
        <v>5</v>
      </c>
      <c r="F25" s="198">
        <v>776</v>
      </c>
      <c r="G25" s="198">
        <v>776</v>
      </c>
      <c r="H25" s="198">
        <v>0</v>
      </c>
      <c r="I25" s="198">
        <v>0</v>
      </c>
      <c r="J25" s="198">
        <v>0</v>
      </c>
      <c r="K25" s="198">
        <v>0</v>
      </c>
      <c r="L25" s="198">
        <v>0</v>
      </c>
      <c r="M25" s="198">
        <v>0</v>
      </c>
      <c r="N25" s="198">
        <v>0</v>
      </c>
      <c r="O25" s="198">
        <v>0</v>
      </c>
      <c r="P25" s="198">
        <v>0</v>
      </c>
      <c r="Q25" s="198">
        <v>0</v>
      </c>
      <c r="R25" s="198">
        <v>0</v>
      </c>
      <c r="S25" s="198">
        <v>0</v>
      </c>
      <c r="T25" s="198">
        <v>0</v>
      </c>
      <c r="U25" s="198">
        <v>0</v>
      </c>
      <c r="V25" s="198">
        <v>0</v>
      </c>
      <c r="W25" s="198">
        <v>0</v>
      </c>
      <c r="X25" s="198">
        <v>0</v>
      </c>
      <c r="Y25" s="198">
        <v>0</v>
      </c>
      <c r="Z25" s="198">
        <v>0</v>
      </c>
      <c r="AA25" s="198">
        <v>0</v>
      </c>
      <c r="AB25" s="198">
        <v>0</v>
      </c>
      <c r="AC25" s="198">
        <v>0</v>
      </c>
      <c r="AD25" s="198">
        <v>0</v>
      </c>
      <c r="AE25" s="198">
        <v>0</v>
      </c>
      <c r="AF25" s="198">
        <v>0</v>
      </c>
      <c r="AG25" s="198">
        <v>0</v>
      </c>
      <c r="AH25" s="198">
        <v>0</v>
      </c>
      <c r="AI25" s="198">
        <v>0</v>
      </c>
      <c r="AJ25" s="198">
        <v>0</v>
      </c>
      <c r="AK25" s="198">
        <v>0</v>
      </c>
      <c r="AL25" s="198">
        <v>0</v>
      </c>
      <c r="AM25" s="198">
        <v>0</v>
      </c>
      <c r="AN25" s="198">
        <v>0</v>
      </c>
      <c r="AO25" s="198">
        <v>0</v>
      </c>
      <c r="AP25" s="198">
        <v>0</v>
      </c>
      <c r="AQ25" s="198">
        <v>0</v>
      </c>
      <c r="AR25" s="198">
        <v>0</v>
      </c>
      <c r="AS25" s="198">
        <v>0</v>
      </c>
      <c r="AT25" s="198">
        <v>0</v>
      </c>
      <c r="AU25" s="198">
        <v>0</v>
      </c>
      <c r="AV25" s="198">
        <v>0</v>
      </c>
      <c r="AW25" s="198">
        <v>0</v>
      </c>
    </row>
    <row r="26" spans="3:49" x14ac:dyDescent="0.3">
      <c r="C26" s="198">
        <v>38</v>
      </c>
      <c r="D26" s="198">
        <v>3</v>
      </c>
      <c r="E26" s="198">
        <v>6</v>
      </c>
      <c r="F26" s="198">
        <v>1043076</v>
      </c>
      <c r="G26" s="198">
        <v>92440</v>
      </c>
      <c r="H26" s="198">
        <v>9515</v>
      </c>
      <c r="I26" s="198">
        <v>24848</v>
      </c>
      <c r="J26" s="198">
        <v>2874</v>
      </c>
      <c r="K26" s="198">
        <v>256749</v>
      </c>
      <c r="L26" s="198">
        <v>0</v>
      </c>
      <c r="M26" s="198">
        <v>0</v>
      </c>
      <c r="N26" s="198">
        <v>0</v>
      </c>
      <c r="O26" s="198">
        <v>0</v>
      </c>
      <c r="P26" s="198">
        <v>0</v>
      </c>
      <c r="Q26" s="198">
        <v>0</v>
      </c>
      <c r="R26" s="198">
        <v>0</v>
      </c>
      <c r="S26" s="198">
        <v>0</v>
      </c>
      <c r="T26" s="198">
        <v>0</v>
      </c>
      <c r="U26" s="198">
        <v>0</v>
      </c>
      <c r="V26" s="198">
        <v>237746</v>
      </c>
      <c r="W26" s="198">
        <v>0</v>
      </c>
      <c r="X26" s="198">
        <v>0</v>
      </c>
      <c r="Y26" s="198">
        <v>0</v>
      </c>
      <c r="Z26" s="198">
        <v>0</v>
      </c>
      <c r="AA26" s="198">
        <v>0</v>
      </c>
      <c r="AB26" s="198">
        <v>0</v>
      </c>
      <c r="AC26" s="198">
        <v>0</v>
      </c>
      <c r="AD26" s="198">
        <v>0</v>
      </c>
      <c r="AE26" s="198">
        <v>0</v>
      </c>
      <c r="AF26" s="198">
        <v>0</v>
      </c>
      <c r="AG26" s="198">
        <v>0</v>
      </c>
      <c r="AH26" s="198">
        <v>0</v>
      </c>
      <c r="AI26" s="198">
        <v>0</v>
      </c>
      <c r="AJ26" s="198">
        <v>252400</v>
      </c>
      <c r="AK26" s="198">
        <v>0</v>
      </c>
      <c r="AL26" s="198">
        <v>0</v>
      </c>
      <c r="AM26" s="198">
        <v>0</v>
      </c>
      <c r="AN26" s="198">
        <v>0</v>
      </c>
      <c r="AO26" s="198">
        <v>0</v>
      </c>
      <c r="AP26" s="198">
        <v>0</v>
      </c>
      <c r="AQ26" s="198">
        <v>3097</v>
      </c>
      <c r="AR26" s="198">
        <v>103272</v>
      </c>
      <c r="AS26" s="198">
        <v>0</v>
      </c>
      <c r="AT26" s="198">
        <v>0</v>
      </c>
      <c r="AU26" s="198">
        <v>0</v>
      </c>
      <c r="AV26" s="198">
        <v>0</v>
      </c>
      <c r="AW26" s="198">
        <v>60135</v>
      </c>
    </row>
    <row r="27" spans="3:49" x14ac:dyDescent="0.3">
      <c r="C27" s="198">
        <v>38</v>
      </c>
      <c r="D27" s="198">
        <v>3</v>
      </c>
      <c r="E27" s="198">
        <v>9</v>
      </c>
      <c r="F27" s="198">
        <v>24986</v>
      </c>
      <c r="G27" s="198">
        <v>0</v>
      </c>
      <c r="H27" s="198">
        <v>0</v>
      </c>
      <c r="I27" s="198">
        <v>2904</v>
      </c>
      <c r="J27" s="198">
        <v>0</v>
      </c>
      <c r="K27" s="198">
        <v>5806</v>
      </c>
      <c r="L27" s="198">
        <v>0</v>
      </c>
      <c r="M27" s="198">
        <v>0</v>
      </c>
      <c r="N27" s="198">
        <v>0</v>
      </c>
      <c r="O27" s="198">
        <v>0</v>
      </c>
      <c r="P27" s="198">
        <v>0</v>
      </c>
      <c r="Q27" s="198">
        <v>0</v>
      </c>
      <c r="R27" s="198">
        <v>0</v>
      </c>
      <c r="S27" s="198">
        <v>0</v>
      </c>
      <c r="T27" s="198">
        <v>0</v>
      </c>
      <c r="U27" s="198">
        <v>0</v>
      </c>
      <c r="V27" s="198">
        <v>0</v>
      </c>
      <c r="W27" s="198">
        <v>0</v>
      </c>
      <c r="X27" s="198">
        <v>0</v>
      </c>
      <c r="Y27" s="198">
        <v>0</v>
      </c>
      <c r="Z27" s="198">
        <v>0</v>
      </c>
      <c r="AA27" s="198">
        <v>0</v>
      </c>
      <c r="AB27" s="198">
        <v>0</v>
      </c>
      <c r="AC27" s="198">
        <v>0</v>
      </c>
      <c r="AD27" s="198">
        <v>0</v>
      </c>
      <c r="AE27" s="198">
        <v>0</v>
      </c>
      <c r="AF27" s="198">
        <v>0</v>
      </c>
      <c r="AG27" s="198">
        <v>0</v>
      </c>
      <c r="AH27" s="198">
        <v>0</v>
      </c>
      <c r="AI27" s="198">
        <v>0</v>
      </c>
      <c r="AJ27" s="198">
        <v>12621</v>
      </c>
      <c r="AK27" s="198">
        <v>0</v>
      </c>
      <c r="AL27" s="198">
        <v>0</v>
      </c>
      <c r="AM27" s="198">
        <v>0</v>
      </c>
      <c r="AN27" s="198">
        <v>0</v>
      </c>
      <c r="AO27" s="198">
        <v>0</v>
      </c>
      <c r="AP27" s="198">
        <v>0</v>
      </c>
      <c r="AQ27" s="198">
        <v>1400</v>
      </c>
      <c r="AR27" s="198">
        <v>2255</v>
      </c>
      <c r="AS27" s="198">
        <v>0</v>
      </c>
      <c r="AT27" s="198">
        <v>0</v>
      </c>
      <c r="AU27" s="198">
        <v>0</v>
      </c>
      <c r="AV27" s="198">
        <v>0</v>
      </c>
      <c r="AW27" s="198">
        <v>0</v>
      </c>
    </row>
    <row r="28" spans="3:49" x14ac:dyDescent="0.3">
      <c r="C28" s="198">
        <v>38</v>
      </c>
      <c r="D28" s="198">
        <v>3</v>
      </c>
      <c r="E28" s="198">
        <v>10</v>
      </c>
      <c r="F28" s="198">
        <v>3110</v>
      </c>
      <c r="G28" s="198">
        <v>0</v>
      </c>
      <c r="H28" s="198">
        <v>0</v>
      </c>
      <c r="I28" s="198">
        <v>0</v>
      </c>
      <c r="J28" s="198">
        <v>110</v>
      </c>
      <c r="K28" s="198">
        <v>0</v>
      </c>
      <c r="L28" s="198">
        <v>0</v>
      </c>
      <c r="M28" s="198">
        <v>0</v>
      </c>
      <c r="N28" s="198">
        <v>0</v>
      </c>
      <c r="O28" s="198">
        <v>3000</v>
      </c>
      <c r="P28" s="198">
        <v>0</v>
      </c>
      <c r="Q28" s="198">
        <v>0</v>
      </c>
      <c r="R28" s="198">
        <v>0</v>
      </c>
      <c r="S28" s="198">
        <v>0</v>
      </c>
      <c r="T28" s="198">
        <v>0</v>
      </c>
      <c r="U28" s="198">
        <v>0</v>
      </c>
      <c r="V28" s="198">
        <v>0</v>
      </c>
      <c r="W28" s="198">
        <v>0</v>
      </c>
      <c r="X28" s="198">
        <v>0</v>
      </c>
      <c r="Y28" s="198">
        <v>0</v>
      </c>
      <c r="Z28" s="198">
        <v>0</v>
      </c>
      <c r="AA28" s="198">
        <v>0</v>
      </c>
      <c r="AB28" s="198">
        <v>0</v>
      </c>
      <c r="AC28" s="198">
        <v>0</v>
      </c>
      <c r="AD28" s="198">
        <v>0</v>
      </c>
      <c r="AE28" s="198">
        <v>0</v>
      </c>
      <c r="AF28" s="198">
        <v>0</v>
      </c>
      <c r="AG28" s="198">
        <v>0</v>
      </c>
      <c r="AH28" s="198">
        <v>0</v>
      </c>
      <c r="AI28" s="198">
        <v>0</v>
      </c>
      <c r="AJ28" s="198">
        <v>0</v>
      </c>
      <c r="AK28" s="198">
        <v>0</v>
      </c>
      <c r="AL28" s="198">
        <v>0</v>
      </c>
      <c r="AM28" s="198">
        <v>0</v>
      </c>
      <c r="AN28" s="198">
        <v>0</v>
      </c>
      <c r="AO28" s="198">
        <v>0</v>
      </c>
      <c r="AP28" s="198">
        <v>0</v>
      </c>
      <c r="AQ28" s="198">
        <v>0</v>
      </c>
      <c r="AR28" s="198">
        <v>0</v>
      </c>
      <c r="AS28" s="198">
        <v>0</v>
      </c>
      <c r="AT28" s="198">
        <v>0</v>
      </c>
      <c r="AU28" s="198">
        <v>0</v>
      </c>
      <c r="AV28" s="198">
        <v>0</v>
      </c>
      <c r="AW28" s="198">
        <v>0</v>
      </c>
    </row>
    <row r="29" spans="3:49" x14ac:dyDescent="0.3">
      <c r="C29" s="198">
        <v>38</v>
      </c>
      <c r="D29" s="198">
        <v>3</v>
      </c>
      <c r="E29" s="198">
        <v>11</v>
      </c>
      <c r="F29" s="198">
        <v>2585.8778625954201</v>
      </c>
      <c r="G29" s="198">
        <v>0</v>
      </c>
      <c r="H29" s="198">
        <v>0</v>
      </c>
      <c r="I29" s="198">
        <v>0</v>
      </c>
      <c r="J29" s="198">
        <v>1335.8778625954199</v>
      </c>
      <c r="K29" s="198">
        <v>0</v>
      </c>
      <c r="L29" s="198">
        <v>0</v>
      </c>
      <c r="M29" s="198">
        <v>0</v>
      </c>
      <c r="N29" s="198">
        <v>0</v>
      </c>
      <c r="O29" s="198">
        <v>1250</v>
      </c>
      <c r="P29" s="198">
        <v>0</v>
      </c>
      <c r="Q29" s="198">
        <v>0</v>
      </c>
      <c r="R29" s="198">
        <v>0</v>
      </c>
      <c r="S29" s="198">
        <v>0</v>
      </c>
      <c r="T29" s="198">
        <v>0</v>
      </c>
      <c r="U29" s="198">
        <v>0</v>
      </c>
      <c r="V29" s="198">
        <v>0</v>
      </c>
      <c r="W29" s="198">
        <v>0</v>
      </c>
      <c r="X29" s="198">
        <v>0</v>
      </c>
      <c r="Y29" s="198">
        <v>0</v>
      </c>
      <c r="Z29" s="198">
        <v>0</v>
      </c>
      <c r="AA29" s="198">
        <v>0</v>
      </c>
      <c r="AB29" s="198">
        <v>0</v>
      </c>
      <c r="AC29" s="198">
        <v>0</v>
      </c>
      <c r="AD29" s="198">
        <v>0</v>
      </c>
      <c r="AE29" s="198">
        <v>0</v>
      </c>
      <c r="AF29" s="198">
        <v>0</v>
      </c>
      <c r="AG29" s="198">
        <v>0</v>
      </c>
      <c r="AH29" s="198">
        <v>0</v>
      </c>
      <c r="AI29" s="198">
        <v>0</v>
      </c>
      <c r="AJ29" s="198">
        <v>0</v>
      </c>
      <c r="AK29" s="198">
        <v>0</v>
      </c>
      <c r="AL29" s="198">
        <v>0</v>
      </c>
      <c r="AM29" s="198">
        <v>0</v>
      </c>
      <c r="AN29" s="198">
        <v>0</v>
      </c>
      <c r="AO29" s="198">
        <v>0</v>
      </c>
      <c r="AP29" s="198">
        <v>0</v>
      </c>
      <c r="AQ29" s="198">
        <v>0</v>
      </c>
      <c r="AR29" s="198">
        <v>0</v>
      </c>
      <c r="AS29" s="198">
        <v>0</v>
      </c>
      <c r="AT29" s="198">
        <v>0</v>
      </c>
      <c r="AU29" s="198">
        <v>0</v>
      </c>
      <c r="AV29" s="198">
        <v>0</v>
      </c>
      <c r="AW29" s="198">
        <v>0</v>
      </c>
    </row>
    <row r="30" spans="3:49" x14ac:dyDescent="0.3">
      <c r="C30" s="198">
        <v>38</v>
      </c>
      <c r="D30" s="198">
        <v>4</v>
      </c>
      <c r="E30" s="198">
        <v>1</v>
      </c>
      <c r="F30" s="198">
        <v>27.4</v>
      </c>
      <c r="G30" s="198">
        <v>0</v>
      </c>
      <c r="H30" s="198">
        <v>0.5</v>
      </c>
      <c r="I30" s="198">
        <v>0.8</v>
      </c>
      <c r="J30" s="198">
        <v>0.6</v>
      </c>
      <c r="K30" s="198">
        <v>5</v>
      </c>
      <c r="L30" s="198">
        <v>0</v>
      </c>
      <c r="M30" s="198">
        <v>0</v>
      </c>
      <c r="N30" s="198">
        <v>0</v>
      </c>
      <c r="O30" s="198">
        <v>0</v>
      </c>
      <c r="P30" s="198">
        <v>0</v>
      </c>
      <c r="Q30" s="198">
        <v>0</v>
      </c>
      <c r="R30" s="198">
        <v>0</v>
      </c>
      <c r="S30" s="198">
        <v>0</v>
      </c>
      <c r="T30" s="198">
        <v>0</v>
      </c>
      <c r="U30" s="198">
        <v>0</v>
      </c>
      <c r="V30" s="198">
        <v>9</v>
      </c>
      <c r="W30" s="198">
        <v>0</v>
      </c>
      <c r="X30" s="198">
        <v>0</v>
      </c>
      <c r="Y30" s="198">
        <v>0</v>
      </c>
      <c r="Z30" s="198">
        <v>0</v>
      </c>
      <c r="AA30" s="198">
        <v>0</v>
      </c>
      <c r="AB30" s="198">
        <v>0</v>
      </c>
      <c r="AC30" s="198">
        <v>0</v>
      </c>
      <c r="AD30" s="198">
        <v>0</v>
      </c>
      <c r="AE30" s="198">
        <v>0</v>
      </c>
      <c r="AF30" s="198">
        <v>0</v>
      </c>
      <c r="AG30" s="198">
        <v>0</v>
      </c>
      <c r="AH30" s="198">
        <v>0</v>
      </c>
      <c r="AI30" s="198">
        <v>0</v>
      </c>
      <c r="AJ30" s="198">
        <v>4</v>
      </c>
      <c r="AK30" s="198">
        <v>0</v>
      </c>
      <c r="AL30" s="198">
        <v>0</v>
      </c>
      <c r="AM30" s="198">
        <v>0</v>
      </c>
      <c r="AN30" s="198">
        <v>0</v>
      </c>
      <c r="AO30" s="198">
        <v>0</v>
      </c>
      <c r="AP30" s="198">
        <v>0</v>
      </c>
      <c r="AQ30" s="198">
        <v>0</v>
      </c>
      <c r="AR30" s="198">
        <v>5</v>
      </c>
      <c r="AS30" s="198">
        <v>0</v>
      </c>
      <c r="AT30" s="198">
        <v>0</v>
      </c>
      <c r="AU30" s="198">
        <v>0</v>
      </c>
      <c r="AV30" s="198">
        <v>0</v>
      </c>
      <c r="AW30" s="198">
        <v>2.5</v>
      </c>
    </row>
    <row r="31" spans="3:49" x14ac:dyDescent="0.3">
      <c r="C31" s="198">
        <v>38</v>
      </c>
      <c r="D31" s="198">
        <v>4</v>
      </c>
      <c r="E31" s="198">
        <v>2</v>
      </c>
      <c r="F31" s="198">
        <v>4140.8</v>
      </c>
      <c r="G31" s="198">
        <v>0</v>
      </c>
      <c r="H31" s="198">
        <v>84</v>
      </c>
      <c r="I31" s="198">
        <v>134.4</v>
      </c>
      <c r="J31" s="198">
        <v>0</v>
      </c>
      <c r="K31" s="198">
        <v>664</v>
      </c>
      <c r="L31" s="198">
        <v>0</v>
      </c>
      <c r="M31" s="198">
        <v>0</v>
      </c>
      <c r="N31" s="198">
        <v>0</v>
      </c>
      <c r="O31" s="198">
        <v>0</v>
      </c>
      <c r="P31" s="198">
        <v>0</v>
      </c>
      <c r="Q31" s="198">
        <v>0</v>
      </c>
      <c r="R31" s="198">
        <v>0</v>
      </c>
      <c r="S31" s="198">
        <v>0</v>
      </c>
      <c r="T31" s="198">
        <v>0</v>
      </c>
      <c r="U31" s="198">
        <v>0</v>
      </c>
      <c r="V31" s="198">
        <v>1424</v>
      </c>
      <c r="W31" s="198">
        <v>0</v>
      </c>
      <c r="X31" s="198">
        <v>0</v>
      </c>
      <c r="Y31" s="198">
        <v>0</v>
      </c>
      <c r="Z31" s="198">
        <v>0</v>
      </c>
      <c r="AA31" s="198">
        <v>0</v>
      </c>
      <c r="AB31" s="198">
        <v>0</v>
      </c>
      <c r="AC31" s="198">
        <v>0</v>
      </c>
      <c r="AD31" s="198">
        <v>0</v>
      </c>
      <c r="AE31" s="198">
        <v>0</v>
      </c>
      <c r="AF31" s="198">
        <v>0</v>
      </c>
      <c r="AG31" s="198">
        <v>0</v>
      </c>
      <c r="AH31" s="198">
        <v>0</v>
      </c>
      <c r="AI31" s="198">
        <v>0</v>
      </c>
      <c r="AJ31" s="198">
        <v>670.4</v>
      </c>
      <c r="AK31" s="198">
        <v>0</v>
      </c>
      <c r="AL31" s="198">
        <v>0</v>
      </c>
      <c r="AM31" s="198">
        <v>0</v>
      </c>
      <c r="AN31" s="198">
        <v>0</v>
      </c>
      <c r="AO31" s="198">
        <v>0</v>
      </c>
      <c r="AP31" s="198">
        <v>0</v>
      </c>
      <c r="AQ31" s="198">
        <v>0</v>
      </c>
      <c r="AR31" s="198">
        <v>744</v>
      </c>
      <c r="AS31" s="198">
        <v>0</v>
      </c>
      <c r="AT31" s="198">
        <v>0</v>
      </c>
      <c r="AU31" s="198">
        <v>0</v>
      </c>
      <c r="AV31" s="198">
        <v>0</v>
      </c>
      <c r="AW31" s="198">
        <v>420</v>
      </c>
    </row>
    <row r="32" spans="3:49" x14ac:dyDescent="0.3">
      <c r="C32" s="198">
        <v>38</v>
      </c>
      <c r="D32" s="198">
        <v>4</v>
      </c>
      <c r="E32" s="198">
        <v>3</v>
      </c>
      <c r="F32" s="198">
        <v>99.6</v>
      </c>
      <c r="G32" s="198">
        <v>0</v>
      </c>
      <c r="H32" s="198">
        <v>0</v>
      </c>
      <c r="I32" s="198">
        <v>0</v>
      </c>
      <c r="J32" s="198">
        <v>0</v>
      </c>
      <c r="K32" s="198">
        <v>0</v>
      </c>
      <c r="L32" s="198">
        <v>0</v>
      </c>
      <c r="M32" s="198">
        <v>0</v>
      </c>
      <c r="N32" s="198">
        <v>0</v>
      </c>
      <c r="O32" s="198">
        <v>0</v>
      </c>
      <c r="P32" s="198">
        <v>0</v>
      </c>
      <c r="Q32" s="198">
        <v>0</v>
      </c>
      <c r="R32" s="198">
        <v>0</v>
      </c>
      <c r="S32" s="198">
        <v>0</v>
      </c>
      <c r="T32" s="198">
        <v>0</v>
      </c>
      <c r="U32" s="198">
        <v>0</v>
      </c>
      <c r="V32" s="198">
        <v>0</v>
      </c>
      <c r="W32" s="198">
        <v>0</v>
      </c>
      <c r="X32" s="198">
        <v>0</v>
      </c>
      <c r="Y32" s="198">
        <v>0</v>
      </c>
      <c r="Z32" s="198">
        <v>0</v>
      </c>
      <c r="AA32" s="198">
        <v>0</v>
      </c>
      <c r="AB32" s="198">
        <v>0</v>
      </c>
      <c r="AC32" s="198">
        <v>0</v>
      </c>
      <c r="AD32" s="198">
        <v>0</v>
      </c>
      <c r="AE32" s="198">
        <v>0</v>
      </c>
      <c r="AF32" s="198">
        <v>0</v>
      </c>
      <c r="AG32" s="198">
        <v>0</v>
      </c>
      <c r="AH32" s="198">
        <v>0</v>
      </c>
      <c r="AI32" s="198">
        <v>0</v>
      </c>
      <c r="AJ32" s="198">
        <v>99.6</v>
      </c>
      <c r="AK32" s="198">
        <v>0</v>
      </c>
      <c r="AL32" s="198">
        <v>0</v>
      </c>
      <c r="AM32" s="198">
        <v>0</v>
      </c>
      <c r="AN32" s="198">
        <v>0</v>
      </c>
      <c r="AO32" s="198">
        <v>0</v>
      </c>
      <c r="AP32" s="198">
        <v>0</v>
      </c>
      <c r="AQ32" s="198">
        <v>0</v>
      </c>
      <c r="AR32" s="198">
        <v>0</v>
      </c>
      <c r="AS32" s="198">
        <v>0</v>
      </c>
      <c r="AT32" s="198">
        <v>0</v>
      </c>
      <c r="AU32" s="198">
        <v>0</v>
      </c>
      <c r="AV32" s="198">
        <v>0</v>
      </c>
      <c r="AW32" s="198">
        <v>0</v>
      </c>
    </row>
    <row r="33" spans="3:49" x14ac:dyDescent="0.3">
      <c r="C33" s="198">
        <v>38</v>
      </c>
      <c r="D33" s="198">
        <v>4</v>
      </c>
      <c r="E33" s="198">
        <v>4</v>
      </c>
      <c r="F33" s="198">
        <v>104</v>
      </c>
      <c r="G33" s="198">
        <v>0</v>
      </c>
      <c r="H33" s="198">
        <v>0</v>
      </c>
      <c r="I33" s="198">
        <v>0</v>
      </c>
      <c r="J33" s="198">
        <v>0</v>
      </c>
      <c r="K33" s="198">
        <v>0</v>
      </c>
      <c r="L33" s="198">
        <v>0</v>
      </c>
      <c r="M33" s="198">
        <v>0</v>
      </c>
      <c r="N33" s="198">
        <v>0</v>
      </c>
      <c r="O33" s="198">
        <v>0</v>
      </c>
      <c r="P33" s="198">
        <v>0</v>
      </c>
      <c r="Q33" s="198">
        <v>0</v>
      </c>
      <c r="R33" s="198">
        <v>0</v>
      </c>
      <c r="S33" s="198">
        <v>0</v>
      </c>
      <c r="T33" s="198">
        <v>0</v>
      </c>
      <c r="U33" s="198">
        <v>0</v>
      </c>
      <c r="V33" s="198">
        <v>0</v>
      </c>
      <c r="W33" s="198">
        <v>0</v>
      </c>
      <c r="X33" s="198">
        <v>0</v>
      </c>
      <c r="Y33" s="198">
        <v>0</v>
      </c>
      <c r="Z33" s="198">
        <v>0</v>
      </c>
      <c r="AA33" s="198">
        <v>0</v>
      </c>
      <c r="AB33" s="198">
        <v>0</v>
      </c>
      <c r="AC33" s="198">
        <v>0</v>
      </c>
      <c r="AD33" s="198">
        <v>0</v>
      </c>
      <c r="AE33" s="198">
        <v>0</v>
      </c>
      <c r="AF33" s="198">
        <v>0</v>
      </c>
      <c r="AG33" s="198">
        <v>0</v>
      </c>
      <c r="AH33" s="198">
        <v>0</v>
      </c>
      <c r="AI33" s="198">
        <v>0</v>
      </c>
      <c r="AJ33" s="198">
        <v>92</v>
      </c>
      <c r="AK33" s="198">
        <v>0</v>
      </c>
      <c r="AL33" s="198">
        <v>0</v>
      </c>
      <c r="AM33" s="198">
        <v>0</v>
      </c>
      <c r="AN33" s="198">
        <v>0</v>
      </c>
      <c r="AO33" s="198">
        <v>0</v>
      </c>
      <c r="AP33" s="198">
        <v>0</v>
      </c>
      <c r="AQ33" s="198">
        <v>4</v>
      </c>
      <c r="AR33" s="198">
        <v>8</v>
      </c>
      <c r="AS33" s="198">
        <v>0</v>
      </c>
      <c r="AT33" s="198">
        <v>0</v>
      </c>
      <c r="AU33" s="198">
        <v>0</v>
      </c>
      <c r="AV33" s="198">
        <v>0</v>
      </c>
      <c r="AW33" s="198">
        <v>0</v>
      </c>
    </row>
    <row r="34" spans="3:49" x14ac:dyDescent="0.3">
      <c r="C34" s="198">
        <v>38</v>
      </c>
      <c r="D34" s="198">
        <v>4</v>
      </c>
      <c r="E34" s="198">
        <v>5</v>
      </c>
      <c r="F34" s="198">
        <v>731</v>
      </c>
      <c r="G34" s="198">
        <v>731</v>
      </c>
      <c r="H34" s="198">
        <v>0</v>
      </c>
      <c r="I34" s="198">
        <v>0</v>
      </c>
      <c r="J34" s="198">
        <v>0</v>
      </c>
      <c r="K34" s="198">
        <v>0</v>
      </c>
      <c r="L34" s="198">
        <v>0</v>
      </c>
      <c r="M34" s="198">
        <v>0</v>
      </c>
      <c r="N34" s="198">
        <v>0</v>
      </c>
      <c r="O34" s="198">
        <v>0</v>
      </c>
      <c r="P34" s="198">
        <v>0</v>
      </c>
      <c r="Q34" s="198">
        <v>0</v>
      </c>
      <c r="R34" s="198">
        <v>0</v>
      </c>
      <c r="S34" s="198">
        <v>0</v>
      </c>
      <c r="T34" s="198">
        <v>0</v>
      </c>
      <c r="U34" s="198">
        <v>0</v>
      </c>
      <c r="V34" s="198">
        <v>0</v>
      </c>
      <c r="W34" s="198">
        <v>0</v>
      </c>
      <c r="X34" s="198">
        <v>0</v>
      </c>
      <c r="Y34" s="198">
        <v>0</v>
      </c>
      <c r="Z34" s="198">
        <v>0</v>
      </c>
      <c r="AA34" s="198">
        <v>0</v>
      </c>
      <c r="AB34" s="198">
        <v>0</v>
      </c>
      <c r="AC34" s="198">
        <v>0</v>
      </c>
      <c r="AD34" s="198">
        <v>0</v>
      </c>
      <c r="AE34" s="198">
        <v>0</v>
      </c>
      <c r="AF34" s="198">
        <v>0</v>
      </c>
      <c r="AG34" s="198">
        <v>0</v>
      </c>
      <c r="AH34" s="198">
        <v>0</v>
      </c>
      <c r="AI34" s="198">
        <v>0</v>
      </c>
      <c r="AJ34" s="198">
        <v>0</v>
      </c>
      <c r="AK34" s="198">
        <v>0</v>
      </c>
      <c r="AL34" s="198">
        <v>0</v>
      </c>
      <c r="AM34" s="198">
        <v>0</v>
      </c>
      <c r="AN34" s="198">
        <v>0</v>
      </c>
      <c r="AO34" s="198">
        <v>0</v>
      </c>
      <c r="AP34" s="198">
        <v>0</v>
      </c>
      <c r="AQ34" s="198">
        <v>0</v>
      </c>
      <c r="AR34" s="198">
        <v>0</v>
      </c>
      <c r="AS34" s="198">
        <v>0</v>
      </c>
      <c r="AT34" s="198">
        <v>0</v>
      </c>
      <c r="AU34" s="198">
        <v>0</v>
      </c>
      <c r="AV34" s="198">
        <v>0</v>
      </c>
      <c r="AW34" s="198">
        <v>0</v>
      </c>
    </row>
    <row r="35" spans="3:49" x14ac:dyDescent="0.3">
      <c r="C35" s="198">
        <v>38</v>
      </c>
      <c r="D35" s="198">
        <v>4</v>
      </c>
      <c r="E35" s="198">
        <v>6</v>
      </c>
      <c r="F35" s="198">
        <v>1081825</v>
      </c>
      <c r="G35" s="198">
        <v>84630</v>
      </c>
      <c r="H35" s="198">
        <v>10050</v>
      </c>
      <c r="I35" s="198">
        <v>32577</v>
      </c>
      <c r="J35" s="198">
        <v>0</v>
      </c>
      <c r="K35" s="198">
        <v>249970</v>
      </c>
      <c r="L35" s="198">
        <v>0</v>
      </c>
      <c r="M35" s="198">
        <v>0</v>
      </c>
      <c r="N35" s="198">
        <v>0</v>
      </c>
      <c r="O35" s="198">
        <v>0</v>
      </c>
      <c r="P35" s="198">
        <v>0</v>
      </c>
      <c r="Q35" s="198">
        <v>0</v>
      </c>
      <c r="R35" s="198">
        <v>0</v>
      </c>
      <c r="S35" s="198">
        <v>0</v>
      </c>
      <c r="T35" s="198">
        <v>0</v>
      </c>
      <c r="U35" s="198">
        <v>0</v>
      </c>
      <c r="V35" s="198">
        <v>258077</v>
      </c>
      <c r="W35" s="198">
        <v>0</v>
      </c>
      <c r="X35" s="198">
        <v>0</v>
      </c>
      <c r="Y35" s="198">
        <v>0</v>
      </c>
      <c r="Z35" s="198">
        <v>0</v>
      </c>
      <c r="AA35" s="198">
        <v>0</v>
      </c>
      <c r="AB35" s="198">
        <v>0</v>
      </c>
      <c r="AC35" s="198">
        <v>0</v>
      </c>
      <c r="AD35" s="198">
        <v>0</v>
      </c>
      <c r="AE35" s="198">
        <v>0</v>
      </c>
      <c r="AF35" s="198">
        <v>0</v>
      </c>
      <c r="AG35" s="198">
        <v>0</v>
      </c>
      <c r="AH35" s="198">
        <v>0</v>
      </c>
      <c r="AI35" s="198">
        <v>0</v>
      </c>
      <c r="AJ35" s="198">
        <v>274720</v>
      </c>
      <c r="AK35" s="198">
        <v>0</v>
      </c>
      <c r="AL35" s="198">
        <v>0</v>
      </c>
      <c r="AM35" s="198">
        <v>0</v>
      </c>
      <c r="AN35" s="198">
        <v>0</v>
      </c>
      <c r="AO35" s="198">
        <v>0</v>
      </c>
      <c r="AP35" s="198">
        <v>0</v>
      </c>
      <c r="AQ35" s="198">
        <v>2814</v>
      </c>
      <c r="AR35" s="198">
        <v>108047</v>
      </c>
      <c r="AS35" s="198">
        <v>0</v>
      </c>
      <c r="AT35" s="198">
        <v>0</v>
      </c>
      <c r="AU35" s="198">
        <v>0</v>
      </c>
      <c r="AV35" s="198">
        <v>0</v>
      </c>
      <c r="AW35" s="198">
        <v>60940</v>
      </c>
    </row>
    <row r="36" spans="3:49" x14ac:dyDescent="0.3">
      <c r="C36" s="198">
        <v>38</v>
      </c>
      <c r="D36" s="198">
        <v>4</v>
      </c>
      <c r="E36" s="198">
        <v>9</v>
      </c>
      <c r="F36" s="198">
        <v>51177</v>
      </c>
      <c r="G36" s="198">
        <v>0</v>
      </c>
      <c r="H36" s="198">
        <v>0</v>
      </c>
      <c r="I36" s="198">
        <v>8453</v>
      </c>
      <c r="J36" s="198">
        <v>0</v>
      </c>
      <c r="K36" s="198">
        <v>16905</v>
      </c>
      <c r="L36" s="198">
        <v>0</v>
      </c>
      <c r="M36" s="198">
        <v>0</v>
      </c>
      <c r="N36" s="198">
        <v>0</v>
      </c>
      <c r="O36" s="198">
        <v>0</v>
      </c>
      <c r="P36" s="198">
        <v>0</v>
      </c>
      <c r="Q36" s="198">
        <v>0</v>
      </c>
      <c r="R36" s="198">
        <v>0</v>
      </c>
      <c r="S36" s="198">
        <v>0</v>
      </c>
      <c r="T36" s="198">
        <v>0</v>
      </c>
      <c r="U36" s="198">
        <v>0</v>
      </c>
      <c r="V36" s="198">
        <v>10000</v>
      </c>
      <c r="W36" s="198">
        <v>0</v>
      </c>
      <c r="X36" s="198">
        <v>0</v>
      </c>
      <c r="Y36" s="198">
        <v>0</v>
      </c>
      <c r="Z36" s="198">
        <v>0</v>
      </c>
      <c r="AA36" s="198">
        <v>0</v>
      </c>
      <c r="AB36" s="198">
        <v>0</v>
      </c>
      <c r="AC36" s="198">
        <v>0</v>
      </c>
      <c r="AD36" s="198">
        <v>0</v>
      </c>
      <c r="AE36" s="198">
        <v>0</v>
      </c>
      <c r="AF36" s="198">
        <v>0</v>
      </c>
      <c r="AG36" s="198">
        <v>0</v>
      </c>
      <c r="AH36" s="198">
        <v>0</v>
      </c>
      <c r="AI36" s="198">
        <v>0</v>
      </c>
      <c r="AJ36" s="198">
        <v>12621</v>
      </c>
      <c r="AK36" s="198">
        <v>0</v>
      </c>
      <c r="AL36" s="198">
        <v>0</v>
      </c>
      <c r="AM36" s="198">
        <v>0</v>
      </c>
      <c r="AN36" s="198">
        <v>0</v>
      </c>
      <c r="AO36" s="198">
        <v>0</v>
      </c>
      <c r="AP36" s="198">
        <v>0</v>
      </c>
      <c r="AQ36" s="198">
        <v>1183</v>
      </c>
      <c r="AR36" s="198">
        <v>2015</v>
      </c>
      <c r="AS36" s="198">
        <v>0</v>
      </c>
      <c r="AT36" s="198">
        <v>0</v>
      </c>
      <c r="AU36" s="198">
        <v>0</v>
      </c>
      <c r="AV36" s="198">
        <v>0</v>
      </c>
      <c r="AW36" s="198">
        <v>0</v>
      </c>
    </row>
    <row r="37" spans="3:49" x14ac:dyDescent="0.3">
      <c r="C37" s="198">
        <v>38</v>
      </c>
      <c r="D37" s="198">
        <v>4</v>
      </c>
      <c r="E37" s="198">
        <v>10</v>
      </c>
      <c r="F37" s="198">
        <v>2055</v>
      </c>
      <c r="G37" s="198">
        <v>0</v>
      </c>
      <c r="H37" s="198">
        <v>0</v>
      </c>
      <c r="I37" s="198">
        <v>0</v>
      </c>
      <c r="J37" s="198">
        <v>0</v>
      </c>
      <c r="K37" s="198">
        <v>0</v>
      </c>
      <c r="L37" s="198">
        <v>0</v>
      </c>
      <c r="M37" s="198">
        <v>0</v>
      </c>
      <c r="N37" s="198">
        <v>0</v>
      </c>
      <c r="O37" s="198">
        <v>2055</v>
      </c>
      <c r="P37" s="198">
        <v>0</v>
      </c>
      <c r="Q37" s="198">
        <v>0</v>
      </c>
      <c r="R37" s="198">
        <v>0</v>
      </c>
      <c r="S37" s="198">
        <v>0</v>
      </c>
      <c r="T37" s="198">
        <v>0</v>
      </c>
      <c r="U37" s="198">
        <v>0</v>
      </c>
      <c r="V37" s="198">
        <v>0</v>
      </c>
      <c r="W37" s="198">
        <v>0</v>
      </c>
      <c r="X37" s="198">
        <v>0</v>
      </c>
      <c r="Y37" s="198">
        <v>0</v>
      </c>
      <c r="Z37" s="198">
        <v>0</v>
      </c>
      <c r="AA37" s="198">
        <v>0</v>
      </c>
      <c r="AB37" s="198">
        <v>0</v>
      </c>
      <c r="AC37" s="198">
        <v>0</v>
      </c>
      <c r="AD37" s="198">
        <v>0</v>
      </c>
      <c r="AE37" s="198">
        <v>0</v>
      </c>
      <c r="AF37" s="198">
        <v>0</v>
      </c>
      <c r="AG37" s="198">
        <v>0</v>
      </c>
      <c r="AH37" s="198">
        <v>0</v>
      </c>
      <c r="AI37" s="198">
        <v>0</v>
      </c>
      <c r="AJ37" s="198">
        <v>0</v>
      </c>
      <c r="AK37" s="198">
        <v>0</v>
      </c>
      <c r="AL37" s="198">
        <v>0</v>
      </c>
      <c r="AM37" s="198">
        <v>0</v>
      </c>
      <c r="AN37" s="198">
        <v>0</v>
      </c>
      <c r="AO37" s="198">
        <v>0</v>
      </c>
      <c r="AP37" s="198">
        <v>0</v>
      </c>
      <c r="AQ37" s="198">
        <v>0</v>
      </c>
      <c r="AR37" s="198">
        <v>0</v>
      </c>
      <c r="AS37" s="198">
        <v>0</v>
      </c>
      <c r="AT37" s="198">
        <v>0</v>
      </c>
      <c r="AU37" s="198">
        <v>0</v>
      </c>
      <c r="AV37" s="198">
        <v>0</v>
      </c>
      <c r="AW37" s="198">
        <v>0</v>
      </c>
    </row>
    <row r="38" spans="3:49" x14ac:dyDescent="0.3">
      <c r="C38" s="198">
        <v>38</v>
      </c>
      <c r="D38" s="198">
        <v>4</v>
      </c>
      <c r="E38" s="198">
        <v>11</v>
      </c>
      <c r="F38" s="198">
        <v>2585.8778625954201</v>
      </c>
      <c r="G38" s="198">
        <v>0</v>
      </c>
      <c r="H38" s="198">
        <v>0</v>
      </c>
      <c r="I38" s="198">
        <v>0</v>
      </c>
      <c r="J38" s="198">
        <v>1335.8778625954199</v>
      </c>
      <c r="K38" s="198">
        <v>0</v>
      </c>
      <c r="L38" s="198">
        <v>0</v>
      </c>
      <c r="M38" s="198">
        <v>0</v>
      </c>
      <c r="N38" s="198">
        <v>0</v>
      </c>
      <c r="O38" s="198">
        <v>1250</v>
      </c>
      <c r="P38" s="198">
        <v>0</v>
      </c>
      <c r="Q38" s="198">
        <v>0</v>
      </c>
      <c r="R38" s="198">
        <v>0</v>
      </c>
      <c r="S38" s="198">
        <v>0</v>
      </c>
      <c r="T38" s="198">
        <v>0</v>
      </c>
      <c r="U38" s="198">
        <v>0</v>
      </c>
      <c r="V38" s="198">
        <v>0</v>
      </c>
      <c r="W38" s="198">
        <v>0</v>
      </c>
      <c r="X38" s="198">
        <v>0</v>
      </c>
      <c r="Y38" s="198">
        <v>0</v>
      </c>
      <c r="Z38" s="198">
        <v>0</v>
      </c>
      <c r="AA38" s="198">
        <v>0</v>
      </c>
      <c r="AB38" s="198">
        <v>0</v>
      </c>
      <c r="AC38" s="198">
        <v>0</v>
      </c>
      <c r="AD38" s="198">
        <v>0</v>
      </c>
      <c r="AE38" s="198">
        <v>0</v>
      </c>
      <c r="AF38" s="198">
        <v>0</v>
      </c>
      <c r="AG38" s="198">
        <v>0</v>
      </c>
      <c r="AH38" s="198">
        <v>0</v>
      </c>
      <c r="AI38" s="198">
        <v>0</v>
      </c>
      <c r="AJ38" s="198">
        <v>0</v>
      </c>
      <c r="AK38" s="198">
        <v>0</v>
      </c>
      <c r="AL38" s="198">
        <v>0</v>
      </c>
      <c r="AM38" s="198">
        <v>0</v>
      </c>
      <c r="AN38" s="198">
        <v>0</v>
      </c>
      <c r="AO38" s="198">
        <v>0</v>
      </c>
      <c r="AP38" s="198">
        <v>0</v>
      </c>
      <c r="AQ38" s="198">
        <v>0</v>
      </c>
      <c r="AR38" s="198">
        <v>0</v>
      </c>
      <c r="AS38" s="198">
        <v>0</v>
      </c>
      <c r="AT38" s="198">
        <v>0</v>
      </c>
      <c r="AU38" s="198">
        <v>0</v>
      </c>
      <c r="AV38" s="198">
        <v>0</v>
      </c>
      <c r="AW38" s="198">
        <v>0</v>
      </c>
    </row>
    <row r="39" spans="3:49" x14ac:dyDescent="0.3">
      <c r="C39" s="198">
        <v>38</v>
      </c>
      <c r="D39" s="198">
        <v>5</v>
      </c>
      <c r="E39" s="198">
        <v>1</v>
      </c>
      <c r="F39" s="198">
        <v>28.4</v>
      </c>
      <c r="G39" s="198">
        <v>0</v>
      </c>
      <c r="H39" s="198">
        <v>0.5</v>
      </c>
      <c r="I39" s="198">
        <v>0.8</v>
      </c>
      <c r="J39" s="198">
        <v>0.6</v>
      </c>
      <c r="K39" s="198">
        <v>5</v>
      </c>
      <c r="L39" s="198">
        <v>0</v>
      </c>
      <c r="M39" s="198">
        <v>0</v>
      </c>
      <c r="N39" s="198">
        <v>0</v>
      </c>
      <c r="O39" s="198">
        <v>0</v>
      </c>
      <c r="P39" s="198">
        <v>0</v>
      </c>
      <c r="Q39" s="198">
        <v>0</v>
      </c>
      <c r="R39" s="198">
        <v>0</v>
      </c>
      <c r="S39" s="198">
        <v>0</v>
      </c>
      <c r="T39" s="198">
        <v>0</v>
      </c>
      <c r="U39" s="198">
        <v>0</v>
      </c>
      <c r="V39" s="198">
        <v>10</v>
      </c>
      <c r="W39" s="198">
        <v>0</v>
      </c>
      <c r="X39" s="198">
        <v>0</v>
      </c>
      <c r="Y39" s="198">
        <v>0</v>
      </c>
      <c r="Z39" s="198">
        <v>0</v>
      </c>
      <c r="AA39" s="198">
        <v>0</v>
      </c>
      <c r="AB39" s="198">
        <v>0</v>
      </c>
      <c r="AC39" s="198">
        <v>0</v>
      </c>
      <c r="AD39" s="198">
        <v>0</v>
      </c>
      <c r="AE39" s="198">
        <v>0</v>
      </c>
      <c r="AF39" s="198">
        <v>0</v>
      </c>
      <c r="AG39" s="198">
        <v>0</v>
      </c>
      <c r="AH39" s="198">
        <v>0</v>
      </c>
      <c r="AI39" s="198">
        <v>0</v>
      </c>
      <c r="AJ39" s="198">
        <v>4</v>
      </c>
      <c r="AK39" s="198">
        <v>0</v>
      </c>
      <c r="AL39" s="198">
        <v>0</v>
      </c>
      <c r="AM39" s="198">
        <v>0</v>
      </c>
      <c r="AN39" s="198">
        <v>0</v>
      </c>
      <c r="AO39" s="198">
        <v>0</v>
      </c>
      <c r="AP39" s="198">
        <v>0</v>
      </c>
      <c r="AQ39" s="198">
        <v>0</v>
      </c>
      <c r="AR39" s="198">
        <v>5</v>
      </c>
      <c r="AS39" s="198">
        <v>0</v>
      </c>
      <c r="AT39" s="198">
        <v>0</v>
      </c>
      <c r="AU39" s="198">
        <v>0</v>
      </c>
      <c r="AV39" s="198">
        <v>0</v>
      </c>
      <c r="AW39" s="198">
        <v>2.5</v>
      </c>
    </row>
    <row r="40" spans="3:49" x14ac:dyDescent="0.3">
      <c r="C40" s="198">
        <v>38</v>
      </c>
      <c r="D40" s="198">
        <v>5</v>
      </c>
      <c r="E40" s="198">
        <v>2</v>
      </c>
      <c r="F40" s="198">
        <v>4481.6000000000004</v>
      </c>
      <c r="G40" s="198">
        <v>0</v>
      </c>
      <c r="H40" s="198">
        <v>88</v>
      </c>
      <c r="I40" s="198">
        <v>124.8</v>
      </c>
      <c r="J40" s="198">
        <v>56</v>
      </c>
      <c r="K40" s="198">
        <v>824</v>
      </c>
      <c r="L40" s="198">
        <v>0</v>
      </c>
      <c r="M40" s="198">
        <v>0</v>
      </c>
      <c r="N40" s="198">
        <v>0</v>
      </c>
      <c r="O40" s="198">
        <v>0</v>
      </c>
      <c r="P40" s="198">
        <v>0</v>
      </c>
      <c r="Q40" s="198">
        <v>0</v>
      </c>
      <c r="R40" s="198">
        <v>0</v>
      </c>
      <c r="S40" s="198">
        <v>0</v>
      </c>
      <c r="T40" s="198">
        <v>0</v>
      </c>
      <c r="U40" s="198">
        <v>0</v>
      </c>
      <c r="V40" s="198">
        <v>1508</v>
      </c>
      <c r="W40" s="198">
        <v>0</v>
      </c>
      <c r="X40" s="198">
        <v>0</v>
      </c>
      <c r="Y40" s="198">
        <v>0</v>
      </c>
      <c r="Z40" s="198">
        <v>0</v>
      </c>
      <c r="AA40" s="198">
        <v>0</v>
      </c>
      <c r="AB40" s="198">
        <v>0</v>
      </c>
      <c r="AC40" s="198">
        <v>0</v>
      </c>
      <c r="AD40" s="198">
        <v>0</v>
      </c>
      <c r="AE40" s="198">
        <v>0</v>
      </c>
      <c r="AF40" s="198">
        <v>0</v>
      </c>
      <c r="AG40" s="198">
        <v>0</v>
      </c>
      <c r="AH40" s="198">
        <v>0</v>
      </c>
      <c r="AI40" s="198">
        <v>0</v>
      </c>
      <c r="AJ40" s="198">
        <v>700.8</v>
      </c>
      <c r="AK40" s="198">
        <v>0</v>
      </c>
      <c r="AL40" s="198">
        <v>0</v>
      </c>
      <c r="AM40" s="198">
        <v>0</v>
      </c>
      <c r="AN40" s="198">
        <v>0</v>
      </c>
      <c r="AO40" s="198">
        <v>0</v>
      </c>
      <c r="AP40" s="198">
        <v>0</v>
      </c>
      <c r="AQ40" s="198">
        <v>0</v>
      </c>
      <c r="AR40" s="198">
        <v>828</v>
      </c>
      <c r="AS40" s="198">
        <v>0</v>
      </c>
      <c r="AT40" s="198">
        <v>0</v>
      </c>
      <c r="AU40" s="198">
        <v>0</v>
      </c>
      <c r="AV40" s="198">
        <v>0</v>
      </c>
      <c r="AW40" s="198">
        <v>352</v>
      </c>
    </row>
    <row r="41" spans="3:49" x14ac:dyDescent="0.3">
      <c r="C41" s="198">
        <v>38</v>
      </c>
      <c r="D41" s="198">
        <v>5</v>
      </c>
      <c r="E41" s="198">
        <v>3</v>
      </c>
      <c r="F41" s="198">
        <v>101.2</v>
      </c>
      <c r="G41" s="198">
        <v>0</v>
      </c>
      <c r="H41" s="198">
        <v>0</v>
      </c>
      <c r="I41" s="198">
        <v>0</v>
      </c>
      <c r="J41" s="198">
        <v>0</v>
      </c>
      <c r="K41" s="198">
        <v>0</v>
      </c>
      <c r="L41" s="198">
        <v>0</v>
      </c>
      <c r="M41" s="198">
        <v>0</v>
      </c>
      <c r="N41" s="198">
        <v>0</v>
      </c>
      <c r="O41" s="198">
        <v>0</v>
      </c>
      <c r="P41" s="198">
        <v>0</v>
      </c>
      <c r="Q41" s="198">
        <v>0</v>
      </c>
      <c r="R41" s="198">
        <v>0</v>
      </c>
      <c r="S41" s="198">
        <v>0</v>
      </c>
      <c r="T41" s="198">
        <v>0</v>
      </c>
      <c r="U41" s="198">
        <v>0</v>
      </c>
      <c r="V41" s="198">
        <v>0</v>
      </c>
      <c r="W41" s="198">
        <v>0</v>
      </c>
      <c r="X41" s="198">
        <v>0</v>
      </c>
      <c r="Y41" s="198">
        <v>0</v>
      </c>
      <c r="Z41" s="198">
        <v>0</v>
      </c>
      <c r="AA41" s="198">
        <v>0</v>
      </c>
      <c r="AB41" s="198">
        <v>0</v>
      </c>
      <c r="AC41" s="198">
        <v>0</v>
      </c>
      <c r="AD41" s="198">
        <v>0</v>
      </c>
      <c r="AE41" s="198">
        <v>0</v>
      </c>
      <c r="AF41" s="198">
        <v>0</v>
      </c>
      <c r="AG41" s="198">
        <v>0</v>
      </c>
      <c r="AH41" s="198">
        <v>0</v>
      </c>
      <c r="AI41" s="198">
        <v>0</v>
      </c>
      <c r="AJ41" s="198">
        <v>101.2</v>
      </c>
      <c r="AK41" s="198">
        <v>0</v>
      </c>
      <c r="AL41" s="198">
        <v>0</v>
      </c>
      <c r="AM41" s="198">
        <v>0</v>
      </c>
      <c r="AN41" s="198">
        <v>0</v>
      </c>
      <c r="AO41" s="198">
        <v>0</v>
      </c>
      <c r="AP41" s="198">
        <v>0</v>
      </c>
      <c r="AQ41" s="198">
        <v>0</v>
      </c>
      <c r="AR41" s="198">
        <v>0</v>
      </c>
      <c r="AS41" s="198">
        <v>0</v>
      </c>
      <c r="AT41" s="198">
        <v>0</v>
      </c>
      <c r="AU41" s="198">
        <v>0</v>
      </c>
      <c r="AV41" s="198">
        <v>0</v>
      </c>
      <c r="AW41" s="198">
        <v>0</v>
      </c>
    </row>
    <row r="42" spans="3:49" x14ac:dyDescent="0.3">
      <c r="C42" s="198">
        <v>38</v>
      </c>
      <c r="D42" s="198">
        <v>5</v>
      </c>
      <c r="E42" s="198">
        <v>4</v>
      </c>
      <c r="F42" s="198">
        <v>106</v>
      </c>
      <c r="G42" s="198">
        <v>0</v>
      </c>
      <c r="H42" s="198">
        <v>0</v>
      </c>
      <c r="I42" s="198">
        <v>0</v>
      </c>
      <c r="J42" s="198">
        <v>0</v>
      </c>
      <c r="K42" s="198">
        <v>0</v>
      </c>
      <c r="L42" s="198">
        <v>0</v>
      </c>
      <c r="M42" s="198">
        <v>0</v>
      </c>
      <c r="N42" s="198">
        <v>0</v>
      </c>
      <c r="O42" s="198">
        <v>0</v>
      </c>
      <c r="P42" s="198">
        <v>0</v>
      </c>
      <c r="Q42" s="198">
        <v>0</v>
      </c>
      <c r="R42" s="198">
        <v>0</v>
      </c>
      <c r="S42" s="198">
        <v>0</v>
      </c>
      <c r="T42" s="198">
        <v>0</v>
      </c>
      <c r="U42" s="198">
        <v>0</v>
      </c>
      <c r="V42" s="198">
        <v>0</v>
      </c>
      <c r="W42" s="198">
        <v>0</v>
      </c>
      <c r="X42" s="198">
        <v>0</v>
      </c>
      <c r="Y42" s="198">
        <v>0</v>
      </c>
      <c r="Z42" s="198">
        <v>0</v>
      </c>
      <c r="AA42" s="198">
        <v>0</v>
      </c>
      <c r="AB42" s="198">
        <v>0</v>
      </c>
      <c r="AC42" s="198">
        <v>0</v>
      </c>
      <c r="AD42" s="198">
        <v>0</v>
      </c>
      <c r="AE42" s="198">
        <v>0</v>
      </c>
      <c r="AF42" s="198">
        <v>0</v>
      </c>
      <c r="AG42" s="198">
        <v>0</v>
      </c>
      <c r="AH42" s="198">
        <v>0</v>
      </c>
      <c r="AI42" s="198">
        <v>0</v>
      </c>
      <c r="AJ42" s="198">
        <v>92</v>
      </c>
      <c r="AK42" s="198">
        <v>0</v>
      </c>
      <c r="AL42" s="198">
        <v>0</v>
      </c>
      <c r="AM42" s="198">
        <v>0</v>
      </c>
      <c r="AN42" s="198">
        <v>0</v>
      </c>
      <c r="AO42" s="198">
        <v>0</v>
      </c>
      <c r="AP42" s="198">
        <v>0</v>
      </c>
      <c r="AQ42" s="198">
        <v>3</v>
      </c>
      <c r="AR42" s="198">
        <v>11</v>
      </c>
      <c r="AS42" s="198">
        <v>0</v>
      </c>
      <c r="AT42" s="198">
        <v>0</v>
      </c>
      <c r="AU42" s="198">
        <v>0</v>
      </c>
      <c r="AV42" s="198">
        <v>0</v>
      </c>
      <c r="AW42" s="198">
        <v>0</v>
      </c>
    </row>
    <row r="43" spans="3:49" x14ac:dyDescent="0.3">
      <c r="C43" s="198">
        <v>38</v>
      </c>
      <c r="D43" s="198">
        <v>5</v>
      </c>
      <c r="E43" s="198">
        <v>5</v>
      </c>
      <c r="F43" s="198">
        <v>759</v>
      </c>
      <c r="G43" s="198">
        <v>759</v>
      </c>
      <c r="H43" s="198">
        <v>0</v>
      </c>
      <c r="I43" s="198">
        <v>0</v>
      </c>
      <c r="J43" s="198">
        <v>0</v>
      </c>
      <c r="K43" s="198">
        <v>0</v>
      </c>
      <c r="L43" s="198">
        <v>0</v>
      </c>
      <c r="M43" s="198">
        <v>0</v>
      </c>
      <c r="N43" s="198">
        <v>0</v>
      </c>
      <c r="O43" s="198">
        <v>0</v>
      </c>
      <c r="P43" s="198">
        <v>0</v>
      </c>
      <c r="Q43" s="198">
        <v>0</v>
      </c>
      <c r="R43" s="198">
        <v>0</v>
      </c>
      <c r="S43" s="198">
        <v>0</v>
      </c>
      <c r="T43" s="198">
        <v>0</v>
      </c>
      <c r="U43" s="198">
        <v>0</v>
      </c>
      <c r="V43" s="198">
        <v>0</v>
      </c>
      <c r="W43" s="198">
        <v>0</v>
      </c>
      <c r="X43" s="198">
        <v>0</v>
      </c>
      <c r="Y43" s="198">
        <v>0</v>
      </c>
      <c r="Z43" s="198">
        <v>0</v>
      </c>
      <c r="AA43" s="198">
        <v>0</v>
      </c>
      <c r="AB43" s="198">
        <v>0</v>
      </c>
      <c r="AC43" s="198">
        <v>0</v>
      </c>
      <c r="AD43" s="198">
        <v>0</v>
      </c>
      <c r="AE43" s="198">
        <v>0</v>
      </c>
      <c r="AF43" s="198">
        <v>0</v>
      </c>
      <c r="AG43" s="198">
        <v>0</v>
      </c>
      <c r="AH43" s="198">
        <v>0</v>
      </c>
      <c r="AI43" s="198">
        <v>0</v>
      </c>
      <c r="AJ43" s="198">
        <v>0</v>
      </c>
      <c r="AK43" s="198">
        <v>0</v>
      </c>
      <c r="AL43" s="198">
        <v>0</v>
      </c>
      <c r="AM43" s="198">
        <v>0</v>
      </c>
      <c r="AN43" s="198">
        <v>0</v>
      </c>
      <c r="AO43" s="198">
        <v>0</v>
      </c>
      <c r="AP43" s="198">
        <v>0</v>
      </c>
      <c r="AQ43" s="198">
        <v>0</v>
      </c>
      <c r="AR43" s="198">
        <v>0</v>
      </c>
      <c r="AS43" s="198">
        <v>0</v>
      </c>
      <c r="AT43" s="198">
        <v>0</v>
      </c>
      <c r="AU43" s="198">
        <v>0</v>
      </c>
      <c r="AV43" s="198">
        <v>0</v>
      </c>
      <c r="AW43" s="198">
        <v>0</v>
      </c>
    </row>
    <row r="44" spans="3:49" x14ac:dyDescent="0.3">
      <c r="C44" s="198">
        <v>38</v>
      </c>
      <c r="D44" s="198">
        <v>5</v>
      </c>
      <c r="E44" s="198">
        <v>6</v>
      </c>
      <c r="F44" s="198">
        <v>1120383</v>
      </c>
      <c r="G44" s="198">
        <v>88390</v>
      </c>
      <c r="H44" s="198">
        <v>10050</v>
      </c>
      <c r="I44" s="198">
        <v>24170</v>
      </c>
      <c r="J44" s="198">
        <v>13044</v>
      </c>
      <c r="K44" s="198">
        <v>273204</v>
      </c>
      <c r="L44" s="198">
        <v>0</v>
      </c>
      <c r="M44" s="198">
        <v>0</v>
      </c>
      <c r="N44" s="198">
        <v>0</v>
      </c>
      <c r="O44" s="198">
        <v>0</v>
      </c>
      <c r="P44" s="198">
        <v>0</v>
      </c>
      <c r="Q44" s="198">
        <v>0</v>
      </c>
      <c r="R44" s="198">
        <v>0</v>
      </c>
      <c r="S44" s="198">
        <v>0</v>
      </c>
      <c r="T44" s="198">
        <v>0</v>
      </c>
      <c r="U44" s="198">
        <v>0</v>
      </c>
      <c r="V44" s="198">
        <v>266465</v>
      </c>
      <c r="W44" s="198">
        <v>0</v>
      </c>
      <c r="X44" s="198">
        <v>0</v>
      </c>
      <c r="Y44" s="198">
        <v>0</v>
      </c>
      <c r="Z44" s="198">
        <v>0</v>
      </c>
      <c r="AA44" s="198">
        <v>0</v>
      </c>
      <c r="AB44" s="198">
        <v>0</v>
      </c>
      <c r="AC44" s="198">
        <v>0</v>
      </c>
      <c r="AD44" s="198">
        <v>0</v>
      </c>
      <c r="AE44" s="198">
        <v>0</v>
      </c>
      <c r="AF44" s="198">
        <v>0</v>
      </c>
      <c r="AG44" s="198">
        <v>0</v>
      </c>
      <c r="AH44" s="198">
        <v>0</v>
      </c>
      <c r="AI44" s="198">
        <v>0</v>
      </c>
      <c r="AJ44" s="198">
        <v>272279</v>
      </c>
      <c r="AK44" s="198">
        <v>0</v>
      </c>
      <c r="AL44" s="198">
        <v>0</v>
      </c>
      <c r="AM44" s="198">
        <v>0</v>
      </c>
      <c r="AN44" s="198">
        <v>0</v>
      </c>
      <c r="AO44" s="198">
        <v>0</v>
      </c>
      <c r="AP44" s="198">
        <v>0</v>
      </c>
      <c r="AQ44" s="198">
        <v>2663</v>
      </c>
      <c r="AR44" s="198">
        <v>108556</v>
      </c>
      <c r="AS44" s="198">
        <v>0</v>
      </c>
      <c r="AT44" s="198">
        <v>0</v>
      </c>
      <c r="AU44" s="198">
        <v>0</v>
      </c>
      <c r="AV44" s="198">
        <v>0</v>
      </c>
      <c r="AW44" s="198">
        <v>61562</v>
      </c>
    </row>
    <row r="45" spans="3:49" x14ac:dyDescent="0.3">
      <c r="C45" s="198">
        <v>38</v>
      </c>
      <c r="D45" s="198">
        <v>5</v>
      </c>
      <c r="E45" s="198">
        <v>9</v>
      </c>
      <c r="F45" s="198">
        <v>21454</v>
      </c>
      <c r="G45" s="198">
        <v>0</v>
      </c>
      <c r="H45" s="198">
        <v>0</v>
      </c>
      <c r="I45" s="198">
        <v>0</v>
      </c>
      <c r="J45" s="198">
        <v>0</v>
      </c>
      <c r="K45" s="198">
        <v>4882</v>
      </c>
      <c r="L45" s="198">
        <v>0</v>
      </c>
      <c r="M45" s="198">
        <v>0</v>
      </c>
      <c r="N45" s="198">
        <v>0</v>
      </c>
      <c r="O45" s="198">
        <v>0</v>
      </c>
      <c r="P45" s="198">
        <v>0</v>
      </c>
      <c r="Q45" s="198">
        <v>0</v>
      </c>
      <c r="R45" s="198">
        <v>0</v>
      </c>
      <c r="S45" s="198">
        <v>0</v>
      </c>
      <c r="T45" s="198">
        <v>0</v>
      </c>
      <c r="U45" s="198">
        <v>0</v>
      </c>
      <c r="V45" s="198">
        <v>0</v>
      </c>
      <c r="W45" s="198">
        <v>0</v>
      </c>
      <c r="X45" s="198">
        <v>0</v>
      </c>
      <c r="Y45" s="198">
        <v>0</v>
      </c>
      <c r="Z45" s="198">
        <v>0</v>
      </c>
      <c r="AA45" s="198">
        <v>0</v>
      </c>
      <c r="AB45" s="198">
        <v>0</v>
      </c>
      <c r="AC45" s="198">
        <v>0</v>
      </c>
      <c r="AD45" s="198">
        <v>0</v>
      </c>
      <c r="AE45" s="198">
        <v>0</v>
      </c>
      <c r="AF45" s="198">
        <v>0</v>
      </c>
      <c r="AG45" s="198">
        <v>0</v>
      </c>
      <c r="AH45" s="198">
        <v>0</v>
      </c>
      <c r="AI45" s="198">
        <v>0</v>
      </c>
      <c r="AJ45" s="198">
        <v>12621</v>
      </c>
      <c r="AK45" s="198">
        <v>0</v>
      </c>
      <c r="AL45" s="198">
        <v>0</v>
      </c>
      <c r="AM45" s="198">
        <v>0</v>
      </c>
      <c r="AN45" s="198">
        <v>0</v>
      </c>
      <c r="AO45" s="198">
        <v>0</v>
      </c>
      <c r="AP45" s="198">
        <v>0</v>
      </c>
      <c r="AQ45" s="198">
        <v>0</v>
      </c>
      <c r="AR45" s="198">
        <v>3652</v>
      </c>
      <c r="AS45" s="198">
        <v>0</v>
      </c>
      <c r="AT45" s="198">
        <v>0</v>
      </c>
      <c r="AU45" s="198">
        <v>0</v>
      </c>
      <c r="AV45" s="198">
        <v>0</v>
      </c>
      <c r="AW45" s="198">
        <v>299</v>
      </c>
    </row>
    <row r="46" spans="3:49" x14ac:dyDescent="0.3">
      <c r="C46" s="198">
        <v>38</v>
      </c>
      <c r="D46" s="198">
        <v>5</v>
      </c>
      <c r="E46" s="198">
        <v>10</v>
      </c>
      <c r="F46" s="198">
        <v>300</v>
      </c>
      <c r="G46" s="198">
        <v>0</v>
      </c>
      <c r="H46" s="198">
        <v>0</v>
      </c>
      <c r="I46" s="198">
        <v>0</v>
      </c>
      <c r="J46" s="198">
        <v>0</v>
      </c>
      <c r="K46" s="198">
        <v>0</v>
      </c>
      <c r="L46" s="198">
        <v>0</v>
      </c>
      <c r="M46" s="198">
        <v>0</v>
      </c>
      <c r="N46" s="198">
        <v>0</v>
      </c>
      <c r="O46" s="198">
        <v>300</v>
      </c>
      <c r="P46" s="198">
        <v>0</v>
      </c>
      <c r="Q46" s="198">
        <v>0</v>
      </c>
      <c r="R46" s="198">
        <v>0</v>
      </c>
      <c r="S46" s="198">
        <v>0</v>
      </c>
      <c r="T46" s="198">
        <v>0</v>
      </c>
      <c r="U46" s="198">
        <v>0</v>
      </c>
      <c r="V46" s="198">
        <v>0</v>
      </c>
      <c r="W46" s="198">
        <v>0</v>
      </c>
      <c r="X46" s="198">
        <v>0</v>
      </c>
      <c r="Y46" s="198">
        <v>0</v>
      </c>
      <c r="Z46" s="198">
        <v>0</v>
      </c>
      <c r="AA46" s="198">
        <v>0</v>
      </c>
      <c r="AB46" s="198">
        <v>0</v>
      </c>
      <c r="AC46" s="198">
        <v>0</v>
      </c>
      <c r="AD46" s="198">
        <v>0</v>
      </c>
      <c r="AE46" s="198">
        <v>0</v>
      </c>
      <c r="AF46" s="198">
        <v>0</v>
      </c>
      <c r="AG46" s="198">
        <v>0</v>
      </c>
      <c r="AH46" s="198">
        <v>0</v>
      </c>
      <c r="AI46" s="198">
        <v>0</v>
      </c>
      <c r="AJ46" s="198">
        <v>0</v>
      </c>
      <c r="AK46" s="198">
        <v>0</v>
      </c>
      <c r="AL46" s="198">
        <v>0</v>
      </c>
      <c r="AM46" s="198">
        <v>0</v>
      </c>
      <c r="AN46" s="198">
        <v>0</v>
      </c>
      <c r="AO46" s="198">
        <v>0</v>
      </c>
      <c r="AP46" s="198">
        <v>0</v>
      </c>
      <c r="AQ46" s="198">
        <v>0</v>
      </c>
      <c r="AR46" s="198">
        <v>0</v>
      </c>
      <c r="AS46" s="198">
        <v>0</v>
      </c>
      <c r="AT46" s="198">
        <v>0</v>
      </c>
      <c r="AU46" s="198">
        <v>0</v>
      </c>
      <c r="AV46" s="198">
        <v>0</v>
      </c>
      <c r="AW46" s="198">
        <v>0</v>
      </c>
    </row>
    <row r="47" spans="3:49" x14ac:dyDescent="0.3">
      <c r="C47" s="198">
        <v>38</v>
      </c>
      <c r="D47" s="198">
        <v>5</v>
      </c>
      <c r="E47" s="198">
        <v>11</v>
      </c>
      <c r="F47" s="198">
        <v>2585.8778625954201</v>
      </c>
      <c r="G47" s="198">
        <v>0</v>
      </c>
      <c r="H47" s="198">
        <v>0</v>
      </c>
      <c r="I47" s="198">
        <v>0</v>
      </c>
      <c r="J47" s="198">
        <v>1335.8778625954199</v>
      </c>
      <c r="K47" s="198">
        <v>0</v>
      </c>
      <c r="L47" s="198">
        <v>0</v>
      </c>
      <c r="M47" s="198">
        <v>0</v>
      </c>
      <c r="N47" s="198">
        <v>0</v>
      </c>
      <c r="O47" s="198">
        <v>1250</v>
      </c>
      <c r="P47" s="198">
        <v>0</v>
      </c>
      <c r="Q47" s="198">
        <v>0</v>
      </c>
      <c r="R47" s="198">
        <v>0</v>
      </c>
      <c r="S47" s="198">
        <v>0</v>
      </c>
      <c r="T47" s="198">
        <v>0</v>
      </c>
      <c r="U47" s="198">
        <v>0</v>
      </c>
      <c r="V47" s="198">
        <v>0</v>
      </c>
      <c r="W47" s="198">
        <v>0</v>
      </c>
      <c r="X47" s="198">
        <v>0</v>
      </c>
      <c r="Y47" s="198">
        <v>0</v>
      </c>
      <c r="Z47" s="198">
        <v>0</v>
      </c>
      <c r="AA47" s="198">
        <v>0</v>
      </c>
      <c r="AB47" s="198">
        <v>0</v>
      </c>
      <c r="AC47" s="198">
        <v>0</v>
      </c>
      <c r="AD47" s="198">
        <v>0</v>
      </c>
      <c r="AE47" s="198">
        <v>0</v>
      </c>
      <c r="AF47" s="198">
        <v>0</v>
      </c>
      <c r="AG47" s="198">
        <v>0</v>
      </c>
      <c r="AH47" s="198">
        <v>0</v>
      </c>
      <c r="AI47" s="198">
        <v>0</v>
      </c>
      <c r="AJ47" s="198">
        <v>0</v>
      </c>
      <c r="AK47" s="198">
        <v>0</v>
      </c>
      <c r="AL47" s="198">
        <v>0</v>
      </c>
      <c r="AM47" s="198">
        <v>0</v>
      </c>
      <c r="AN47" s="198">
        <v>0</v>
      </c>
      <c r="AO47" s="198">
        <v>0</v>
      </c>
      <c r="AP47" s="198">
        <v>0</v>
      </c>
      <c r="AQ47" s="198">
        <v>0</v>
      </c>
      <c r="AR47" s="198">
        <v>0</v>
      </c>
      <c r="AS47" s="198">
        <v>0</v>
      </c>
      <c r="AT47" s="198">
        <v>0</v>
      </c>
      <c r="AU47" s="198">
        <v>0</v>
      </c>
      <c r="AV47" s="198">
        <v>0</v>
      </c>
      <c r="AW47" s="19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2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5.4414062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40" t="s">
        <v>613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2" t="s">
        <v>222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4" customHeight="1" thickBot="1" x14ac:dyDescent="0.35">
      <c r="A3" s="188" t="s">
        <v>112</v>
      </c>
      <c r="B3" s="189">
        <f>SUBTOTAL(9,B6:B1048576)/2</f>
        <v>6722894</v>
      </c>
      <c r="C3" s="190">
        <f t="shared" ref="C3:R3" si="0">SUBTOTAL(9,C6:C1048576)</f>
        <v>3</v>
      </c>
      <c r="D3" s="190">
        <f>SUBTOTAL(9,D6:D1048576)/2</f>
        <v>7956980</v>
      </c>
      <c r="E3" s="190">
        <f t="shared" si="0"/>
        <v>3.4385666053421033</v>
      </c>
      <c r="F3" s="190">
        <f>SUBTOTAL(9,F6:F1048576)/2</f>
        <v>8462352</v>
      </c>
      <c r="G3" s="191">
        <f>IF(B3&lt;&gt;0,F3/B3,"")</f>
        <v>1.2587364905649263</v>
      </c>
      <c r="H3" s="192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3" t="str">
        <f>IF(H3&lt;&gt;0,L3/H3,"")</f>
        <v/>
      </c>
      <c r="N3" s="189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41" t="s">
        <v>194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76"/>
      <c r="B5" s="477">
        <v>2014</v>
      </c>
      <c r="C5" s="478"/>
      <c r="D5" s="478">
        <v>2015</v>
      </c>
      <c r="E5" s="478"/>
      <c r="F5" s="478">
        <v>2016</v>
      </c>
      <c r="G5" s="479" t="s">
        <v>2</v>
      </c>
      <c r="H5" s="477">
        <v>2014</v>
      </c>
      <c r="I5" s="478"/>
      <c r="J5" s="478">
        <v>2015</v>
      </c>
      <c r="K5" s="478"/>
      <c r="L5" s="478">
        <v>2016</v>
      </c>
      <c r="M5" s="479" t="s">
        <v>2</v>
      </c>
      <c r="N5" s="477">
        <v>2014</v>
      </c>
      <c r="O5" s="478"/>
      <c r="P5" s="478">
        <v>2015</v>
      </c>
      <c r="Q5" s="478"/>
      <c r="R5" s="478">
        <v>2016</v>
      </c>
      <c r="S5" s="479" t="s">
        <v>2</v>
      </c>
    </row>
    <row r="6" spans="1:19" ht="14.4" customHeight="1" x14ac:dyDescent="0.3">
      <c r="A6" s="411" t="s">
        <v>611</v>
      </c>
      <c r="B6" s="480">
        <v>4848420</v>
      </c>
      <c r="C6" s="429">
        <v>1</v>
      </c>
      <c r="D6" s="480">
        <v>6081075</v>
      </c>
      <c r="E6" s="429">
        <v>1.2542384941898599</v>
      </c>
      <c r="F6" s="480">
        <v>5952366</v>
      </c>
      <c r="G6" s="413">
        <v>1.2276919078792679</v>
      </c>
      <c r="H6" s="480"/>
      <c r="I6" s="429"/>
      <c r="J6" s="480"/>
      <c r="K6" s="429"/>
      <c r="L6" s="480"/>
      <c r="M6" s="413"/>
      <c r="N6" s="480"/>
      <c r="O6" s="429"/>
      <c r="P6" s="480"/>
      <c r="Q6" s="429"/>
      <c r="R6" s="480"/>
      <c r="S6" s="414"/>
    </row>
    <row r="7" spans="1:19" ht="14.4" customHeight="1" thickBot="1" x14ac:dyDescent="0.35">
      <c r="A7" s="482" t="s">
        <v>612</v>
      </c>
      <c r="B7" s="481">
        <v>1874474</v>
      </c>
      <c r="C7" s="439">
        <v>1</v>
      </c>
      <c r="D7" s="481">
        <v>1875905</v>
      </c>
      <c r="E7" s="439">
        <v>1.0007634141631199</v>
      </c>
      <c r="F7" s="481">
        <v>2509986</v>
      </c>
      <c r="G7" s="416">
        <v>1.3390348439082111</v>
      </c>
      <c r="H7" s="481"/>
      <c r="I7" s="439"/>
      <c r="J7" s="481"/>
      <c r="K7" s="439"/>
      <c r="L7" s="481"/>
      <c r="M7" s="416"/>
      <c r="N7" s="481"/>
      <c r="O7" s="439"/>
      <c r="P7" s="481"/>
      <c r="Q7" s="439"/>
      <c r="R7" s="481"/>
      <c r="S7" s="417"/>
    </row>
    <row r="8" spans="1:19" ht="14.4" customHeight="1" thickBot="1" x14ac:dyDescent="0.35"/>
    <row r="9" spans="1:19" ht="14.4" customHeight="1" thickBot="1" x14ac:dyDescent="0.35">
      <c r="A9" s="484" t="s">
        <v>400</v>
      </c>
      <c r="B9" s="483">
        <v>6722894</v>
      </c>
      <c r="C9" s="400">
        <v>1</v>
      </c>
      <c r="D9" s="483">
        <v>7956980</v>
      </c>
      <c r="E9" s="400">
        <v>1.183564696989124</v>
      </c>
      <c r="F9" s="483">
        <v>8462352</v>
      </c>
      <c r="G9" s="270">
        <v>1.2587364905649263</v>
      </c>
      <c r="H9" s="483"/>
      <c r="I9" s="400"/>
      <c r="J9" s="483"/>
      <c r="K9" s="400"/>
      <c r="L9" s="483"/>
      <c r="M9" s="270"/>
      <c r="N9" s="483"/>
      <c r="O9" s="400"/>
      <c r="P9" s="483"/>
      <c r="Q9" s="400"/>
      <c r="R9" s="483"/>
      <c r="S9" s="271"/>
    </row>
    <row r="10" spans="1:19" ht="14.4" customHeight="1" x14ac:dyDescent="0.3">
      <c r="A10" s="485" t="s">
        <v>614</v>
      </c>
    </row>
    <row r="11" spans="1:19" ht="14.4" customHeight="1" x14ac:dyDescent="0.3">
      <c r="A11" s="486" t="s">
        <v>615</v>
      </c>
    </row>
    <row r="12" spans="1:19" ht="14.4" customHeight="1" x14ac:dyDescent="0.3">
      <c r="A12" s="485" t="s">
        <v>616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5" bestFit="1" customWidth="1"/>
    <col min="2" max="4" width="7.77734375" style="180" customWidth="1"/>
    <col min="5" max="7" width="7.77734375" style="81" customWidth="1"/>
    <col min="8" max="16384" width="8.88671875" style="105"/>
  </cols>
  <sheetData>
    <row r="1" spans="1:7" ht="18.600000000000001" customHeight="1" thickBot="1" x14ac:dyDescent="0.4">
      <c r="A1" s="340" t="s">
        <v>618</v>
      </c>
      <c r="B1" s="293"/>
      <c r="C1" s="293"/>
      <c r="D1" s="293"/>
      <c r="E1" s="293"/>
      <c r="F1" s="293"/>
      <c r="G1" s="293"/>
    </row>
    <row r="2" spans="1:7" ht="14.4" customHeight="1" thickBot="1" x14ac:dyDescent="0.35">
      <c r="A2" s="202" t="s">
        <v>222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188" t="s">
        <v>112</v>
      </c>
      <c r="B3" s="282">
        <f t="shared" ref="B3:G3" si="0">SUBTOTAL(9,B6:B1048576)</f>
        <v>3461</v>
      </c>
      <c r="C3" s="283">
        <f t="shared" si="0"/>
        <v>4032</v>
      </c>
      <c r="D3" s="283">
        <f t="shared" si="0"/>
        <v>4640</v>
      </c>
      <c r="E3" s="192">
        <f t="shared" si="0"/>
        <v>6722894</v>
      </c>
      <c r="F3" s="190">
        <f t="shared" si="0"/>
        <v>7956980</v>
      </c>
      <c r="G3" s="284">
        <f t="shared" si="0"/>
        <v>8462352</v>
      </c>
    </row>
    <row r="4" spans="1:7" ht="14.4" customHeight="1" x14ac:dyDescent="0.3">
      <c r="A4" s="341" t="s">
        <v>113</v>
      </c>
      <c r="B4" s="342" t="s">
        <v>191</v>
      </c>
      <c r="C4" s="343"/>
      <c r="D4" s="343"/>
      <c r="E4" s="345" t="s">
        <v>85</v>
      </c>
      <c r="F4" s="346"/>
      <c r="G4" s="347"/>
    </row>
    <row r="5" spans="1:7" ht="14.4" customHeight="1" thickBot="1" x14ac:dyDescent="0.35">
      <c r="A5" s="476"/>
      <c r="B5" s="477">
        <v>2014</v>
      </c>
      <c r="C5" s="478">
        <v>2015</v>
      </c>
      <c r="D5" s="478">
        <v>2016</v>
      </c>
      <c r="E5" s="477">
        <v>2014</v>
      </c>
      <c r="F5" s="478">
        <v>2015</v>
      </c>
      <c r="G5" s="478">
        <v>2016</v>
      </c>
    </row>
    <row r="6" spans="1:7" ht="14.4" customHeight="1" thickBot="1" x14ac:dyDescent="0.35">
      <c r="A6" s="484" t="s">
        <v>617</v>
      </c>
      <c r="B6" s="403">
        <v>3461</v>
      </c>
      <c r="C6" s="403">
        <v>4032</v>
      </c>
      <c r="D6" s="403">
        <v>4640</v>
      </c>
      <c r="E6" s="483">
        <v>6722894</v>
      </c>
      <c r="F6" s="483">
        <v>7956980</v>
      </c>
      <c r="G6" s="487">
        <v>8462352</v>
      </c>
    </row>
    <row r="7" spans="1:7" ht="14.4" customHeight="1" x14ac:dyDescent="0.3">
      <c r="A7" s="485" t="s">
        <v>614</v>
      </c>
    </row>
    <row r="8" spans="1:7" ht="14.4" customHeight="1" x14ac:dyDescent="0.3">
      <c r="A8" s="486" t="s">
        <v>615</v>
      </c>
    </row>
    <row r="9" spans="1:7" ht="14.4" customHeight="1" x14ac:dyDescent="0.3">
      <c r="A9" s="485" t="s">
        <v>616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34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05" bestFit="1" customWidth="1"/>
    <col min="2" max="2" width="6.109375" style="105" customWidth="1"/>
    <col min="3" max="3" width="2.109375" style="105" bestFit="1" customWidth="1"/>
    <col min="4" max="4" width="8" style="105" customWidth="1"/>
    <col min="5" max="5" width="50.88671875" style="105" bestFit="1" customWidth="1"/>
    <col min="6" max="7" width="11.109375" style="180" customWidth="1"/>
    <col min="8" max="9" width="9.33203125" style="105" hidden="1" customWidth="1"/>
    <col min="10" max="11" width="11.109375" style="180" customWidth="1"/>
    <col min="12" max="13" width="9.33203125" style="105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93" t="s">
        <v>676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2" t="s">
        <v>222</v>
      </c>
      <c r="B2" s="288"/>
      <c r="C2" s="106"/>
      <c r="D2" s="281"/>
      <c r="E2" s="106"/>
      <c r="F2" s="196"/>
      <c r="G2" s="196"/>
      <c r="H2" s="106"/>
      <c r="I2" s="106"/>
      <c r="J2" s="196"/>
      <c r="K2" s="196"/>
      <c r="L2" s="106"/>
      <c r="M2" s="10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3461</v>
      </c>
      <c r="G3" s="78">
        <f t="shared" si="0"/>
        <v>6722894</v>
      </c>
      <c r="H3" s="58"/>
      <c r="I3" s="58"/>
      <c r="J3" s="78">
        <f t="shared" si="0"/>
        <v>4032</v>
      </c>
      <c r="K3" s="78">
        <f t="shared" si="0"/>
        <v>7956980</v>
      </c>
      <c r="L3" s="58"/>
      <c r="M3" s="58"/>
      <c r="N3" s="78">
        <f t="shared" si="0"/>
        <v>4640</v>
      </c>
      <c r="O3" s="78">
        <f t="shared" si="0"/>
        <v>8462352</v>
      </c>
      <c r="P3" s="59">
        <f>IF(G3=0,0,O3/G3)</f>
        <v>1.2587364905649263</v>
      </c>
      <c r="Q3" s="79">
        <f>IF(N3=0,0,O3/N3)</f>
        <v>1823.7827586206897</v>
      </c>
    </row>
    <row r="4" spans="1:17" ht="14.4" customHeight="1" x14ac:dyDescent="0.3">
      <c r="A4" s="349" t="s">
        <v>81</v>
      </c>
      <c r="B4" s="356" t="s">
        <v>0</v>
      </c>
      <c r="C4" s="350" t="s">
        <v>82</v>
      </c>
      <c r="D4" s="355" t="s">
        <v>57</v>
      </c>
      <c r="E4" s="351" t="s">
        <v>56</v>
      </c>
      <c r="F4" s="352">
        <v>2014</v>
      </c>
      <c r="G4" s="353"/>
      <c r="H4" s="76"/>
      <c r="I4" s="76"/>
      <c r="J4" s="352">
        <v>2015</v>
      </c>
      <c r="K4" s="353"/>
      <c r="L4" s="76"/>
      <c r="M4" s="76"/>
      <c r="N4" s="352">
        <v>2016</v>
      </c>
      <c r="O4" s="353"/>
      <c r="P4" s="354" t="s">
        <v>2</v>
      </c>
      <c r="Q4" s="348" t="s">
        <v>84</v>
      </c>
    </row>
    <row r="5" spans="1:17" ht="14.4" customHeight="1" thickBot="1" x14ac:dyDescent="0.35">
      <c r="A5" s="488"/>
      <c r="B5" s="489"/>
      <c r="C5" s="490"/>
      <c r="D5" s="491"/>
      <c r="E5" s="492"/>
      <c r="F5" s="493" t="s">
        <v>58</v>
      </c>
      <c r="G5" s="494" t="s">
        <v>14</v>
      </c>
      <c r="H5" s="495"/>
      <c r="I5" s="495"/>
      <c r="J5" s="493" t="s">
        <v>58</v>
      </c>
      <c r="K5" s="494" t="s">
        <v>14</v>
      </c>
      <c r="L5" s="495"/>
      <c r="M5" s="495"/>
      <c r="N5" s="493" t="s">
        <v>58</v>
      </c>
      <c r="O5" s="494" t="s">
        <v>14</v>
      </c>
      <c r="P5" s="496"/>
      <c r="Q5" s="497"/>
    </row>
    <row r="6" spans="1:17" ht="14.4" customHeight="1" x14ac:dyDescent="0.3">
      <c r="A6" s="428" t="s">
        <v>619</v>
      </c>
      <c r="B6" s="429" t="s">
        <v>400</v>
      </c>
      <c r="C6" s="429" t="s">
        <v>620</v>
      </c>
      <c r="D6" s="429" t="s">
        <v>621</v>
      </c>
      <c r="E6" s="429" t="s">
        <v>622</v>
      </c>
      <c r="F6" s="412">
        <v>456</v>
      </c>
      <c r="G6" s="412">
        <v>4848420</v>
      </c>
      <c r="H6" s="429">
        <v>1</v>
      </c>
      <c r="I6" s="429">
        <v>10632.5</v>
      </c>
      <c r="J6" s="412">
        <v>567</v>
      </c>
      <c r="K6" s="412">
        <v>6081075</v>
      </c>
      <c r="L6" s="429">
        <v>1.2542384941898599</v>
      </c>
      <c r="M6" s="429">
        <v>10725</v>
      </c>
      <c r="N6" s="412">
        <v>522</v>
      </c>
      <c r="O6" s="412">
        <v>5952366</v>
      </c>
      <c r="P6" s="413">
        <v>1.2276919078792679</v>
      </c>
      <c r="Q6" s="424">
        <v>11403</v>
      </c>
    </row>
    <row r="7" spans="1:17" ht="14.4" customHeight="1" x14ac:dyDescent="0.3">
      <c r="A7" s="432" t="s">
        <v>623</v>
      </c>
      <c r="B7" s="433" t="s">
        <v>400</v>
      </c>
      <c r="C7" s="433" t="s">
        <v>620</v>
      </c>
      <c r="D7" s="433" t="s">
        <v>624</v>
      </c>
      <c r="E7" s="433" t="s">
        <v>625</v>
      </c>
      <c r="F7" s="436">
        <v>10</v>
      </c>
      <c r="G7" s="436">
        <v>1262</v>
      </c>
      <c r="H7" s="433">
        <v>1</v>
      </c>
      <c r="I7" s="433">
        <v>126.2</v>
      </c>
      <c r="J7" s="436">
        <v>10</v>
      </c>
      <c r="K7" s="436">
        <v>1280</v>
      </c>
      <c r="L7" s="433">
        <v>1.0142630744849446</v>
      </c>
      <c r="M7" s="433">
        <v>128</v>
      </c>
      <c r="N7" s="436">
        <v>7</v>
      </c>
      <c r="O7" s="436">
        <v>952</v>
      </c>
      <c r="P7" s="498">
        <v>0.75435816164817748</v>
      </c>
      <c r="Q7" s="437">
        <v>136</v>
      </c>
    </row>
    <row r="8" spans="1:17" ht="14.4" customHeight="1" x14ac:dyDescent="0.3">
      <c r="A8" s="432" t="s">
        <v>623</v>
      </c>
      <c r="B8" s="433" t="s">
        <v>400</v>
      </c>
      <c r="C8" s="433" t="s">
        <v>620</v>
      </c>
      <c r="D8" s="433" t="s">
        <v>626</v>
      </c>
      <c r="E8" s="433" t="s">
        <v>627</v>
      </c>
      <c r="F8" s="436">
        <v>16</v>
      </c>
      <c r="G8" s="436">
        <v>19538</v>
      </c>
      <c r="H8" s="433">
        <v>1</v>
      </c>
      <c r="I8" s="433">
        <v>1221.125</v>
      </c>
      <c r="J8" s="436">
        <v>19</v>
      </c>
      <c r="K8" s="436">
        <v>23332</v>
      </c>
      <c r="L8" s="433">
        <v>1.1941856894257346</v>
      </c>
      <c r="M8" s="433">
        <v>1228</v>
      </c>
      <c r="N8" s="436">
        <v>9</v>
      </c>
      <c r="O8" s="436">
        <v>11358</v>
      </c>
      <c r="P8" s="498">
        <v>0.58132869280376698</v>
      </c>
      <c r="Q8" s="437">
        <v>1262</v>
      </c>
    </row>
    <row r="9" spans="1:17" ht="14.4" customHeight="1" x14ac:dyDescent="0.3">
      <c r="A9" s="432" t="s">
        <v>623</v>
      </c>
      <c r="B9" s="433" t="s">
        <v>400</v>
      </c>
      <c r="C9" s="433" t="s">
        <v>620</v>
      </c>
      <c r="D9" s="433" t="s">
        <v>628</v>
      </c>
      <c r="E9" s="433" t="s">
        <v>629</v>
      </c>
      <c r="F9" s="436">
        <v>52</v>
      </c>
      <c r="G9" s="436">
        <v>115348</v>
      </c>
      <c r="H9" s="433">
        <v>1</v>
      </c>
      <c r="I9" s="433">
        <v>2218.2307692307691</v>
      </c>
      <c r="J9" s="436">
        <v>17</v>
      </c>
      <c r="K9" s="436">
        <v>38012</v>
      </c>
      <c r="L9" s="433">
        <v>0.32954190796546107</v>
      </c>
      <c r="M9" s="433">
        <v>2236</v>
      </c>
      <c r="N9" s="436">
        <v>39</v>
      </c>
      <c r="O9" s="436">
        <v>91182</v>
      </c>
      <c r="P9" s="498">
        <v>0.79049485036584943</v>
      </c>
      <c r="Q9" s="437">
        <v>2338</v>
      </c>
    </row>
    <row r="10" spans="1:17" ht="14.4" customHeight="1" x14ac:dyDescent="0.3">
      <c r="A10" s="432" t="s">
        <v>623</v>
      </c>
      <c r="B10" s="433" t="s">
        <v>400</v>
      </c>
      <c r="C10" s="433" t="s">
        <v>620</v>
      </c>
      <c r="D10" s="433" t="s">
        <v>630</v>
      </c>
      <c r="E10" s="433" t="s">
        <v>631</v>
      </c>
      <c r="F10" s="436">
        <v>10</v>
      </c>
      <c r="G10" s="436">
        <v>10350</v>
      </c>
      <c r="H10" s="433">
        <v>1</v>
      </c>
      <c r="I10" s="433">
        <v>1035</v>
      </c>
      <c r="J10" s="436">
        <v>9</v>
      </c>
      <c r="K10" s="436">
        <v>9387</v>
      </c>
      <c r="L10" s="433">
        <v>0.90695652173913044</v>
      </c>
      <c r="M10" s="433">
        <v>1043</v>
      </c>
      <c r="N10" s="436">
        <v>9</v>
      </c>
      <c r="O10" s="436">
        <v>9693</v>
      </c>
      <c r="P10" s="498">
        <v>0.93652173913043479</v>
      </c>
      <c r="Q10" s="437">
        <v>1077</v>
      </c>
    </row>
    <row r="11" spans="1:17" ht="14.4" customHeight="1" x14ac:dyDescent="0.3">
      <c r="A11" s="432" t="s">
        <v>623</v>
      </c>
      <c r="B11" s="433" t="s">
        <v>400</v>
      </c>
      <c r="C11" s="433" t="s">
        <v>620</v>
      </c>
      <c r="D11" s="433" t="s">
        <v>632</v>
      </c>
      <c r="E11" s="433" t="s">
        <v>633</v>
      </c>
      <c r="F11" s="436">
        <v>63</v>
      </c>
      <c r="G11" s="436">
        <v>233454</v>
      </c>
      <c r="H11" s="433">
        <v>1</v>
      </c>
      <c r="I11" s="433">
        <v>3705.6190476190477</v>
      </c>
      <c r="J11" s="436">
        <v>50</v>
      </c>
      <c r="K11" s="436">
        <v>186050</v>
      </c>
      <c r="L11" s="433">
        <v>0.79694500843849325</v>
      </c>
      <c r="M11" s="433">
        <v>3721</v>
      </c>
      <c r="N11" s="436">
        <v>45</v>
      </c>
      <c r="O11" s="436">
        <v>172035</v>
      </c>
      <c r="P11" s="498">
        <v>0.73691176848544038</v>
      </c>
      <c r="Q11" s="437">
        <v>3823</v>
      </c>
    </row>
    <row r="12" spans="1:17" ht="14.4" customHeight="1" x14ac:dyDescent="0.3">
      <c r="A12" s="432" t="s">
        <v>623</v>
      </c>
      <c r="B12" s="433" t="s">
        <v>400</v>
      </c>
      <c r="C12" s="433" t="s">
        <v>620</v>
      </c>
      <c r="D12" s="433" t="s">
        <v>634</v>
      </c>
      <c r="E12" s="433" t="s">
        <v>635</v>
      </c>
      <c r="F12" s="436">
        <v>589</v>
      </c>
      <c r="G12" s="436">
        <v>258240</v>
      </c>
      <c r="H12" s="433">
        <v>1</v>
      </c>
      <c r="I12" s="433">
        <v>438.43803056027167</v>
      </c>
      <c r="J12" s="436">
        <v>788</v>
      </c>
      <c r="K12" s="436">
        <v>345932</v>
      </c>
      <c r="L12" s="433">
        <v>1.3395755885997522</v>
      </c>
      <c r="M12" s="433">
        <v>439</v>
      </c>
      <c r="N12" s="436">
        <v>718</v>
      </c>
      <c r="O12" s="436">
        <v>319510</v>
      </c>
      <c r="P12" s="498">
        <v>1.2372599132589839</v>
      </c>
      <c r="Q12" s="437">
        <v>445</v>
      </c>
    </row>
    <row r="13" spans="1:17" ht="14.4" customHeight="1" x14ac:dyDescent="0.3">
      <c r="A13" s="432" t="s">
        <v>623</v>
      </c>
      <c r="B13" s="433" t="s">
        <v>400</v>
      </c>
      <c r="C13" s="433" t="s">
        <v>620</v>
      </c>
      <c r="D13" s="433" t="s">
        <v>636</v>
      </c>
      <c r="E13" s="433" t="s">
        <v>637</v>
      </c>
      <c r="F13" s="436">
        <v>50</v>
      </c>
      <c r="G13" s="436">
        <v>41672</v>
      </c>
      <c r="H13" s="433">
        <v>1</v>
      </c>
      <c r="I13" s="433">
        <v>833.44</v>
      </c>
      <c r="J13" s="436">
        <v>71</v>
      </c>
      <c r="K13" s="436">
        <v>59356</v>
      </c>
      <c r="L13" s="433">
        <v>1.4243616817047418</v>
      </c>
      <c r="M13" s="433">
        <v>836</v>
      </c>
      <c r="N13" s="436">
        <v>76</v>
      </c>
      <c r="O13" s="436">
        <v>64828</v>
      </c>
      <c r="P13" s="498">
        <v>1.5556728738721444</v>
      </c>
      <c r="Q13" s="437">
        <v>853</v>
      </c>
    </row>
    <row r="14" spans="1:17" ht="14.4" customHeight="1" x14ac:dyDescent="0.3">
      <c r="A14" s="432" t="s">
        <v>623</v>
      </c>
      <c r="B14" s="433" t="s">
        <v>400</v>
      </c>
      <c r="C14" s="433" t="s">
        <v>620</v>
      </c>
      <c r="D14" s="433" t="s">
        <v>638</v>
      </c>
      <c r="E14" s="433" t="s">
        <v>639</v>
      </c>
      <c r="F14" s="436">
        <v>66</v>
      </c>
      <c r="G14" s="436">
        <v>106596</v>
      </c>
      <c r="H14" s="433">
        <v>1</v>
      </c>
      <c r="I14" s="433">
        <v>1615.090909090909</v>
      </c>
      <c r="J14" s="436">
        <v>49</v>
      </c>
      <c r="K14" s="436">
        <v>79429</v>
      </c>
      <c r="L14" s="433">
        <v>0.74514053060152352</v>
      </c>
      <c r="M14" s="433">
        <v>1621</v>
      </c>
      <c r="N14" s="436">
        <v>76</v>
      </c>
      <c r="O14" s="436">
        <v>125780</v>
      </c>
      <c r="P14" s="498">
        <v>1.1799692296146196</v>
      </c>
      <c r="Q14" s="437">
        <v>1655</v>
      </c>
    </row>
    <row r="15" spans="1:17" ht="14.4" customHeight="1" x14ac:dyDescent="0.3">
      <c r="A15" s="432" t="s">
        <v>623</v>
      </c>
      <c r="B15" s="433" t="s">
        <v>400</v>
      </c>
      <c r="C15" s="433" t="s">
        <v>620</v>
      </c>
      <c r="D15" s="433" t="s">
        <v>640</v>
      </c>
      <c r="E15" s="433" t="s">
        <v>641</v>
      </c>
      <c r="F15" s="436">
        <v>2</v>
      </c>
      <c r="G15" s="436">
        <v>3096</v>
      </c>
      <c r="H15" s="433">
        <v>1</v>
      </c>
      <c r="I15" s="433">
        <v>1548</v>
      </c>
      <c r="J15" s="436">
        <v>2</v>
      </c>
      <c r="K15" s="436">
        <v>3106</v>
      </c>
      <c r="L15" s="433">
        <v>1.0032299741602067</v>
      </c>
      <c r="M15" s="433">
        <v>1553</v>
      </c>
      <c r="N15" s="436"/>
      <c r="O15" s="436"/>
      <c r="P15" s="498"/>
      <c r="Q15" s="437"/>
    </row>
    <row r="16" spans="1:17" ht="14.4" customHeight="1" x14ac:dyDescent="0.3">
      <c r="A16" s="432" t="s">
        <v>623</v>
      </c>
      <c r="B16" s="433" t="s">
        <v>400</v>
      </c>
      <c r="C16" s="433" t="s">
        <v>620</v>
      </c>
      <c r="D16" s="433" t="s">
        <v>642</v>
      </c>
      <c r="E16" s="433" t="s">
        <v>643</v>
      </c>
      <c r="F16" s="436">
        <v>23</v>
      </c>
      <c r="G16" s="436">
        <v>18861</v>
      </c>
      <c r="H16" s="433">
        <v>1</v>
      </c>
      <c r="I16" s="433">
        <v>820.04347826086962</v>
      </c>
      <c r="J16" s="436">
        <v>12</v>
      </c>
      <c r="K16" s="436">
        <v>9876</v>
      </c>
      <c r="L16" s="433">
        <v>0.52362016860187688</v>
      </c>
      <c r="M16" s="433">
        <v>823</v>
      </c>
      <c r="N16" s="436">
        <v>11</v>
      </c>
      <c r="O16" s="436">
        <v>9240</v>
      </c>
      <c r="P16" s="498">
        <v>0.48989979322411326</v>
      </c>
      <c r="Q16" s="437">
        <v>840</v>
      </c>
    </row>
    <row r="17" spans="1:17" ht="14.4" customHeight="1" x14ac:dyDescent="0.3">
      <c r="A17" s="432" t="s">
        <v>623</v>
      </c>
      <c r="B17" s="433" t="s">
        <v>400</v>
      </c>
      <c r="C17" s="433" t="s">
        <v>620</v>
      </c>
      <c r="D17" s="433" t="s">
        <v>644</v>
      </c>
      <c r="E17" s="433" t="s">
        <v>645</v>
      </c>
      <c r="F17" s="436">
        <v>85</v>
      </c>
      <c r="G17" s="436">
        <v>123425</v>
      </c>
      <c r="H17" s="433">
        <v>1</v>
      </c>
      <c r="I17" s="433">
        <v>1452.0588235294117</v>
      </c>
      <c r="J17" s="436">
        <v>66</v>
      </c>
      <c r="K17" s="436">
        <v>96426</v>
      </c>
      <c r="L17" s="433">
        <v>0.78125177233137533</v>
      </c>
      <c r="M17" s="433">
        <v>1461</v>
      </c>
      <c r="N17" s="436">
        <v>22</v>
      </c>
      <c r="O17" s="436">
        <v>33506</v>
      </c>
      <c r="P17" s="498">
        <v>0.27146850313955845</v>
      </c>
      <c r="Q17" s="437">
        <v>1523</v>
      </c>
    </row>
    <row r="18" spans="1:17" ht="14.4" customHeight="1" x14ac:dyDescent="0.3">
      <c r="A18" s="432" t="s">
        <v>623</v>
      </c>
      <c r="B18" s="433" t="s">
        <v>400</v>
      </c>
      <c r="C18" s="433" t="s">
        <v>620</v>
      </c>
      <c r="D18" s="433" t="s">
        <v>646</v>
      </c>
      <c r="E18" s="433" t="s">
        <v>647</v>
      </c>
      <c r="F18" s="436">
        <v>2</v>
      </c>
      <c r="G18" s="436">
        <v>6156</v>
      </c>
      <c r="H18" s="433">
        <v>1</v>
      </c>
      <c r="I18" s="433">
        <v>3078</v>
      </c>
      <c r="J18" s="436"/>
      <c r="K18" s="436"/>
      <c r="L18" s="433"/>
      <c r="M18" s="433"/>
      <c r="N18" s="436">
        <v>1</v>
      </c>
      <c r="O18" s="436">
        <v>3252</v>
      </c>
      <c r="P18" s="498">
        <v>0.52826510721247566</v>
      </c>
      <c r="Q18" s="437">
        <v>3252</v>
      </c>
    </row>
    <row r="19" spans="1:17" ht="14.4" customHeight="1" x14ac:dyDescent="0.3">
      <c r="A19" s="432" t="s">
        <v>623</v>
      </c>
      <c r="B19" s="433" t="s">
        <v>400</v>
      </c>
      <c r="C19" s="433" t="s">
        <v>620</v>
      </c>
      <c r="D19" s="433" t="s">
        <v>648</v>
      </c>
      <c r="E19" s="433" t="s">
        <v>649</v>
      </c>
      <c r="F19" s="436">
        <v>73</v>
      </c>
      <c r="G19" s="436">
        <v>1168</v>
      </c>
      <c r="H19" s="433">
        <v>1</v>
      </c>
      <c r="I19" s="433">
        <v>16</v>
      </c>
      <c r="J19" s="436">
        <v>43</v>
      </c>
      <c r="K19" s="436">
        <v>688</v>
      </c>
      <c r="L19" s="433">
        <v>0.58904109589041098</v>
      </c>
      <c r="M19" s="433">
        <v>16</v>
      </c>
      <c r="N19" s="436">
        <v>81</v>
      </c>
      <c r="O19" s="436">
        <v>1377</v>
      </c>
      <c r="P19" s="498">
        <v>1.1789383561643836</v>
      </c>
      <c r="Q19" s="437">
        <v>17</v>
      </c>
    </row>
    <row r="20" spans="1:17" ht="14.4" customHeight="1" x14ac:dyDescent="0.3">
      <c r="A20" s="432" t="s">
        <v>623</v>
      </c>
      <c r="B20" s="433" t="s">
        <v>400</v>
      </c>
      <c r="C20" s="433" t="s">
        <v>620</v>
      </c>
      <c r="D20" s="433" t="s">
        <v>650</v>
      </c>
      <c r="E20" s="433" t="s">
        <v>635</v>
      </c>
      <c r="F20" s="436">
        <v>95</v>
      </c>
      <c r="G20" s="436">
        <v>65570</v>
      </c>
      <c r="H20" s="433">
        <v>1</v>
      </c>
      <c r="I20" s="433">
        <v>690.21052631578948</v>
      </c>
      <c r="J20" s="436">
        <v>55</v>
      </c>
      <c r="K20" s="436">
        <v>38280</v>
      </c>
      <c r="L20" s="433">
        <v>0.58380356870520056</v>
      </c>
      <c r="M20" s="433">
        <v>696</v>
      </c>
      <c r="N20" s="436">
        <v>119</v>
      </c>
      <c r="O20" s="436">
        <v>84252</v>
      </c>
      <c r="P20" s="498">
        <v>1.2849168827207564</v>
      </c>
      <c r="Q20" s="437">
        <v>708</v>
      </c>
    </row>
    <row r="21" spans="1:17" ht="14.4" customHeight="1" x14ac:dyDescent="0.3">
      <c r="A21" s="432" t="s">
        <v>623</v>
      </c>
      <c r="B21" s="433" t="s">
        <v>400</v>
      </c>
      <c r="C21" s="433" t="s">
        <v>620</v>
      </c>
      <c r="D21" s="433" t="s">
        <v>651</v>
      </c>
      <c r="E21" s="433" t="s">
        <v>637</v>
      </c>
      <c r="F21" s="436">
        <v>113</v>
      </c>
      <c r="G21" s="436">
        <v>155839</v>
      </c>
      <c r="H21" s="433">
        <v>1</v>
      </c>
      <c r="I21" s="433">
        <v>1379.1061946902655</v>
      </c>
      <c r="J21" s="436">
        <v>65</v>
      </c>
      <c r="K21" s="436">
        <v>90155</v>
      </c>
      <c r="L21" s="433">
        <v>0.57851372249565258</v>
      </c>
      <c r="M21" s="433">
        <v>1387</v>
      </c>
      <c r="N21" s="436">
        <v>140</v>
      </c>
      <c r="O21" s="436">
        <v>201320</v>
      </c>
      <c r="P21" s="498">
        <v>1.2918460719075455</v>
      </c>
      <c r="Q21" s="437">
        <v>1438</v>
      </c>
    </row>
    <row r="22" spans="1:17" ht="14.4" customHeight="1" x14ac:dyDescent="0.3">
      <c r="A22" s="432" t="s">
        <v>623</v>
      </c>
      <c r="B22" s="433" t="s">
        <v>400</v>
      </c>
      <c r="C22" s="433" t="s">
        <v>620</v>
      </c>
      <c r="D22" s="433" t="s">
        <v>652</v>
      </c>
      <c r="E22" s="433" t="s">
        <v>653</v>
      </c>
      <c r="F22" s="436">
        <v>52</v>
      </c>
      <c r="G22" s="436">
        <v>120948</v>
      </c>
      <c r="H22" s="433">
        <v>1</v>
      </c>
      <c r="I22" s="433">
        <v>2325.9230769230771</v>
      </c>
      <c r="J22" s="436">
        <v>37</v>
      </c>
      <c r="K22" s="436">
        <v>86617</v>
      </c>
      <c r="L22" s="433">
        <v>0.71615074246783739</v>
      </c>
      <c r="M22" s="433">
        <v>2341</v>
      </c>
      <c r="N22" s="436">
        <v>70</v>
      </c>
      <c r="O22" s="436">
        <v>170590</v>
      </c>
      <c r="P22" s="498">
        <v>1.4104408506134869</v>
      </c>
      <c r="Q22" s="437">
        <v>2437</v>
      </c>
    </row>
    <row r="23" spans="1:17" ht="14.4" customHeight="1" x14ac:dyDescent="0.3">
      <c r="A23" s="432" t="s">
        <v>623</v>
      </c>
      <c r="B23" s="433" t="s">
        <v>400</v>
      </c>
      <c r="C23" s="433" t="s">
        <v>620</v>
      </c>
      <c r="D23" s="433" t="s">
        <v>654</v>
      </c>
      <c r="E23" s="433" t="s">
        <v>655</v>
      </c>
      <c r="F23" s="436">
        <v>691</v>
      </c>
      <c r="G23" s="436">
        <v>45210</v>
      </c>
      <c r="H23" s="433">
        <v>1</v>
      </c>
      <c r="I23" s="433">
        <v>65.426917510853841</v>
      </c>
      <c r="J23" s="436">
        <v>843</v>
      </c>
      <c r="K23" s="436">
        <v>55638</v>
      </c>
      <c r="L23" s="433">
        <v>1.2306569343065694</v>
      </c>
      <c r="M23" s="433">
        <v>66</v>
      </c>
      <c r="N23" s="436">
        <v>843</v>
      </c>
      <c r="O23" s="436">
        <v>58167</v>
      </c>
      <c r="P23" s="498">
        <v>1.286595885865959</v>
      </c>
      <c r="Q23" s="437">
        <v>69</v>
      </c>
    </row>
    <row r="24" spans="1:17" ht="14.4" customHeight="1" x14ac:dyDescent="0.3">
      <c r="A24" s="432" t="s">
        <v>623</v>
      </c>
      <c r="B24" s="433" t="s">
        <v>400</v>
      </c>
      <c r="C24" s="433" t="s">
        <v>620</v>
      </c>
      <c r="D24" s="433" t="s">
        <v>656</v>
      </c>
      <c r="E24" s="433" t="s">
        <v>657</v>
      </c>
      <c r="F24" s="436">
        <v>85</v>
      </c>
      <c r="G24" s="436">
        <v>33789</v>
      </c>
      <c r="H24" s="433">
        <v>1</v>
      </c>
      <c r="I24" s="433">
        <v>397.51764705882351</v>
      </c>
      <c r="J24" s="436">
        <v>66</v>
      </c>
      <c r="K24" s="436">
        <v>26466</v>
      </c>
      <c r="L24" s="433">
        <v>0.78327266270087903</v>
      </c>
      <c r="M24" s="433">
        <v>401</v>
      </c>
      <c r="N24" s="436">
        <v>22</v>
      </c>
      <c r="O24" s="436">
        <v>8954</v>
      </c>
      <c r="P24" s="498">
        <v>0.26499748438841042</v>
      </c>
      <c r="Q24" s="437">
        <v>407</v>
      </c>
    </row>
    <row r="25" spans="1:17" ht="14.4" customHeight="1" x14ac:dyDescent="0.3">
      <c r="A25" s="432" t="s">
        <v>623</v>
      </c>
      <c r="B25" s="433" t="s">
        <v>400</v>
      </c>
      <c r="C25" s="433" t="s">
        <v>620</v>
      </c>
      <c r="D25" s="433" t="s">
        <v>658</v>
      </c>
      <c r="E25" s="433" t="s">
        <v>659</v>
      </c>
      <c r="F25" s="436">
        <v>44</v>
      </c>
      <c r="G25" s="436">
        <v>70660</v>
      </c>
      <c r="H25" s="433">
        <v>1</v>
      </c>
      <c r="I25" s="433">
        <v>1605.909090909091</v>
      </c>
      <c r="J25" s="436">
        <v>64</v>
      </c>
      <c r="K25" s="436">
        <v>103232</v>
      </c>
      <c r="L25" s="433">
        <v>1.460968015850552</v>
      </c>
      <c r="M25" s="433">
        <v>1613</v>
      </c>
      <c r="N25" s="436">
        <v>52</v>
      </c>
      <c r="O25" s="436">
        <v>86528</v>
      </c>
      <c r="P25" s="498">
        <v>1.2245683555052362</v>
      </c>
      <c r="Q25" s="437">
        <v>1664</v>
      </c>
    </row>
    <row r="26" spans="1:17" ht="14.4" customHeight="1" x14ac:dyDescent="0.3">
      <c r="A26" s="432" t="s">
        <v>623</v>
      </c>
      <c r="B26" s="433" t="s">
        <v>400</v>
      </c>
      <c r="C26" s="433" t="s">
        <v>620</v>
      </c>
      <c r="D26" s="433" t="s">
        <v>660</v>
      </c>
      <c r="E26" s="433" t="s">
        <v>661</v>
      </c>
      <c r="F26" s="436">
        <v>222</v>
      </c>
      <c r="G26" s="436">
        <v>122209</v>
      </c>
      <c r="H26" s="433">
        <v>1</v>
      </c>
      <c r="I26" s="433">
        <v>550.49099099099101</v>
      </c>
      <c r="J26" s="436">
        <v>164</v>
      </c>
      <c r="K26" s="436">
        <v>90528</v>
      </c>
      <c r="L26" s="433">
        <v>0.74076377353550071</v>
      </c>
      <c r="M26" s="433">
        <v>552</v>
      </c>
      <c r="N26" s="436">
        <v>332</v>
      </c>
      <c r="O26" s="436">
        <v>185920</v>
      </c>
      <c r="P26" s="498">
        <v>1.5213282164161395</v>
      </c>
      <c r="Q26" s="437">
        <v>560</v>
      </c>
    </row>
    <row r="27" spans="1:17" ht="14.4" customHeight="1" x14ac:dyDescent="0.3">
      <c r="A27" s="432" t="s">
        <v>623</v>
      </c>
      <c r="B27" s="433" t="s">
        <v>400</v>
      </c>
      <c r="C27" s="433" t="s">
        <v>620</v>
      </c>
      <c r="D27" s="433" t="s">
        <v>662</v>
      </c>
      <c r="E27" s="433" t="s">
        <v>663</v>
      </c>
      <c r="F27" s="436">
        <v>2</v>
      </c>
      <c r="G27" s="436">
        <v>2468</v>
      </c>
      <c r="H27" s="433">
        <v>1</v>
      </c>
      <c r="I27" s="433">
        <v>1234</v>
      </c>
      <c r="J27" s="436"/>
      <c r="K27" s="436"/>
      <c r="L27" s="433"/>
      <c r="M27" s="433"/>
      <c r="N27" s="436">
        <v>1</v>
      </c>
      <c r="O27" s="436">
        <v>1266</v>
      </c>
      <c r="P27" s="498">
        <v>0.51296596434359809</v>
      </c>
      <c r="Q27" s="437">
        <v>1266</v>
      </c>
    </row>
    <row r="28" spans="1:17" ht="14.4" customHeight="1" x14ac:dyDescent="0.3">
      <c r="A28" s="432" t="s">
        <v>623</v>
      </c>
      <c r="B28" s="433" t="s">
        <v>400</v>
      </c>
      <c r="C28" s="433" t="s">
        <v>620</v>
      </c>
      <c r="D28" s="433" t="s">
        <v>664</v>
      </c>
      <c r="E28" s="433" t="s">
        <v>665</v>
      </c>
      <c r="F28" s="436">
        <v>151</v>
      </c>
      <c r="G28" s="436">
        <v>5351</v>
      </c>
      <c r="H28" s="433">
        <v>1</v>
      </c>
      <c r="I28" s="433">
        <v>35.437086092715234</v>
      </c>
      <c r="J28" s="436">
        <v>231</v>
      </c>
      <c r="K28" s="436">
        <v>8316</v>
      </c>
      <c r="L28" s="433">
        <v>1.5541020370024294</v>
      </c>
      <c r="M28" s="433">
        <v>36</v>
      </c>
      <c r="N28" s="436">
        <v>230</v>
      </c>
      <c r="O28" s="436">
        <v>8510</v>
      </c>
      <c r="P28" s="498">
        <v>1.5903569426275463</v>
      </c>
      <c r="Q28" s="437">
        <v>37</v>
      </c>
    </row>
    <row r="29" spans="1:17" ht="14.4" customHeight="1" x14ac:dyDescent="0.3">
      <c r="A29" s="432" t="s">
        <v>623</v>
      </c>
      <c r="B29" s="433" t="s">
        <v>400</v>
      </c>
      <c r="C29" s="433" t="s">
        <v>620</v>
      </c>
      <c r="D29" s="433" t="s">
        <v>666</v>
      </c>
      <c r="E29" s="433" t="s">
        <v>667</v>
      </c>
      <c r="F29" s="436">
        <v>12</v>
      </c>
      <c r="G29" s="436">
        <v>1468</v>
      </c>
      <c r="H29" s="433">
        <v>1</v>
      </c>
      <c r="I29" s="433">
        <v>122.33333333333333</v>
      </c>
      <c r="J29" s="436">
        <v>4</v>
      </c>
      <c r="K29" s="436">
        <v>492</v>
      </c>
      <c r="L29" s="433">
        <v>0.33514986376021799</v>
      </c>
      <c r="M29" s="433">
        <v>123</v>
      </c>
      <c r="N29" s="436">
        <v>7</v>
      </c>
      <c r="O29" s="436">
        <v>903</v>
      </c>
      <c r="P29" s="498">
        <v>0.61512261580381467</v>
      </c>
      <c r="Q29" s="437">
        <v>129</v>
      </c>
    </row>
    <row r="30" spans="1:17" ht="14.4" customHeight="1" x14ac:dyDescent="0.3">
      <c r="A30" s="432" t="s">
        <v>623</v>
      </c>
      <c r="B30" s="433" t="s">
        <v>400</v>
      </c>
      <c r="C30" s="433" t="s">
        <v>620</v>
      </c>
      <c r="D30" s="433" t="s">
        <v>668</v>
      </c>
      <c r="E30" s="433" t="s">
        <v>669</v>
      </c>
      <c r="F30" s="436">
        <v>408</v>
      </c>
      <c r="G30" s="436">
        <v>173550</v>
      </c>
      <c r="H30" s="433">
        <v>1</v>
      </c>
      <c r="I30" s="433">
        <v>425.36764705882354</v>
      </c>
      <c r="J30" s="436">
        <v>645</v>
      </c>
      <c r="K30" s="436">
        <v>274770</v>
      </c>
      <c r="L30" s="433">
        <v>1.5832324978392394</v>
      </c>
      <c r="M30" s="433">
        <v>426</v>
      </c>
      <c r="N30" s="436">
        <v>926</v>
      </c>
      <c r="O30" s="436">
        <v>397254</v>
      </c>
      <c r="P30" s="498">
        <v>2.288988764044944</v>
      </c>
      <c r="Q30" s="437">
        <v>429</v>
      </c>
    </row>
    <row r="31" spans="1:17" ht="14.4" customHeight="1" x14ac:dyDescent="0.3">
      <c r="A31" s="432" t="s">
        <v>623</v>
      </c>
      <c r="B31" s="433" t="s">
        <v>400</v>
      </c>
      <c r="C31" s="433" t="s">
        <v>620</v>
      </c>
      <c r="D31" s="433" t="s">
        <v>670</v>
      </c>
      <c r="E31" s="433" t="s">
        <v>671</v>
      </c>
      <c r="F31" s="436">
        <v>2</v>
      </c>
      <c r="G31" s="436">
        <v>2406</v>
      </c>
      <c r="H31" s="433">
        <v>1</v>
      </c>
      <c r="I31" s="433">
        <v>1203</v>
      </c>
      <c r="J31" s="436">
        <v>1</v>
      </c>
      <c r="K31" s="436">
        <v>1211</v>
      </c>
      <c r="L31" s="433">
        <v>0.50332502078137986</v>
      </c>
      <c r="M31" s="433">
        <v>1211</v>
      </c>
      <c r="N31" s="436"/>
      <c r="O31" s="436"/>
      <c r="P31" s="498"/>
      <c r="Q31" s="437"/>
    </row>
    <row r="32" spans="1:17" ht="14.4" customHeight="1" x14ac:dyDescent="0.3">
      <c r="A32" s="432" t="s">
        <v>623</v>
      </c>
      <c r="B32" s="433" t="s">
        <v>400</v>
      </c>
      <c r="C32" s="433" t="s">
        <v>620</v>
      </c>
      <c r="D32" s="433" t="s">
        <v>672</v>
      </c>
      <c r="E32" s="433" t="s">
        <v>631</v>
      </c>
      <c r="F32" s="436">
        <v>4</v>
      </c>
      <c r="G32" s="436">
        <v>3672</v>
      </c>
      <c r="H32" s="433">
        <v>1</v>
      </c>
      <c r="I32" s="433">
        <v>918</v>
      </c>
      <c r="J32" s="436">
        <v>2</v>
      </c>
      <c r="K32" s="436">
        <v>1846</v>
      </c>
      <c r="L32" s="433">
        <v>0.50272331154684091</v>
      </c>
      <c r="M32" s="433">
        <v>923</v>
      </c>
      <c r="N32" s="436"/>
      <c r="O32" s="436"/>
      <c r="P32" s="498"/>
      <c r="Q32" s="437"/>
    </row>
    <row r="33" spans="1:17" ht="14.4" customHeight="1" x14ac:dyDescent="0.3">
      <c r="A33" s="432" t="s">
        <v>623</v>
      </c>
      <c r="B33" s="433" t="s">
        <v>400</v>
      </c>
      <c r="C33" s="433" t="s">
        <v>620</v>
      </c>
      <c r="D33" s="433" t="s">
        <v>673</v>
      </c>
      <c r="E33" s="433" t="s">
        <v>674</v>
      </c>
      <c r="F33" s="436">
        <v>82</v>
      </c>
      <c r="G33" s="436">
        <v>131942</v>
      </c>
      <c r="H33" s="433">
        <v>1</v>
      </c>
      <c r="I33" s="433">
        <v>1609.0487804878048</v>
      </c>
      <c r="J33" s="436">
        <v>152</v>
      </c>
      <c r="K33" s="436">
        <v>245480</v>
      </c>
      <c r="L33" s="433">
        <v>1.8605144684785739</v>
      </c>
      <c r="M33" s="433">
        <v>1615</v>
      </c>
      <c r="N33" s="436">
        <v>281</v>
      </c>
      <c r="O33" s="436">
        <v>463369</v>
      </c>
      <c r="P33" s="498">
        <v>3.5119143259917238</v>
      </c>
      <c r="Q33" s="437">
        <v>1649</v>
      </c>
    </row>
    <row r="34" spans="1:17" ht="14.4" customHeight="1" thickBot="1" x14ac:dyDescent="0.35">
      <c r="A34" s="438" t="s">
        <v>623</v>
      </c>
      <c r="B34" s="439" t="s">
        <v>400</v>
      </c>
      <c r="C34" s="439" t="s">
        <v>620</v>
      </c>
      <c r="D34" s="439" t="s">
        <v>675</v>
      </c>
      <c r="E34" s="439" t="s">
        <v>667</v>
      </c>
      <c r="F34" s="415">
        <v>1</v>
      </c>
      <c r="G34" s="415">
        <v>226</v>
      </c>
      <c r="H34" s="439">
        <v>1</v>
      </c>
      <c r="I34" s="439">
        <v>226</v>
      </c>
      <c r="J34" s="415"/>
      <c r="K34" s="415"/>
      <c r="L34" s="439"/>
      <c r="M34" s="439"/>
      <c r="N34" s="415">
        <v>1</v>
      </c>
      <c r="O34" s="415">
        <v>240</v>
      </c>
      <c r="P34" s="416">
        <v>1.0619469026548674</v>
      </c>
      <c r="Q34" s="425">
        <v>240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4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0.10937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02" t="s">
        <v>111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2" t="s">
        <v>222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112</v>
      </c>
      <c r="B3" s="189">
        <f>SUBTOTAL(9,B6:B1048576)</f>
        <v>1603303</v>
      </c>
      <c r="C3" s="190">
        <f t="shared" ref="C3:R3" si="0">SUBTOTAL(9,C6:C1048576)</f>
        <v>14</v>
      </c>
      <c r="D3" s="190">
        <f t="shared" si="0"/>
        <v>1128264</v>
      </c>
      <c r="E3" s="190">
        <f t="shared" si="0"/>
        <v>12.44939180570093</v>
      </c>
      <c r="F3" s="190">
        <f t="shared" si="0"/>
        <v>987166</v>
      </c>
      <c r="G3" s="193">
        <f>IF(B3&lt;&gt;0,F3/B3,"")</f>
        <v>0.61570769842007411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IF(H3&lt;&gt;0,L3/H3,"")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41" t="s">
        <v>91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76"/>
      <c r="B5" s="477">
        <v>2014</v>
      </c>
      <c r="C5" s="478"/>
      <c r="D5" s="478">
        <v>2015</v>
      </c>
      <c r="E5" s="478"/>
      <c r="F5" s="478">
        <v>2016</v>
      </c>
      <c r="G5" s="479" t="s">
        <v>2</v>
      </c>
      <c r="H5" s="477">
        <v>2014</v>
      </c>
      <c r="I5" s="478"/>
      <c r="J5" s="478">
        <v>2015</v>
      </c>
      <c r="K5" s="478"/>
      <c r="L5" s="478">
        <v>2016</v>
      </c>
      <c r="M5" s="479" t="s">
        <v>2</v>
      </c>
      <c r="N5" s="477">
        <v>2014</v>
      </c>
      <c r="O5" s="478"/>
      <c r="P5" s="478">
        <v>2015</v>
      </c>
      <c r="Q5" s="478"/>
      <c r="R5" s="478">
        <v>2016</v>
      </c>
      <c r="S5" s="479" t="s">
        <v>2</v>
      </c>
    </row>
    <row r="6" spans="1:19" ht="14.4" customHeight="1" x14ac:dyDescent="0.3">
      <c r="A6" s="411" t="s">
        <v>677</v>
      </c>
      <c r="B6" s="480">
        <v>47201</v>
      </c>
      <c r="C6" s="429">
        <v>1</v>
      </c>
      <c r="D6" s="480">
        <v>1615</v>
      </c>
      <c r="E6" s="429">
        <v>3.4215376792864557E-2</v>
      </c>
      <c r="F6" s="480">
        <v>25096</v>
      </c>
      <c r="G6" s="413">
        <v>0.53168365077011082</v>
      </c>
      <c r="H6" s="480"/>
      <c r="I6" s="429"/>
      <c r="J6" s="480"/>
      <c r="K6" s="429"/>
      <c r="L6" s="480"/>
      <c r="M6" s="413"/>
      <c r="N6" s="480"/>
      <c r="O6" s="429"/>
      <c r="P6" s="480"/>
      <c r="Q6" s="429"/>
      <c r="R6" s="480"/>
      <c r="S6" s="414"/>
    </row>
    <row r="7" spans="1:19" ht="14.4" customHeight="1" x14ac:dyDescent="0.3">
      <c r="A7" s="501" t="s">
        <v>678</v>
      </c>
      <c r="B7" s="499">
        <v>214353</v>
      </c>
      <c r="C7" s="433">
        <v>1</v>
      </c>
      <c r="D7" s="499">
        <v>177935</v>
      </c>
      <c r="E7" s="433">
        <v>0.83010268109147056</v>
      </c>
      <c r="F7" s="499">
        <v>35049</v>
      </c>
      <c r="G7" s="498">
        <v>0.16351065765349679</v>
      </c>
      <c r="H7" s="499"/>
      <c r="I7" s="433"/>
      <c r="J7" s="499"/>
      <c r="K7" s="433"/>
      <c r="L7" s="499"/>
      <c r="M7" s="498"/>
      <c r="N7" s="499"/>
      <c r="O7" s="433"/>
      <c r="P7" s="499"/>
      <c r="Q7" s="433"/>
      <c r="R7" s="499"/>
      <c r="S7" s="500"/>
    </row>
    <row r="8" spans="1:19" ht="14.4" customHeight="1" x14ac:dyDescent="0.3">
      <c r="A8" s="501" t="s">
        <v>679</v>
      </c>
      <c r="B8" s="499">
        <v>384780</v>
      </c>
      <c r="C8" s="433">
        <v>1</v>
      </c>
      <c r="D8" s="499">
        <v>280518</v>
      </c>
      <c r="E8" s="433">
        <v>0.72903477311710585</v>
      </c>
      <c r="F8" s="499">
        <v>265149</v>
      </c>
      <c r="G8" s="498">
        <v>0.68909246842351468</v>
      </c>
      <c r="H8" s="499"/>
      <c r="I8" s="433"/>
      <c r="J8" s="499"/>
      <c r="K8" s="433"/>
      <c r="L8" s="499"/>
      <c r="M8" s="498"/>
      <c r="N8" s="499"/>
      <c r="O8" s="433"/>
      <c r="P8" s="499"/>
      <c r="Q8" s="433"/>
      <c r="R8" s="499"/>
      <c r="S8" s="500"/>
    </row>
    <row r="9" spans="1:19" ht="14.4" customHeight="1" x14ac:dyDescent="0.3">
      <c r="A9" s="501" t="s">
        <v>680</v>
      </c>
      <c r="B9" s="499"/>
      <c r="C9" s="433"/>
      <c r="D9" s="499">
        <v>10725</v>
      </c>
      <c r="E9" s="433"/>
      <c r="F9" s="499"/>
      <c r="G9" s="498"/>
      <c r="H9" s="499"/>
      <c r="I9" s="433"/>
      <c r="J9" s="499"/>
      <c r="K9" s="433"/>
      <c r="L9" s="499"/>
      <c r="M9" s="498"/>
      <c r="N9" s="499"/>
      <c r="O9" s="433"/>
      <c r="P9" s="499"/>
      <c r="Q9" s="433"/>
      <c r="R9" s="499"/>
      <c r="S9" s="500"/>
    </row>
    <row r="10" spans="1:19" ht="14.4" customHeight="1" x14ac:dyDescent="0.3">
      <c r="A10" s="501" t="s">
        <v>681</v>
      </c>
      <c r="B10" s="499"/>
      <c r="C10" s="433"/>
      <c r="D10" s="499"/>
      <c r="E10" s="433"/>
      <c r="F10" s="499">
        <v>794</v>
      </c>
      <c r="G10" s="498"/>
      <c r="H10" s="499"/>
      <c r="I10" s="433"/>
      <c r="J10" s="499"/>
      <c r="K10" s="433"/>
      <c r="L10" s="499"/>
      <c r="M10" s="498"/>
      <c r="N10" s="499"/>
      <c r="O10" s="433"/>
      <c r="P10" s="499"/>
      <c r="Q10" s="433"/>
      <c r="R10" s="499"/>
      <c r="S10" s="500"/>
    </row>
    <row r="11" spans="1:19" ht="14.4" customHeight="1" x14ac:dyDescent="0.3">
      <c r="A11" s="501" t="s">
        <v>682</v>
      </c>
      <c r="B11" s="499">
        <v>40159</v>
      </c>
      <c r="C11" s="433">
        <v>1</v>
      </c>
      <c r="D11" s="499">
        <v>5062</v>
      </c>
      <c r="E11" s="433">
        <v>0.12604895540227595</v>
      </c>
      <c r="F11" s="499">
        <v>67900</v>
      </c>
      <c r="G11" s="498">
        <v>1.6907791528673524</v>
      </c>
      <c r="H11" s="499"/>
      <c r="I11" s="433"/>
      <c r="J11" s="499"/>
      <c r="K11" s="433"/>
      <c r="L11" s="499"/>
      <c r="M11" s="498"/>
      <c r="N11" s="499"/>
      <c r="O11" s="433"/>
      <c r="P11" s="499"/>
      <c r="Q11" s="433"/>
      <c r="R11" s="499"/>
      <c r="S11" s="500"/>
    </row>
    <row r="12" spans="1:19" ht="14.4" customHeight="1" x14ac:dyDescent="0.3">
      <c r="A12" s="501" t="s">
        <v>683</v>
      </c>
      <c r="B12" s="499">
        <v>289978</v>
      </c>
      <c r="C12" s="433">
        <v>1</v>
      </c>
      <c r="D12" s="499">
        <v>204243</v>
      </c>
      <c r="E12" s="433">
        <v>0.70433963955886314</v>
      </c>
      <c r="F12" s="499">
        <v>79481</v>
      </c>
      <c r="G12" s="498">
        <v>0.27409320707088125</v>
      </c>
      <c r="H12" s="499"/>
      <c r="I12" s="433"/>
      <c r="J12" s="499"/>
      <c r="K12" s="433"/>
      <c r="L12" s="499"/>
      <c r="M12" s="498"/>
      <c r="N12" s="499"/>
      <c r="O12" s="433"/>
      <c r="P12" s="499"/>
      <c r="Q12" s="433"/>
      <c r="R12" s="499"/>
      <c r="S12" s="500"/>
    </row>
    <row r="13" spans="1:19" ht="14.4" customHeight="1" x14ac:dyDescent="0.3">
      <c r="A13" s="501" t="s">
        <v>684</v>
      </c>
      <c r="B13" s="499">
        <v>22312</v>
      </c>
      <c r="C13" s="433">
        <v>1</v>
      </c>
      <c r="D13" s="499">
        <v>20317</v>
      </c>
      <c r="E13" s="433">
        <v>0.91058623162423813</v>
      </c>
      <c r="F13" s="499">
        <v>8293</v>
      </c>
      <c r="G13" s="498">
        <v>0.37168339906776621</v>
      </c>
      <c r="H13" s="499"/>
      <c r="I13" s="433"/>
      <c r="J13" s="499"/>
      <c r="K13" s="433"/>
      <c r="L13" s="499"/>
      <c r="M13" s="498"/>
      <c r="N13" s="499"/>
      <c r="O13" s="433"/>
      <c r="P13" s="499"/>
      <c r="Q13" s="433"/>
      <c r="R13" s="499"/>
      <c r="S13" s="500"/>
    </row>
    <row r="14" spans="1:19" ht="14.4" customHeight="1" x14ac:dyDescent="0.3">
      <c r="A14" s="501" t="s">
        <v>685</v>
      </c>
      <c r="B14" s="499">
        <v>12268</v>
      </c>
      <c r="C14" s="433">
        <v>1</v>
      </c>
      <c r="D14" s="499">
        <v>23393</v>
      </c>
      <c r="E14" s="433">
        <v>1.9068307792631236</v>
      </c>
      <c r="F14" s="499">
        <v>3067</v>
      </c>
      <c r="G14" s="498">
        <v>0.25</v>
      </c>
      <c r="H14" s="499"/>
      <c r="I14" s="433"/>
      <c r="J14" s="499"/>
      <c r="K14" s="433"/>
      <c r="L14" s="499"/>
      <c r="M14" s="498"/>
      <c r="N14" s="499"/>
      <c r="O14" s="433"/>
      <c r="P14" s="499"/>
      <c r="Q14" s="433"/>
      <c r="R14" s="499"/>
      <c r="S14" s="500"/>
    </row>
    <row r="15" spans="1:19" ht="14.4" customHeight="1" x14ac:dyDescent="0.3">
      <c r="A15" s="501" t="s">
        <v>686</v>
      </c>
      <c r="B15" s="499">
        <v>256809</v>
      </c>
      <c r="C15" s="433">
        <v>1</v>
      </c>
      <c r="D15" s="499">
        <v>120955</v>
      </c>
      <c r="E15" s="433">
        <v>0.47099206024710971</v>
      </c>
      <c r="F15" s="499">
        <v>265367</v>
      </c>
      <c r="G15" s="498">
        <v>1.0333243772609215</v>
      </c>
      <c r="H15" s="499"/>
      <c r="I15" s="433"/>
      <c r="J15" s="499"/>
      <c r="K15" s="433"/>
      <c r="L15" s="499"/>
      <c r="M15" s="498"/>
      <c r="N15" s="499"/>
      <c r="O15" s="433"/>
      <c r="P15" s="499"/>
      <c r="Q15" s="433"/>
      <c r="R15" s="499"/>
      <c r="S15" s="500"/>
    </row>
    <row r="16" spans="1:19" ht="14.4" customHeight="1" x14ac:dyDescent="0.3">
      <c r="A16" s="501" t="s">
        <v>687</v>
      </c>
      <c r="B16" s="499">
        <v>5994</v>
      </c>
      <c r="C16" s="433">
        <v>1</v>
      </c>
      <c r="D16" s="499">
        <v>11555</v>
      </c>
      <c r="E16" s="433">
        <v>1.927761094427761</v>
      </c>
      <c r="F16" s="499"/>
      <c r="G16" s="498"/>
      <c r="H16" s="499"/>
      <c r="I16" s="433"/>
      <c r="J16" s="499"/>
      <c r="K16" s="433"/>
      <c r="L16" s="499"/>
      <c r="M16" s="498"/>
      <c r="N16" s="499"/>
      <c r="O16" s="433"/>
      <c r="P16" s="499"/>
      <c r="Q16" s="433"/>
      <c r="R16" s="499"/>
      <c r="S16" s="500"/>
    </row>
    <row r="17" spans="1:19" ht="14.4" customHeight="1" x14ac:dyDescent="0.3">
      <c r="A17" s="501" t="s">
        <v>688</v>
      </c>
      <c r="B17" s="499">
        <v>107966</v>
      </c>
      <c r="C17" s="433">
        <v>1</v>
      </c>
      <c r="D17" s="499">
        <v>92571</v>
      </c>
      <c r="E17" s="433">
        <v>0.85740881388585299</v>
      </c>
      <c r="F17" s="499">
        <v>38875</v>
      </c>
      <c r="G17" s="498">
        <v>0.36006705814793544</v>
      </c>
      <c r="H17" s="499"/>
      <c r="I17" s="433"/>
      <c r="J17" s="499"/>
      <c r="K17" s="433"/>
      <c r="L17" s="499"/>
      <c r="M17" s="498"/>
      <c r="N17" s="499"/>
      <c r="O17" s="433"/>
      <c r="P17" s="499"/>
      <c r="Q17" s="433"/>
      <c r="R17" s="499"/>
      <c r="S17" s="500"/>
    </row>
    <row r="18" spans="1:19" ht="14.4" customHeight="1" x14ac:dyDescent="0.3">
      <c r="A18" s="501" t="s">
        <v>689</v>
      </c>
      <c r="B18" s="499">
        <v>176463</v>
      </c>
      <c r="C18" s="433">
        <v>1</v>
      </c>
      <c r="D18" s="499">
        <v>105001</v>
      </c>
      <c r="E18" s="433">
        <v>0.59503125301054616</v>
      </c>
      <c r="F18" s="499">
        <v>120367</v>
      </c>
      <c r="G18" s="498">
        <v>0.6821089973535529</v>
      </c>
      <c r="H18" s="499"/>
      <c r="I18" s="433"/>
      <c r="J18" s="499"/>
      <c r="K18" s="433"/>
      <c r="L18" s="499"/>
      <c r="M18" s="498"/>
      <c r="N18" s="499"/>
      <c r="O18" s="433"/>
      <c r="P18" s="499"/>
      <c r="Q18" s="433"/>
      <c r="R18" s="499"/>
      <c r="S18" s="500"/>
    </row>
    <row r="19" spans="1:19" ht="14.4" customHeight="1" x14ac:dyDescent="0.3">
      <c r="A19" s="501" t="s">
        <v>690</v>
      </c>
      <c r="B19" s="499"/>
      <c r="C19" s="433"/>
      <c r="D19" s="499"/>
      <c r="E19" s="433"/>
      <c r="F19" s="499">
        <v>5009</v>
      </c>
      <c r="G19" s="498"/>
      <c r="H19" s="499"/>
      <c r="I19" s="433"/>
      <c r="J19" s="499"/>
      <c r="K19" s="433"/>
      <c r="L19" s="499"/>
      <c r="M19" s="498"/>
      <c r="N19" s="499"/>
      <c r="O19" s="433"/>
      <c r="P19" s="499"/>
      <c r="Q19" s="433"/>
      <c r="R19" s="499"/>
      <c r="S19" s="500"/>
    </row>
    <row r="20" spans="1:19" ht="14.4" customHeight="1" x14ac:dyDescent="0.3">
      <c r="A20" s="501" t="s">
        <v>691</v>
      </c>
      <c r="B20" s="499"/>
      <c r="C20" s="433"/>
      <c r="D20" s="499">
        <v>1540</v>
      </c>
      <c r="E20" s="433"/>
      <c r="F20" s="499"/>
      <c r="G20" s="498"/>
      <c r="H20" s="499"/>
      <c r="I20" s="433"/>
      <c r="J20" s="499"/>
      <c r="K20" s="433"/>
      <c r="L20" s="499"/>
      <c r="M20" s="498"/>
      <c r="N20" s="499"/>
      <c r="O20" s="433"/>
      <c r="P20" s="499"/>
      <c r="Q20" s="433"/>
      <c r="R20" s="499"/>
      <c r="S20" s="500"/>
    </row>
    <row r="21" spans="1:19" ht="14.4" customHeight="1" x14ac:dyDescent="0.3">
      <c r="A21" s="501" t="s">
        <v>692</v>
      </c>
      <c r="B21" s="499">
        <v>5865</v>
      </c>
      <c r="C21" s="433">
        <v>1</v>
      </c>
      <c r="D21" s="499">
        <v>10725</v>
      </c>
      <c r="E21" s="433">
        <v>1.8286445012787724</v>
      </c>
      <c r="F21" s="499"/>
      <c r="G21" s="498"/>
      <c r="H21" s="499"/>
      <c r="I21" s="433"/>
      <c r="J21" s="499"/>
      <c r="K21" s="433"/>
      <c r="L21" s="499"/>
      <c r="M21" s="498"/>
      <c r="N21" s="499"/>
      <c r="O21" s="433"/>
      <c r="P21" s="499"/>
      <c r="Q21" s="433"/>
      <c r="R21" s="499"/>
      <c r="S21" s="500"/>
    </row>
    <row r="22" spans="1:19" ht="14.4" customHeight="1" x14ac:dyDescent="0.3">
      <c r="A22" s="501" t="s">
        <v>693</v>
      </c>
      <c r="B22" s="499">
        <v>5347</v>
      </c>
      <c r="C22" s="433">
        <v>1</v>
      </c>
      <c r="D22" s="499"/>
      <c r="E22" s="433"/>
      <c r="F22" s="499"/>
      <c r="G22" s="498"/>
      <c r="H22" s="499"/>
      <c r="I22" s="433"/>
      <c r="J22" s="499"/>
      <c r="K22" s="433"/>
      <c r="L22" s="499"/>
      <c r="M22" s="498"/>
      <c r="N22" s="499"/>
      <c r="O22" s="433"/>
      <c r="P22" s="499"/>
      <c r="Q22" s="433"/>
      <c r="R22" s="499"/>
      <c r="S22" s="500"/>
    </row>
    <row r="23" spans="1:19" ht="14.4" customHeight="1" x14ac:dyDescent="0.3">
      <c r="A23" s="501" t="s">
        <v>694</v>
      </c>
      <c r="B23" s="499"/>
      <c r="C23" s="433"/>
      <c r="D23" s="499">
        <v>10437</v>
      </c>
      <c r="E23" s="433"/>
      <c r="F23" s="499"/>
      <c r="G23" s="498"/>
      <c r="H23" s="499"/>
      <c r="I23" s="433"/>
      <c r="J23" s="499"/>
      <c r="K23" s="433"/>
      <c r="L23" s="499"/>
      <c r="M23" s="498"/>
      <c r="N23" s="499"/>
      <c r="O23" s="433"/>
      <c r="P23" s="499"/>
      <c r="Q23" s="433"/>
      <c r="R23" s="499"/>
      <c r="S23" s="500"/>
    </row>
    <row r="24" spans="1:19" ht="14.4" customHeight="1" thickBot="1" x14ac:dyDescent="0.35">
      <c r="A24" s="482" t="s">
        <v>695</v>
      </c>
      <c r="B24" s="481">
        <v>33808</v>
      </c>
      <c r="C24" s="439">
        <v>1</v>
      </c>
      <c r="D24" s="481">
        <v>51672</v>
      </c>
      <c r="E24" s="439">
        <v>1.5283956460009465</v>
      </c>
      <c r="F24" s="481">
        <v>72719</v>
      </c>
      <c r="G24" s="416">
        <v>2.1509406057737812</v>
      </c>
      <c r="H24" s="481"/>
      <c r="I24" s="439"/>
      <c r="J24" s="481"/>
      <c r="K24" s="439"/>
      <c r="L24" s="481"/>
      <c r="M24" s="416"/>
      <c r="N24" s="481"/>
      <c r="O24" s="439"/>
      <c r="P24" s="481"/>
      <c r="Q24" s="439"/>
      <c r="R24" s="481"/>
      <c r="S24" s="41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0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5" bestFit="1" customWidth="1"/>
    <col min="2" max="2" width="8.6640625" style="105" bestFit="1" customWidth="1"/>
    <col min="3" max="3" width="2.109375" style="105" bestFit="1" customWidth="1"/>
    <col min="4" max="4" width="8" style="105" bestFit="1" customWidth="1"/>
    <col min="5" max="5" width="52.88671875" style="105" bestFit="1" customWidth="1"/>
    <col min="6" max="7" width="11.109375" style="180" customWidth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93" t="s">
        <v>715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2" t="s">
        <v>222</v>
      </c>
      <c r="B2" s="106"/>
      <c r="C2" s="106"/>
      <c r="D2" s="106"/>
      <c r="E2" s="10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1469</v>
      </c>
      <c r="G3" s="78">
        <f t="shared" si="0"/>
        <v>1603303</v>
      </c>
      <c r="H3" s="78"/>
      <c r="I3" s="78"/>
      <c r="J3" s="78">
        <f t="shared" si="0"/>
        <v>1082</v>
      </c>
      <c r="K3" s="78">
        <f t="shared" si="0"/>
        <v>1128264</v>
      </c>
      <c r="L3" s="78"/>
      <c r="M3" s="78"/>
      <c r="N3" s="78">
        <f t="shared" si="0"/>
        <v>937</v>
      </c>
      <c r="O3" s="78">
        <f t="shared" si="0"/>
        <v>987166</v>
      </c>
      <c r="P3" s="59">
        <f>IF(G3=0,0,O3/G3)</f>
        <v>0.61570769842007411</v>
      </c>
      <c r="Q3" s="79">
        <f>IF(N3=0,0,O3/N3)</f>
        <v>1053.538954108858</v>
      </c>
    </row>
    <row r="4" spans="1:17" ht="14.4" customHeight="1" x14ac:dyDescent="0.3">
      <c r="A4" s="350" t="s">
        <v>55</v>
      </c>
      <c r="B4" s="349" t="s">
        <v>81</v>
      </c>
      <c r="C4" s="350" t="s">
        <v>82</v>
      </c>
      <c r="D4" s="359" t="s">
        <v>83</v>
      </c>
      <c r="E4" s="351" t="s">
        <v>56</v>
      </c>
      <c r="F4" s="357">
        <v>2014</v>
      </c>
      <c r="G4" s="358"/>
      <c r="H4" s="80"/>
      <c r="I4" s="80"/>
      <c r="J4" s="357">
        <v>2015</v>
      </c>
      <c r="K4" s="358"/>
      <c r="L4" s="80"/>
      <c r="M4" s="80"/>
      <c r="N4" s="357">
        <v>2016</v>
      </c>
      <c r="O4" s="358"/>
      <c r="P4" s="360" t="s">
        <v>2</v>
      </c>
      <c r="Q4" s="348" t="s">
        <v>84</v>
      </c>
    </row>
    <row r="5" spans="1:17" ht="14.4" customHeight="1" thickBot="1" x14ac:dyDescent="0.35">
      <c r="A5" s="490"/>
      <c r="B5" s="488"/>
      <c r="C5" s="490"/>
      <c r="D5" s="502"/>
      <c r="E5" s="492"/>
      <c r="F5" s="503" t="s">
        <v>58</v>
      </c>
      <c r="G5" s="504" t="s">
        <v>14</v>
      </c>
      <c r="H5" s="505"/>
      <c r="I5" s="505"/>
      <c r="J5" s="503" t="s">
        <v>58</v>
      </c>
      <c r="K5" s="504" t="s">
        <v>14</v>
      </c>
      <c r="L5" s="505"/>
      <c r="M5" s="505"/>
      <c r="N5" s="503" t="s">
        <v>58</v>
      </c>
      <c r="O5" s="504" t="s">
        <v>14</v>
      </c>
      <c r="P5" s="506"/>
      <c r="Q5" s="497"/>
    </row>
    <row r="6" spans="1:17" ht="14.4" customHeight="1" x14ac:dyDescent="0.3">
      <c r="A6" s="428" t="s">
        <v>696</v>
      </c>
      <c r="B6" s="429" t="s">
        <v>619</v>
      </c>
      <c r="C6" s="429" t="s">
        <v>620</v>
      </c>
      <c r="D6" s="429" t="s">
        <v>621</v>
      </c>
      <c r="E6" s="429" t="s">
        <v>622</v>
      </c>
      <c r="F6" s="412"/>
      <c r="G6" s="412"/>
      <c r="H6" s="412"/>
      <c r="I6" s="412"/>
      <c r="J6" s="412"/>
      <c r="K6" s="412"/>
      <c r="L6" s="412"/>
      <c r="M6" s="412"/>
      <c r="N6" s="412">
        <v>1</v>
      </c>
      <c r="O6" s="412">
        <v>11403</v>
      </c>
      <c r="P6" s="413"/>
      <c r="Q6" s="424">
        <v>11403</v>
      </c>
    </row>
    <row r="7" spans="1:17" ht="14.4" customHeight="1" x14ac:dyDescent="0.3">
      <c r="A7" s="432" t="s">
        <v>696</v>
      </c>
      <c r="B7" s="433" t="s">
        <v>623</v>
      </c>
      <c r="C7" s="433" t="s">
        <v>620</v>
      </c>
      <c r="D7" s="433" t="s">
        <v>632</v>
      </c>
      <c r="E7" s="433" t="s">
        <v>633</v>
      </c>
      <c r="F7" s="436">
        <v>4</v>
      </c>
      <c r="G7" s="436">
        <v>14792</v>
      </c>
      <c r="H7" s="436">
        <v>1</v>
      </c>
      <c r="I7" s="436">
        <v>3698</v>
      </c>
      <c r="J7" s="436"/>
      <c r="K7" s="436"/>
      <c r="L7" s="436"/>
      <c r="M7" s="436"/>
      <c r="N7" s="436">
        <v>1</v>
      </c>
      <c r="O7" s="436">
        <v>3823</v>
      </c>
      <c r="P7" s="498">
        <v>0.25845051379123851</v>
      </c>
      <c r="Q7" s="437">
        <v>3823</v>
      </c>
    </row>
    <row r="8" spans="1:17" ht="14.4" customHeight="1" x14ac:dyDescent="0.3">
      <c r="A8" s="432" t="s">
        <v>696</v>
      </c>
      <c r="B8" s="433" t="s">
        <v>623</v>
      </c>
      <c r="C8" s="433" t="s">
        <v>620</v>
      </c>
      <c r="D8" s="433" t="s">
        <v>638</v>
      </c>
      <c r="E8" s="433" t="s">
        <v>639</v>
      </c>
      <c r="F8" s="436">
        <v>2</v>
      </c>
      <c r="G8" s="436">
        <v>3226</v>
      </c>
      <c r="H8" s="436">
        <v>1</v>
      </c>
      <c r="I8" s="436">
        <v>1613</v>
      </c>
      <c r="J8" s="436"/>
      <c r="K8" s="436"/>
      <c r="L8" s="436"/>
      <c r="M8" s="436"/>
      <c r="N8" s="436">
        <v>1</v>
      </c>
      <c r="O8" s="436">
        <v>1655</v>
      </c>
      <c r="P8" s="498">
        <v>0.51301921884686918</v>
      </c>
      <c r="Q8" s="437">
        <v>1655</v>
      </c>
    </row>
    <row r="9" spans="1:17" ht="14.4" customHeight="1" x14ac:dyDescent="0.3">
      <c r="A9" s="432" t="s">
        <v>696</v>
      </c>
      <c r="B9" s="433" t="s">
        <v>623</v>
      </c>
      <c r="C9" s="433" t="s">
        <v>620</v>
      </c>
      <c r="D9" s="433" t="s">
        <v>644</v>
      </c>
      <c r="E9" s="433" t="s">
        <v>645</v>
      </c>
      <c r="F9" s="436">
        <v>1</v>
      </c>
      <c r="G9" s="436">
        <v>1447</v>
      </c>
      <c r="H9" s="436">
        <v>1</v>
      </c>
      <c r="I9" s="436">
        <v>1447</v>
      </c>
      <c r="J9" s="436"/>
      <c r="K9" s="436"/>
      <c r="L9" s="436"/>
      <c r="M9" s="436"/>
      <c r="N9" s="436"/>
      <c r="O9" s="436"/>
      <c r="P9" s="498"/>
      <c r="Q9" s="437"/>
    </row>
    <row r="10" spans="1:17" ht="14.4" customHeight="1" x14ac:dyDescent="0.3">
      <c r="A10" s="432" t="s">
        <v>696</v>
      </c>
      <c r="B10" s="433" t="s">
        <v>623</v>
      </c>
      <c r="C10" s="433" t="s">
        <v>620</v>
      </c>
      <c r="D10" s="433" t="s">
        <v>648</v>
      </c>
      <c r="E10" s="433" t="s">
        <v>649</v>
      </c>
      <c r="F10" s="436"/>
      <c r="G10" s="436"/>
      <c r="H10" s="436"/>
      <c r="I10" s="436"/>
      <c r="J10" s="436"/>
      <c r="K10" s="436"/>
      <c r="L10" s="436"/>
      <c r="M10" s="436"/>
      <c r="N10" s="436">
        <v>1</v>
      </c>
      <c r="O10" s="436">
        <v>17</v>
      </c>
      <c r="P10" s="498"/>
      <c r="Q10" s="437">
        <v>17</v>
      </c>
    </row>
    <row r="11" spans="1:17" ht="14.4" customHeight="1" x14ac:dyDescent="0.3">
      <c r="A11" s="432" t="s">
        <v>696</v>
      </c>
      <c r="B11" s="433" t="s">
        <v>623</v>
      </c>
      <c r="C11" s="433" t="s">
        <v>620</v>
      </c>
      <c r="D11" s="433" t="s">
        <v>650</v>
      </c>
      <c r="E11" s="433" t="s">
        <v>635</v>
      </c>
      <c r="F11" s="436"/>
      <c r="G11" s="436"/>
      <c r="H11" s="436"/>
      <c r="I11" s="436"/>
      <c r="J11" s="436"/>
      <c r="K11" s="436"/>
      <c r="L11" s="436"/>
      <c r="M11" s="436"/>
      <c r="N11" s="436">
        <v>2</v>
      </c>
      <c r="O11" s="436">
        <v>1416</v>
      </c>
      <c r="P11" s="498"/>
      <c r="Q11" s="437">
        <v>708</v>
      </c>
    </row>
    <row r="12" spans="1:17" ht="14.4" customHeight="1" x14ac:dyDescent="0.3">
      <c r="A12" s="432" t="s">
        <v>696</v>
      </c>
      <c r="B12" s="433" t="s">
        <v>623</v>
      </c>
      <c r="C12" s="433" t="s">
        <v>620</v>
      </c>
      <c r="D12" s="433" t="s">
        <v>651</v>
      </c>
      <c r="E12" s="433" t="s">
        <v>637</v>
      </c>
      <c r="F12" s="436">
        <v>8</v>
      </c>
      <c r="G12" s="436">
        <v>11000</v>
      </c>
      <c r="H12" s="436">
        <v>1</v>
      </c>
      <c r="I12" s="436">
        <v>1375</v>
      </c>
      <c r="J12" s="436"/>
      <c r="K12" s="436"/>
      <c r="L12" s="436"/>
      <c r="M12" s="436"/>
      <c r="N12" s="436">
        <v>1</v>
      </c>
      <c r="O12" s="436">
        <v>1438</v>
      </c>
      <c r="P12" s="498">
        <v>0.13072727272727272</v>
      </c>
      <c r="Q12" s="437">
        <v>1438</v>
      </c>
    </row>
    <row r="13" spans="1:17" ht="14.4" customHeight="1" x14ac:dyDescent="0.3">
      <c r="A13" s="432" t="s">
        <v>696</v>
      </c>
      <c r="B13" s="433" t="s">
        <v>623</v>
      </c>
      <c r="C13" s="433" t="s">
        <v>620</v>
      </c>
      <c r="D13" s="433" t="s">
        <v>652</v>
      </c>
      <c r="E13" s="433" t="s">
        <v>653</v>
      </c>
      <c r="F13" s="436">
        <v>4</v>
      </c>
      <c r="G13" s="436">
        <v>9276</v>
      </c>
      <c r="H13" s="436">
        <v>1</v>
      </c>
      <c r="I13" s="436">
        <v>2319</v>
      </c>
      <c r="J13" s="436"/>
      <c r="K13" s="436"/>
      <c r="L13" s="436"/>
      <c r="M13" s="436"/>
      <c r="N13" s="436">
        <v>1</v>
      </c>
      <c r="O13" s="436">
        <v>2437</v>
      </c>
      <c r="P13" s="498">
        <v>0.26272100043122038</v>
      </c>
      <c r="Q13" s="437">
        <v>2437</v>
      </c>
    </row>
    <row r="14" spans="1:17" ht="14.4" customHeight="1" x14ac:dyDescent="0.3">
      <c r="A14" s="432" t="s">
        <v>696</v>
      </c>
      <c r="B14" s="433" t="s">
        <v>623</v>
      </c>
      <c r="C14" s="433" t="s">
        <v>620</v>
      </c>
      <c r="D14" s="433" t="s">
        <v>654</v>
      </c>
      <c r="E14" s="433" t="s">
        <v>655</v>
      </c>
      <c r="F14" s="436"/>
      <c r="G14" s="436"/>
      <c r="H14" s="436"/>
      <c r="I14" s="436"/>
      <c r="J14" s="436"/>
      <c r="K14" s="436"/>
      <c r="L14" s="436"/>
      <c r="M14" s="436"/>
      <c r="N14" s="436">
        <v>2</v>
      </c>
      <c r="O14" s="436">
        <v>138</v>
      </c>
      <c r="P14" s="498"/>
      <c r="Q14" s="437">
        <v>69</v>
      </c>
    </row>
    <row r="15" spans="1:17" ht="14.4" customHeight="1" x14ac:dyDescent="0.3">
      <c r="A15" s="432" t="s">
        <v>696</v>
      </c>
      <c r="B15" s="433" t="s">
        <v>623</v>
      </c>
      <c r="C15" s="433" t="s">
        <v>620</v>
      </c>
      <c r="D15" s="433" t="s">
        <v>656</v>
      </c>
      <c r="E15" s="433" t="s">
        <v>657</v>
      </c>
      <c r="F15" s="436">
        <v>1</v>
      </c>
      <c r="G15" s="436">
        <v>396</v>
      </c>
      <c r="H15" s="436">
        <v>1</v>
      </c>
      <c r="I15" s="436">
        <v>396</v>
      </c>
      <c r="J15" s="436"/>
      <c r="K15" s="436"/>
      <c r="L15" s="436"/>
      <c r="M15" s="436"/>
      <c r="N15" s="436"/>
      <c r="O15" s="436"/>
      <c r="P15" s="498"/>
      <c r="Q15" s="437"/>
    </row>
    <row r="16" spans="1:17" ht="14.4" customHeight="1" x14ac:dyDescent="0.3">
      <c r="A16" s="432" t="s">
        <v>696</v>
      </c>
      <c r="B16" s="433" t="s">
        <v>623</v>
      </c>
      <c r="C16" s="433" t="s">
        <v>620</v>
      </c>
      <c r="D16" s="433" t="s">
        <v>660</v>
      </c>
      <c r="E16" s="433" t="s">
        <v>661</v>
      </c>
      <c r="F16" s="436">
        <v>7</v>
      </c>
      <c r="G16" s="436">
        <v>3850</v>
      </c>
      <c r="H16" s="436">
        <v>1</v>
      </c>
      <c r="I16" s="436">
        <v>550</v>
      </c>
      <c r="J16" s="436"/>
      <c r="K16" s="436"/>
      <c r="L16" s="436"/>
      <c r="M16" s="436"/>
      <c r="N16" s="436">
        <v>2</v>
      </c>
      <c r="O16" s="436">
        <v>1120</v>
      </c>
      <c r="P16" s="498">
        <v>0.29090909090909089</v>
      </c>
      <c r="Q16" s="437">
        <v>560</v>
      </c>
    </row>
    <row r="17" spans="1:17" ht="14.4" customHeight="1" x14ac:dyDescent="0.3">
      <c r="A17" s="432" t="s">
        <v>696</v>
      </c>
      <c r="B17" s="433" t="s">
        <v>623</v>
      </c>
      <c r="C17" s="433" t="s">
        <v>620</v>
      </c>
      <c r="D17" s="433" t="s">
        <v>673</v>
      </c>
      <c r="E17" s="433" t="s">
        <v>674</v>
      </c>
      <c r="F17" s="436">
        <v>2</v>
      </c>
      <c r="G17" s="436">
        <v>3214</v>
      </c>
      <c r="H17" s="436">
        <v>1</v>
      </c>
      <c r="I17" s="436">
        <v>1607</v>
      </c>
      <c r="J17" s="436">
        <v>1</v>
      </c>
      <c r="K17" s="436">
        <v>1615</v>
      </c>
      <c r="L17" s="436">
        <v>0.50248911014312381</v>
      </c>
      <c r="M17" s="436">
        <v>1615</v>
      </c>
      <c r="N17" s="436">
        <v>1</v>
      </c>
      <c r="O17" s="436">
        <v>1649</v>
      </c>
      <c r="P17" s="498">
        <v>0.51306782825140007</v>
      </c>
      <c r="Q17" s="437">
        <v>1649</v>
      </c>
    </row>
    <row r="18" spans="1:17" ht="14.4" customHeight="1" x14ac:dyDescent="0.3">
      <c r="A18" s="432" t="s">
        <v>697</v>
      </c>
      <c r="B18" s="433" t="s">
        <v>619</v>
      </c>
      <c r="C18" s="433" t="s">
        <v>620</v>
      </c>
      <c r="D18" s="433" t="s">
        <v>621</v>
      </c>
      <c r="E18" s="433" t="s">
        <v>622</v>
      </c>
      <c r="F18" s="436">
        <v>1</v>
      </c>
      <c r="G18" s="436">
        <v>10685</v>
      </c>
      <c r="H18" s="436">
        <v>1</v>
      </c>
      <c r="I18" s="436">
        <v>10685</v>
      </c>
      <c r="J18" s="436"/>
      <c r="K18" s="436"/>
      <c r="L18" s="436"/>
      <c r="M18" s="436"/>
      <c r="N18" s="436">
        <v>1</v>
      </c>
      <c r="O18" s="436">
        <v>11403</v>
      </c>
      <c r="P18" s="498">
        <v>1.0671970051474029</v>
      </c>
      <c r="Q18" s="437">
        <v>11403</v>
      </c>
    </row>
    <row r="19" spans="1:17" ht="14.4" customHeight="1" x14ac:dyDescent="0.3">
      <c r="A19" s="432" t="s">
        <v>697</v>
      </c>
      <c r="B19" s="433" t="s">
        <v>623</v>
      </c>
      <c r="C19" s="433" t="s">
        <v>620</v>
      </c>
      <c r="D19" s="433" t="s">
        <v>624</v>
      </c>
      <c r="E19" s="433" t="s">
        <v>625</v>
      </c>
      <c r="F19" s="436">
        <v>1</v>
      </c>
      <c r="G19" s="436">
        <v>127</v>
      </c>
      <c r="H19" s="436">
        <v>1</v>
      </c>
      <c r="I19" s="436">
        <v>127</v>
      </c>
      <c r="J19" s="436"/>
      <c r="K19" s="436"/>
      <c r="L19" s="436"/>
      <c r="M19" s="436"/>
      <c r="N19" s="436"/>
      <c r="O19" s="436"/>
      <c r="P19" s="498"/>
      <c r="Q19" s="437"/>
    </row>
    <row r="20" spans="1:17" ht="14.4" customHeight="1" x14ac:dyDescent="0.3">
      <c r="A20" s="432" t="s">
        <v>697</v>
      </c>
      <c r="B20" s="433" t="s">
        <v>623</v>
      </c>
      <c r="C20" s="433" t="s">
        <v>620</v>
      </c>
      <c r="D20" s="433" t="s">
        <v>628</v>
      </c>
      <c r="E20" s="433" t="s">
        <v>629</v>
      </c>
      <c r="F20" s="436">
        <v>2</v>
      </c>
      <c r="G20" s="436">
        <v>4458</v>
      </c>
      <c r="H20" s="436">
        <v>1</v>
      </c>
      <c r="I20" s="436">
        <v>2229</v>
      </c>
      <c r="J20" s="436">
        <v>2</v>
      </c>
      <c r="K20" s="436">
        <v>4472</v>
      </c>
      <c r="L20" s="436">
        <v>1.0031404217137729</v>
      </c>
      <c r="M20" s="436">
        <v>2236</v>
      </c>
      <c r="N20" s="436"/>
      <c r="O20" s="436"/>
      <c r="P20" s="498"/>
      <c r="Q20" s="437"/>
    </row>
    <row r="21" spans="1:17" ht="14.4" customHeight="1" x14ac:dyDescent="0.3">
      <c r="A21" s="432" t="s">
        <v>697</v>
      </c>
      <c r="B21" s="433" t="s">
        <v>623</v>
      </c>
      <c r="C21" s="433" t="s">
        <v>620</v>
      </c>
      <c r="D21" s="433" t="s">
        <v>630</v>
      </c>
      <c r="E21" s="433" t="s">
        <v>631</v>
      </c>
      <c r="F21" s="436">
        <v>2</v>
      </c>
      <c r="G21" s="436">
        <v>2082</v>
      </c>
      <c r="H21" s="436">
        <v>1</v>
      </c>
      <c r="I21" s="436">
        <v>1041</v>
      </c>
      <c r="J21" s="436"/>
      <c r="K21" s="436"/>
      <c r="L21" s="436"/>
      <c r="M21" s="436"/>
      <c r="N21" s="436"/>
      <c r="O21" s="436"/>
      <c r="P21" s="498"/>
      <c r="Q21" s="437"/>
    </row>
    <row r="22" spans="1:17" ht="14.4" customHeight="1" x14ac:dyDescent="0.3">
      <c r="A22" s="432" t="s">
        <v>697</v>
      </c>
      <c r="B22" s="433" t="s">
        <v>623</v>
      </c>
      <c r="C22" s="433" t="s">
        <v>620</v>
      </c>
      <c r="D22" s="433" t="s">
        <v>632</v>
      </c>
      <c r="E22" s="433" t="s">
        <v>633</v>
      </c>
      <c r="F22" s="436">
        <v>14</v>
      </c>
      <c r="G22" s="436">
        <v>51980</v>
      </c>
      <c r="H22" s="436">
        <v>1</v>
      </c>
      <c r="I22" s="436">
        <v>3712.8571428571427</v>
      </c>
      <c r="J22" s="436">
        <v>11</v>
      </c>
      <c r="K22" s="436">
        <v>40931</v>
      </c>
      <c r="L22" s="436">
        <v>0.7874374759522893</v>
      </c>
      <c r="M22" s="436">
        <v>3721</v>
      </c>
      <c r="N22" s="436"/>
      <c r="O22" s="436"/>
      <c r="P22" s="498"/>
      <c r="Q22" s="437"/>
    </row>
    <row r="23" spans="1:17" ht="14.4" customHeight="1" x14ac:dyDescent="0.3">
      <c r="A23" s="432" t="s">
        <v>697</v>
      </c>
      <c r="B23" s="433" t="s">
        <v>623</v>
      </c>
      <c r="C23" s="433" t="s">
        <v>620</v>
      </c>
      <c r="D23" s="433" t="s">
        <v>634</v>
      </c>
      <c r="E23" s="433" t="s">
        <v>635</v>
      </c>
      <c r="F23" s="436">
        <v>3</v>
      </c>
      <c r="G23" s="436">
        <v>1314</v>
      </c>
      <c r="H23" s="436">
        <v>1</v>
      </c>
      <c r="I23" s="436">
        <v>438</v>
      </c>
      <c r="J23" s="436"/>
      <c r="K23" s="436"/>
      <c r="L23" s="436"/>
      <c r="M23" s="436"/>
      <c r="N23" s="436"/>
      <c r="O23" s="436"/>
      <c r="P23" s="498"/>
      <c r="Q23" s="437"/>
    </row>
    <row r="24" spans="1:17" ht="14.4" customHeight="1" x14ac:dyDescent="0.3">
      <c r="A24" s="432" t="s">
        <v>697</v>
      </c>
      <c r="B24" s="433" t="s">
        <v>623</v>
      </c>
      <c r="C24" s="433" t="s">
        <v>620</v>
      </c>
      <c r="D24" s="433" t="s">
        <v>636</v>
      </c>
      <c r="E24" s="433" t="s">
        <v>637</v>
      </c>
      <c r="F24" s="436">
        <v>6</v>
      </c>
      <c r="G24" s="436">
        <v>5010</v>
      </c>
      <c r="H24" s="436">
        <v>1</v>
      </c>
      <c r="I24" s="436">
        <v>835</v>
      </c>
      <c r="J24" s="436"/>
      <c r="K24" s="436"/>
      <c r="L24" s="436"/>
      <c r="M24" s="436"/>
      <c r="N24" s="436"/>
      <c r="O24" s="436"/>
      <c r="P24" s="498"/>
      <c r="Q24" s="437"/>
    </row>
    <row r="25" spans="1:17" ht="14.4" customHeight="1" x14ac:dyDescent="0.3">
      <c r="A25" s="432" t="s">
        <v>697</v>
      </c>
      <c r="B25" s="433" t="s">
        <v>623</v>
      </c>
      <c r="C25" s="433" t="s">
        <v>620</v>
      </c>
      <c r="D25" s="433" t="s">
        <v>638</v>
      </c>
      <c r="E25" s="433" t="s">
        <v>639</v>
      </c>
      <c r="F25" s="436">
        <v>5</v>
      </c>
      <c r="G25" s="436">
        <v>8095</v>
      </c>
      <c r="H25" s="436">
        <v>1</v>
      </c>
      <c r="I25" s="436">
        <v>1619</v>
      </c>
      <c r="J25" s="436">
        <v>7</v>
      </c>
      <c r="K25" s="436">
        <v>11347</v>
      </c>
      <c r="L25" s="436">
        <v>1.4017294626312538</v>
      </c>
      <c r="M25" s="436">
        <v>1621</v>
      </c>
      <c r="N25" s="436"/>
      <c r="O25" s="436"/>
      <c r="P25" s="498"/>
      <c r="Q25" s="437"/>
    </row>
    <row r="26" spans="1:17" ht="14.4" customHeight="1" x14ac:dyDescent="0.3">
      <c r="A26" s="432" t="s">
        <v>697</v>
      </c>
      <c r="B26" s="433" t="s">
        <v>623</v>
      </c>
      <c r="C26" s="433" t="s">
        <v>620</v>
      </c>
      <c r="D26" s="433" t="s">
        <v>640</v>
      </c>
      <c r="E26" s="433" t="s">
        <v>641</v>
      </c>
      <c r="F26" s="436">
        <v>2</v>
      </c>
      <c r="G26" s="436">
        <v>3096</v>
      </c>
      <c r="H26" s="436">
        <v>1</v>
      </c>
      <c r="I26" s="436">
        <v>1548</v>
      </c>
      <c r="J26" s="436"/>
      <c r="K26" s="436"/>
      <c r="L26" s="436"/>
      <c r="M26" s="436"/>
      <c r="N26" s="436"/>
      <c r="O26" s="436"/>
      <c r="P26" s="498"/>
      <c r="Q26" s="437"/>
    </row>
    <row r="27" spans="1:17" ht="14.4" customHeight="1" x14ac:dyDescent="0.3">
      <c r="A27" s="432" t="s">
        <v>697</v>
      </c>
      <c r="B27" s="433" t="s">
        <v>623</v>
      </c>
      <c r="C27" s="433" t="s">
        <v>620</v>
      </c>
      <c r="D27" s="433" t="s">
        <v>642</v>
      </c>
      <c r="E27" s="433" t="s">
        <v>643</v>
      </c>
      <c r="F27" s="436">
        <v>5</v>
      </c>
      <c r="G27" s="436">
        <v>4110</v>
      </c>
      <c r="H27" s="436">
        <v>1</v>
      </c>
      <c r="I27" s="436">
        <v>822</v>
      </c>
      <c r="J27" s="436">
        <v>1</v>
      </c>
      <c r="K27" s="436">
        <v>823</v>
      </c>
      <c r="L27" s="436">
        <v>0.20024330900243309</v>
      </c>
      <c r="M27" s="436">
        <v>823</v>
      </c>
      <c r="N27" s="436"/>
      <c r="O27" s="436"/>
      <c r="P27" s="498"/>
      <c r="Q27" s="437"/>
    </row>
    <row r="28" spans="1:17" ht="14.4" customHeight="1" x14ac:dyDescent="0.3">
      <c r="A28" s="432" t="s">
        <v>697</v>
      </c>
      <c r="B28" s="433" t="s">
        <v>623</v>
      </c>
      <c r="C28" s="433" t="s">
        <v>620</v>
      </c>
      <c r="D28" s="433" t="s">
        <v>644</v>
      </c>
      <c r="E28" s="433" t="s">
        <v>645</v>
      </c>
      <c r="F28" s="436">
        <v>1</v>
      </c>
      <c r="G28" s="436">
        <v>1457</v>
      </c>
      <c r="H28" s="436">
        <v>1</v>
      </c>
      <c r="I28" s="436">
        <v>1457</v>
      </c>
      <c r="J28" s="436"/>
      <c r="K28" s="436"/>
      <c r="L28" s="436"/>
      <c r="M28" s="436"/>
      <c r="N28" s="436"/>
      <c r="O28" s="436"/>
      <c r="P28" s="498"/>
      <c r="Q28" s="437"/>
    </row>
    <row r="29" spans="1:17" ht="14.4" customHeight="1" x14ac:dyDescent="0.3">
      <c r="A29" s="432" t="s">
        <v>697</v>
      </c>
      <c r="B29" s="433" t="s">
        <v>623</v>
      </c>
      <c r="C29" s="433" t="s">
        <v>620</v>
      </c>
      <c r="D29" s="433" t="s">
        <v>648</v>
      </c>
      <c r="E29" s="433" t="s">
        <v>649</v>
      </c>
      <c r="F29" s="436">
        <v>14</v>
      </c>
      <c r="G29" s="436">
        <v>224</v>
      </c>
      <c r="H29" s="436">
        <v>1</v>
      </c>
      <c r="I29" s="436">
        <v>16</v>
      </c>
      <c r="J29" s="436">
        <v>4</v>
      </c>
      <c r="K29" s="436">
        <v>64</v>
      </c>
      <c r="L29" s="436">
        <v>0.2857142857142857</v>
      </c>
      <c r="M29" s="436">
        <v>16</v>
      </c>
      <c r="N29" s="436">
        <v>3</v>
      </c>
      <c r="O29" s="436">
        <v>51</v>
      </c>
      <c r="P29" s="498">
        <v>0.22767857142857142</v>
      </c>
      <c r="Q29" s="437">
        <v>17</v>
      </c>
    </row>
    <row r="30" spans="1:17" ht="14.4" customHeight="1" x14ac:dyDescent="0.3">
      <c r="A30" s="432" t="s">
        <v>697</v>
      </c>
      <c r="B30" s="433" t="s">
        <v>623</v>
      </c>
      <c r="C30" s="433" t="s">
        <v>620</v>
      </c>
      <c r="D30" s="433" t="s">
        <v>650</v>
      </c>
      <c r="E30" s="433" t="s">
        <v>635</v>
      </c>
      <c r="F30" s="436">
        <v>18</v>
      </c>
      <c r="G30" s="436">
        <v>12456</v>
      </c>
      <c r="H30" s="436">
        <v>1</v>
      </c>
      <c r="I30" s="436">
        <v>692</v>
      </c>
      <c r="J30" s="436">
        <v>8</v>
      </c>
      <c r="K30" s="436">
        <v>5568</v>
      </c>
      <c r="L30" s="436">
        <v>0.44701348747591524</v>
      </c>
      <c r="M30" s="436">
        <v>696</v>
      </c>
      <c r="N30" s="436">
        <v>6</v>
      </c>
      <c r="O30" s="436">
        <v>4248</v>
      </c>
      <c r="P30" s="498">
        <v>0.34104046242774566</v>
      </c>
      <c r="Q30" s="437">
        <v>708</v>
      </c>
    </row>
    <row r="31" spans="1:17" ht="14.4" customHeight="1" x14ac:dyDescent="0.3">
      <c r="A31" s="432" t="s">
        <v>697</v>
      </c>
      <c r="B31" s="433" t="s">
        <v>623</v>
      </c>
      <c r="C31" s="433" t="s">
        <v>620</v>
      </c>
      <c r="D31" s="433" t="s">
        <v>651</v>
      </c>
      <c r="E31" s="433" t="s">
        <v>637</v>
      </c>
      <c r="F31" s="436">
        <v>25</v>
      </c>
      <c r="G31" s="436">
        <v>34543</v>
      </c>
      <c r="H31" s="436">
        <v>1</v>
      </c>
      <c r="I31" s="436">
        <v>1381.72</v>
      </c>
      <c r="J31" s="436">
        <v>32</v>
      </c>
      <c r="K31" s="436">
        <v>44384</v>
      </c>
      <c r="L31" s="436">
        <v>1.2848912949077962</v>
      </c>
      <c r="M31" s="436">
        <v>1387</v>
      </c>
      <c r="N31" s="436">
        <v>1</v>
      </c>
      <c r="O31" s="436">
        <v>1438</v>
      </c>
      <c r="P31" s="498">
        <v>4.1629273658917873E-2</v>
      </c>
      <c r="Q31" s="437">
        <v>1438</v>
      </c>
    </row>
    <row r="32" spans="1:17" ht="14.4" customHeight="1" x14ac:dyDescent="0.3">
      <c r="A32" s="432" t="s">
        <v>697</v>
      </c>
      <c r="B32" s="433" t="s">
        <v>623</v>
      </c>
      <c r="C32" s="433" t="s">
        <v>620</v>
      </c>
      <c r="D32" s="433" t="s">
        <v>652</v>
      </c>
      <c r="E32" s="433" t="s">
        <v>653</v>
      </c>
      <c r="F32" s="436">
        <v>15</v>
      </c>
      <c r="G32" s="436">
        <v>34950</v>
      </c>
      <c r="H32" s="436">
        <v>1</v>
      </c>
      <c r="I32" s="436">
        <v>2330</v>
      </c>
      <c r="J32" s="436">
        <v>14</v>
      </c>
      <c r="K32" s="436">
        <v>32774</v>
      </c>
      <c r="L32" s="436">
        <v>0.93773962804005717</v>
      </c>
      <c r="M32" s="436">
        <v>2341</v>
      </c>
      <c r="N32" s="436">
        <v>1</v>
      </c>
      <c r="O32" s="436">
        <v>2437</v>
      </c>
      <c r="P32" s="498">
        <v>6.9728183118741058E-2</v>
      </c>
      <c r="Q32" s="437">
        <v>2437</v>
      </c>
    </row>
    <row r="33" spans="1:17" ht="14.4" customHeight="1" x14ac:dyDescent="0.3">
      <c r="A33" s="432" t="s">
        <v>697</v>
      </c>
      <c r="B33" s="433" t="s">
        <v>623</v>
      </c>
      <c r="C33" s="433" t="s">
        <v>620</v>
      </c>
      <c r="D33" s="433" t="s">
        <v>654</v>
      </c>
      <c r="E33" s="433" t="s">
        <v>655</v>
      </c>
      <c r="F33" s="436">
        <v>21</v>
      </c>
      <c r="G33" s="436">
        <v>1377</v>
      </c>
      <c r="H33" s="436">
        <v>1</v>
      </c>
      <c r="I33" s="436">
        <v>65.571428571428569</v>
      </c>
      <c r="J33" s="436">
        <v>8</v>
      </c>
      <c r="K33" s="436">
        <v>528</v>
      </c>
      <c r="L33" s="436">
        <v>0.38344226579520696</v>
      </c>
      <c r="M33" s="436">
        <v>66</v>
      </c>
      <c r="N33" s="436">
        <v>6</v>
      </c>
      <c r="O33" s="436">
        <v>414</v>
      </c>
      <c r="P33" s="498">
        <v>0.30065359477124182</v>
      </c>
      <c r="Q33" s="437">
        <v>69</v>
      </c>
    </row>
    <row r="34" spans="1:17" ht="14.4" customHeight="1" x14ac:dyDescent="0.3">
      <c r="A34" s="432" t="s">
        <v>697</v>
      </c>
      <c r="B34" s="433" t="s">
        <v>623</v>
      </c>
      <c r="C34" s="433" t="s">
        <v>620</v>
      </c>
      <c r="D34" s="433" t="s">
        <v>656</v>
      </c>
      <c r="E34" s="433" t="s">
        <v>657</v>
      </c>
      <c r="F34" s="436">
        <v>1</v>
      </c>
      <c r="G34" s="436">
        <v>399</v>
      </c>
      <c r="H34" s="436">
        <v>1</v>
      </c>
      <c r="I34" s="436">
        <v>399</v>
      </c>
      <c r="J34" s="436"/>
      <c r="K34" s="436"/>
      <c r="L34" s="436"/>
      <c r="M34" s="436"/>
      <c r="N34" s="436"/>
      <c r="O34" s="436"/>
      <c r="P34" s="498"/>
      <c r="Q34" s="437"/>
    </row>
    <row r="35" spans="1:17" ht="14.4" customHeight="1" x14ac:dyDescent="0.3">
      <c r="A35" s="432" t="s">
        <v>697</v>
      </c>
      <c r="B35" s="433" t="s">
        <v>623</v>
      </c>
      <c r="C35" s="433" t="s">
        <v>620</v>
      </c>
      <c r="D35" s="433" t="s">
        <v>658</v>
      </c>
      <c r="E35" s="433" t="s">
        <v>659</v>
      </c>
      <c r="F35" s="436">
        <v>2</v>
      </c>
      <c r="G35" s="436">
        <v>3218</v>
      </c>
      <c r="H35" s="436">
        <v>1</v>
      </c>
      <c r="I35" s="436">
        <v>1609</v>
      </c>
      <c r="J35" s="436"/>
      <c r="K35" s="436"/>
      <c r="L35" s="436"/>
      <c r="M35" s="436"/>
      <c r="N35" s="436"/>
      <c r="O35" s="436"/>
      <c r="P35" s="498"/>
      <c r="Q35" s="437"/>
    </row>
    <row r="36" spans="1:17" ht="14.4" customHeight="1" x14ac:dyDescent="0.3">
      <c r="A36" s="432" t="s">
        <v>697</v>
      </c>
      <c r="B36" s="433" t="s">
        <v>623</v>
      </c>
      <c r="C36" s="433" t="s">
        <v>620</v>
      </c>
      <c r="D36" s="433" t="s">
        <v>660</v>
      </c>
      <c r="E36" s="433" t="s">
        <v>661</v>
      </c>
      <c r="F36" s="436">
        <v>37</v>
      </c>
      <c r="G36" s="436">
        <v>20377</v>
      </c>
      <c r="H36" s="436">
        <v>1</v>
      </c>
      <c r="I36" s="436">
        <v>550.72972972972968</v>
      </c>
      <c r="J36" s="436">
        <v>32</v>
      </c>
      <c r="K36" s="436">
        <v>17664</v>
      </c>
      <c r="L36" s="436">
        <v>0.86685969475388924</v>
      </c>
      <c r="M36" s="436">
        <v>552</v>
      </c>
      <c r="N36" s="436">
        <v>21</v>
      </c>
      <c r="O36" s="436">
        <v>11760</v>
      </c>
      <c r="P36" s="498">
        <v>0.57712126417038823</v>
      </c>
      <c r="Q36" s="437">
        <v>560</v>
      </c>
    </row>
    <row r="37" spans="1:17" ht="14.4" customHeight="1" x14ac:dyDescent="0.3">
      <c r="A37" s="432" t="s">
        <v>697</v>
      </c>
      <c r="B37" s="433" t="s">
        <v>623</v>
      </c>
      <c r="C37" s="433" t="s">
        <v>620</v>
      </c>
      <c r="D37" s="433" t="s">
        <v>666</v>
      </c>
      <c r="E37" s="433" t="s">
        <v>667</v>
      </c>
      <c r="F37" s="436">
        <v>1</v>
      </c>
      <c r="G37" s="436">
        <v>122</v>
      </c>
      <c r="H37" s="436">
        <v>1</v>
      </c>
      <c r="I37" s="436">
        <v>122</v>
      </c>
      <c r="J37" s="436"/>
      <c r="K37" s="436"/>
      <c r="L37" s="436"/>
      <c r="M37" s="436"/>
      <c r="N37" s="436"/>
      <c r="O37" s="436"/>
      <c r="P37" s="498"/>
      <c r="Q37" s="437"/>
    </row>
    <row r="38" spans="1:17" ht="14.4" customHeight="1" x14ac:dyDescent="0.3">
      <c r="A38" s="432" t="s">
        <v>697</v>
      </c>
      <c r="B38" s="433" t="s">
        <v>623</v>
      </c>
      <c r="C38" s="433" t="s">
        <v>620</v>
      </c>
      <c r="D38" s="433" t="s">
        <v>668</v>
      </c>
      <c r="E38" s="433" t="s">
        <v>669</v>
      </c>
      <c r="F38" s="436">
        <v>7</v>
      </c>
      <c r="G38" s="436">
        <v>2982</v>
      </c>
      <c r="H38" s="436">
        <v>1</v>
      </c>
      <c r="I38" s="436">
        <v>426</v>
      </c>
      <c r="J38" s="436"/>
      <c r="K38" s="436"/>
      <c r="L38" s="436"/>
      <c r="M38" s="436"/>
      <c r="N38" s="436"/>
      <c r="O38" s="436"/>
      <c r="P38" s="498"/>
      <c r="Q38" s="437"/>
    </row>
    <row r="39" spans="1:17" ht="14.4" customHeight="1" x14ac:dyDescent="0.3">
      <c r="A39" s="432" t="s">
        <v>697</v>
      </c>
      <c r="B39" s="433" t="s">
        <v>623</v>
      </c>
      <c r="C39" s="433" t="s">
        <v>620</v>
      </c>
      <c r="D39" s="433" t="s">
        <v>673</v>
      </c>
      <c r="E39" s="433" t="s">
        <v>674</v>
      </c>
      <c r="F39" s="436">
        <v>7</v>
      </c>
      <c r="G39" s="436">
        <v>11291</v>
      </c>
      <c r="H39" s="436">
        <v>1</v>
      </c>
      <c r="I39" s="436">
        <v>1613</v>
      </c>
      <c r="J39" s="436">
        <v>12</v>
      </c>
      <c r="K39" s="436">
        <v>19380</v>
      </c>
      <c r="L39" s="436">
        <v>1.7164113010362236</v>
      </c>
      <c r="M39" s="436">
        <v>1615</v>
      </c>
      <c r="N39" s="436">
        <v>2</v>
      </c>
      <c r="O39" s="436">
        <v>3298</v>
      </c>
      <c r="P39" s="498">
        <v>0.29209104596581348</v>
      </c>
      <c r="Q39" s="437">
        <v>1649</v>
      </c>
    </row>
    <row r="40" spans="1:17" ht="14.4" customHeight="1" x14ac:dyDescent="0.3">
      <c r="A40" s="432" t="s">
        <v>698</v>
      </c>
      <c r="B40" s="433" t="s">
        <v>623</v>
      </c>
      <c r="C40" s="433" t="s">
        <v>620</v>
      </c>
      <c r="D40" s="433" t="s">
        <v>624</v>
      </c>
      <c r="E40" s="433" t="s">
        <v>625</v>
      </c>
      <c r="F40" s="436">
        <v>3</v>
      </c>
      <c r="G40" s="436">
        <v>379</v>
      </c>
      <c r="H40" s="436">
        <v>1</v>
      </c>
      <c r="I40" s="436">
        <v>126.33333333333333</v>
      </c>
      <c r="J40" s="436">
        <v>2</v>
      </c>
      <c r="K40" s="436">
        <v>256</v>
      </c>
      <c r="L40" s="436">
        <v>0.67546174142480209</v>
      </c>
      <c r="M40" s="436">
        <v>128</v>
      </c>
      <c r="N40" s="436">
        <v>1</v>
      </c>
      <c r="O40" s="436">
        <v>136</v>
      </c>
      <c r="P40" s="498">
        <v>0.35883905013192613</v>
      </c>
      <c r="Q40" s="437">
        <v>136</v>
      </c>
    </row>
    <row r="41" spans="1:17" ht="14.4" customHeight="1" x14ac:dyDescent="0.3">
      <c r="A41" s="432" t="s">
        <v>698</v>
      </c>
      <c r="B41" s="433" t="s">
        <v>623</v>
      </c>
      <c r="C41" s="433" t="s">
        <v>620</v>
      </c>
      <c r="D41" s="433" t="s">
        <v>626</v>
      </c>
      <c r="E41" s="433" t="s">
        <v>627</v>
      </c>
      <c r="F41" s="436"/>
      <c r="G41" s="436"/>
      <c r="H41" s="436"/>
      <c r="I41" s="436"/>
      <c r="J41" s="436"/>
      <c r="K41" s="436"/>
      <c r="L41" s="436"/>
      <c r="M41" s="436"/>
      <c r="N41" s="436">
        <v>1</v>
      </c>
      <c r="O41" s="436">
        <v>1262</v>
      </c>
      <c r="P41" s="498"/>
      <c r="Q41" s="437">
        <v>1262</v>
      </c>
    </row>
    <row r="42" spans="1:17" ht="14.4" customHeight="1" x14ac:dyDescent="0.3">
      <c r="A42" s="432" t="s">
        <v>698</v>
      </c>
      <c r="B42" s="433" t="s">
        <v>623</v>
      </c>
      <c r="C42" s="433" t="s">
        <v>620</v>
      </c>
      <c r="D42" s="433" t="s">
        <v>628</v>
      </c>
      <c r="E42" s="433" t="s">
        <v>629</v>
      </c>
      <c r="F42" s="436">
        <v>1</v>
      </c>
      <c r="G42" s="436">
        <v>2213</v>
      </c>
      <c r="H42" s="436">
        <v>1</v>
      </c>
      <c r="I42" s="436">
        <v>2213</v>
      </c>
      <c r="J42" s="436">
        <v>2</v>
      </c>
      <c r="K42" s="436">
        <v>4472</v>
      </c>
      <c r="L42" s="436">
        <v>2.0207862629914142</v>
      </c>
      <c r="M42" s="436">
        <v>2236</v>
      </c>
      <c r="N42" s="436">
        <v>3</v>
      </c>
      <c r="O42" s="436">
        <v>7014</v>
      </c>
      <c r="P42" s="498">
        <v>3.1694532309082692</v>
      </c>
      <c r="Q42" s="437">
        <v>2338</v>
      </c>
    </row>
    <row r="43" spans="1:17" ht="14.4" customHeight="1" x14ac:dyDescent="0.3">
      <c r="A43" s="432" t="s">
        <v>698</v>
      </c>
      <c r="B43" s="433" t="s">
        <v>623</v>
      </c>
      <c r="C43" s="433" t="s">
        <v>620</v>
      </c>
      <c r="D43" s="433" t="s">
        <v>630</v>
      </c>
      <c r="E43" s="433" t="s">
        <v>631</v>
      </c>
      <c r="F43" s="436">
        <v>1</v>
      </c>
      <c r="G43" s="436">
        <v>1035</v>
      </c>
      <c r="H43" s="436">
        <v>1</v>
      </c>
      <c r="I43" s="436">
        <v>1035</v>
      </c>
      <c r="J43" s="436">
        <v>2</v>
      </c>
      <c r="K43" s="436">
        <v>2086</v>
      </c>
      <c r="L43" s="436">
        <v>2.0154589371980678</v>
      </c>
      <c r="M43" s="436">
        <v>1043</v>
      </c>
      <c r="N43" s="436">
        <v>2</v>
      </c>
      <c r="O43" s="436">
        <v>2154</v>
      </c>
      <c r="P43" s="498">
        <v>2.0811594202898549</v>
      </c>
      <c r="Q43" s="437">
        <v>1077</v>
      </c>
    </row>
    <row r="44" spans="1:17" ht="14.4" customHeight="1" x14ac:dyDescent="0.3">
      <c r="A44" s="432" t="s">
        <v>698</v>
      </c>
      <c r="B44" s="433" t="s">
        <v>623</v>
      </c>
      <c r="C44" s="433" t="s">
        <v>620</v>
      </c>
      <c r="D44" s="433" t="s">
        <v>632</v>
      </c>
      <c r="E44" s="433" t="s">
        <v>633</v>
      </c>
      <c r="F44" s="436">
        <v>30</v>
      </c>
      <c r="G44" s="436">
        <v>111180</v>
      </c>
      <c r="H44" s="436">
        <v>1</v>
      </c>
      <c r="I44" s="436">
        <v>3706</v>
      </c>
      <c r="J44" s="436">
        <v>17</v>
      </c>
      <c r="K44" s="436">
        <v>63257</v>
      </c>
      <c r="L44" s="436">
        <v>0.56896024464831807</v>
      </c>
      <c r="M44" s="436">
        <v>3721</v>
      </c>
      <c r="N44" s="436">
        <v>14</v>
      </c>
      <c r="O44" s="436">
        <v>53522</v>
      </c>
      <c r="P44" s="498">
        <v>0.48139953228998023</v>
      </c>
      <c r="Q44" s="437">
        <v>3823</v>
      </c>
    </row>
    <row r="45" spans="1:17" ht="14.4" customHeight="1" x14ac:dyDescent="0.3">
      <c r="A45" s="432" t="s">
        <v>698</v>
      </c>
      <c r="B45" s="433" t="s">
        <v>623</v>
      </c>
      <c r="C45" s="433" t="s">
        <v>620</v>
      </c>
      <c r="D45" s="433" t="s">
        <v>638</v>
      </c>
      <c r="E45" s="433" t="s">
        <v>639</v>
      </c>
      <c r="F45" s="436">
        <v>7</v>
      </c>
      <c r="G45" s="436">
        <v>11315</v>
      </c>
      <c r="H45" s="436">
        <v>1</v>
      </c>
      <c r="I45" s="436">
        <v>1616.4285714285713</v>
      </c>
      <c r="J45" s="436">
        <v>5</v>
      </c>
      <c r="K45" s="436">
        <v>8105</v>
      </c>
      <c r="L45" s="436">
        <v>0.71630578877596107</v>
      </c>
      <c r="M45" s="436">
        <v>1621</v>
      </c>
      <c r="N45" s="436">
        <v>3</v>
      </c>
      <c r="O45" s="436">
        <v>4965</v>
      </c>
      <c r="P45" s="498">
        <v>0.43879805567830316</v>
      </c>
      <c r="Q45" s="437">
        <v>1655</v>
      </c>
    </row>
    <row r="46" spans="1:17" ht="14.4" customHeight="1" x14ac:dyDescent="0.3">
      <c r="A46" s="432" t="s">
        <v>698</v>
      </c>
      <c r="B46" s="433" t="s">
        <v>623</v>
      </c>
      <c r="C46" s="433" t="s">
        <v>620</v>
      </c>
      <c r="D46" s="433" t="s">
        <v>640</v>
      </c>
      <c r="E46" s="433" t="s">
        <v>641</v>
      </c>
      <c r="F46" s="436">
        <v>1</v>
      </c>
      <c r="G46" s="436">
        <v>1537</v>
      </c>
      <c r="H46" s="436">
        <v>1</v>
      </c>
      <c r="I46" s="436">
        <v>1537</v>
      </c>
      <c r="J46" s="436"/>
      <c r="K46" s="436"/>
      <c r="L46" s="436"/>
      <c r="M46" s="436"/>
      <c r="N46" s="436">
        <v>2</v>
      </c>
      <c r="O46" s="436">
        <v>3240</v>
      </c>
      <c r="P46" s="498">
        <v>2.1080026024723488</v>
      </c>
      <c r="Q46" s="437">
        <v>1620</v>
      </c>
    </row>
    <row r="47" spans="1:17" ht="14.4" customHeight="1" x14ac:dyDescent="0.3">
      <c r="A47" s="432" t="s">
        <v>698</v>
      </c>
      <c r="B47" s="433" t="s">
        <v>623</v>
      </c>
      <c r="C47" s="433" t="s">
        <v>620</v>
      </c>
      <c r="D47" s="433" t="s">
        <v>642</v>
      </c>
      <c r="E47" s="433" t="s">
        <v>643</v>
      </c>
      <c r="F47" s="436"/>
      <c r="G47" s="436"/>
      <c r="H47" s="436"/>
      <c r="I47" s="436"/>
      <c r="J47" s="436"/>
      <c r="K47" s="436"/>
      <c r="L47" s="436"/>
      <c r="M47" s="436"/>
      <c r="N47" s="436">
        <v>2</v>
      </c>
      <c r="O47" s="436">
        <v>1680</v>
      </c>
      <c r="P47" s="498"/>
      <c r="Q47" s="437">
        <v>840</v>
      </c>
    </row>
    <row r="48" spans="1:17" ht="14.4" customHeight="1" x14ac:dyDescent="0.3">
      <c r="A48" s="432" t="s">
        <v>698</v>
      </c>
      <c r="B48" s="433" t="s">
        <v>623</v>
      </c>
      <c r="C48" s="433" t="s">
        <v>620</v>
      </c>
      <c r="D48" s="433" t="s">
        <v>644</v>
      </c>
      <c r="E48" s="433" t="s">
        <v>645</v>
      </c>
      <c r="F48" s="436"/>
      <c r="G48" s="436"/>
      <c r="H48" s="436"/>
      <c r="I48" s="436"/>
      <c r="J48" s="436">
        <v>4</v>
      </c>
      <c r="K48" s="436">
        <v>5844</v>
      </c>
      <c r="L48" s="436"/>
      <c r="M48" s="436">
        <v>1461</v>
      </c>
      <c r="N48" s="436">
        <v>1</v>
      </c>
      <c r="O48" s="436">
        <v>1523</v>
      </c>
      <c r="P48" s="498"/>
      <c r="Q48" s="437">
        <v>1523</v>
      </c>
    </row>
    <row r="49" spans="1:17" ht="14.4" customHeight="1" x14ac:dyDescent="0.3">
      <c r="A49" s="432" t="s">
        <v>698</v>
      </c>
      <c r="B49" s="433" t="s">
        <v>623</v>
      </c>
      <c r="C49" s="433" t="s">
        <v>620</v>
      </c>
      <c r="D49" s="433" t="s">
        <v>646</v>
      </c>
      <c r="E49" s="433" t="s">
        <v>647</v>
      </c>
      <c r="F49" s="436">
        <v>1</v>
      </c>
      <c r="G49" s="436">
        <v>3100</v>
      </c>
      <c r="H49" s="436">
        <v>1</v>
      </c>
      <c r="I49" s="436">
        <v>3100</v>
      </c>
      <c r="J49" s="436"/>
      <c r="K49" s="436"/>
      <c r="L49" s="436"/>
      <c r="M49" s="436"/>
      <c r="N49" s="436"/>
      <c r="O49" s="436"/>
      <c r="P49" s="498"/>
      <c r="Q49" s="437"/>
    </row>
    <row r="50" spans="1:17" ht="14.4" customHeight="1" x14ac:dyDescent="0.3">
      <c r="A50" s="432" t="s">
        <v>698</v>
      </c>
      <c r="B50" s="433" t="s">
        <v>623</v>
      </c>
      <c r="C50" s="433" t="s">
        <v>620</v>
      </c>
      <c r="D50" s="433" t="s">
        <v>648</v>
      </c>
      <c r="E50" s="433" t="s">
        <v>649</v>
      </c>
      <c r="F50" s="436">
        <v>20</v>
      </c>
      <c r="G50" s="436">
        <v>320</v>
      </c>
      <c r="H50" s="436">
        <v>1</v>
      </c>
      <c r="I50" s="436">
        <v>16</v>
      </c>
      <c r="J50" s="436">
        <v>12</v>
      </c>
      <c r="K50" s="436">
        <v>192</v>
      </c>
      <c r="L50" s="436">
        <v>0.6</v>
      </c>
      <c r="M50" s="436">
        <v>16</v>
      </c>
      <c r="N50" s="436">
        <v>12</v>
      </c>
      <c r="O50" s="436">
        <v>204</v>
      </c>
      <c r="P50" s="498">
        <v>0.63749999999999996</v>
      </c>
      <c r="Q50" s="437">
        <v>17</v>
      </c>
    </row>
    <row r="51" spans="1:17" ht="14.4" customHeight="1" x14ac:dyDescent="0.3">
      <c r="A51" s="432" t="s">
        <v>698</v>
      </c>
      <c r="B51" s="433" t="s">
        <v>623</v>
      </c>
      <c r="C51" s="433" t="s">
        <v>620</v>
      </c>
      <c r="D51" s="433" t="s">
        <v>650</v>
      </c>
      <c r="E51" s="433" t="s">
        <v>635</v>
      </c>
      <c r="F51" s="436">
        <v>36</v>
      </c>
      <c r="G51" s="436">
        <v>24864</v>
      </c>
      <c r="H51" s="436">
        <v>1</v>
      </c>
      <c r="I51" s="436">
        <v>690.66666666666663</v>
      </c>
      <c r="J51" s="436">
        <v>23</v>
      </c>
      <c r="K51" s="436">
        <v>16008</v>
      </c>
      <c r="L51" s="436">
        <v>0.64382239382239381</v>
      </c>
      <c r="M51" s="436">
        <v>696</v>
      </c>
      <c r="N51" s="436">
        <v>21</v>
      </c>
      <c r="O51" s="436">
        <v>14868</v>
      </c>
      <c r="P51" s="498">
        <v>0.59797297297297303</v>
      </c>
      <c r="Q51" s="437">
        <v>708</v>
      </c>
    </row>
    <row r="52" spans="1:17" ht="14.4" customHeight="1" x14ac:dyDescent="0.3">
      <c r="A52" s="432" t="s">
        <v>698</v>
      </c>
      <c r="B52" s="433" t="s">
        <v>623</v>
      </c>
      <c r="C52" s="433" t="s">
        <v>620</v>
      </c>
      <c r="D52" s="433" t="s">
        <v>651</v>
      </c>
      <c r="E52" s="433" t="s">
        <v>637</v>
      </c>
      <c r="F52" s="436">
        <v>77</v>
      </c>
      <c r="G52" s="436">
        <v>106171</v>
      </c>
      <c r="H52" s="436">
        <v>1</v>
      </c>
      <c r="I52" s="436">
        <v>1378.8441558441559</v>
      </c>
      <c r="J52" s="436">
        <v>53</v>
      </c>
      <c r="K52" s="436">
        <v>73511</v>
      </c>
      <c r="L52" s="436">
        <v>0.69238304245038662</v>
      </c>
      <c r="M52" s="436">
        <v>1387</v>
      </c>
      <c r="N52" s="436">
        <v>43</v>
      </c>
      <c r="O52" s="436">
        <v>61834</v>
      </c>
      <c r="P52" s="498">
        <v>0.58240009042017127</v>
      </c>
      <c r="Q52" s="437">
        <v>1438</v>
      </c>
    </row>
    <row r="53" spans="1:17" ht="14.4" customHeight="1" x14ac:dyDescent="0.3">
      <c r="A53" s="432" t="s">
        <v>698</v>
      </c>
      <c r="B53" s="433" t="s">
        <v>623</v>
      </c>
      <c r="C53" s="433" t="s">
        <v>620</v>
      </c>
      <c r="D53" s="433" t="s">
        <v>652</v>
      </c>
      <c r="E53" s="433" t="s">
        <v>653</v>
      </c>
      <c r="F53" s="436">
        <v>27</v>
      </c>
      <c r="G53" s="436">
        <v>62838</v>
      </c>
      <c r="H53" s="436">
        <v>1</v>
      </c>
      <c r="I53" s="436">
        <v>2327.3333333333335</v>
      </c>
      <c r="J53" s="436">
        <v>23</v>
      </c>
      <c r="K53" s="436">
        <v>53843</v>
      </c>
      <c r="L53" s="436">
        <v>0.85685413284954959</v>
      </c>
      <c r="M53" s="436">
        <v>2341</v>
      </c>
      <c r="N53" s="436">
        <v>22</v>
      </c>
      <c r="O53" s="436">
        <v>53614</v>
      </c>
      <c r="P53" s="498">
        <v>0.85320984117890453</v>
      </c>
      <c r="Q53" s="437">
        <v>2437</v>
      </c>
    </row>
    <row r="54" spans="1:17" ht="14.4" customHeight="1" x14ac:dyDescent="0.3">
      <c r="A54" s="432" t="s">
        <v>698</v>
      </c>
      <c r="B54" s="433" t="s">
        <v>623</v>
      </c>
      <c r="C54" s="433" t="s">
        <v>620</v>
      </c>
      <c r="D54" s="433" t="s">
        <v>654</v>
      </c>
      <c r="E54" s="433" t="s">
        <v>655</v>
      </c>
      <c r="F54" s="436">
        <v>36</v>
      </c>
      <c r="G54" s="436">
        <v>2356</v>
      </c>
      <c r="H54" s="436">
        <v>1</v>
      </c>
      <c r="I54" s="436">
        <v>65.444444444444443</v>
      </c>
      <c r="J54" s="436">
        <v>23</v>
      </c>
      <c r="K54" s="436">
        <v>1518</v>
      </c>
      <c r="L54" s="436">
        <v>0.6443123938879457</v>
      </c>
      <c r="M54" s="436">
        <v>66</v>
      </c>
      <c r="N54" s="436">
        <v>21</v>
      </c>
      <c r="O54" s="436">
        <v>1449</v>
      </c>
      <c r="P54" s="498">
        <v>0.61502546689303905</v>
      </c>
      <c r="Q54" s="437">
        <v>69</v>
      </c>
    </row>
    <row r="55" spans="1:17" ht="14.4" customHeight="1" x14ac:dyDescent="0.3">
      <c r="A55" s="432" t="s">
        <v>698</v>
      </c>
      <c r="B55" s="433" t="s">
        <v>623</v>
      </c>
      <c r="C55" s="433" t="s">
        <v>620</v>
      </c>
      <c r="D55" s="433" t="s">
        <v>656</v>
      </c>
      <c r="E55" s="433" t="s">
        <v>657</v>
      </c>
      <c r="F55" s="436"/>
      <c r="G55" s="436"/>
      <c r="H55" s="436"/>
      <c r="I55" s="436"/>
      <c r="J55" s="436">
        <v>4</v>
      </c>
      <c r="K55" s="436">
        <v>1604</v>
      </c>
      <c r="L55" s="436"/>
      <c r="M55" s="436">
        <v>401</v>
      </c>
      <c r="N55" s="436">
        <v>1</v>
      </c>
      <c r="O55" s="436">
        <v>407</v>
      </c>
      <c r="P55" s="498"/>
      <c r="Q55" s="437">
        <v>407</v>
      </c>
    </row>
    <row r="56" spans="1:17" ht="14.4" customHeight="1" x14ac:dyDescent="0.3">
      <c r="A56" s="432" t="s">
        <v>698</v>
      </c>
      <c r="B56" s="433" t="s">
        <v>623</v>
      </c>
      <c r="C56" s="433" t="s">
        <v>620</v>
      </c>
      <c r="D56" s="433" t="s">
        <v>660</v>
      </c>
      <c r="E56" s="433" t="s">
        <v>661</v>
      </c>
      <c r="F56" s="436">
        <v>80</v>
      </c>
      <c r="G56" s="436">
        <v>44040</v>
      </c>
      <c r="H56" s="436">
        <v>1</v>
      </c>
      <c r="I56" s="436">
        <v>550.5</v>
      </c>
      <c r="J56" s="436">
        <v>61</v>
      </c>
      <c r="K56" s="436">
        <v>33672</v>
      </c>
      <c r="L56" s="436">
        <v>0.76457765667574928</v>
      </c>
      <c r="M56" s="436">
        <v>552</v>
      </c>
      <c r="N56" s="436">
        <v>64</v>
      </c>
      <c r="O56" s="436">
        <v>35840</v>
      </c>
      <c r="P56" s="498">
        <v>0.81380563124432337</v>
      </c>
      <c r="Q56" s="437">
        <v>560</v>
      </c>
    </row>
    <row r="57" spans="1:17" ht="14.4" customHeight="1" x14ac:dyDescent="0.3">
      <c r="A57" s="432" t="s">
        <v>698</v>
      </c>
      <c r="B57" s="433" t="s">
        <v>623</v>
      </c>
      <c r="C57" s="433" t="s">
        <v>620</v>
      </c>
      <c r="D57" s="433" t="s">
        <v>662</v>
      </c>
      <c r="E57" s="433" t="s">
        <v>663</v>
      </c>
      <c r="F57" s="436">
        <v>1</v>
      </c>
      <c r="G57" s="436">
        <v>1244</v>
      </c>
      <c r="H57" s="436">
        <v>1</v>
      </c>
      <c r="I57" s="436">
        <v>1244</v>
      </c>
      <c r="J57" s="436"/>
      <c r="K57" s="436"/>
      <c r="L57" s="436"/>
      <c r="M57" s="436"/>
      <c r="N57" s="436"/>
      <c r="O57" s="436"/>
      <c r="P57" s="498"/>
      <c r="Q57" s="437"/>
    </row>
    <row r="58" spans="1:17" ht="14.4" customHeight="1" x14ac:dyDescent="0.3">
      <c r="A58" s="432" t="s">
        <v>698</v>
      </c>
      <c r="B58" s="433" t="s">
        <v>623</v>
      </c>
      <c r="C58" s="433" t="s">
        <v>620</v>
      </c>
      <c r="D58" s="433" t="s">
        <v>672</v>
      </c>
      <c r="E58" s="433" t="s">
        <v>631</v>
      </c>
      <c r="F58" s="436">
        <v>1</v>
      </c>
      <c r="G58" s="436">
        <v>915</v>
      </c>
      <c r="H58" s="436">
        <v>1</v>
      </c>
      <c r="I58" s="436">
        <v>915</v>
      </c>
      <c r="J58" s="436"/>
      <c r="K58" s="436"/>
      <c r="L58" s="436"/>
      <c r="M58" s="436"/>
      <c r="N58" s="436"/>
      <c r="O58" s="436"/>
      <c r="P58" s="498"/>
      <c r="Q58" s="437"/>
    </row>
    <row r="59" spans="1:17" ht="14.4" customHeight="1" x14ac:dyDescent="0.3">
      <c r="A59" s="432" t="s">
        <v>698</v>
      </c>
      <c r="B59" s="433" t="s">
        <v>623</v>
      </c>
      <c r="C59" s="433" t="s">
        <v>620</v>
      </c>
      <c r="D59" s="433" t="s">
        <v>673</v>
      </c>
      <c r="E59" s="433" t="s">
        <v>674</v>
      </c>
      <c r="F59" s="436">
        <v>7</v>
      </c>
      <c r="G59" s="436">
        <v>11273</v>
      </c>
      <c r="H59" s="436">
        <v>1</v>
      </c>
      <c r="I59" s="436">
        <v>1610.4285714285713</v>
      </c>
      <c r="J59" s="436">
        <v>10</v>
      </c>
      <c r="K59" s="436">
        <v>16150</v>
      </c>
      <c r="L59" s="436">
        <v>1.432626630000887</v>
      </c>
      <c r="M59" s="436">
        <v>1615</v>
      </c>
      <c r="N59" s="436">
        <v>13</v>
      </c>
      <c r="O59" s="436">
        <v>21437</v>
      </c>
      <c r="P59" s="498">
        <v>1.9016233478222302</v>
      </c>
      <c r="Q59" s="437">
        <v>1649</v>
      </c>
    </row>
    <row r="60" spans="1:17" ht="14.4" customHeight="1" x14ac:dyDescent="0.3">
      <c r="A60" s="432" t="s">
        <v>699</v>
      </c>
      <c r="B60" s="433" t="s">
        <v>619</v>
      </c>
      <c r="C60" s="433" t="s">
        <v>620</v>
      </c>
      <c r="D60" s="433" t="s">
        <v>621</v>
      </c>
      <c r="E60" s="433" t="s">
        <v>622</v>
      </c>
      <c r="F60" s="436"/>
      <c r="G60" s="436"/>
      <c r="H60" s="436"/>
      <c r="I60" s="436"/>
      <c r="J60" s="436">
        <v>1</v>
      </c>
      <c r="K60" s="436">
        <v>10725</v>
      </c>
      <c r="L60" s="436"/>
      <c r="M60" s="436">
        <v>10725</v>
      </c>
      <c r="N60" s="436"/>
      <c r="O60" s="436"/>
      <c r="P60" s="498"/>
      <c r="Q60" s="437"/>
    </row>
    <row r="61" spans="1:17" ht="14.4" customHeight="1" x14ac:dyDescent="0.3">
      <c r="A61" s="432" t="s">
        <v>700</v>
      </c>
      <c r="B61" s="433" t="s">
        <v>623</v>
      </c>
      <c r="C61" s="433" t="s">
        <v>620</v>
      </c>
      <c r="D61" s="433" t="s">
        <v>648</v>
      </c>
      <c r="E61" s="433" t="s">
        <v>649</v>
      </c>
      <c r="F61" s="436"/>
      <c r="G61" s="436"/>
      <c r="H61" s="436"/>
      <c r="I61" s="436"/>
      <c r="J61" s="436"/>
      <c r="K61" s="436"/>
      <c r="L61" s="436"/>
      <c r="M61" s="436"/>
      <c r="N61" s="436">
        <v>1</v>
      </c>
      <c r="O61" s="436">
        <v>17</v>
      </c>
      <c r="P61" s="498"/>
      <c r="Q61" s="437">
        <v>17</v>
      </c>
    </row>
    <row r="62" spans="1:17" ht="14.4" customHeight="1" x14ac:dyDescent="0.3">
      <c r="A62" s="432" t="s">
        <v>700</v>
      </c>
      <c r="B62" s="433" t="s">
        <v>623</v>
      </c>
      <c r="C62" s="433" t="s">
        <v>620</v>
      </c>
      <c r="D62" s="433" t="s">
        <v>650</v>
      </c>
      <c r="E62" s="433" t="s">
        <v>635</v>
      </c>
      <c r="F62" s="436"/>
      <c r="G62" s="436"/>
      <c r="H62" s="436"/>
      <c r="I62" s="436"/>
      <c r="J62" s="436"/>
      <c r="K62" s="436"/>
      <c r="L62" s="436"/>
      <c r="M62" s="436"/>
      <c r="N62" s="436">
        <v>1</v>
      </c>
      <c r="O62" s="436">
        <v>708</v>
      </c>
      <c r="P62" s="498"/>
      <c r="Q62" s="437">
        <v>708</v>
      </c>
    </row>
    <row r="63" spans="1:17" ht="14.4" customHeight="1" x14ac:dyDescent="0.3">
      <c r="A63" s="432" t="s">
        <v>700</v>
      </c>
      <c r="B63" s="433" t="s">
        <v>623</v>
      </c>
      <c r="C63" s="433" t="s">
        <v>620</v>
      </c>
      <c r="D63" s="433" t="s">
        <v>654</v>
      </c>
      <c r="E63" s="433" t="s">
        <v>655</v>
      </c>
      <c r="F63" s="436"/>
      <c r="G63" s="436"/>
      <c r="H63" s="436"/>
      <c r="I63" s="436"/>
      <c r="J63" s="436"/>
      <c r="K63" s="436"/>
      <c r="L63" s="436"/>
      <c r="M63" s="436"/>
      <c r="N63" s="436">
        <v>1</v>
      </c>
      <c r="O63" s="436">
        <v>69</v>
      </c>
      <c r="P63" s="498"/>
      <c r="Q63" s="437">
        <v>69</v>
      </c>
    </row>
    <row r="64" spans="1:17" ht="14.4" customHeight="1" x14ac:dyDescent="0.3">
      <c r="A64" s="432" t="s">
        <v>701</v>
      </c>
      <c r="B64" s="433" t="s">
        <v>619</v>
      </c>
      <c r="C64" s="433" t="s">
        <v>620</v>
      </c>
      <c r="D64" s="433" t="s">
        <v>621</v>
      </c>
      <c r="E64" s="433" t="s">
        <v>622</v>
      </c>
      <c r="F64" s="436"/>
      <c r="G64" s="436"/>
      <c r="H64" s="436"/>
      <c r="I64" s="436"/>
      <c r="J64" s="436"/>
      <c r="K64" s="436"/>
      <c r="L64" s="436"/>
      <c r="M64" s="436"/>
      <c r="N64" s="436">
        <v>5</v>
      </c>
      <c r="O64" s="436">
        <v>57015</v>
      </c>
      <c r="P64" s="498"/>
      <c r="Q64" s="437">
        <v>11403</v>
      </c>
    </row>
    <row r="65" spans="1:17" ht="14.4" customHeight="1" x14ac:dyDescent="0.3">
      <c r="A65" s="432" t="s">
        <v>701</v>
      </c>
      <c r="B65" s="433" t="s">
        <v>623</v>
      </c>
      <c r="C65" s="433" t="s">
        <v>620</v>
      </c>
      <c r="D65" s="433" t="s">
        <v>628</v>
      </c>
      <c r="E65" s="433" t="s">
        <v>629</v>
      </c>
      <c r="F65" s="436">
        <v>2</v>
      </c>
      <c r="G65" s="436">
        <v>4426</v>
      </c>
      <c r="H65" s="436">
        <v>1</v>
      </c>
      <c r="I65" s="436">
        <v>2213</v>
      </c>
      <c r="J65" s="436"/>
      <c r="K65" s="436"/>
      <c r="L65" s="436"/>
      <c r="M65" s="436"/>
      <c r="N65" s="436">
        <v>1</v>
      </c>
      <c r="O65" s="436">
        <v>2338</v>
      </c>
      <c r="P65" s="498">
        <v>0.52824220515137821</v>
      </c>
      <c r="Q65" s="437">
        <v>2338</v>
      </c>
    </row>
    <row r="66" spans="1:17" ht="14.4" customHeight="1" x14ac:dyDescent="0.3">
      <c r="A66" s="432" t="s">
        <v>701</v>
      </c>
      <c r="B66" s="433" t="s">
        <v>623</v>
      </c>
      <c r="C66" s="433" t="s">
        <v>620</v>
      </c>
      <c r="D66" s="433" t="s">
        <v>630</v>
      </c>
      <c r="E66" s="433" t="s">
        <v>631</v>
      </c>
      <c r="F66" s="436"/>
      <c r="G66" s="436"/>
      <c r="H66" s="436"/>
      <c r="I66" s="436"/>
      <c r="J66" s="436"/>
      <c r="K66" s="436"/>
      <c r="L66" s="436"/>
      <c r="M66" s="436"/>
      <c r="N66" s="436">
        <v>2</v>
      </c>
      <c r="O66" s="436">
        <v>2154</v>
      </c>
      <c r="P66" s="498"/>
      <c r="Q66" s="437">
        <v>1077</v>
      </c>
    </row>
    <row r="67" spans="1:17" ht="14.4" customHeight="1" x14ac:dyDescent="0.3">
      <c r="A67" s="432" t="s">
        <v>701</v>
      </c>
      <c r="B67" s="433" t="s">
        <v>623</v>
      </c>
      <c r="C67" s="433" t="s">
        <v>620</v>
      </c>
      <c r="D67" s="433" t="s">
        <v>632</v>
      </c>
      <c r="E67" s="433" t="s">
        <v>633</v>
      </c>
      <c r="F67" s="436">
        <v>2</v>
      </c>
      <c r="G67" s="436">
        <v>7396</v>
      </c>
      <c r="H67" s="436">
        <v>1</v>
      </c>
      <c r="I67" s="436">
        <v>3698</v>
      </c>
      <c r="J67" s="436"/>
      <c r="K67" s="436"/>
      <c r="L67" s="436"/>
      <c r="M67" s="436"/>
      <c r="N67" s="436"/>
      <c r="O67" s="436"/>
      <c r="P67" s="498"/>
      <c r="Q67" s="437"/>
    </row>
    <row r="68" spans="1:17" ht="14.4" customHeight="1" x14ac:dyDescent="0.3">
      <c r="A68" s="432" t="s">
        <v>701</v>
      </c>
      <c r="B68" s="433" t="s">
        <v>623</v>
      </c>
      <c r="C68" s="433" t="s">
        <v>620</v>
      </c>
      <c r="D68" s="433" t="s">
        <v>642</v>
      </c>
      <c r="E68" s="433" t="s">
        <v>643</v>
      </c>
      <c r="F68" s="436"/>
      <c r="G68" s="436"/>
      <c r="H68" s="436"/>
      <c r="I68" s="436"/>
      <c r="J68" s="436"/>
      <c r="K68" s="436"/>
      <c r="L68" s="436"/>
      <c r="M68" s="436"/>
      <c r="N68" s="436">
        <v>2</v>
      </c>
      <c r="O68" s="436">
        <v>1680</v>
      </c>
      <c r="P68" s="498"/>
      <c r="Q68" s="437">
        <v>840</v>
      </c>
    </row>
    <row r="69" spans="1:17" ht="14.4" customHeight="1" x14ac:dyDescent="0.3">
      <c r="A69" s="432" t="s">
        <v>701</v>
      </c>
      <c r="B69" s="433" t="s">
        <v>623</v>
      </c>
      <c r="C69" s="433" t="s">
        <v>620</v>
      </c>
      <c r="D69" s="433" t="s">
        <v>644</v>
      </c>
      <c r="E69" s="433" t="s">
        <v>645</v>
      </c>
      <c r="F69" s="436">
        <v>2</v>
      </c>
      <c r="G69" s="436">
        <v>2894</v>
      </c>
      <c r="H69" s="436">
        <v>1</v>
      </c>
      <c r="I69" s="436">
        <v>1447</v>
      </c>
      <c r="J69" s="436"/>
      <c r="K69" s="436"/>
      <c r="L69" s="436"/>
      <c r="M69" s="436"/>
      <c r="N69" s="436"/>
      <c r="O69" s="436"/>
      <c r="P69" s="498"/>
      <c r="Q69" s="437"/>
    </row>
    <row r="70" spans="1:17" ht="14.4" customHeight="1" x14ac:dyDescent="0.3">
      <c r="A70" s="432" t="s">
        <v>701</v>
      </c>
      <c r="B70" s="433" t="s">
        <v>623</v>
      </c>
      <c r="C70" s="433" t="s">
        <v>620</v>
      </c>
      <c r="D70" s="433" t="s">
        <v>648</v>
      </c>
      <c r="E70" s="433" t="s">
        <v>649</v>
      </c>
      <c r="F70" s="436">
        <v>5</v>
      </c>
      <c r="G70" s="436">
        <v>80</v>
      </c>
      <c r="H70" s="436">
        <v>1</v>
      </c>
      <c r="I70" s="436">
        <v>16</v>
      </c>
      <c r="J70" s="436">
        <v>1</v>
      </c>
      <c r="K70" s="436">
        <v>16</v>
      </c>
      <c r="L70" s="436">
        <v>0.2</v>
      </c>
      <c r="M70" s="436">
        <v>16</v>
      </c>
      <c r="N70" s="436">
        <v>3</v>
      </c>
      <c r="O70" s="436">
        <v>51</v>
      </c>
      <c r="P70" s="498">
        <v>0.63749999999999996</v>
      </c>
      <c r="Q70" s="437">
        <v>17</v>
      </c>
    </row>
    <row r="71" spans="1:17" ht="14.4" customHeight="1" x14ac:dyDescent="0.3">
      <c r="A71" s="432" t="s">
        <v>701</v>
      </c>
      <c r="B71" s="433" t="s">
        <v>623</v>
      </c>
      <c r="C71" s="433" t="s">
        <v>620</v>
      </c>
      <c r="D71" s="433" t="s">
        <v>650</v>
      </c>
      <c r="E71" s="433" t="s">
        <v>635</v>
      </c>
      <c r="F71" s="436">
        <v>10</v>
      </c>
      <c r="G71" s="436">
        <v>6904</v>
      </c>
      <c r="H71" s="436">
        <v>1</v>
      </c>
      <c r="I71" s="436">
        <v>690.4</v>
      </c>
      <c r="J71" s="436">
        <v>3</v>
      </c>
      <c r="K71" s="436">
        <v>2088</v>
      </c>
      <c r="L71" s="436">
        <v>0.30243337195828507</v>
      </c>
      <c r="M71" s="436">
        <v>696</v>
      </c>
      <c r="N71" s="436">
        <v>6</v>
      </c>
      <c r="O71" s="436">
        <v>4248</v>
      </c>
      <c r="P71" s="498">
        <v>0.61529548088064889</v>
      </c>
      <c r="Q71" s="437">
        <v>708</v>
      </c>
    </row>
    <row r="72" spans="1:17" ht="14.4" customHeight="1" x14ac:dyDescent="0.3">
      <c r="A72" s="432" t="s">
        <v>701</v>
      </c>
      <c r="B72" s="433" t="s">
        <v>623</v>
      </c>
      <c r="C72" s="433" t="s">
        <v>620</v>
      </c>
      <c r="D72" s="433" t="s">
        <v>651</v>
      </c>
      <c r="E72" s="433" t="s">
        <v>637</v>
      </c>
      <c r="F72" s="436">
        <v>3</v>
      </c>
      <c r="G72" s="436">
        <v>4125</v>
      </c>
      <c r="H72" s="436">
        <v>1</v>
      </c>
      <c r="I72" s="436">
        <v>1375</v>
      </c>
      <c r="J72" s="436"/>
      <c r="K72" s="436"/>
      <c r="L72" s="436"/>
      <c r="M72" s="436"/>
      <c r="N72" s="436"/>
      <c r="O72" s="436"/>
      <c r="P72" s="498"/>
      <c r="Q72" s="437"/>
    </row>
    <row r="73" spans="1:17" ht="14.4" customHeight="1" x14ac:dyDescent="0.3">
      <c r="A73" s="432" t="s">
        <v>701</v>
      </c>
      <c r="B73" s="433" t="s">
        <v>623</v>
      </c>
      <c r="C73" s="433" t="s">
        <v>620</v>
      </c>
      <c r="D73" s="433" t="s">
        <v>652</v>
      </c>
      <c r="E73" s="433" t="s">
        <v>653</v>
      </c>
      <c r="F73" s="436">
        <v>2</v>
      </c>
      <c r="G73" s="436">
        <v>4638</v>
      </c>
      <c r="H73" s="436">
        <v>1</v>
      </c>
      <c r="I73" s="436">
        <v>2319</v>
      </c>
      <c r="J73" s="436"/>
      <c r="K73" s="436"/>
      <c r="L73" s="436"/>
      <c r="M73" s="436"/>
      <c r="N73" s="436"/>
      <c r="O73" s="436"/>
      <c r="P73" s="498"/>
      <c r="Q73" s="437"/>
    </row>
    <row r="74" spans="1:17" ht="14.4" customHeight="1" x14ac:dyDescent="0.3">
      <c r="A74" s="432" t="s">
        <v>701</v>
      </c>
      <c r="B74" s="433" t="s">
        <v>623</v>
      </c>
      <c r="C74" s="433" t="s">
        <v>620</v>
      </c>
      <c r="D74" s="433" t="s">
        <v>654</v>
      </c>
      <c r="E74" s="433" t="s">
        <v>655</v>
      </c>
      <c r="F74" s="436">
        <v>10</v>
      </c>
      <c r="G74" s="436">
        <v>654</v>
      </c>
      <c r="H74" s="436">
        <v>1</v>
      </c>
      <c r="I74" s="436">
        <v>65.400000000000006</v>
      </c>
      <c r="J74" s="436">
        <v>3</v>
      </c>
      <c r="K74" s="436">
        <v>198</v>
      </c>
      <c r="L74" s="436">
        <v>0.30275229357798167</v>
      </c>
      <c r="M74" s="436">
        <v>66</v>
      </c>
      <c r="N74" s="436">
        <v>6</v>
      </c>
      <c r="O74" s="436">
        <v>414</v>
      </c>
      <c r="P74" s="498">
        <v>0.6330275229357798</v>
      </c>
      <c r="Q74" s="437">
        <v>69</v>
      </c>
    </row>
    <row r="75" spans="1:17" ht="14.4" customHeight="1" x14ac:dyDescent="0.3">
      <c r="A75" s="432" t="s">
        <v>701</v>
      </c>
      <c r="B75" s="433" t="s">
        <v>623</v>
      </c>
      <c r="C75" s="433" t="s">
        <v>620</v>
      </c>
      <c r="D75" s="433" t="s">
        <v>656</v>
      </c>
      <c r="E75" s="433" t="s">
        <v>657</v>
      </c>
      <c r="F75" s="436">
        <v>2</v>
      </c>
      <c r="G75" s="436">
        <v>792</v>
      </c>
      <c r="H75" s="436">
        <v>1</v>
      </c>
      <c r="I75" s="436">
        <v>396</v>
      </c>
      <c r="J75" s="436"/>
      <c r="K75" s="436"/>
      <c r="L75" s="436"/>
      <c r="M75" s="436"/>
      <c r="N75" s="436"/>
      <c r="O75" s="436"/>
      <c r="P75" s="498"/>
      <c r="Q75" s="437"/>
    </row>
    <row r="76" spans="1:17" ht="14.4" customHeight="1" x14ac:dyDescent="0.3">
      <c r="A76" s="432" t="s">
        <v>701</v>
      </c>
      <c r="B76" s="433" t="s">
        <v>623</v>
      </c>
      <c r="C76" s="433" t="s">
        <v>620</v>
      </c>
      <c r="D76" s="433" t="s">
        <v>660</v>
      </c>
      <c r="E76" s="433" t="s">
        <v>661</v>
      </c>
      <c r="F76" s="436">
        <v>15</v>
      </c>
      <c r="G76" s="436">
        <v>8250</v>
      </c>
      <c r="H76" s="436">
        <v>1</v>
      </c>
      <c r="I76" s="436">
        <v>550</v>
      </c>
      <c r="J76" s="436">
        <v>5</v>
      </c>
      <c r="K76" s="436">
        <v>2760</v>
      </c>
      <c r="L76" s="436">
        <v>0.33454545454545453</v>
      </c>
      <c r="M76" s="436">
        <v>552</v>
      </c>
      <c r="N76" s="436"/>
      <c r="O76" s="436"/>
      <c r="P76" s="498"/>
      <c r="Q76" s="437"/>
    </row>
    <row r="77" spans="1:17" ht="14.4" customHeight="1" x14ac:dyDescent="0.3">
      <c r="A77" s="432" t="s">
        <v>702</v>
      </c>
      <c r="B77" s="433" t="s">
        <v>619</v>
      </c>
      <c r="C77" s="433" t="s">
        <v>620</v>
      </c>
      <c r="D77" s="433" t="s">
        <v>621</v>
      </c>
      <c r="E77" s="433" t="s">
        <v>622</v>
      </c>
      <c r="F77" s="436">
        <v>3</v>
      </c>
      <c r="G77" s="436">
        <v>32055</v>
      </c>
      <c r="H77" s="436">
        <v>1</v>
      </c>
      <c r="I77" s="436">
        <v>10685</v>
      </c>
      <c r="J77" s="436">
        <v>6</v>
      </c>
      <c r="K77" s="436">
        <v>64350</v>
      </c>
      <c r="L77" s="436">
        <v>2.0074871314927467</v>
      </c>
      <c r="M77" s="436">
        <v>10725</v>
      </c>
      <c r="N77" s="436">
        <v>3</v>
      </c>
      <c r="O77" s="436">
        <v>34209</v>
      </c>
      <c r="P77" s="498">
        <v>1.0671970051474029</v>
      </c>
      <c r="Q77" s="437">
        <v>11403</v>
      </c>
    </row>
    <row r="78" spans="1:17" ht="14.4" customHeight="1" x14ac:dyDescent="0.3">
      <c r="A78" s="432" t="s">
        <v>702</v>
      </c>
      <c r="B78" s="433" t="s">
        <v>623</v>
      </c>
      <c r="C78" s="433" t="s">
        <v>620</v>
      </c>
      <c r="D78" s="433" t="s">
        <v>624</v>
      </c>
      <c r="E78" s="433" t="s">
        <v>625</v>
      </c>
      <c r="F78" s="436">
        <v>4</v>
      </c>
      <c r="G78" s="436">
        <v>504</v>
      </c>
      <c r="H78" s="436">
        <v>1</v>
      </c>
      <c r="I78" s="436">
        <v>126</v>
      </c>
      <c r="J78" s="436"/>
      <c r="K78" s="436"/>
      <c r="L78" s="436"/>
      <c r="M78" s="436"/>
      <c r="N78" s="436">
        <v>1</v>
      </c>
      <c r="O78" s="436">
        <v>136</v>
      </c>
      <c r="P78" s="498">
        <v>0.26984126984126983</v>
      </c>
      <c r="Q78" s="437">
        <v>136</v>
      </c>
    </row>
    <row r="79" spans="1:17" ht="14.4" customHeight="1" x14ac:dyDescent="0.3">
      <c r="A79" s="432" t="s">
        <v>702</v>
      </c>
      <c r="B79" s="433" t="s">
        <v>623</v>
      </c>
      <c r="C79" s="433" t="s">
        <v>620</v>
      </c>
      <c r="D79" s="433" t="s">
        <v>626</v>
      </c>
      <c r="E79" s="433" t="s">
        <v>627</v>
      </c>
      <c r="F79" s="436">
        <v>10</v>
      </c>
      <c r="G79" s="436">
        <v>12200</v>
      </c>
      <c r="H79" s="436">
        <v>1</v>
      </c>
      <c r="I79" s="436">
        <v>1220</v>
      </c>
      <c r="J79" s="436"/>
      <c r="K79" s="436"/>
      <c r="L79" s="436"/>
      <c r="M79" s="436"/>
      <c r="N79" s="436"/>
      <c r="O79" s="436"/>
      <c r="P79" s="498"/>
      <c r="Q79" s="437"/>
    </row>
    <row r="80" spans="1:17" ht="14.4" customHeight="1" x14ac:dyDescent="0.3">
      <c r="A80" s="432" t="s">
        <v>702</v>
      </c>
      <c r="B80" s="433" t="s">
        <v>623</v>
      </c>
      <c r="C80" s="433" t="s">
        <v>620</v>
      </c>
      <c r="D80" s="433" t="s">
        <v>628</v>
      </c>
      <c r="E80" s="433" t="s">
        <v>629</v>
      </c>
      <c r="F80" s="436">
        <v>11</v>
      </c>
      <c r="G80" s="436">
        <v>24343</v>
      </c>
      <c r="H80" s="436">
        <v>1</v>
      </c>
      <c r="I80" s="436">
        <v>2213</v>
      </c>
      <c r="J80" s="436">
        <v>2</v>
      </c>
      <c r="K80" s="436">
        <v>4472</v>
      </c>
      <c r="L80" s="436">
        <v>0.18370784209012858</v>
      </c>
      <c r="M80" s="436">
        <v>2236</v>
      </c>
      <c r="N80" s="436">
        <v>1</v>
      </c>
      <c r="O80" s="436">
        <v>2338</v>
      </c>
      <c r="P80" s="498">
        <v>9.6044037300250587E-2</v>
      </c>
      <c r="Q80" s="437">
        <v>2338</v>
      </c>
    </row>
    <row r="81" spans="1:17" ht="14.4" customHeight="1" x14ac:dyDescent="0.3">
      <c r="A81" s="432" t="s">
        <v>702</v>
      </c>
      <c r="B81" s="433" t="s">
        <v>623</v>
      </c>
      <c r="C81" s="433" t="s">
        <v>620</v>
      </c>
      <c r="D81" s="433" t="s">
        <v>632</v>
      </c>
      <c r="E81" s="433" t="s">
        <v>633</v>
      </c>
      <c r="F81" s="436">
        <v>19</v>
      </c>
      <c r="G81" s="436">
        <v>70390</v>
      </c>
      <c r="H81" s="436">
        <v>1</v>
      </c>
      <c r="I81" s="436">
        <v>3704.7368421052633</v>
      </c>
      <c r="J81" s="436">
        <v>10</v>
      </c>
      <c r="K81" s="436">
        <v>37210</v>
      </c>
      <c r="L81" s="436">
        <v>0.52862622531609604</v>
      </c>
      <c r="M81" s="436">
        <v>3721</v>
      </c>
      <c r="N81" s="436">
        <v>2</v>
      </c>
      <c r="O81" s="436">
        <v>7646</v>
      </c>
      <c r="P81" s="498">
        <v>0.10862338400340958</v>
      </c>
      <c r="Q81" s="437">
        <v>3823</v>
      </c>
    </row>
    <row r="82" spans="1:17" ht="14.4" customHeight="1" x14ac:dyDescent="0.3">
      <c r="A82" s="432" t="s">
        <v>702</v>
      </c>
      <c r="B82" s="433" t="s">
        <v>623</v>
      </c>
      <c r="C82" s="433" t="s">
        <v>620</v>
      </c>
      <c r="D82" s="433" t="s">
        <v>634</v>
      </c>
      <c r="E82" s="433" t="s">
        <v>635</v>
      </c>
      <c r="F82" s="436">
        <v>1</v>
      </c>
      <c r="G82" s="436">
        <v>438</v>
      </c>
      <c r="H82" s="436">
        <v>1</v>
      </c>
      <c r="I82" s="436">
        <v>438</v>
      </c>
      <c r="J82" s="436"/>
      <c r="K82" s="436"/>
      <c r="L82" s="436"/>
      <c r="M82" s="436"/>
      <c r="N82" s="436"/>
      <c r="O82" s="436"/>
      <c r="P82" s="498"/>
      <c r="Q82" s="437"/>
    </row>
    <row r="83" spans="1:17" ht="14.4" customHeight="1" x14ac:dyDescent="0.3">
      <c r="A83" s="432" t="s">
        <v>702</v>
      </c>
      <c r="B83" s="433" t="s">
        <v>623</v>
      </c>
      <c r="C83" s="433" t="s">
        <v>620</v>
      </c>
      <c r="D83" s="433" t="s">
        <v>638</v>
      </c>
      <c r="E83" s="433" t="s">
        <v>639</v>
      </c>
      <c r="F83" s="436">
        <v>9</v>
      </c>
      <c r="G83" s="436">
        <v>14559</v>
      </c>
      <c r="H83" s="436">
        <v>1</v>
      </c>
      <c r="I83" s="436">
        <v>1617.6666666666667</v>
      </c>
      <c r="J83" s="436">
        <v>4</v>
      </c>
      <c r="K83" s="436">
        <v>6484</v>
      </c>
      <c r="L83" s="436">
        <v>0.44536025825949582</v>
      </c>
      <c r="M83" s="436">
        <v>1621</v>
      </c>
      <c r="N83" s="436">
        <v>1</v>
      </c>
      <c r="O83" s="436">
        <v>1655</v>
      </c>
      <c r="P83" s="498">
        <v>0.11367538979325503</v>
      </c>
      <c r="Q83" s="437">
        <v>1655</v>
      </c>
    </row>
    <row r="84" spans="1:17" ht="14.4" customHeight="1" x14ac:dyDescent="0.3">
      <c r="A84" s="432" t="s">
        <v>702</v>
      </c>
      <c r="B84" s="433" t="s">
        <v>623</v>
      </c>
      <c r="C84" s="433" t="s">
        <v>620</v>
      </c>
      <c r="D84" s="433" t="s">
        <v>642</v>
      </c>
      <c r="E84" s="433" t="s">
        <v>643</v>
      </c>
      <c r="F84" s="436">
        <v>3</v>
      </c>
      <c r="G84" s="436">
        <v>2457</v>
      </c>
      <c r="H84" s="436">
        <v>1</v>
      </c>
      <c r="I84" s="436">
        <v>819</v>
      </c>
      <c r="J84" s="436"/>
      <c r="K84" s="436"/>
      <c r="L84" s="436"/>
      <c r="M84" s="436"/>
      <c r="N84" s="436"/>
      <c r="O84" s="436"/>
      <c r="P84" s="498"/>
      <c r="Q84" s="437"/>
    </row>
    <row r="85" spans="1:17" ht="14.4" customHeight="1" x14ac:dyDescent="0.3">
      <c r="A85" s="432" t="s">
        <v>702</v>
      </c>
      <c r="B85" s="433" t="s">
        <v>623</v>
      </c>
      <c r="C85" s="433" t="s">
        <v>620</v>
      </c>
      <c r="D85" s="433" t="s">
        <v>644</v>
      </c>
      <c r="E85" s="433" t="s">
        <v>645</v>
      </c>
      <c r="F85" s="436">
        <v>1</v>
      </c>
      <c r="G85" s="436">
        <v>1447</v>
      </c>
      <c r="H85" s="436">
        <v>1</v>
      </c>
      <c r="I85" s="436">
        <v>1447</v>
      </c>
      <c r="J85" s="436"/>
      <c r="K85" s="436"/>
      <c r="L85" s="436"/>
      <c r="M85" s="436"/>
      <c r="N85" s="436"/>
      <c r="O85" s="436"/>
      <c r="P85" s="498"/>
      <c r="Q85" s="437"/>
    </row>
    <row r="86" spans="1:17" ht="14.4" customHeight="1" x14ac:dyDescent="0.3">
      <c r="A86" s="432" t="s">
        <v>702</v>
      </c>
      <c r="B86" s="433" t="s">
        <v>623</v>
      </c>
      <c r="C86" s="433" t="s">
        <v>620</v>
      </c>
      <c r="D86" s="433" t="s">
        <v>648</v>
      </c>
      <c r="E86" s="433" t="s">
        <v>649</v>
      </c>
      <c r="F86" s="436">
        <v>20</v>
      </c>
      <c r="G86" s="436">
        <v>320</v>
      </c>
      <c r="H86" s="436">
        <v>1</v>
      </c>
      <c r="I86" s="436">
        <v>16</v>
      </c>
      <c r="J86" s="436">
        <v>6</v>
      </c>
      <c r="K86" s="436">
        <v>96</v>
      </c>
      <c r="L86" s="436">
        <v>0.3</v>
      </c>
      <c r="M86" s="436">
        <v>16</v>
      </c>
      <c r="N86" s="436">
        <v>3</v>
      </c>
      <c r="O86" s="436">
        <v>51</v>
      </c>
      <c r="P86" s="498">
        <v>0.15937499999999999</v>
      </c>
      <c r="Q86" s="437">
        <v>17</v>
      </c>
    </row>
    <row r="87" spans="1:17" ht="14.4" customHeight="1" x14ac:dyDescent="0.3">
      <c r="A87" s="432" t="s">
        <v>702</v>
      </c>
      <c r="B87" s="433" t="s">
        <v>623</v>
      </c>
      <c r="C87" s="433" t="s">
        <v>620</v>
      </c>
      <c r="D87" s="433" t="s">
        <v>650</v>
      </c>
      <c r="E87" s="433" t="s">
        <v>635</v>
      </c>
      <c r="F87" s="436">
        <v>29</v>
      </c>
      <c r="G87" s="436">
        <v>19964</v>
      </c>
      <c r="H87" s="436">
        <v>1</v>
      </c>
      <c r="I87" s="436">
        <v>688.41379310344826</v>
      </c>
      <c r="J87" s="436">
        <v>12</v>
      </c>
      <c r="K87" s="436">
        <v>8352</v>
      </c>
      <c r="L87" s="436">
        <v>0.4183530354638349</v>
      </c>
      <c r="M87" s="436">
        <v>696</v>
      </c>
      <c r="N87" s="436">
        <v>3</v>
      </c>
      <c r="O87" s="436">
        <v>2124</v>
      </c>
      <c r="P87" s="498">
        <v>0.10639150470847525</v>
      </c>
      <c r="Q87" s="437">
        <v>708</v>
      </c>
    </row>
    <row r="88" spans="1:17" ht="14.4" customHeight="1" x14ac:dyDescent="0.3">
      <c r="A88" s="432" t="s">
        <v>702</v>
      </c>
      <c r="B88" s="433" t="s">
        <v>623</v>
      </c>
      <c r="C88" s="433" t="s">
        <v>620</v>
      </c>
      <c r="D88" s="433" t="s">
        <v>651</v>
      </c>
      <c r="E88" s="433" t="s">
        <v>637</v>
      </c>
      <c r="F88" s="436">
        <v>32</v>
      </c>
      <c r="G88" s="436">
        <v>44088</v>
      </c>
      <c r="H88" s="436">
        <v>1</v>
      </c>
      <c r="I88" s="436">
        <v>1377.75</v>
      </c>
      <c r="J88" s="436">
        <v>21</v>
      </c>
      <c r="K88" s="436">
        <v>29127</v>
      </c>
      <c r="L88" s="436">
        <v>0.66065596080566136</v>
      </c>
      <c r="M88" s="436">
        <v>1387</v>
      </c>
      <c r="N88" s="436">
        <v>5</v>
      </c>
      <c r="O88" s="436">
        <v>7190</v>
      </c>
      <c r="P88" s="498">
        <v>0.16308292505897296</v>
      </c>
      <c r="Q88" s="437">
        <v>1438</v>
      </c>
    </row>
    <row r="89" spans="1:17" ht="14.4" customHeight="1" x14ac:dyDescent="0.3">
      <c r="A89" s="432" t="s">
        <v>702</v>
      </c>
      <c r="B89" s="433" t="s">
        <v>623</v>
      </c>
      <c r="C89" s="433" t="s">
        <v>620</v>
      </c>
      <c r="D89" s="433" t="s">
        <v>652</v>
      </c>
      <c r="E89" s="433" t="s">
        <v>653</v>
      </c>
      <c r="F89" s="436">
        <v>15</v>
      </c>
      <c r="G89" s="436">
        <v>34845</v>
      </c>
      <c r="H89" s="436">
        <v>1</v>
      </c>
      <c r="I89" s="436">
        <v>2323</v>
      </c>
      <c r="J89" s="436">
        <v>10</v>
      </c>
      <c r="K89" s="436">
        <v>23410</v>
      </c>
      <c r="L89" s="436">
        <v>0.67183240063136751</v>
      </c>
      <c r="M89" s="436">
        <v>2341</v>
      </c>
      <c r="N89" s="436">
        <v>3</v>
      </c>
      <c r="O89" s="436">
        <v>7311</v>
      </c>
      <c r="P89" s="498">
        <v>0.20981489453293156</v>
      </c>
      <c r="Q89" s="437">
        <v>2437</v>
      </c>
    </row>
    <row r="90" spans="1:17" ht="14.4" customHeight="1" x14ac:dyDescent="0.3">
      <c r="A90" s="432" t="s">
        <v>702</v>
      </c>
      <c r="B90" s="433" t="s">
        <v>623</v>
      </c>
      <c r="C90" s="433" t="s">
        <v>620</v>
      </c>
      <c r="D90" s="433" t="s">
        <v>654</v>
      </c>
      <c r="E90" s="433" t="s">
        <v>655</v>
      </c>
      <c r="F90" s="436">
        <v>30</v>
      </c>
      <c r="G90" s="436">
        <v>1952</v>
      </c>
      <c r="H90" s="436">
        <v>1</v>
      </c>
      <c r="I90" s="436">
        <v>65.066666666666663</v>
      </c>
      <c r="J90" s="436">
        <v>12</v>
      </c>
      <c r="K90" s="436">
        <v>792</v>
      </c>
      <c r="L90" s="436">
        <v>0.40573770491803279</v>
      </c>
      <c r="M90" s="436">
        <v>66</v>
      </c>
      <c r="N90" s="436">
        <v>3</v>
      </c>
      <c r="O90" s="436">
        <v>207</v>
      </c>
      <c r="P90" s="498">
        <v>0.10604508196721311</v>
      </c>
      <c r="Q90" s="437">
        <v>69</v>
      </c>
    </row>
    <row r="91" spans="1:17" ht="14.4" customHeight="1" x14ac:dyDescent="0.3">
      <c r="A91" s="432" t="s">
        <v>702</v>
      </c>
      <c r="B91" s="433" t="s">
        <v>623</v>
      </c>
      <c r="C91" s="433" t="s">
        <v>620</v>
      </c>
      <c r="D91" s="433" t="s">
        <v>656</v>
      </c>
      <c r="E91" s="433" t="s">
        <v>657</v>
      </c>
      <c r="F91" s="436">
        <v>1</v>
      </c>
      <c r="G91" s="436">
        <v>396</v>
      </c>
      <c r="H91" s="436">
        <v>1</v>
      </c>
      <c r="I91" s="436">
        <v>396</v>
      </c>
      <c r="J91" s="436"/>
      <c r="K91" s="436"/>
      <c r="L91" s="436"/>
      <c r="M91" s="436"/>
      <c r="N91" s="436"/>
      <c r="O91" s="436"/>
      <c r="P91" s="498"/>
      <c r="Q91" s="437"/>
    </row>
    <row r="92" spans="1:17" ht="14.4" customHeight="1" x14ac:dyDescent="0.3">
      <c r="A92" s="432" t="s">
        <v>702</v>
      </c>
      <c r="B92" s="433" t="s">
        <v>623</v>
      </c>
      <c r="C92" s="433" t="s">
        <v>620</v>
      </c>
      <c r="D92" s="433" t="s">
        <v>660</v>
      </c>
      <c r="E92" s="433" t="s">
        <v>661</v>
      </c>
      <c r="F92" s="436">
        <v>37</v>
      </c>
      <c r="G92" s="436">
        <v>20354</v>
      </c>
      <c r="H92" s="436">
        <v>1</v>
      </c>
      <c r="I92" s="436">
        <v>550.10810810810813</v>
      </c>
      <c r="J92" s="436">
        <v>25</v>
      </c>
      <c r="K92" s="436">
        <v>13800</v>
      </c>
      <c r="L92" s="436">
        <v>0.67799941043529532</v>
      </c>
      <c r="M92" s="436">
        <v>552</v>
      </c>
      <c r="N92" s="436">
        <v>12</v>
      </c>
      <c r="O92" s="436">
        <v>6720</v>
      </c>
      <c r="P92" s="498">
        <v>0.33015623464675248</v>
      </c>
      <c r="Q92" s="437">
        <v>560</v>
      </c>
    </row>
    <row r="93" spans="1:17" ht="14.4" customHeight="1" x14ac:dyDescent="0.3">
      <c r="A93" s="432" t="s">
        <v>702</v>
      </c>
      <c r="B93" s="433" t="s">
        <v>623</v>
      </c>
      <c r="C93" s="433" t="s">
        <v>620</v>
      </c>
      <c r="D93" s="433" t="s">
        <v>673</v>
      </c>
      <c r="E93" s="433" t="s">
        <v>674</v>
      </c>
      <c r="F93" s="436">
        <v>6</v>
      </c>
      <c r="G93" s="436">
        <v>9666</v>
      </c>
      <c r="H93" s="436">
        <v>1</v>
      </c>
      <c r="I93" s="436">
        <v>1611</v>
      </c>
      <c r="J93" s="436">
        <v>10</v>
      </c>
      <c r="K93" s="436">
        <v>16150</v>
      </c>
      <c r="L93" s="436">
        <v>1.6708048830953859</v>
      </c>
      <c r="M93" s="436">
        <v>1615</v>
      </c>
      <c r="N93" s="436">
        <v>6</v>
      </c>
      <c r="O93" s="436">
        <v>9894</v>
      </c>
      <c r="P93" s="498">
        <v>1.0235878336436997</v>
      </c>
      <c r="Q93" s="437">
        <v>1649</v>
      </c>
    </row>
    <row r="94" spans="1:17" ht="14.4" customHeight="1" x14ac:dyDescent="0.3">
      <c r="A94" s="432" t="s">
        <v>703</v>
      </c>
      <c r="B94" s="433" t="s">
        <v>623</v>
      </c>
      <c r="C94" s="433" t="s">
        <v>620</v>
      </c>
      <c r="D94" s="433" t="s">
        <v>624</v>
      </c>
      <c r="E94" s="433" t="s">
        <v>625</v>
      </c>
      <c r="F94" s="436">
        <v>2</v>
      </c>
      <c r="G94" s="436">
        <v>252</v>
      </c>
      <c r="H94" s="436">
        <v>1</v>
      </c>
      <c r="I94" s="436">
        <v>126</v>
      </c>
      <c r="J94" s="436">
        <v>2</v>
      </c>
      <c r="K94" s="436">
        <v>256</v>
      </c>
      <c r="L94" s="436">
        <v>1.0158730158730158</v>
      </c>
      <c r="M94" s="436">
        <v>128</v>
      </c>
      <c r="N94" s="436"/>
      <c r="O94" s="436"/>
      <c r="P94" s="498"/>
      <c r="Q94" s="437"/>
    </row>
    <row r="95" spans="1:17" ht="14.4" customHeight="1" x14ac:dyDescent="0.3">
      <c r="A95" s="432" t="s">
        <v>703</v>
      </c>
      <c r="B95" s="433" t="s">
        <v>623</v>
      </c>
      <c r="C95" s="433" t="s">
        <v>620</v>
      </c>
      <c r="D95" s="433" t="s">
        <v>644</v>
      </c>
      <c r="E95" s="433" t="s">
        <v>645</v>
      </c>
      <c r="F95" s="436">
        <v>4</v>
      </c>
      <c r="G95" s="436">
        <v>5788</v>
      </c>
      <c r="H95" s="436">
        <v>1</v>
      </c>
      <c r="I95" s="436">
        <v>1447</v>
      </c>
      <c r="J95" s="436">
        <v>4</v>
      </c>
      <c r="K95" s="436">
        <v>5844</v>
      </c>
      <c r="L95" s="436">
        <v>1.009675190048376</v>
      </c>
      <c r="M95" s="436">
        <v>1461</v>
      </c>
      <c r="N95" s="436">
        <v>1</v>
      </c>
      <c r="O95" s="436">
        <v>1523</v>
      </c>
      <c r="P95" s="498">
        <v>0.26313061506565305</v>
      </c>
      <c r="Q95" s="437">
        <v>1523</v>
      </c>
    </row>
    <row r="96" spans="1:17" ht="14.4" customHeight="1" x14ac:dyDescent="0.3">
      <c r="A96" s="432" t="s">
        <v>703</v>
      </c>
      <c r="B96" s="433" t="s">
        <v>623</v>
      </c>
      <c r="C96" s="433" t="s">
        <v>620</v>
      </c>
      <c r="D96" s="433" t="s">
        <v>650</v>
      </c>
      <c r="E96" s="433" t="s">
        <v>635</v>
      </c>
      <c r="F96" s="436"/>
      <c r="G96" s="436"/>
      <c r="H96" s="436"/>
      <c r="I96" s="436"/>
      <c r="J96" s="436">
        <v>1</v>
      </c>
      <c r="K96" s="436">
        <v>696</v>
      </c>
      <c r="L96" s="436"/>
      <c r="M96" s="436">
        <v>696</v>
      </c>
      <c r="N96" s="436"/>
      <c r="O96" s="436"/>
      <c r="P96" s="498"/>
      <c r="Q96" s="437"/>
    </row>
    <row r="97" spans="1:17" ht="14.4" customHeight="1" x14ac:dyDescent="0.3">
      <c r="A97" s="432" t="s">
        <v>703</v>
      </c>
      <c r="B97" s="433" t="s">
        <v>623</v>
      </c>
      <c r="C97" s="433" t="s">
        <v>620</v>
      </c>
      <c r="D97" s="433" t="s">
        <v>651</v>
      </c>
      <c r="E97" s="433" t="s">
        <v>637</v>
      </c>
      <c r="F97" s="436">
        <v>1</v>
      </c>
      <c r="G97" s="436">
        <v>1375</v>
      </c>
      <c r="H97" s="436">
        <v>1</v>
      </c>
      <c r="I97" s="436">
        <v>1375</v>
      </c>
      <c r="J97" s="436"/>
      <c r="K97" s="436"/>
      <c r="L97" s="436"/>
      <c r="M97" s="436"/>
      <c r="N97" s="436"/>
      <c r="O97" s="436"/>
      <c r="P97" s="498"/>
      <c r="Q97" s="437"/>
    </row>
    <row r="98" spans="1:17" ht="14.4" customHeight="1" x14ac:dyDescent="0.3">
      <c r="A98" s="432" t="s">
        <v>703</v>
      </c>
      <c r="B98" s="433" t="s">
        <v>623</v>
      </c>
      <c r="C98" s="433" t="s">
        <v>620</v>
      </c>
      <c r="D98" s="433" t="s">
        <v>652</v>
      </c>
      <c r="E98" s="433" t="s">
        <v>653</v>
      </c>
      <c r="F98" s="436">
        <v>2</v>
      </c>
      <c r="G98" s="436">
        <v>4638</v>
      </c>
      <c r="H98" s="436">
        <v>1</v>
      </c>
      <c r="I98" s="436">
        <v>2319</v>
      </c>
      <c r="J98" s="436"/>
      <c r="K98" s="436"/>
      <c r="L98" s="436"/>
      <c r="M98" s="436"/>
      <c r="N98" s="436"/>
      <c r="O98" s="436"/>
      <c r="P98" s="498"/>
      <c r="Q98" s="437"/>
    </row>
    <row r="99" spans="1:17" ht="14.4" customHeight="1" x14ac:dyDescent="0.3">
      <c r="A99" s="432" t="s">
        <v>703</v>
      </c>
      <c r="B99" s="433" t="s">
        <v>623</v>
      </c>
      <c r="C99" s="433" t="s">
        <v>620</v>
      </c>
      <c r="D99" s="433" t="s">
        <v>654</v>
      </c>
      <c r="E99" s="433" t="s">
        <v>655</v>
      </c>
      <c r="F99" s="436"/>
      <c r="G99" s="436"/>
      <c r="H99" s="436"/>
      <c r="I99" s="436"/>
      <c r="J99" s="436">
        <v>1</v>
      </c>
      <c r="K99" s="436">
        <v>66</v>
      </c>
      <c r="L99" s="436"/>
      <c r="M99" s="436">
        <v>66</v>
      </c>
      <c r="N99" s="436"/>
      <c r="O99" s="436"/>
      <c r="P99" s="498"/>
      <c r="Q99" s="437"/>
    </row>
    <row r="100" spans="1:17" ht="14.4" customHeight="1" x14ac:dyDescent="0.3">
      <c r="A100" s="432" t="s">
        <v>703</v>
      </c>
      <c r="B100" s="433" t="s">
        <v>623</v>
      </c>
      <c r="C100" s="433" t="s">
        <v>620</v>
      </c>
      <c r="D100" s="433" t="s">
        <v>656</v>
      </c>
      <c r="E100" s="433" t="s">
        <v>657</v>
      </c>
      <c r="F100" s="436">
        <v>4</v>
      </c>
      <c r="G100" s="436">
        <v>1584</v>
      </c>
      <c r="H100" s="436">
        <v>1</v>
      </c>
      <c r="I100" s="436">
        <v>396</v>
      </c>
      <c r="J100" s="436">
        <v>4</v>
      </c>
      <c r="K100" s="436">
        <v>1604</v>
      </c>
      <c r="L100" s="436">
        <v>1.0126262626262625</v>
      </c>
      <c r="M100" s="436">
        <v>401</v>
      </c>
      <c r="N100" s="436">
        <v>1</v>
      </c>
      <c r="O100" s="436">
        <v>407</v>
      </c>
      <c r="P100" s="498">
        <v>0.25694444444444442</v>
      </c>
      <c r="Q100" s="437">
        <v>407</v>
      </c>
    </row>
    <row r="101" spans="1:17" ht="14.4" customHeight="1" x14ac:dyDescent="0.3">
      <c r="A101" s="432" t="s">
        <v>703</v>
      </c>
      <c r="B101" s="433" t="s">
        <v>623</v>
      </c>
      <c r="C101" s="433" t="s">
        <v>620</v>
      </c>
      <c r="D101" s="433" t="s">
        <v>660</v>
      </c>
      <c r="E101" s="433" t="s">
        <v>661</v>
      </c>
      <c r="F101" s="436">
        <v>15</v>
      </c>
      <c r="G101" s="436">
        <v>8250</v>
      </c>
      <c r="H101" s="436">
        <v>1</v>
      </c>
      <c r="I101" s="436">
        <v>550</v>
      </c>
      <c r="J101" s="436">
        <v>17</v>
      </c>
      <c r="K101" s="436">
        <v>9384</v>
      </c>
      <c r="L101" s="436">
        <v>1.1374545454545455</v>
      </c>
      <c r="M101" s="436">
        <v>552</v>
      </c>
      <c r="N101" s="436">
        <v>6</v>
      </c>
      <c r="O101" s="436">
        <v>3360</v>
      </c>
      <c r="P101" s="498">
        <v>0.40727272727272729</v>
      </c>
      <c r="Q101" s="437">
        <v>560</v>
      </c>
    </row>
    <row r="102" spans="1:17" ht="14.4" customHeight="1" x14ac:dyDescent="0.3">
      <c r="A102" s="432" t="s">
        <v>703</v>
      </c>
      <c r="B102" s="433" t="s">
        <v>623</v>
      </c>
      <c r="C102" s="433" t="s">
        <v>620</v>
      </c>
      <c r="D102" s="433" t="s">
        <v>668</v>
      </c>
      <c r="E102" s="433" t="s">
        <v>669</v>
      </c>
      <c r="F102" s="436">
        <v>1</v>
      </c>
      <c r="G102" s="436">
        <v>425</v>
      </c>
      <c r="H102" s="436">
        <v>1</v>
      </c>
      <c r="I102" s="436">
        <v>425</v>
      </c>
      <c r="J102" s="436">
        <v>2</v>
      </c>
      <c r="K102" s="436">
        <v>852</v>
      </c>
      <c r="L102" s="436">
        <v>2.0047058823529413</v>
      </c>
      <c r="M102" s="436">
        <v>426</v>
      </c>
      <c r="N102" s="436">
        <v>7</v>
      </c>
      <c r="O102" s="436">
        <v>3003</v>
      </c>
      <c r="P102" s="498">
        <v>7.0658823529411761</v>
      </c>
      <c r="Q102" s="437">
        <v>429</v>
      </c>
    </row>
    <row r="103" spans="1:17" ht="14.4" customHeight="1" x14ac:dyDescent="0.3">
      <c r="A103" s="432" t="s">
        <v>703</v>
      </c>
      <c r="B103" s="433" t="s">
        <v>623</v>
      </c>
      <c r="C103" s="433" t="s">
        <v>620</v>
      </c>
      <c r="D103" s="433" t="s">
        <v>673</v>
      </c>
      <c r="E103" s="433" t="s">
        <v>674</v>
      </c>
      <c r="F103" s="436"/>
      <c r="G103" s="436"/>
      <c r="H103" s="436"/>
      <c r="I103" s="436"/>
      <c r="J103" s="436">
        <v>1</v>
      </c>
      <c r="K103" s="436">
        <v>1615</v>
      </c>
      <c r="L103" s="436"/>
      <c r="M103" s="436">
        <v>1615</v>
      </c>
      <c r="N103" s="436"/>
      <c r="O103" s="436"/>
      <c r="P103" s="498"/>
      <c r="Q103" s="437"/>
    </row>
    <row r="104" spans="1:17" ht="14.4" customHeight="1" x14ac:dyDescent="0.3">
      <c r="A104" s="432" t="s">
        <v>704</v>
      </c>
      <c r="B104" s="433" t="s">
        <v>623</v>
      </c>
      <c r="C104" s="433" t="s">
        <v>620</v>
      </c>
      <c r="D104" s="433" t="s">
        <v>624</v>
      </c>
      <c r="E104" s="433" t="s">
        <v>625</v>
      </c>
      <c r="F104" s="436">
        <v>1</v>
      </c>
      <c r="G104" s="436">
        <v>127</v>
      </c>
      <c r="H104" s="436">
        <v>1</v>
      </c>
      <c r="I104" s="436">
        <v>127</v>
      </c>
      <c r="J104" s="436">
        <v>4</v>
      </c>
      <c r="K104" s="436">
        <v>512</v>
      </c>
      <c r="L104" s="436">
        <v>4.0314960629921259</v>
      </c>
      <c r="M104" s="436">
        <v>128</v>
      </c>
      <c r="N104" s="436"/>
      <c r="O104" s="436"/>
      <c r="P104" s="498"/>
      <c r="Q104" s="437"/>
    </row>
    <row r="105" spans="1:17" ht="14.4" customHeight="1" x14ac:dyDescent="0.3">
      <c r="A105" s="432" t="s">
        <v>704</v>
      </c>
      <c r="B105" s="433" t="s">
        <v>623</v>
      </c>
      <c r="C105" s="433" t="s">
        <v>620</v>
      </c>
      <c r="D105" s="433" t="s">
        <v>644</v>
      </c>
      <c r="E105" s="433" t="s">
        <v>645</v>
      </c>
      <c r="F105" s="436">
        <v>3</v>
      </c>
      <c r="G105" s="436">
        <v>4361</v>
      </c>
      <c r="H105" s="436">
        <v>1</v>
      </c>
      <c r="I105" s="436">
        <v>1453.6666666666667</v>
      </c>
      <c r="J105" s="436">
        <v>4</v>
      </c>
      <c r="K105" s="436">
        <v>5844</v>
      </c>
      <c r="L105" s="436">
        <v>1.3400596193533594</v>
      </c>
      <c r="M105" s="436">
        <v>1461</v>
      </c>
      <c r="N105" s="436"/>
      <c r="O105" s="436"/>
      <c r="P105" s="498"/>
      <c r="Q105" s="437"/>
    </row>
    <row r="106" spans="1:17" ht="14.4" customHeight="1" x14ac:dyDescent="0.3">
      <c r="A106" s="432" t="s">
        <v>704</v>
      </c>
      <c r="B106" s="433" t="s">
        <v>623</v>
      </c>
      <c r="C106" s="433" t="s">
        <v>620</v>
      </c>
      <c r="D106" s="433" t="s">
        <v>656</v>
      </c>
      <c r="E106" s="433" t="s">
        <v>657</v>
      </c>
      <c r="F106" s="436">
        <v>3</v>
      </c>
      <c r="G106" s="436">
        <v>1194</v>
      </c>
      <c r="H106" s="436">
        <v>1</v>
      </c>
      <c r="I106" s="436">
        <v>398</v>
      </c>
      <c r="J106" s="436">
        <v>4</v>
      </c>
      <c r="K106" s="436">
        <v>1604</v>
      </c>
      <c r="L106" s="436">
        <v>1.3433835845896147</v>
      </c>
      <c r="M106" s="436">
        <v>401</v>
      </c>
      <c r="N106" s="436"/>
      <c r="O106" s="436"/>
      <c r="P106" s="498"/>
      <c r="Q106" s="437"/>
    </row>
    <row r="107" spans="1:17" ht="14.4" customHeight="1" x14ac:dyDescent="0.3">
      <c r="A107" s="432" t="s">
        <v>704</v>
      </c>
      <c r="B107" s="433" t="s">
        <v>623</v>
      </c>
      <c r="C107" s="433" t="s">
        <v>620</v>
      </c>
      <c r="D107" s="433" t="s">
        <v>660</v>
      </c>
      <c r="E107" s="433" t="s">
        <v>661</v>
      </c>
      <c r="F107" s="436">
        <v>5</v>
      </c>
      <c r="G107" s="436">
        <v>2755</v>
      </c>
      <c r="H107" s="436">
        <v>1</v>
      </c>
      <c r="I107" s="436">
        <v>551</v>
      </c>
      <c r="J107" s="436">
        <v>15</v>
      </c>
      <c r="K107" s="436">
        <v>8280</v>
      </c>
      <c r="L107" s="436">
        <v>3.0054446460980038</v>
      </c>
      <c r="M107" s="436">
        <v>552</v>
      </c>
      <c r="N107" s="436">
        <v>1</v>
      </c>
      <c r="O107" s="436">
        <v>560</v>
      </c>
      <c r="P107" s="498">
        <v>0.20326678765880218</v>
      </c>
      <c r="Q107" s="437">
        <v>560</v>
      </c>
    </row>
    <row r="108" spans="1:17" ht="14.4" customHeight="1" x14ac:dyDescent="0.3">
      <c r="A108" s="432" t="s">
        <v>704</v>
      </c>
      <c r="B108" s="433" t="s">
        <v>623</v>
      </c>
      <c r="C108" s="433" t="s">
        <v>620</v>
      </c>
      <c r="D108" s="433" t="s">
        <v>668</v>
      </c>
      <c r="E108" s="433" t="s">
        <v>669</v>
      </c>
      <c r="F108" s="436">
        <v>9</v>
      </c>
      <c r="G108" s="436">
        <v>3831</v>
      </c>
      <c r="H108" s="436">
        <v>1</v>
      </c>
      <c r="I108" s="436">
        <v>425.66666666666669</v>
      </c>
      <c r="J108" s="436">
        <v>13</v>
      </c>
      <c r="K108" s="436">
        <v>5538</v>
      </c>
      <c r="L108" s="436">
        <v>1.4455755677368833</v>
      </c>
      <c r="M108" s="436">
        <v>426</v>
      </c>
      <c r="N108" s="436">
        <v>2</v>
      </c>
      <c r="O108" s="436">
        <v>858</v>
      </c>
      <c r="P108" s="498">
        <v>0.22396241190289742</v>
      </c>
      <c r="Q108" s="437">
        <v>429</v>
      </c>
    </row>
    <row r="109" spans="1:17" ht="14.4" customHeight="1" x14ac:dyDescent="0.3">
      <c r="A109" s="432" t="s">
        <v>704</v>
      </c>
      <c r="B109" s="433" t="s">
        <v>623</v>
      </c>
      <c r="C109" s="433" t="s">
        <v>620</v>
      </c>
      <c r="D109" s="433" t="s">
        <v>673</v>
      </c>
      <c r="E109" s="433" t="s">
        <v>674</v>
      </c>
      <c r="F109" s="436"/>
      <c r="G109" s="436"/>
      <c r="H109" s="436"/>
      <c r="I109" s="436"/>
      <c r="J109" s="436">
        <v>1</v>
      </c>
      <c r="K109" s="436">
        <v>1615</v>
      </c>
      <c r="L109" s="436"/>
      <c r="M109" s="436">
        <v>1615</v>
      </c>
      <c r="N109" s="436">
        <v>1</v>
      </c>
      <c r="O109" s="436">
        <v>1649</v>
      </c>
      <c r="P109" s="498"/>
      <c r="Q109" s="437">
        <v>1649</v>
      </c>
    </row>
    <row r="110" spans="1:17" ht="14.4" customHeight="1" x14ac:dyDescent="0.3">
      <c r="A110" s="432" t="s">
        <v>705</v>
      </c>
      <c r="B110" s="433" t="s">
        <v>623</v>
      </c>
      <c r="C110" s="433" t="s">
        <v>620</v>
      </c>
      <c r="D110" s="433" t="s">
        <v>624</v>
      </c>
      <c r="E110" s="433" t="s">
        <v>625</v>
      </c>
      <c r="F110" s="436">
        <v>10</v>
      </c>
      <c r="G110" s="436">
        <v>1266</v>
      </c>
      <c r="H110" s="436">
        <v>1</v>
      </c>
      <c r="I110" s="436">
        <v>126.6</v>
      </c>
      <c r="J110" s="436">
        <v>6</v>
      </c>
      <c r="K110" s="436">
        <v>768</v>
      </c>
      <c r="L110" s="436">
        <v>0.60663507109004744</v>
      </c>
      <c r="M110" s="436">
        <v>128</v>
      </c>
      <c r="N110" s="436">
        <v>4</v>
      </c>
      <c r="O110" s="436">
        <v>544</v>
      </c>
      <c r="P110" s="498">
        <v>0.42969984202211692</v>
      </c>
      <c r="Q110" s="437">
        <v>136</v>
      </c>
    </row>
    <row r="111" spans="1:17" ht="14.4" customHeight="1" x14ac:dyDescent="0.3">
      <c r="A111" s="432" t="s">
        <v>705</v>
      </c>
      <c r="B111" s="433" t="s">
        <v>623</v>
      </c>
      <c r="C111" s="433" t="s">
        <v>620</v>
      </c>
      <c r="D111" s="433" t="s">
        <v>632</v>
      </c>
      <c r="E111" s="433" t="s">
        <v>633</v>
      </c>
      <c r="F111" s="436">
        <v>19</v>
      </c>
      <c r="G111" s="436">
        <v>70454</v>
      </c>
      <c r="H111" s="436">
        <v>1</v>
      </c>
      <c r="I111" s="436">
        <v>3708.1052631578946</v>
      </c>
      <c r="J111" s="436">
        <v>1</v>
      </c>
      <c r="K111" s="436">
        <v>3721</v>
      </c>
      <c r="L111" s="436">
        <v>5.2814602435631762E-2</v>
      </c>
      <c r="M111" s="436">
        <v>3721</v>
      </c>
      <c r="N111" s="436">
        <v>8</v>
      </c>
      <c r="O111" s="436">
        <v>30584</v>
      </c>
      <c r="P111" s="498">
        <v>0.43409884463621656</v>
      </c>
      <c r="Q111" s="437">
        <v>3823</v>
      </c>
    </row>
    <row r="112" spans="1:17" ht="14.4" customHeight="1" x14ac:dyDescent="0.3">
      <c r="A112" s="432" t="s">
        <v>705</v>
      </c>
      <c r="B112" s="433" t="s">
        <v>623</v>
      </c>
      <c r="C112" s="433" t="s">
        <v>620</v>
      </c>
      <c r="D112" s="433" t="s">
        <v>634</v>
      </c>
      <c r="E112" s="433" t="s">
        <v>635</v>
      </c>
      <c r="F112" s="436">
        <v>3</v>
      </c>
      <c r="G112" s="436">
        <v>1316</v>
      </c>
      <c r="H112" s="436">
        <v>1</v>
      </c>
      <c r="I112" s="436">
        <v>438.66666666666669</v>
      </c>
      <c r="J112" s="436">
        <v>8</v>
      </c>
      <c r="K112" s="436">
        <v>3512</v>
      </c>
      <c r="L112" s="436">
        <v>2.6686930091185412</v>
      </c>
      <c r="M112" s="436">
        <v>439</v>
      </c>
      <c r="N112" s="436">
        <v>14</v>
      </c>
      <c r="O112" s="436">
        <v>6230</v>
      </c>
      <c r="P112" s="498">
        <v>4.7340425531914896</v>
      </c>
      <c r="Q112" s="437">
        <v>445</v>
      </c>
    </row>
    <row r="113" spans="1:17" ht="14.4" customHeight="1" x14ac:dyDescent="0.3">
      <c r="A113" s="432" t="s">
        <v>705</v>
      </c>
      <c r="B113" s="433" t="s">
        <v>623</v>
      </c>
      <c r="C113" s="433" t="s">
        <v>620</v>
      </c>
      <c r="D113" s="433" t="s">
        <v>636</v>
      </c>
      <c r="E113" s="433" t="s">
        <v>637</v>
      </c>
      <c r="F113" s="436"/>
      <c r="G113" s="436"/>
      <c r="H113" s="436"/>
      <c r="I113" s="436"/>
      <c r="J113" s="436">
        <v>4</v>
      </c>
      <c r="K113" s="436">
        <v>3344</v>
      </c>
      <c r="L113" s="436"/>
      <c r="M113" s="436">
        <v>836</v>
      </c>
      <c r="N113" s="436">
        <v>7</v>
      </c>
      <c r="O113" s="436">
        <v>5971</v>
      </c>
      <c r="P113" s="498"/>
      <c r="Q113" s="437">
        <v>853</v>
      </c>
    </row>
    <row r="114" spans="1:17" ht="14.4" customHeight="1" x14ac:dyDescent="0.3">
      <c r="A114" s="432" t="s">
        <v>705</v>
      </c>
      <c r="B114" s="433" t="s">
        <v>623</v>
      </c>
      <c r="C114" s="433" t="s">
        <v>620</v>
      </c>
      <c r="D114" s="433" t="s">
        <v>638</v>
      </c>
      <c r="E114" s="433" t="s">
        <v>639</v>
      </c>
      <c r="F114" s="436">
        <v>6</v>
      </c>
      <c r="G114" s="436">
        <v>9696</v>
      </c>
      <c r="H114" s="436">
        <v>1</v>
      </c>
      <c r="I114" s="436">
        <v>1616</v>
      </c>
      <c r="J114" s="436">
        <v>2</v>
      </c>
      <c r="K114" s="436">
        <v>3242</v>
      </c>
      <c r="L114" s="436">
        <v>0.33436468646864687</v>
      </c>
      <c r="M114" s="436">
        <v>1621</v>
      </c>
      <c r="N114" s="436">
        <v>2</v>
      </c>
      <c r="O114" s="436">
        <v>3310</v>
      </c>
      <c r="P114" s="498">
        <v>0.34137788778877887</v>
      </c>
      <c r="Q114" s="437">
        <v>1655</v>
      </c>
    </row>
    <row r="115" spans="1:17" ht="14.4" customHeight="1" x14ac:dyDescent="0.3">
      <c r="A115" s="432" t="s">
        <v>705</v>
      </c>
      <c r="B115" s="433" t="s">
        <v>623</v>
      </c>
      <c r="C115" s="433" t="s">
        <v>620</v>
      </c>
      <c r="D115" s="433" t="s">
        <v>644</v>
      </c>
      <c r="E115" s="433" t="s">
        <v>645</v>
      </c>
      <c r="F115" s="436">
        <v>2</v>
      </c>
      <c r="G115" s="436">
        <v>2894</v>
      </c>
      <c r="H115" s="436">
        <v>1</v>
      </c>
      <c r="I115" s="436">
        <v>1447</v>
      </c>
      <c r="J115" s="436">
        <v>8</v>
      </c>
      <c r="K115" s="436">
        <v>11688</v>
      </c>
      <c r="L115" s="436">
        <v>4.0387007601935041</v>
      </c>
      <c r="M115" s="436">
        <v>1461</v>
      </c>
      <c r="N115" s="436">
        <v>1</v>
      </c>
      <c r="O115" s="436">
        <v>1523</v>
      </c>
      <c r="P115" s="498">
        <v>0.5262612301313061</v>
      </c>
      <c r="Q115" s="437">
        <v>1523</v>
      </c>
    </row>
    <row r="116" spans="1:17" ht="14.4" customHeight="1" x14ac:dyDescent="0.3">
      <c r="A116" s="432" t="s">
        <v>705</v>
      </c>
      <c r="B116" s="433" t="s">
        <v>623</v>
      </c>
      <c r="C116" s="433" t="s">
        <v>620</v>
      </c>
      <c r="D116" s="433" t="s">
        <v>648</v>
      </c>
      <c r="E116" s="433" t="s">
        <v>649</v>
      </c>
      <c r="F116" s="436">
        <v>6</v>
      </c>
      <c r="G116" s="436">
        <v>96</v>
      </c>
      <c r="H116" s="436">
        <v>1</v>
      </c>
      <c r="I116" s="436">
        <v>16</v>
      </c>
      <c r="J116" s="436">
        <v>15</v>
      </c>
      <c r="K116" s="436">
        <v>240</v>
      </c>
      <c r="L116" s="436">
        <v>2.5</v>
      </c>
      <c r="M116" s="436">
        <v>16</v>
      </c>
      <c r="N116" s="436">
        <v>11</v>
      </c>
      <c r="O116" s="436">
        <v>187</v>
      </c>
      <c r="P116" s="498">
        <v>1.9479166666666667</v>
      </c>
      <c r="Q116" s="437">
        <v>17</v>
      </c>
    </row>
    <row r="117" spans="1:17" ht="14.4" customHeight="1" x14ac:dyDescent="0.3">
      <c r="A117" s="432" t="s">
        <v>705</v>
      </c>
      <c r="B117" s="433" t="s">
        <v>623</v>
      </c>
      <c r="C117" s="433" t="s">
        <v>620</v>
      </c>
      <c r="D117" s="433" t="s">
        <v>650</v>
      </c>
      <c r="E117" s="433" t="s">
        <v>635</v>
      </c>
      <c r="F117" s="436">
        <v>11</v>
      </c>
      <c r="G117" s="436">
        <v>7592</v>
      </c>
      <c r="H117" s="436">
        <v>1</v>
      </c>
      <c r="I117" s="436">
        <v>690.18181818181813</v>
      </c>
      <c r="J117" s="436">
        <v>23</v>
      </c>
      <c r="K117" s="436">
        <v>16008</v>
      </c>
      <c r="L117" s="436">
        <v>2.108535300316122</v>
      </c>
      <c r="M117" s="436">
        <v>696</v>
      </c>
      <c r="N117" s="436">
        <v>12</v>
      </c>
      <c r="O117" s="436">
        <v>8496</v>
      </c>
      <c r="P117" s="498">
        <v>1.1190727081138041</v>
      </c>
      <c r="Q117" s="437">
        <v>708</v>
      </c>
    </row>
    <row r="118" spans="1:17" ht="14.4" customHeight="1" x14ac:dyDescent="0.3">
      <c r="A118" s="432" t="s">
        <v>705</v>
      </c>
      <c r="B118" s="433" t="s">
        <v>623</v>
      </c>
      <c r="C118" s="433" t="s">
        <v>620</v>
      </c>
      <c r="D118" s="433" t="s">
        <v>651</v>
      </c>
      <c r="E118" s="433" t="s">
        <v>637</v>
      </c>
      <c r="F118" s="436">
        <v>33</v>
      </c>
      <c r="G118" s="436">
        <v>45519</v>
      </c>
      <c r="H118" s="436">
        <v>1</v>
      </c>
      <c r="I118" s="436">
        <v>1379.3636363636363</v>
      </c>
      <c r="J118" s="436">
        <v>2</v>
      </c>
      <c r="K118" s="436">
        <v>2774</v>
      </c>
      <c r="L118" s="436">
        <v>6.0941584832707223E-2</v>
      </c>
      <c r="M118" s="436">
        <v>1387</v>
      </c>
      <c r="N118" s="436">
        <v>21</v>
      </c>
      <c r="O118" s="436">
        <v>30198</v>
      </c>
      <c r="P118" s="498">
        <v>0.66341527713701975</v>
      </c>
      <c r="Q118" s="437">
        <v>1438</v>
      </c>
    </row>
    <row r="119" spans="1:17" ht="14.4" customHeight="1" x14ac:dyDescent="0.3">
      <c r="A119" s="432" t="s">
        <v>705</v>
      </c>
      <c r="B119" s="433" t="s">
        <v>623</v>
      </c>
      <c r="C119" s="433" t="s">
        <v>620</v>
      </c>
      <c r="D119" s="433" t="s">
        <v>652</v>
      </c>
      <c r="E119" s="433" t="s">
        <v>653</v>
      </c>
      <c r="F119" s="436">
        <v>23</v>
      </c>
      <c r="G119" s="436">
        <v>53547</v>
      </c>
      <c r="H119" s="436">
        <v>1</v>
      </c>
      <c r="I119" s="436">
        <v>2328.1304347826085</v>
      </c>
      <c r="J119" s="436">
        <v>4</v>
      </c>
      <c r="K119" s="436">
        <v>9364</v>
      </c>
      <c r="L119" s="436">
        <v>0.17487440939735185</v>
      </c>
      <c r="M119" s="436">
        <v>2341</v>
      </c>
      <c r="N119" s="436">
        <v>20</v>
      </c>
      <c r="O119" s="436">
        <v>48740</v>
      </c>
      <c r="P119" s="498">
        <v>0.91022839748258544</v>
      </c>
      <c r="Q119" s="437">
        <v>2437</v>
      </c>
    </row>
    <row r="120" spans="1:17" ht="14.4" customHeight="1" x14ac:dyDescent="0.3">
      <c r="A120" s="432" t="s">
        <v>705</v>
      </c>
      <c r="B120" s="433" t="s">
        <v>623</v>
      </c>
      <c r="C120" s="433" t="s">
        <v>620</v>
      </c>
      <c r="D120" s="433" t="s">
        <v>654</v>
      </c>
      <c r="E120" s="433" t="s">
        <v>655</v>
      </c>
      <c r="F120" s="436">
        <v>14</v>
      </c>
      <c r="G120" s="436">
        <v>916</v>
      </c>
      <c r="H120" s="436">
        <v>1</v>
      </c>
      <c r="I120" s="436">
        <v>65.428571428571431</v>
      </c>
      <c r="J120" s="436">
        <v>28</v>
      </c>
      <c r="K120" s="436">
        <v>1848</v>
      </c>
      <c r="L120" s="436">
        <v>2.017467248908297</v>
      </c>
      <c r="M120" s="436">
        <v>66</v>
      </c>
      <c r="N120" s="436">
        <v>21</v>
      </c>
      <c r="O120" s="436">
        <v>1449</v>
      </c>
      <c r="P120" s="498">
        <v>1.581877729257642</v>
      </c>
      <c r="Q120" s="437">
        <v>69</v>
      </c>
    </row>
    <row r="121" spans="1:17" ht="14.4" customHeight="1" x14ac:dyDescent="0.3">
      <c r="A121" s="432" t="s">
        <v>705</v>
      </c>
      <c r="B121" s="433" t="s">
        <v>623</v>
      </c>
      <c r="C121" s="433" t="s">
        <v>620</v>
      </c>
      <c r="D121" s="433" t="s">
        <v>656</v>
      </c>
      <c r="E121" s="433" t="s">
        <v>657</v>
      </c>
      <c r="F121" s="436">
        <v>2</v>
      </c>
      <c r="G121" s="436">
        <v>792</v>
      </c>
      <c r="H121" s="436">
        <v>1</v>
      </c>
      <c r="I121" s="436">
        <v>396</v>
      </c>
      <c r="J121" s="436">
        <v>8</v>
      </c>
      <c r="K121" s="436">
        <v>3208</v>
      </c>
      <c r="L121" s="436">
        <v>4.0505050505050502</v>
      </c>
      <c r="M121" s="436">
        <v>401</v>
      </c>
      <c r="N121" s="436">
        <v>1</v>
      </c>
      <c r="O121" s="436">
        <v>407</v>
      </c>
      <c r="P121" s="498">
        <v>0.51388888888888884</v>
      </c>
      <c r="Q121" s="437">
        <v>407</v>
      </c>
    </row>
    <row r="122" spans="1:17" ht="14.4" customHeight="1" x14ac:dyDescent="0.3">
      <c r="A122" s="432" t="s">
        <v>705</v>
      </c>
      <c r="B122" s="433" t="s">
        <v>623</v>
      </c>
      <c r="C122" s="433" t="s">
        <v>620</v>
      </c>
      <c r="D122" s="433" t="s">
        <v>658</v>
      </c>
      <c r="E122" s="433" t="s">
        <v>659</v>
      </c>
      <c r="F122" s="436">
        <v>2</v>
      </c>
      <c r="G122" s="436">
        <v>3210</v>
      </c>
      <c r="H122" s="436">
        <v>1</v>
      </c>
      <c r="I122" s="436">
        <v>1605</v>
      </c>
      <c r="J122" s="436">
        <v>1</v>
      </c>
      <c r="K122" s="436">
        <v>1613</v>
      </c>
      <c r="L122" s="436">
        <v>0.50249221183800619</v>
      </c>
      <c r="M122" s="436">
        <v>1613</v>
      </c>
      <c r="N122" s="436">
        <v>5</v>
      </c>
      <c r="O122" s="436">
        <v>8320</v>
      </c>
      <c r="P122" s="498">
        <v>2.5919003115264796</v>
      </c>
      <c r="Q122" s="437">
        <v>1664</v>
      </c>
    </row>
    <row r="123" spans="1:17" ht="14.4" customHeight="1" x14ac:dyDescent="0.3">
      <c r="A123" s="432" t="s">
        <v>705</v>
      </c>
      <c r="B123" s="433" t="s">
        <v>623</v>
      </c>
      <c r="C123" s="433" t="s">
        <v>620</v>
      </c>
      <c r="D123" s="433" t="s">
        <v>660</v>
      </c>
      <c r="E123" s="433" t="s">
        <v>661</v>
      </c>
      <c r="F123" s="436">
        <v>66</v>
      </c>
      <c r="G123" s="436">
        <v>36325</v>
      </c>
      <c r="H123" s="436">
        <v>1</v>
      </c>
      <c r="I123" s="436">
        <v>550.37878787878788</v>
      </c>
      <c r="J123" s="436">
        <v>73</v>
      </c>
      <c r="K123" s="436">
        <v>40296</v>
      </c>
      <c r="L123" s="436">
        <v>1.1093186510667585</v>
      </c>
      <c r="M123" s="436">
        <v>552</v>
      </c>
      <c r="N123" s="436">
        <v>97</v>
      </c>
      <c r="O123" s="436">
        <v>54320</v>
      </c>
      <c r="P123" s="498">
        <v>1.4953888506538198</v>
      </c>
      <c r="Q123" s="437">
        <v>560</v>
      </c>
    </row>
    <row r="124" spans="1:17" ht="14.4" customHeight="1" x14ac:dyDescent="0.3">
      <c r="A124" s="432" t="s">
        <v>705</v>
      </c>
      <c r="B124" s="433" t="s">
        <v>623</v>
      </c>
      <c r="C124" s="433" t="s">
        <v>620</v>
      </c>
      <c r="D124" s="433" t="s">
        <v>668</v>
      </c>
      <c r="E124" s="433" t="s">
        <v>669</v>
      </c>
      <c r="F124" s="436">
        <v>28</v>
      </c>
      <c r="G124" s="436">
        <v>11913</v>
      </c>
      <c r="H124" s="436">
        <v>1</v>
      </c>
      <c r="I124" s="436">
        <v>425.46428571428572</v>
      </c>
      <c r="J124" s="436">
        <v>34</v>
      </c>
      <c r="K124" s="436">
        <v>14484</v>
      </c>
      <c r="L124" s="436">
        <v>1.2158146562578696</v>
      </c>
      <c r="M124" s="436">
        <v>426</v>
      </c>
      <c r="N124" s="436">
        <v>71</v>
      </c>
      <c r="O124" s="436">
        <v>30459</v>
      </c>
      <c r="P124" s="498">
        <v>2.5567867036011078</v>
      </c>
      <c r="Q124" s="437">
        <v>429</v>
      </c>
    </row>
    <row r="125" spans="1:17" ht="14.4" customHeight="1" x14ac:dyDescent="0.3">
      <c r="A125" s="432" t="s">
        <v>705</v>
      </c>
      <c r="B125" s="433" t="s">
        <v>623</v>
      </c>
      <c r="C125" s="433" t="s">
        <v>620</v>
      </c>
      <c r="D125" s="433" t="s">
        <v>673</v>
      </c>
      <c r="E125" s="433" t="s">
        <v>674</v>
      </c>
      <c r="F125" s="436">
        <v>7</v>
      </c>
      <c r="G125" s="436">
        <v>11273</v>
      </c>
      <c r="H125" s="436">
        <v>1</v>
      </c>
      <c r="I125" s="436">
        <v>1610.4285714285713</v>
      </c>
      <c r="J125" s="436">
        <v>3</v>
      </c>
      <c r="K125" s="436">
        <v>4845</v>
      </c>
      <c r="L125" s="436">
        <v>0.4297879890002661</v>
      </c>
      <c r="M125" s="436">
        <v>1615</v>
      </c>
      <c r="N125" s="436">
        <v>21</v>
      </c>
      <c r="O125" s="436">
        <v>34629</v>
      </c>
      <c r="P125" s="498">
        <v>3.0718531003282177</v>
      </c>
      <c r="Q125" s="437">
        <v>1649</v>
      </c>
    </row>
    <row r="126" spans="1:17" ht="14.4" customHeight="1" x14ac:dyDescent="0.3">
      <c r="A126" s="432" t="s">
        <v>706</v>
      </c>
      <c r="B126" s="433" t="s">
        <v>623</v>
      </c>
      <c r="C126" s="433" t="s">
        <v>620</v>
      </c>
      <c r="D126" s="433" t="s">
        <v>628</v>
      </c>
      <c r="E126" s="433" t="s">
        <v>629</v>
      </c>
      <c r="F126" s="436">
        <v>2</v>
      </c>
      <c r="G126" s="436">
        <v>4458</v>
      </c>
      <c r="H126" s="436">
        <v>1</v>
      </c>
      <c r="I126" s="436">
        <v>2229</v>
      </c>
      <c r="J126" s="436"/>
      <c r="K126" s="436"/>
      <c r="L126" s="436"/>
      <c r="M126" s="436"/>
      <c r="N126" s="436"/>
      <c r="O126" s="436"/>
      <c r="P126" s="498"/>
      <c r="Q126" s="437"/>
    </row>
    <row r="127" spans="1:17" ht="14.4" customHeight="1" x14ac:dyDescent="0.3">
      <c r="A127" s="432" t="s">
        <v>706</v>
      </c>
      <c r="B127" s="433" t="s">
        <v>623</v>
      </c>
      <c r="C127" s="433" t="s">
        <v>620</v>
      </c>
      <c r="D127" s="433" t="s">
        <v>632</v>
      </c>
      <c r="E127" s="433" t="s">
        <v>633</v>
      </c>
      <c r="F127" s="436"/>
      <c r="G127" s="436"/>
      <c r="H127" s="436"/>
      <c r="I127" s="436"/>
      <c r="J127" s="436">
        <v>1</v>
      </c>
      <c r="K127" s="436">
        <v>3721</v>
      </c>
      <c r="L127" s="436"/>
      <c r="M127" s="436">
        <v>3721</v>
      </c>
      <c r="N127" s="436"/>
      <c r="O127" s="436"/>
      <c r="P127" s="498"/>
      <c r="Q127" s="437"/>
    </row>
    <row r="128" spans="1:17" ht="14.4" customHeight="1" x14ac:dyDescent="0.3">
      <c r="A128" s="432" t="s">
        <v>706</v>
      </c>
      <c r="B128" s="433" t="s">
        <v>623</v>
      </c>
      <c r="C128" s="433" t="s">
        <v>620</v>
      </c>
      <c r="D128" s="433" t="s">
        <v>648</v>
      </c>
      <c r="E128" s="433" t="s">
        <v>649</v>
      </c>
      <c r="F128" s="436">
        <v>1</v>
      </c>
      <c r="G128" s="436">
        <v>16</v>
      </c>
      <c r="H128" s="436">
        <v>1</v>
      </c>
      <c r="I128" s="436">
        <v>16</v>
      </c>
      <c r="J128" s="436"/>
      <c r="K128" s="436"/>
      <c r="L128" s="436"/>
      <c r="M128" s="436"/>
      <c r="N128" s="436"/>
      <c r="O128" s="436"/>
      <c r="P128" s="498"/>
      <c r="Q128" s="437"/>
    </row>
    <row r="129" spans="1:17" ht="14.4" customHeight="1" x14ac:dyDescent="0.3">
      <c r="A129" s="432" t="s">
        <v>706</v>
      </c>
      <c r="B129" s="433" t="s">
        <v>623</v>
      </c>
      <c r="C129" s="433" t="s">
        <v>620</v>
      </c>
      <c r="D129" s="433" t="s">
        <v>650</v>
      </c>
      <c r="E129" s="433" t="s">
        <v>635</v>
      </c>
      <c r="F129" s="436">
        <v>2</v>
      </c>
      <c r="G129" s="436">
        <v>1388</v>
      </c>
      <c r="H129" s="436">
        <v>1</v>
      </c>
      <c r="I129" s="436">
        <v>694</v>
      </c>
      <c r="J129" s="436"/>
      <c r="K129" s="436"/>
      <c r="L129" s="436"/>
      <c r="M129" s="436"/>
      <c r="N129" s="436"/>
      <c r="O129" s="436"/>
      <c r="P129" s="498"/>
      <c r="Q129" s="437"/>
    </row>
    <row r="130" spans="1:17" ht="14.4" customHeight="1" x14ac:dyDescent="0.3">
      <c r="A130" s="432" t="s">
        <v>706</v>
      </c>
      <c r="B130" s="433" t="s">
        <v>623</v>
      </c>
      <c r="C130" s="433" t="s">
        <v>620</v>
      </c>
      <c r="D130" s="433" t="s">
        <v>651</v>
      </c>
      <c r="E130" s="433" t="s">
        <v>637</v>
      </c>
      <c r="F130" s="436"/>
      <c r="G130" s="436"/>
      <c r="H130" s="436"/>
      <c r="I130" s="436"/>
      <c r="J130" s="436">
        <v>2</v>
      </c>
      <c r="K130" s="436">
        <v>2774</v>
      </c>
      <c r="L130" s="436"/>
      <c r="M130" s="436">
        <v>1387</v>
      </c>
      <c r="N130" s="436"/>
      <c r="O130" s="436"/>
      <c r="P130" s="498"/>
      <c r="Q130" s="437"/>
    </row>
    <row r="131" spans="1:17" ht="14.4" customHeight="1" x14ac:dyDescent="0.3">
      <c r="A131" s="432" t="s">
        <v>706</v>
      </c>
      <c r="B131" s="433" t="s">
        <v>623</v>
      </c>
      <c r="C131" s="433" t="s">
        <v>620</v>
      </c>
      <c r="D131" s="433" t="s">
        <v>652</v>
      </c>
      <c r="E131" s="433" t="s">
        <v>653</v>
      </c>
      <c r="F131" s="436"/>
      <c r="G131" s="436"/>
      <c r="H131" s="436"/>
      <c r="I131" s="436"/>
      <c r="J131" s="436">
        <v>1</v>
      </c>
      <c r="K131" s="436">
        <v>2341</v>
      </c>
      <c r="L131" s="436"/>
      <c r="M131" s="436">
        <v>2341</v>
      </c>
      <c r="N131" s="436"/>
      <c r="O131" s="436"/>
      <c r="P131" s="498"/>
      <c r="Q131" s="437"/>
    </row>
    <row r="132" spans="1:17" ht="14.4" customHeight="1" x14ac:dyDescent="0.3">
      <c r="A132" s="432" t="s">
        <v>706</v>
      </c>
      <c r="B132" s="433" t="s">
        <v>623</v>
      </c>
      <c r="C132" s="433" t="s">
        <v>620</v>
      </c>
      <c r="D132" s="433" t="s">
        <v>654</v>
      </c>
      <c r="E132" s="433" t="s">
        <v>655</v>
      </c>
      <c r="F132" s="436">
        <v>2</v>
      </c>
      <c r="G132" s="436">
        <v>132</v>
      </c>
      <c r="H132" s="436">
        <v>1</v>
      </c>
      <c r="I132" s="436">
        <v>66</v>
      </c>
      <c r="J132" s="436"/>
      <c r="K132" s="436"/>
      <c r="L132" s="436"/>
      <c r="M132" s="436"/>
      <c r="N132" s="436"/>
      <c r="O132" s="436"/>
      <c r="P132" s="498"/>
      <c r="Q132" s="437"/>
    </row>
    <row r="133" spans="1:17" ht="14.4" customHeight="1" x14ac:dyDescent="0.3">
      <c r="A133" s="432" t="s">
        <v>706</v>
      </c>
      <c r="B133" s="433" t="s">
        <v>623</v>
      </c>
      <c r="C133" s="433" t="s">
        <v>620</v>
      </c>
      <c r="D133" s="433" t="s">
        <v>660</v>
      </c>
      <c r="E133" s="433" t="s">
        <v>661</v>
      </c>
      <c r="F133" s="436"/>
      <c r="G133" s="436"/>
      <c r="H133" s="436"/>
      <c r="I133" s="436"/>
      <c r="J133" s="436">
        <v>2</v>
      </c>
      <c r="K133" s="436">
        <v>1104</v>
      </c>
      <c r="L133" s="436"/>
      <c r="M133" s="436">
        <v>552</v>
      </c>
      <c r="N133" s="436"/>
      <c r="O133" s="436"/>
      <c r="P133" s="498"/>
      <c r="Q133" s="437"/>
    </row>
    <row r="134" spans="1:17" ht="14.4" customHeight="1" x14ac:dyDescent="0.3">
      <c r="A134" s="432" t="s">
        <v>706</v>
      </c>
      <c r="B134" s="433" t="s">
        <v>623</v>
      </c>
      <c r="C134" s="433" t="s">
        <v>620</v>
      </c>
      <c r="D134" s="433" t="s">
        <v>673</v>
      </c>
      <c r="E134" s="433" t="s">
        <v>674</v>
      </c>
      <c r="F134" s="436"/>
      <c r="G134" s="436"/>
      <c r="H134" s="436"/>
      <c r="I134" s="436"/>
      <c r="J134" s="436">
        <v>1</v>
      </c>
      <c r="K134" s="436">
        <v>1615</v>
      </c>
      <c r="L134" s="436"/>
      <c r="M134" s="436">
        <v>1615</v>
      </c>
      <c r="N134" s="436"/>
      <c r="O134" s="436"/>
      <c r="P134" s="498"/>
      <c r="Q134" s="437"/>
    </row>
    <row r="135" spans="1:17" ht="14.4" customHeight="1" x14ac:dyDescent="0.3">
      <c r="A135" s="432" t="s">
        <v>707</v>
      </c>
      <c r="B135" s="433" t="s">
        <v>623</v>
      </c>
      <c r="C135" s="433" t="s">
        <v>620</v>
      </c>
      <c r="D135" s="433" t="s">
        <v>624</v>
      </c>
      <c r="E135" s="433" t="s">
        <v>625</v>
      </c>
      <c r="F135" s="436">
        <v>3</v>
      </c>
      <c r="G135" s="436">
        <v>380</v>
      </c>
      <c r="H135" s="436">
        <v>1</v>
      </c>
      <c r="I135" s="436">
        <v>126.66666666666667</v>
      </c>
      <c r="J135" s="436"/>
      <c r="K135" s="436"/>
      <c r="L135" s="436"/>
      <c r="M135" s="436"/>
      <c r="N135" s="436"/>
      <c r="O135" s="436"/>
      <c r="P135" s="498"/>
      <c r="Q135" s="437"/>
    </row>
    <row r="136" spans="1:17" ht="14.4" customHeight="1" x14ac:dyDescent="0.3">
      <c r="A136" s="432" t="s">
        <v>707</v>
      </c>
      <c r="B136" s="433" t="s">
        <v>623</v>
      </c>
      <c r="C136" s="433" t="s">
        <v>620</v>
      </c>
      <c r="D136" s="433" t="s">
        <v>628</v>
      </c>
      <c r="E136" s="433" t="s">
        <v>629</v>
      </c>
      <c r="F136" s="436">
        <v>6</v>
      </c>
      <c r="G136" s="436">
        <v>13310</v>
      </c>
      <c r="H136" s="436">
        <v>1</v>
      </c>
      <c r="I136" s="436">
        <v>2218.3333333333335</v>
      </c>
      <c r="J136" s="436">
        <v>4</v>
      </c>
      <c r="K136" s="436">
        <v>8944</v>
      </c>
      <c r="L136" s="436">
        <v>0.6719759579263711</v>
      </c>
      <c r="M136" s="436">
        <v>2236</v>
      </c>
      <c r="N136" s="436">
        <v>2</v>
      </c>
      <c r="O136" s="436">
        <v>4676</v>
      </c>
      <c r="P136" s="498">
        <v>0.35131480090157774</v>
      </c>
      <c r="Q136" s="437">
        <v>2338</v>
      </c>
    </row>
    <row r="137" spans="1:17" ht="14.4" customHeight="1" x14ac:dyDescent="0.3">
      <c r="A137" s="432" t="s">
        <v>707</v>
      </c>
      <c r="B137" s="433" t="s">
        <v>623</v>
      </c>
      <c r="C137" s="433" t="s">
        <v>620</v>
      </c>
      <c r="D137" s="433" t="s">
        <v>632</v>
      </c>
      <c r="E137" s="433" t="s">
        <v>633</v>
      </c>
      <c r="F137" s="436">
        <v>6</v>
      </c>
      <c r="G137" s="436">
        <v>22220</v>
      </c>
      <c r="H137" s="436">
        <v>1</v>
      </c>
      <c r="I137" s="436">
        <v>3703.3333333333335</v>
      </c>
      <c r="J137" s="436">
        <v>5</v>
      </c>
      <c r="K137" s="436">
        <v>18605</v>
      </c>
      <c r="L137" s="436">
        <v>0.83730873087308733</v>
      </c>
      <c r="M137" s="436">
        <v>3721</v>
      </c>
      <c r="N137" s="436">
        <v>2</v>
      </c>
      <c r="O137" s="436">
        <v>7646</v>
      </c>
      <c r="P137" s="498">
        <v>0.34410441044104412</v>
      </c>
      <c r="Q137" s="437">
        <v>3823</v>
      </c>
    </row>
    <row r="138" spans="1:17" ht="14.4" customHeight="1" x14ac:dyDescent="0.3">
      <c r="A138" s="432" t="s">
        <v>707</v>
      </c>
      <c r="B138" s="433" t="s">
        <v>623</v>
      </c>
      <c r="C138" s="433" t="s">
        <v>620</v>
      </c>
      <c r="D138" s="433" t="s">
        <v>638</v>
      </c>
      <c r="E138" s="433" t="s">
        <v>639</v>
      </c>
      <c r="F138" s="436">
        <v>2</v>
      </c>
      <c r="G138" s="436">
        <v>3226</v>
      </c>
      <c r="H138" s="436">
        <v>1</v>
      </c>
      <c r="I138" s="436">
        <v>1613</v>
      </c>
      <c r="J138" s="436"/>
      <c r="K138" s="436"/>
      <c r="L138" s="436"/>
      <c r="M138" s="436"/>
      <c r="N138" s="436"/>
      <c r="O138" s="436"/>
      <c r="P138" s="498"/>
      <c r="Q138" s="437"/>
    </row>
    <row r="139" spans="1:17" ht="14.4" customHeight="1" x14ac:dyDescent="0.3">
      <c r="A139" s="432" t="s">
        <v>707</v>
      </c>
      <c r="B139" s="433" t="s">
        <v>623</v>
      </c>
      <c r="C139" s="433" t="s">
        <v>620</v>
      </c>
      <c r="D139" s="433" t="s">
        <v>642</v>
      </c>
      <c r="E139" s="433" t="s">
        <v>643</v>
      </c>
      <c r="F139" s="436">
        <v>3</v>
      </c>
      <c r="G139" s="436">
        <v>2463</v>
      </c>
      <c r="H139" s="436">
        <v>1</v>
      </c>
      <c r="I139" s="436">
        <v>821</v>
      </c>
      <c r="J139" s="436"/>
      <c r="K139" s="436"/>
      <c r="L139" s="436"/>
      <c r="M139" s="436"/>
      <c r="N139" s="436"/>
      <c r="O139" s="436"/>
      <c r="P139" s="498"/>
      <c r="Q139" s="437"/>
    </row>
    <row r="140" spans="1:17" ht="14.4" customHeight="1" x14ac:dyDescent="0.3">
      <c r="A140" s="432" t="s">
        <v>707</v>
      </c>
      <c r="B140" s="433" t="s">
        <v>623</v>
      </c>
      <c r="C140" s="433" t="s">
        <v>620</v>
      </c>
      <c r="D140" s="433" t="s">
        <v>644</v>
      </c>
      <c r="E140" s="433" t="s">
        <v>645</v>
      </c>
      <c r="F140" s="436">
        <v>2</v>
      </c>
      <c r="G140" s="436">
        <v>2894</v>
      </c>
      <c r="H140" s="436">
        <v>1</v>
      </c>
      <c r="I140" s="436">
        <v>1447</v>
      </c>
      <c r="J140" s="436">
        <v>1</v>
      </c>
      <c r="K140" s="436">
        <v>1461</v>
      </c>
      <c r="L140" s="436">
        <v>0.50483759502418801</v>
      </c>
      <c r="M140" s="436">
        <v>1461</v>
      </c>
      <c r="N140" s="436"/>
      <c r="O140" s="436"/>
      <c r="P140" s="498"/>
      <c r="Q140" s="437"/>
    </row>
    <row r="141" spans="1:17" ht="14.4" customHeight="1" x14ac:dyDescent="0.3">
      <c r="A141" s="432" t="s">
        <v>707</v>
      </c>
      <c r="B141" s="433" t="s">
        <v>623</v>
      </c>
      <c r="C141" s="433" t="s">
        <v>620</v>
      </c>
      <c r="D141" s="433" t="s">
        <v>648</v>
      </c>
      <c r="E141" s="433" t="s">
        <v>649</v>
      </c>
      <c r="F141" s="436">
        <v>7</v>
      </c>
      <c r="G141" s="436">
        <v>112</v>
      </c>
      <c r="H141" s="436">
        <v>1</v>
      </c>
      <c r="I141" s="436">
        <v>16</v>
      </c>
      <c r="J141" s="436">
        <v>8</v>
      </c>
      <c r="K141" s="436">
        <v>128</v>
      </c>
      <c r="L141" s="436">
        <v>1.1428571428571428</v>
      </c>
      <c r="M141" s="436">
        <v>16</v>
      </c>
      <c r="N141" s="436">
        <v>3</v>
      </c>
      <c r="O141" s="436">
        <v>51</v>
      </c>
      <c r="P141" s="498">
        <v>0.45535714285714285</v>
      </c>
      <c r="Q141" s="437">
        <v>17</v>
      </c>
    </row>
    <row r="142" spans="1:17" ht="14.4" customHeight="1" x14ac:dyDescent="0.3">
      <c r="A142" s="432" t="s">
        <v>707</v>
      </c>
      <c r="B142" s="433" t="s">
        <v>623</v>
      </c>
      <c r="C142" s="433" t="s">
        <v>620</v>
      </c>
      <c r="D142" s="433" t="s">
        <v>650</v>
      </c>
      <c r="E142" s="433" t="s">
        <v>635</v>
      </c>
      <c r="F142" s="436">
        <v>12</v>
      </c>
      <c r="G142" s="436">
        <v>8280</v>
      </c>
      <c r="H142" s="436">
        <v>1</v>
      </c>
      <c r="I142" s="436">
        <v>690</v>
      </c>
      <c r="J142" s="436">
        <v>14</v>
      </c>
      <c r="K142" s="436">
        <v>9744</v>
      </c>
      <c r="L142" s="436">
        <v>1.1768115942028985</v>
      </c>
      <c r="M142" s="436">
        <v>696</v>
      </c>
      <c r="N142" s="436">
        <v>6</v>
      </c>
      <c r="O142" s="436">
        <v>4248</v>
      </c>
      <c r="P142" s="498">
        <v>0.5130434782608696</v>
      </c>
      <c r="Q142" s="437">
        <v>708</v>
      </c>
    </row>
    <row r="143" spans="1:17" ht="14.4" customHeight="1" x14ac:dyDescent="0.3">
      <c r="A143" s="432" t="s">
        <v>707</v>
      </c>
      <c r="B143" s="433" t="s">
        <v>623</v>
      </c>
      <c r="C143" s="433" t="s">
        <v>620</v>
      </c>
      <c r="D143" s="433" t="s">
        <v>651</v>
      </c>
      <c r="E143" s="433" t="s">
        <v>637</v>
      </c>
      <c r="F143" s="436">
        <v>11</v>
      </c>
      <c r="G143" s="436">
        <v>15157</v>
      </c>
      <c r="H143" s="436">
        <v>1</v>
      </c>
      <c r="I143" s="436">
        <v>1377.909090909091</v>
      </c>
      <c r="J143" s="436">
        <v>11</v>
      </c>
      <c r="K143" s="436">
        <v>15257</v>
      </c>
      <c r="L143" s="436">
        <v>1.0065976116645774</v>
      </c>
      <c r="M143" s="436">
        <v>1387</v>
      </c>
      <c r="N143" s="436">
        <v>6</v>
      </c>
      <c r="O143" s="436">
        <v>8628</v>
      </c>
      <c r="P143" s="498">
        <v>0.56924193441974003</v>
      </c>
      <c r="Q143" s="437">
        <v>1438</v>
      </c>
    </row>
    <row r="144" spans="1:17" ht="14.4" customHeight="1" x14ac:dyDescent="0.3">
      <c r="A144" s="432" t="s">
        <v>707</v>
      </c>
      <c r="B144" s="433" t="s">
        <v>623</v>
      </c>
      <c r="C144" s="433" t="s">
        <v>620</v>
      </c>
      <c r="D144" s="433" t="s">
        <v>652</v>
      </c>
      <c r="E144" s="433" t="s">
        <v>653</v>
      </c>
      <c r="F144" s="436">
        <v>8</v>
      </c>
      <c r="G144" s="436">
        <v>18582</v>
      </c>
      <c r="H144" s="436">
        <v>1</v>
      </c>
      <c r="I144" s="436">
        <v>2322.75</v>
      </c>
      <c r="J144" s="436">
        <v>6</v>
      </c>
      <c r="K144" s="436">
        <v>14046</v>
      </c>
      <c r="L144" s="436">
        <v>0.75589279948337096</v>
      </c>
      <c r="M144" s="436">
        <v>2341</v>
      </c>
      <c r="N144" s="436">
        <v>2</v>
      </c>
      <c r="O144" s="436">
        <v>4874</v>
      </c>
      <c r="P144" s="498">
        <v>0.26229684641050477</v>
      </c>
      <c r="Q144" s="437">
        <v>2437</v>
      </c>
    </row>
    <row r="145" spans="1:17" ht="14.4" customHeight="1" x14ac:dyDescent="0.3">
      <c r="A145" s="432" t="s">
        <v>707</v>
      </c>
      <c r="B145" s="433" t="s">
        <v>623</v>
      </c>
      <c r="C145" s="433" t="s">
        <v>620</v>
      </c>
      <c r="D145" s="433" t="s">
        <v>654</v>
      </c>
      <c r="E145" s="433" t="s">
        <v>655</v>
      </c>
      <c r="F145" s="436">
        <v>12</v>
      </c>
      <c r="G145" s="436">
        <v>784</v>
      </c>
      <c r="H145" s="436">
        <v>1</v>
      </c>
      <c r="I145" s="436">
        <v>65.333333333333329</v>
      </c>
      <c r="J145" s="436">
        <v>14</v>
      </c>
      <c r="K145" s="436">
        <v>924</v>
      </c>
      <c r="L145" s="436">
        <v>1.1785714285714286</v>
      </c>
      <c r="M145" s="436">
        <v>66</v>
      </c>
      <c r="N145" s="436">
        <v>6</v>
      </c>
      <c r="O145" s="436">
        <v>414</v>
      </c>
      <c r="P145" s="498">
        <v>0.52806122448979587</v>
      </c>
      <c r="Q145" s="437">
        <v>69</v>
      </c>
    </row>
    <row r="146" spans="1:17" ht="14.4" customHeight="1" x14ac:dyDescent="0.3">
      <c r="A146" s="432" t="s">
        <v>707</v>
      </c>
      <c r="B146" s="433" t="s">
        <v>623</v>
      </c>
      <c r="C146" s="433" t="s">
        <v>620</v>
      </c>
      <c r="D146" s="433" t="s">
        <v>656</v>
      </c>
      <c r="E146" s="433" t="s">
        <v>657</v>
      </c>
      <c r="F146" s="436">
        <v>2</v>
      </c>
      <c r="G146" s="436">
        <v>792</v>
      </c>
      <c r="H146" s="436">
        <v>1</v>
      </c>
      <c r="I146" s="436">
        <v>396</v>
      </c>
      <c r="J146" s="436">
        <v>1</v>
      </c>
      <c r="K146" s="436">
        <v>401</v>
      </c>
      <c r="L146" s="436">
        <v>0.50631313131313127</v>
      </c>
      <c r="M146" s="436">
        <v>401</v>
      </c>
      <c r="N146" s="436"/>
      <c r="O146" s="436"/>
      <c r="P146" s="498"/>
      <c r="Q146" s="437"/>
    </row>
    <row r="147" spans="1:17" ht="14.4" customHeight="1" x14ac:dyDescent="0.3">
      <c r="A147" s="432" t="s">
        <v>707</v>
      </c>
      <c r="B147" s="433" t="s">
        <v>623</v>
      </c>
      <c r="C147" s="433" t="s">
        <v>620</v>
      </c>
      <c r="D147" s="433" t="s">
        <v>660</v>
      </c>
      <c r="E147" s="433" t="s">
        <v>661</v>
      </c>
      <c r="F147" s="436">
        <v>33</v>
      </c>
      <c r="G147" s="436">
        <v>18159</v>
      </c>
      <c r="H147" s="436">
        <v>1</v>
      </c>
      <c r="I147" s="436">
        <v>550.27272727272725</v>
      </c>
      <c r="J147" s="436">
        <v>33</v>
      </c>
      <c r="K147" s="436">
        <v>18216</v>
      </c>
      <c r="L147" s="436">
        <v>1.0031389393689081</v>
      </c>
      <c r="M147" s="436">
        <v>552</v>
      </c>
      <c r="N147" s="436">
        <v>9</v>
      </c>
      <c r="O147" s="436">
        <v>5040</v>
      </c>
      <c r="P147" s="498">
        <v>0.27754832314554767</v>
      </c>
      <c r="Q147" s="437">
        <v>560</v>
      </c>
    </row>
    <row r="148" spans="1:17" ht="14.4" customHeight="1" x14ac:dyDescent="0.3">
      <c r="A148" s="432" t="s">
        <v>707</v>
      </c>
      <c r="B148" s="433" t="s">
        <v>623</v>
      </c>
      <c r="C148" s="433" t="s">
        <v>620</v>
      </c>
      <c r="D148" s="433" t="s">
        <v>673</v>
      </c>
      <c r="E148" s="433" t="s">
        <v>674</v>
      </c>
      <c r="F148" s="436">
        <v>1</v>
      </c>
      <c r="G148" s="436">
        <v>1607</v>
      </c>
      <c r="H148" s="436">
        <v>1</v>
      </c>
      <c r="I148" s="436">
        <v>1607</v>
      </c>
      <c r="J148" s="436">
        <v>3</v>
      </c>
      <c r="K148" s="436">
        <v>4845</v>
      </c>
      <c r="L148" s="436">
        <v>3.0149346608587431</v>
      </c>
      <c r="M148" s="436">
        <v>1615</v>
      </c>
      <c r="N148" s="436">
        <v>2</v>
      </c>
      <c r="O148" s="436">
        <v>3298</v>
      </c>
      <c r="P148" s="498">
        <v>2.0522713130056003</v>
      </c>
      <c r="Q148" s="437">
        <v>1649</v>
      </c>
    </row>
    <row r="149" spans="1:17" ht="14.4" customHeight="1" x14ac:dyDescent="0.3">
      <c r="A149" s="432" t="s">
        <v>708</v>
      </c>
      <c r="B149" s="433" t="s">
        <v>623</v>
      </c>
      <c r="C149" s="433" t="s">
        <v>620</v>
      </c>
      <c r="D149" s="433" t="s">
        <v>624</v>
      </c>
      <c r="E149" s="433" t="s">
        <v>625</v>
      </c>
      <c r="F149" s="436">
        <v>4</v>
      </c>
      <c r="G149" s="436">
        <v>505</v>
      </c>
      <c r="H149" s="436">
        <v>1</v>
      </c>
      <c r="I149" s="436">
        <v>126.25</v>
      </c>
      <c r="J149" s="436">
        <v>3</v>
      </c>
      <c r="K149" s="436">
        <v>384</v>
      </c>
      <c r="L149" s="436">
        <v>0.76039603960396041</v>
      </c>
      <c r="M149" s="436">
        <v>128</v>
      </c>
      <c r="N149" s="436">
        <v>3</v>
      </c>
      <c r="O149" s="436">
        <v>408</v>
      </c>
      <c r="P149" s="498">
        <v>0.80792079207920797</v>
      </c>
      <c r="Q149" s="437">
        <v>136</v>
      </c>
    </row>
    <row r="150" spans="1:17" ht="14.4" customHeight="1" x14ac:dyDescent="0.3">
      <c r="A150" s="432" t="s">
        <v>708</v>
      </c>
      <c r="B150" s="433" t="s">
        <v>623</v>
      </c>
      <c r="C150" s="433" t="s">
        <v>620</v>
      </c>
      <c r="D150" s="433" t="s">
        <v>626</v>
      </c>
      <c r="E150" s="433" t="s">
        <v>627</v>
      </c>
      <c r="F150" s="436"/>
      <c r="G150" s="436"/>
      <c r="H150" s="436"/>
      <c r="I150" s="436"/>
      <c r="J150" s="436"/>
      <c r="K150" s="436"/>
      <c r="L150" s="436"/>
      <c r="M150" s="436"/>
      <c r="N150" s="436">
        <v>1</v>
      </c>
      <c r="O150" s="436">
        <v>1262</v>
      </c>
      <c r="P150" s="498"/>
      <c r="Q150" s="437">
        <v>1262</v>
      </c>
    </row>
    <row r="151" spans="1:17" ht="14.4" customHeight="1" x14ac:dyDescent="0.3">
      <c r="A151" s="432" t="s">
        <v>708</v>
      </c>
      <c r="B151" s="433" t="s">
        <v>623</v>
      </c>
      <c r="C151" s="433" t="s">
        <v>620</v>
      </c>
      <c r="D151" s="433" t="s">
        <v>630</v>
      </c>
      <c r="E151" s="433" t="s">
        <v>631</v>
      </c>
      <c r="F151" s="436"/>
      <c r="G151" s="436"/>
      <c r="H151" s="436"/>
      <c r="I151" s="436"/>
      <c r="J151" s="436"/>
      <c r="K151" s="436"/>
      <c r="L151" s="436"/>
      <c r="M151" s="436"/>
      <c r="N151" s="436">
        <v>2</v>
      </c>
      <c r="O151" s="436">
        <v>2154</v>
      </c>
      <c r="P151" s="498"/>
      <c r="Q151" s="437">
        <v>1077</v>
      </c>
    </row>
    <row r="152" spans="1:17" ht="14.4" customHeight="1" x14ac:dyDescent="0.3">
      <c r="A152" s="432" t="s">
        <v>708</v>
      </c>
      <c r="B152" s="433" t="s">
        <v>623</v>
      </c>
      <c r="C152" s="433" t="s">
        <v>620</v>
      </c>
      <c r="D152" s="433" t="s">
        <v>632</v>
      </c>
      <c r="E152" s="433" t="s">
        <v>633</v>
      </c>
      <c r="F152" s="436">
        <v>10</v>
      </c>
      <c r="G152" s="436">
        <v>37012</v>
      </c>
      <c r="H152" s="436">
        <v>1</v>
      </c>
      <c r="I152" s="436">
        <v>3701.2</v>
      </c>
      <c r="J152" s="436">
        <v>2</v>
      </c>
      <c r="K152" s="436">
        <v>7442</v>
      </c>
      <c r="L152" s="436">
        <v>0.20106992326812925</v>
      </c>
      <c r="M152" s="436">
        <v>3721</v>
      </c>
      <c r="N152" s="436">
        <v>3</v>
      </c>
      <c r="O152" s="436">
        <v>11469</v>
      </c>
      <c r="P152" s="498">
        <v>0.30987247379228361</v>
      </c>
      <c r="Q152" s="437">
        <v>3823</v>
      </c>
    </row>
    <row r="153" spans="1:17" ht="14.4" customHeight="1" x14ac:dyDescent="0.3">
      <c r="A153" s="432" t="s">
        <v>708</v>
      </c>
      <c r="B153" s="433" t="s">
        <v>623</v>
      </c>
      <c r="C153" s="433" t="s">
        <v>620</v>
      </c>
      <c r="D153" s="433" t="s">
        <v>634</v>
      </c>
      <c r="E153" s="433" t="s">
        <v>635</v>
      </c>
      <c r="F153" s="436">
        <v>12</v>
      </c>
      <c r="G153" s="436">
        <v>5258</v>
      </c>
      <c r="H153" s="436">
        <v>1</v>
      </c>
      <c r="I153" s="436">
        <v>438.16666666666669</v>
      </c>
      <c r="J153" s="436">
        <v>2</v>
      </c>
      <c r="K153" s="436">
        <v>878</v>
      </c>
      <c r="L153" s="436">
        <v>0.16698364397109167</v>
      </c>
      <c r="M153" s="436">
        <v>439</v>
      </c>
      <c r="N153" s="436">
        <v>4</v>
      </c>
      <c r="O153" s="436">
        <v>1780</v>
      </c>
      <c r="P153" s="498">
        <v>0.33853176112590339</v>
      </c>
      <c r="Q153" s="437">
        <v>445</v>
      </c>
    </row>
    <row r="154" spans="1:17" ht="14.4" customHeight="1" x14ac:dyDescent="0.3">
      <c r="A154" s="432" t="s">
        <v>708</v>
      </c>
      <c r="B154" s="433" t="s">
        <v>623</v>
      </c>
      <c r="C154" s="433" t="s">
        <v>620</v>
      </c>
      <c r="D154" s="433" t="s">
        <v>636</v>
      </c>
      <c r="E154" s="433" t="s">
        <v>637</v>
      </c>
      <c r="F154" s="436">
        <v>4</v>
      </c>
      <c r="G154" s="436">
        <v>3328</v>
      </c>
      <c r="H154" s="436">
        <v>1</v>
      </c>
      <c r="I154" s="436">
        <v>832</v>
      </c>
      <c r="J154" s="436">
        <v>3</v>
      </c>
      <c r="K154" s="436">
        <v>2508</v>
      </c>
      <c r="L154" s="436">
        <v>0.75360576923076927</v>
      </c>
      <c r="M154" s="436">
        <v>836</v>
      </c>
      <c r="N154" s="436">
        <v>4</v>
      </c>
      <c r="O154" s="436">
        <v>3412</v>
      </c>
      <c r="P154" s="498">
        <v>1.0252403846153846</v>
      </c>
      <c r="Q154" s="437">
        <v>853</v>
      </c>
    </row>
    <row r="155" spans="1:17" ht="14.4" customHeight="1" x14ac:dyDescent="0.3">
      <c r="A155" s="432" t="s">
        <v>708</v>
      </c>
      <c r="B155" s="433" t="s">
        <v>623</v>
      </c>
      <c r="C155" s="433" t="s">
        <v>620</v>
      </c>
      <c r="D155" s="433" t="s">
        <v>644</v>
      </c>
      <c r="E155" s="433" t="s">
        <v>645</v>
      </c>
      <c r="F155" s="436">
        <v>20</v>
      </c>
      <c r="G155" s="436">
        <v>28990</v>
      </c>
      <c r="H155" s="436">
        <v>1</v>
      </c>
      <c r="I155" s="436">
        <v>1449.5</v>
      </c>
      <c r="J155" s="436">
        <v>9</v>
      </c>
      <c r="K155" s="436">
        <v>13149</v>
      </c>
      <c r="L155" s="436">
        <v>0.45357019661952397</v>
      </c>
      <c r="M155" s="436">
        <v>1461</v>
      </c>
      <c r="N155" s="436">
        <v>3</v>
      </c>
      <c r="O155" s="436">
        <v>4569</v>
      </c>
      <c r="P155" s="498">
        <v>0.15760607105898586</v>
      </c>
      <c r="Q155" s="437">
        <v>1523</v>
      </c>
    </row>
    <row r="156" spans="1:17" ht="14.4" customHeight="1" x14ac:dyDescent="0.3">
      <c r="A156" s="432" t="s">
        <v>708</v>
      </c>
      <c r="B156" s="433" t="s">
        <v>623</v>
      </c>
      <c r="C156" s="433" t="s">
        <v>620</v>
      </c>
      <c r="D156" s="433" t="s">
        <v>648</v>
      </c>
      <c r="E156" s="433" t="s">
        <v>649</v>
      </c>
      <c r="F156" s="436">
        <v>4</v>
      </c>
      <c r="G156" s="436">
        <v>64</v>
      </c>
      <c r="H156" s="436">
        <v>1</v>
      </c>
      <c r="I156" s="436">
        <v>16</v>
      </c>
      <c r="J156" s="436">
        <v>4</v>
      </c>
      <c r="K156" s="436">
        <v>64</v>
      </c>
      <c r="L156" s="436">
        <v>1</v>
      </c>
      <c r="M156" s="436">
        <v>16</v>
      </c>
      <c r="N156" s="436">
        <v>3</v>
      </c>
      <c r="O156" s="436">
        <v>51</v>
      </c>
      <c r="P156" s="498">
        <v>0.796875</v>
      </c>
      <c r="Q156" s="437">
        <v>17</v>
      </c>
    </row>
    <row r="157" spans="1:17" ht="14.4" customHeight="1" x14ac:dyDescent="0.3">
      <c r="A157" s="432" t="s">
        <v>708</v>
      </c>
      <c r="B157" s="433" t="s">
        <v>623</v>
      </c>
      <c r="C157" s="433" t="s">
        <v>620</v>
      </c>
      <c r="D157" s="433" t="s">
        <v>650</v>
      </c>
      <c r="E157" s="433" t="s">
        <v>635</v>
      </c>
      <c r="F157" s="436">
        <v>9</v>
      </c>
      <c r="G157" s="436">
        <v>6204</v>
      </c>
      <c r="H157" s="436">
        <v>1</v>
      </c>
      <c r="I157" s="436">
        <v>689.33333333333337</v>
      </c>
      <c r="J157" s="436">
        <v>10</v>
      </c>
      <c r="K157" s="436">
        <v>6960</v>
      </c>
      <c r="L157" s="436">
        <v>1.1218568665377175</v>
      </c>
      <c r="M157" s="436">
        <v>696</v>
      </c>
      <c r="N157" s="436">
        <v>6</v>
      </c>
      <c r="O157" s="436">
        <v>4248</v>
      </c>
      <c r="P157" s="498">
        <v>0.68471953578336553</v>
      </c>
      <c r="Q157" s="437">
        <v>708</v>
      </c>
    </row>
    <row r="158" spans="1:17" ht="14.4" customHeight="1" x14ac:dyDescent="0.3">
      <c r="A158" s="432" t="s">
        <v>708</v>
      </c>
      <c r="B158" s="433" t="s">
        <v>623</v>
      </c>
      <c r="C158" s="433" t="s">
        <v>620</v>
      </c>
      <c r="D158" s="433" t="s">
        <v>651</v>
      </c>
      <c r="E158" s="433" t="s">
        <v>637</v>
      </c>
      <c r="F158" s="436">
        <v>9</v>
      </c>
      <c r="G158" s="436">
        <v>12383</v>
      </c>
      <c r="H158" s="436">
        <v>1</v>
      </c>
      <c r="I158" s="436">
        <v>1375.8888888888889</v>
      </c>
      <c r="J158" s="436">
        <v>11</v>
      </c>
      <c r="K158" s="436">
        <v>15257</v>
      </c>
      <c r="L158" s="436">
        <v>1.2320923847209884</v>
      </c>
      <c r="M158" s="436">
        <v>1387</v>
      </c>
      <c r="N158" s="436">
        <v>6</v>
      </c>
      <c r="O158" s="436">
        <v>8628</v>
      </c>
      <c r="P158" s="498">
        <v>0.69676168941290484</v>
      </c>
      <c r="Q158" s="437">
        <v>1438</v>
      </c>
    </row>
    <row r="159" spans="1:17" ht="14.4" customHeight="1" x14ac:dyDescent="0.3">
      <c r="A159" s="432" t="s">
        <v>708</v>
      </c>
      <c r="B159" s="433" t="s">
        <v>623</v>
      </c>
      <c r="C159" s="433" t="s">
        <v>620</v>
      </c>
      <c r="D159" s="433" t="s">
        <v>652</v>
      </c>
      <c r="E159" s="433" t="s">
        <v>653</v>
      </c>
      <c r="F159" s="436">
        <v>7</v>
      </c>
      <c r="G159" s="436">
        <v>16263</v>
      </c>
      <c r="H159" s="436">
        <v>1</v>
      </c>
      <c r="I159" s="436">
        <v>2323.2857142857142</v>
      </c>
      <c r="J159" s="436">
        <v>3</v>
      </c>
      <c r="K159" s="436">
        <v>7023</v>
      </c>
      <c r="L159" s="436">
        <v>0.43183914406935991</v>
      </c>
      <c r="M159" s="436">
        <v>2341</v>
      </c>
      <c r="N159" s="436">
        <v>5</v>
      </c>
      <c r="O159" s="436">
        <v>12185</v>
      </c>
      <c r="P159" s="498">
        <v>0.74924675644100103</v>
      </c>
      <c r="Q159" s="437">
        <v>2437</v>
      </c>
    </row>
    <row r="160" spans="1:17" ht="14.4" customHeight="1" x14ac:dyDescent="0.3">
      <c r="A160" s="432" t="s">
        <v>708</v>
      </c>
      <c r="B160" s="433" t="s">
        <v>623</v>
      </c>
      <c r="C160" s="433" t="s">
        <v>620</v>
      </c>
      <c r="D160" s="433" t="s">
        <v>654</v>
      </c>
      <c r="E160" s="433" t="s">
        <v>655</v>
      </c>
      <c r="F160" s="436">
        <v>10</v>
      </c>
      <c r="G160" s="436">
        <v>653</v>
      </c>
      <c r="H160" s="436">
        <v>1</v>
      </c>
      <c r="I160" s="436">
        <v>65.3</v>
      </c>
      <c r="J160" s="436">
        <v>12</v>
      </c>
      <c r="K160" s="436">
        <v>792</v>
      </c>
      <c r="L160" s="436">
        <v>1.212863705972435</v>
      </c>
      <c r="M160" s="436">
        <v>66</v>
      </c>
      <c r="N160" s="436">
        <v>6</v>
      </c>
      <c r="O160" s="436">
        <v>414</v>
      </c>
      <c r="P160" s="498">
        <v>0.63399693721286365</v>
      </c>
      <c r="Q160" s="437">
        <v>69</v>
      </c>
    </row>
    <row r="161" spans="1:17" ht="14.4" customHeight="1" x14ac:dyDescent="0.3">
      <c r="A161" s="432" t="s">
        <v>708</v>
      </c>
      <c r="B161" s="433" t="s">
        <v>623</v>
      </c>
      <c r="C161" s="433" t="s">
        <v>620</v>
      </c>
      <c r="D161" s="433" t="s">
        <v>656</v>
      </c>
      <c r="E161" s="433" t="s">
        <v>657</v>
      </c>
      <c r="F161" s="436">
        <v>20</v>
      </c>
      <c r="G161" s="436">
        <v>7935</v>
      </c>
      <c r="H161" s="436">
        <v>1</v>
      </c>
      <c r="I161" s="436">
        <v>396.75</v>
      </c>
      <c r="J161" s="436">
        <v>9</v>
      </c>
      <c r="K161" s="436">
        <v>3609</v>
      </c>
      <c r="L161" s="436">
        <v>0.454820415879017</v>
      </c>
      <c r="M161" s="436">
        <v>401</v>
      </c>
      <c r="N161" s="436">
        <v>3</v>
      </c>
      <c r="O161" s="436">
        <v>1221</v>
      </c>
      <c r="P161" s="498">
        <v>0.15387523629489602</v>
      </c>
      <c r="Q161" s="437">
        <v>407</v>
      </c>
    </row>
    <row r="162" spans="1:17" ht="14.4" customHeight="1" x14ac:dyDescent="0.3">
      <c r="A162" s="432" t="s">
        <v>708</v>
      </c>
      <c r="B162" s="433" t="s">
        <v>623</v>
      </c>
      <c r="C162" s="433" t="s">
        <v>620</v>
      </c>
      <c r="D162" s="433" t="s">
        <v>658</v>
      </c>
      <c r="E162" s="433" t="s">
        <v>659</v>
      </c>
      <c r="F162" s="436">
        <v>3</v>
      </c>
      <c r="G162" s="436">
        <v>4803</v>
      </c>
      <c r="H162" s="436">
        <v>1</v>
      </c>
      <c r="I162" s="436">
        <v>1601</v>
      </c>
      <c r="J162" s="436">
        <v>2</v>
      </c>
      <c r="K162" s="436">
        <v>3226</v>
      </c>
      <c r="L162" s="436">
        <v>0.67166354361857172</v>
      </c>
      <c r="M162" s="436">
        <v>1613</v>
      </c>
      <c r="N162" s="436">
        <v>1</v>
      </c>
      <c r="O162" s="436">
        <v>1664</v>
      </c>
      <c r="P162" s="498">
        <v>0.34645013533208413</v>
      </c>
      <c r="Q162" s="437">
        <v>1664</v>
      </c>
    </row>
    <row r="163" spans="1:17" ht="14.4" customHeight="1" x14ac:dyDescent="0.3">
      <c r="A163" s="432" t="s">
        <v>708</v>
      </c>
      <c r="B163" s="433" t="s">
        <v>623</v>
      </c>
      <c r="C163" s="433" t="s">
        <v>620</v>
      </c>
      <c r="D163" s="433" t="s">
        <v>660</v>
      </c>
      <c r="E163" s="433" t="s">
        <v>661</v>
      </c>
      <c r="F163" s="436">
        <v>59</v>
      </c>
      <c r="G163" s="436">
        <v>32470</v>
      </c>
      <c r="H163" s="436">
        <v>1</v>
      </c>
      <c r="I163" s="436">
        <v>550.33898305084745</v>
      </c>
      <c r="J163" s="436">
        <v>36</v>
      </c>
      <c r="K163" s="436">
        <v>19872</v>
      </c>
      <c r="L163" s="436">
        <v>0.61201108715737607</v>
      </c>
      <c r="M163" s="436">
        <v>552</v>
      </c>
      <c r="N163" s="436">
        <v>38</v>
      </c>
      <c r="O163" s="436">
        <v>21280</v>
      </c>
      <c r="P163" s="498">
        <v>0.65537419156144128</v>
      </c>
      <c r="Q163" s="437">
        <v>560</v>
      </c>
    </row>
    <row r="164" spans="1:17" ht="14.4" customHeight="1" x14ac:dyDescent="0.3">
      <c r="A164" s="432" t="s">
        <v>708</v>
      </c>
      <c r="B164" s="433" t="s">
        <v>623</v>
      </c>
      <c r="C164" s="433" t="s">
        <v>620</v>
      </c>
      <c r="D164" s="433" t="s">
        <v>666</v>
      </c>
      <c r="E164" s="433" t="s">
        <v>667</v>
      </c>
      <c r="F164" s="436">
        <v>1</v>
      </c>
      <c r="G164" s="436">
        <v>122</v>
      </c>
      <c r="H164" s="436">
        <v>1</v>
      </c>
      <c r="I164" s="436">
        <v>122</v>
      </c>
      <c r="J164" s="436"/>
      <c r="K164" s="436"/>
      <c r="L164" s="436"/>
      <c r="M164" s="436"/>
      <c r="N164" s="436"/>
      <c r="O164" s="436"/>
      <c r="P164" s="498"/>
      <c r="Q164" s="437"/>
    </row>
    <row r="165" spans="1:17" ht="14.4" customHeight="1" x14ac:dyDescent="0.3">
      <c r="A165" s="432" t="s">
        <v>708</v>
      </c>
      <c r="B165" s="433" t="s">
        <v>623</v>
      </c>
      <c r="C165" s="433" t="s">
        <v>620</v>
      </c>
      <c r="D165" s="433" t="s">
        <v>668</v>
      </c>
      <c r="E165" s="433" t="s">
        <v>669</v>
      </c>
      <c r="F165" s="436">
        <v>46</v>
      </c>
      <c r="G165" s="436">
        <v>19558</v>
      </c>
      <c r="H165" s="436">
        <v>1</v>
      </c>
      <c r="I165" s="436">
        <v>425.17391304347825</v>
      </c>
      <c r="J165" s="436">
        <v>37</v>
      </c>
      <c r="K165" s="436">
        <v>15762</v>
      </c>
      <c r="L165" s="436">
        <v>0.80591062480826259</v>
      </c>
      <c r="M165" s="436">
        <v>426</v>
      </c>
      <c r="N165" s="436">
        <v>41</v>
      </c>
      <c r="O165" s="436">
        <v>17589</v>
      </c>
      <c r="P165" s="498">
        <v>0.89932508436445446</v>
      </c>
      <c r="Q165" s="437">
        <v>429</v>
      </c>
    </row>
    <row r="166" spans="1:17" ht="14.4" customHeight="1" x14ac:dyDescent="0.3">
      <c r="A166" s="432" t="s">
        <v>708</v>
      </c>
      <c r="B166" s="433" t="s">
        <v>623</v>
      </c>
      <c r="C166" s="433" t="s">
        <v>620</v>
      </c>
      <c r="D166" s="433" t="s">
        <v>672</v>
      </c>
      <c r="E166" s="433" t="s">
        <v>631</v>
      </c>
      <c r="F166" s="436">
        <v>1</v>
      </c>
      <c r="G166" s="436">
        <v>915</v>
      </c>
      <c r="H166" s="436">
        <v>1</v>
      </c>
      <c r="I166" s="436">
        <v>915</v>
      </c>
      <c r="J166" s="436"/>
      <c r="K166" s="436"/>
      <c r="L166" s="436"/>
      <c r="M166" s="436"/>
      <c r="N166" s="436"/>
      <c r="O166" s="436"/>
      <c r="P166" s="498"/>
      <c r="Q166" s="437"/>
    </row>
    <row r="167" spans="1:17" ht="14.4" customHeight="1" x14ac:dyDescent="0.3">
      <c r="A167" s="432" t="s">
        <v>708</v>
      </c>
      <c r="B167" s="433" t="s">
        <v>623</v>
      </c>
      <c r="C167" s="433" t="s">
        <v>620</v>
      </c>
      <c r="D167" s="433" t="s">
        <v>673</v>
      </c>
      <c r="E167" s="433" t="s">
        <v>674</v>
      </c>
      <c r="F167" s="436"/>
      <c r="G167" s="436"/>
      <c r="H167" s="436"/>
      <c r="I167" s="436"/>
      <c r="J167" s="436">
        <v>5</v>
      </c>
      <c r="K167" s="436">
        <v>8075</v>
      </c>
      <c r="L167" s="436"/>
      <c r="M167" s="436">
        <v>1615</v>
      </c>
      <c r="N167" s="436">
        <v>17</v>
      </c>
      <c r="O167" s="436">
        <v>28033</v>
      </c>
      <c r="P167" s="498"/>
      <c r="Q167" s="437">
        <v>1649</v>
      </c>
    </row>
    <row r="168" spans="1:17" ht="14.4" customHeight="1" x14ac:dyDescent="0.3">
      <c r="A168" s="432" t="s">
        <v>709</v>
      </c>
      <c r="B168" s="433" t="s">
        <v>623</v>
      </c>
      <c r="C168" s="433" t="s">
        <v>620</v>
      </c>
      <c r="D168" s="433" t="s">
        <v>660</v>
      </c>
      <c r="E168" s="433" t="s">
        <v>661</v>
      </c>
      <c r="F168" s="436"/>
      <c r="G168" s="436"/>
      <c r="H168" s="436"/>
      <c r="I168" s="436"/>
      <c r="J168" s="436"/>
      <c r="K168" s="436"/>
      <c r="L168" s="436"/>
      <c r="M168" s="436"/>
      <c r="N168" s="436">
        <v>6</v>
      </c>
      <c r="O168" s="436">
        <v>3360</v>
      </c>
      <c r="P168" s="498"/>
      <c r="Q168" s="437">
        <v>560</v>
      </c>
    </row>
    <row r="169" spans="1:17" ht="14.4" customHeight="1" x14ac:dyDescent="0.3">
      <c r="A169" s="432" t="s">
        <v>709</v>
      </c>
      <c r="B169" s="433" t="s">
        <v>623</v>
      </c>
      <c r="C169" s="433" t="s">
        <v>620</v>
      </c>
      <c r="D169" s="433" t="s">
        <v>673</v>
      </c>
      <c r="E169" s="433" t="s">
        <v>674</v>
      </c>
      <c r="F169" s="436"/>
      <c r="G169" s="436"/>
      <c r="H169" s="436"/>
      <c r="I169" s="436"/>
      <c r="J169" s="436"/>
      <c r="K169" s="436"/>
      <c r="L169" s="436"/>
      <c r="M169" s="436"/>
      <c r="N169" s="436">
        <v>1</v>
      </c>
      <c r="O169" s="436">
        <v>1649</v>
      </c>
      <c r="P169" s="498"/>
      <c r="Q169" s="437">
        <v>1649</v>
      </c>
    </row>
    <row r="170" spans="1:17" ht="14.4" customHeight="1" x14ac:dyDescent="0.3">
      <c r="A170" s="432" t="s">
        <v>710</v>
      </c>
      <c r="B170" s="433" t="s">
        <v>623</v>
      </c>
      <c r="C170" s="433" t="s">
        <v>620</v>
      </c>
      <c r="D170" s="433" t="s">
        <v>648</v>
      </c>
      <c r="E170" s="433" t="s">
        <v>649</v>
      </c>
      <c r="F170" s="436"/>
      <c r="G170" s="436"/>
      <c r="H170" s="436"/>
      <c r="I170" s="436"/>
      <c r="J170" s="436">
        <v>1</v>
      </c>
      <c r="K170" s="436">
        <v>16</v>
      </c>
      <c r="L170" s="436"/>
      <c r="M170" s="436">
        <v>16</v>
      </c>
      <c r="N170" s="436"/>
      <c r="O170" s="436"/>
      <c r="P170" s="498"/>
      <c r="Q170" s="437"/>
    </row>
    <row r="171" spans="1:17" ht="14.4" customHeight="1" x14ac:dyDescent="0.3">
      <c r="A171" s="432" t="s">
        <v>710</v>
      </c>
      <c r="B171" s="433" t="s">
        <v>623</v>
      </c>
      <c r="C171" s="433" t="s">
        <v>620</v>
      </c>
      <c r="D171" s="433" t="s">
        <v>650</v>
      </c>
      <c r="E171" s="433" t="s">
        <v>635</v>
      </c>
      <c r="F171" s="436"/>
      <c r="G171" s="436"/>
      <c r="H171" s="436"/>
      <c r="I171" s="436"/>
      <c r="J171" s="436">
        <v>2</v>
      </c>
      <c r="K171" s="436">
        <v>1392</v>
      </c>
      <c r="L171" s="436"/>
      <c r="M171" s="436">
        <v>696</v>
      </c>
      <c r="N171" s="436"/>
      <c r="O171" s="436"/>
      <c r="P171" s="498"/>
      <c r="Q171" s="437"/>
    </row>
    <row r="172" spans="1:17" ht="14.4" customHeight="1" x14ac:dyDescent="0.3">
      <c r="A172" s="432" t="s">
        <v>710</v>
      </c>
      <c r="B172" s="433" t="s">
        <v>623</v>
      </c>
      <c r="C172" s="433" t="s">
        <v>620</v>
      </c>
      <c r="D172" s="433" t="s">
        <v>654</v>
      </c>
      <c r="E172" s="433" t="s">
        <v>655</v>
      </c>
      <c r="F172" s="436"/>
      <c r="G172" s="436"/>
      <c r="H172" s="436"/>
      <c r="I172" s="436"/>
      <c r="J172" s="436">
        <v>2</v>
      </c>
      <c r="K172" s="436">
        <v>132</v>
      </c>
      <c r="L172" s="436"/>
      <c r="M172" s="436">
        <v>66</v>
      </c>
      <c r="N172" s="436"/>
      <c r="O172" s="436"/>
      <c r="P172" s="498"/>
      <c r="Q172" s="437"/>
    </row>
    <row r="173" spans="1:17" ht="14.4" customHeight="1" x14ac:dyDescent="0.3">
      <c r="A173" s="432" t="s">
        <v>711</v>
      </c>
      <c r="B173" s="433" t="s">
        <v>619</v>
      </c>
      <c r="C173" s="433" t="s">
        <v>620</v>
      </c>
      <c r="D173" s="433" t="s">
        <v>621</v>
      </c>
      <c r="E173" s="433" t="s">
        <v>622</v>
      </c>
      <c r="F173" s="436"/>
      <c r="G173" s="436"/>
      <c r="H173" s="436"/>
      <c r="I173" s="436"/>
      <c r="J173" s="436">
        <v>1</v>
      </c>
      <c r="K173" s="436">
        <v>10725</v>
      </c>
      <c r="L173" s="436"/>
      <c r="M173" s="436">
        <v>10725</v>
      </c>
      <c r="N173" s="436"/>
      <c r="O173" s="436"/>
      <c r="P173" s="498"/>
      <c r="Q173" s="437"/>
    </row>
    <row r="174" spans="1:17" ht="14.4" customHeight="1" x14ac:dyDescent="0.3">
      <c r="A174" s="432" t="s">
        <v>711</v>
      </c>
      <c r="B174" s="433" t="s">
        <v>623</v>
      </c>
      <c r="C174" s="433" t="s">
        <v>620</v>
      </c>
      <c r="D174" s="433" t="s">
        <v>648</v>
      </c>
      <c r="E174" s="433" t="s">
        <v>649</v>
      </c>
      <c r="F174" s="436">
        <v>1</v>
      </c>
      <c r="G174" s="436">
        <v>16</v>
      </c>
      <c r="H174" s="436">
        <v>1</v>
      </c>
      <c r="I174" s="436">
        <v>16</v>
      </c>
      <c r="J174" s="436"/>
      <c r="K174" s="436"/>
      <c r="L174" s="436"/>
      <c r="M174" s="436"/>
      <c r="N174" s="436"/>
      <c r="O174" s="436"/>
      <c r="P174" s="498"/>
      <c r="Q174" s="437"/>
    </row>
    <row r="175" spans="1:17" ht="14.4" customHeight="1" x14ac:dyDescent="0.3">
      <c r="A175" s="432" t="s">
        <v>711</v>
      </c>
      <c r="B175" s="433" t="s">
        <v>623</v>
      </c>
      <c r="C175" s="433" t="s">
        <v>620</v>
      </c>
      <c r="D175" s="433" t="s">
        <v>650</v>
      </c>
      <c r="E175" s="433" t="s">
        <v>635</v>
      </c>
      <c r="F175" s="436">
        <v>1</v>
      </c>
      <c r="G175" s="436">
        <v>694</v>
      </c>
      <c r="H175" s="436">
        <v>1</v>
      </c>
      <c r="I175" s="436">
        <v>694</v>
      </c>
      <c r="J175" s="436"/>
      <c r="K175" s="436"/>
      <c r="L175" s="436"/>
      <c r="M175" s="436"/>
      <c r="N175" s="436"/>
      <c r="O175" s="436"/>
      <c r="P175" s="498"/>
      <c r="Q175" s="437"/>
    </row>
    <row r="176" spans="1:17" ht="14.4" customHeight="1" x14ac:dyDescent="0.3">
      <c r="A176" s="432" t="s">
        <v>711</v>
      </c>
      <c r="B176" s="433" t="s">
        <v>623</v>
      </c>
      <c r="C176" s="433" t="s">
        <v>620</v>
      </c>
      <c r="D176" s="433" t="s">
        <v>652</v>
      </c>
      <c r="E176" s="433" t="s">
        <v>653</v>
      </c>
      <c r="F176" s="436">
        <v>1</v>
      </c>
      <c r="G176" s="436">
        <v>2334</v>
      </c>
      <c r="H176" s="436">
        <v>1</v>
      </c>
      <c r="I176" s="436">
        <v>2334</v>
      </c>
      <c r="J176" s="436"/>
      <c r="K176" s="436"/>
      <c r="L176" s="436"/>
      <c r="M176" s="436"/>
      <c r="N176" s="436"/>
      <c r="O176" s="436"/>
      <c r="P176" s="498"/>
      <c r="Q176" s="437"/>
    </row>
    <row r="177" spans="1:17" ht="14.4" customHeight="1" x14ac:dyDescent="0.3">
      <c r="A177" s="432" t="s">
        <v>711</v>
      </c>
      <c r="B177" s="433" t="s">
        <v>623</v>
      </c>
      <c r="C177" s="433" t="s">
        <v>620</v>
      </c>
      <c r="D177" s="433" t="s">
        <v>654</v>
      </c>
      <c r="E177" s="433" t="s">
        <v>655</v>
      </c>
      <c r="F177" s="436">
        <v>1</v>
      </c>
      <c r="G177" s="436">
        <v>66</v>
      </c>
      <c r="H177" s="436">
        <v>1</v>
      </c>
      <c r="I177" s="436">
        <v>66</v>
      </c>
      <c r="J177" s="436"/>
      <c r="K177" s="436"/>
      <c r="L177" s="436"/>
      <c r="M177" s="436"/>
      <c r="N177" s="436"/>
      <c r="O177" s="436"/>
      <c r="P177" s="498"/>
      <c r="Q177" s="437"/>
    </row>
    <row r="178" spans="1:17" ht="14.4" customHeight="1" x14ac:dyDescent="0.3">
      <c r="A178" s="432" t="s">
        <v>711</v>
      </c>
      <c r="B178" s="433" t="s">
        <v>623</v>
      </c>
      <c r="C178" s="433" t="s">
        <v>620</v>
      </c>
      <c r="D178" s="433" t="s">
        <v>660</v>
      </c>
      <c r="E178" s="433" t="s">
        <v>661</v>
      </c>
      <c r="F178" s="436">
        <v>5</v>
      </c>
      <c r="G178" s="436">
        <v>2755</v>
      </c>
      <c r="H178" s="436">
        <v>1</v>
      </c>
      <c r="I178" s="436">
        <v>551</v>
      </c>
      <c r="J178" s="436"/>
      <c r="K178" s="436"/>
      <c r="L178" s="436"/>
      <c r="M178" s="436"/>
      <c r="N178" s="436"/>
      <c r="O178" s="436"/>
      <c r="P178" s="498"/>
      <c r="Q178" s="437"/>
    </row>
    <row r="179" spans="1:17" ht="14.4" customHeight="1" x14ac:dyDescent="0.3">
      <c r="A179" s="432" t="s">
        <v>712</v>
      </c>
      <c r="B179" s="433" t="s">
        <v>623</v>
      </c>
      <c r="C179" s="433" t="s">
        <v>620</v>
      </c>
      <c r="D179" s="433" t="s">
        <v>628</v>
      </c>
      <c r="E179" s="433" t="s">
        <v>629</v>
      </c>
      <c r="F179" s="436">
        <v>1</v>
      </c>
      <c r="G179" s="436">
        <v>2213</v>
      </c>
      <c r="H179" s="436">
        <v>1</v>
      </c>
      <c r="I179" s="436">
        <v>2213</v>
      </c>
      <c r="J179" s="436"/>
      <c r="K179" s="436"/>
      <c r="L179" s="436"/>
      <c r="M179" s="436"/>
      <c r="N179" s="436"/>
      <c r="O179" s="436"/>
      <c r="P179" s="498"/>
      <c r="Q179" s="437"/>
    </row>
    <row r="180" spans="1:17" ht="14.4" customHeight="1" x14ac:dyDescent="0.3">
      <c r="A180" s="432" t="s">
        <v>712</v>
      </c>
      <c r="B180" s="433" t="s">
        <v>623</v>
      </c>
      <c r="C180" s="433" t="s">
        <v>620</v>
      </c>
      <c r="D180" s="433" t="s">
        <v>644</v>
      </c>
      <c r="E180" s="433" t="s">
        <v>645</v>
      </c>
      <c r="F180" s="436">
        <v>1</v>
      </c>
      <c r="G180" s="436">
        <v>1447</v>
      </c>
      <c r="H180" s="436">
        <v>1</v>
      </c>
      <c r="I180" s="436">
        <v>1447</v>
      </c>
      <c r="J180" s="436"/>
      <c r="K180" s="436"/>
      <c r="L180" s="436"/>
      <c r="M180" s="436"/>
      <c r="N180" s="436"/>
      <c r="O180" s="436"/>
      <c r="P180" s="498"/>
      <c r="Q180" s="437"/>
    </row>
    <row r="181" spans="1:17" ht="14.4" customHeight="1" x14ac:dyDescent="0.3">
      <c r="A181" s="432" t="s">
        <v>712</v>
      </c>
      <c r="B181" s="433" t="s">
        <v>623</v>
      </c>
      <c r="C181" s="433" t="s">
        <v>620</v>
      </c>
      <c r="D181" s="433" t="s">
        <v>648</v>
      </c>
      <c r="E181" s="433" t="s">
        <v>649</v>
      </c>
      <c r="F181" s="436">
        <v>1</v>
      </c>
      <c r="G181" s="436">
        <v>16</v>
      </c>
      <c r="H181" s="436">
        <v>1</v>
      </c>
      <c r="I181" s="436">
        <v>16</v>
      </c>
      <c r="J181" s="436"/>
      <c r="K181" s="436"/>
      <c r="L181" s="436"/>
      <c r="M181" s="436"/>
      <c r="N181" s="436"/>
      <c r="O181" s="436"/>
      <c r="P181" s="498"/>
      <c r="Q181" s="437"/>
    </row>
    <row r="182" spans="1:17" ht="14.4" customHeight="1" x14ac:dyDescent="0.3">
      <c r="A182" s="432" t="s">
        <v>712</v>
      </c>
      <c r="B182" s="433" t="s">
        <v>623</v>
      </c>
      <c r="C182" s="433" t="s">
        <v>620</v>
      </c>
      <c r="D182" s="433" t="s">
        <v>656</v>
      </c>
      <c r="E182" s="433" t="s">
        <v>657</v>
      </c>
      <c r="F182" s="436">
        <v>1</v>
      </c>
      <c r="G182" s="436">
        <v>396</v>
      </c>
      <c r="H182" s="436">
        <v>1</v>
      </c>
      <c r="I182" s="436">
        <v>396</v>
      </c>
      <c r="J182" s="436"/>
      <c r="K182" s="436"/>
      <c r="L182" s="436"/>
      <c r="M182" s="436"/>
      <c r="N182" s="436"/>
      <c r="O182" s="436"/>
      <c r="P182" s="498"/>
      <c r="Q182" s="437"/>
    </row>
    <row r="183" spans="1:17" ht="14.4" customHeight="1" x14ac:dyDescent="0.3">
      <c r="A183" s="432" t="s">
        <v>712</v>
      </c>
      <c r="B183" s="433" t="s">
        <v>623</v>
      </c>
      <c r="C183" s="433" t="s">
        <v>620</v>
      </c>
      <c r="D183" s="433" t="s">
        <v>668</v>
      </c>
      <c r="E183" s="433" t="s">
        <v>669</v>
      </c>
      <c r="F183" s="436">
        <v>3</v>
      </c>
      <c r="G183" s="436">
        <v>1275</v>
      </c>
      <c r="H183" s="436">
        <v>1</v>
      </c>
      <c r="I183" s="436">
        <v>425</v>
      </c>
      <c r="J183" s="436"/>
      <c r="K183" s="436"/>
      <c r="L183" s="436"/>
      <c r="M183" s="436"/>
      <c r="N183" s="436"/>
      <c r="O183" s="436"/>
      <c r="P183" s="498"/>
      <c r="Q183" s="437"/>
    </row>
    <row r="184" spans="1:17" ht="14.4" customHeight="1" x14ac:dyDescent="0.3">
      <c r="A184" s="432" t="s">
        <v>713</v>
      </c>
      <c r="B184" s="433" t="s">
        <v>623</v>
      </c>
      <c r="C184" s="433" t="s">
        <v>620</v>
      </c>
      <c r="D184" s="433" t="s">
        <v>632</v>
      </c>
      <c r="E184" s="433" t="s">
        <v>633</v>
      </c>
      <c r="F184" s="436"/>
      <c r="G184" s="436"/>
      <c r="H184" s="436"/>
      <c r="I184" s="436"/>
      <c r="J184" s="436">
        <v>1</v>
      </c>
      <c r="K184" s="436">
        <v>3721</v>
      </c>
      <c r="L184" s="436"/>
      <c r="M184" s="436">
        <v>3721</v>
      </c>
      <c r="N184" s="436"/>
      <c r="O184" s="436"/>
      <c r="P184" s="498"/>
      <c r="Q184" s="437"/>
    </row>
    <row r="185" spans="1:17" ht="14.4" customHeight="1" x14ac:dyDescent="0.3">
      <c r="A185" s="432" t="s">
        <v>713</v>
      </c>
      <c r="B185" s="433" t="s">
        <v>623</v>
      </c>
      <c r="C185" s="433" t="s">
        <v>620</v>
      </c>
      <c r="D185" s="433" t="s">
        <v>652</v>
      </c>
      <c r="E185" s="433" t="s">
        <v>653</v>
      </c>
      <c r="F185" s="436"/>
      <c r="G185" s="436"/>
      <c r="H185" s="436"/>
      <c r="I185" s="436"/>
      <c r="J185" s="436">
        <v>1</v>
      </c>
      <c r="K185" s="436">
        <v>2341</v>
      </c>
      <c r="L185" s="436"/>
      <c r="M185" s="436">
        <v>2341</v>
      </c>
      <c r="N185" s="436"/>
      <c r="O185" s="436"/>
      <c r="P185" s="498"/>
      <c r="Q185" s="437"/>
    </row>
    <row r="186" spans="1:17" ht="14.4" customHeight="1" x14ac:dyDescent="0.3">
      <c r="A186" s="432" t="s">
        <v>713</v>
      </c>
      <c r="B186" s="433" t="s">
        <v>623</v>
      </c>
      <c r="C186" s="433" t="s">
        <v>620</v>
      </c>
      <c r="D186" s="433" t="s">
        <v>660</v>
      </c>
      <c r="E186" s="433" t="s">
        <v>661</v>
      </c>
      <c r="F186" s="436"/>
      <c r="G186" s="436"/>
      <c r="H186" s="436"/>
      <c r="I186" s="436"/>
      <c r="J186" s="436">
        <v>5</v>
      </c>
      <c r="K186" s="436">
        <v>2760</v>
      </c>
      <c r="L186" s="436"/>
      <c r="M186" s="436">
        <v>552</v>
      </c>
      <c r="N186" s="436"/>
      <c r="O186" s="436"/>
      <c r="P186" s="498"/>
      <c r="Q186" s="437"/>
    </row>
    <row r="187" spans="1:17" ht="14.4" customHeight="1" x14ac:dyDescent="0.3">
      <c r="A187" s="432" t="s">
        <v>713</v>
      </c>
      <c r="B187" s="433" t="s">
        <v>623</v>
      </c>
      <c r="C187" s="433" t="s">
        <v>620</v>
      </c>
      <c r="D187" s="433" t="s">
        <v>673</v>
      </c>
      <c r="E187" s="433" t="s">
        <v>674</v>
      </c>
      <c r="F187" s="436"/>
      <c r="G187" s="436"/>
      <c r="H187" s="436"/>
      <c r="I187" s="436"/>
      <c r="J187" s="436">
        <v>1</v>
      </c>
      <c r="K187" s="436">
        <v>1615</v>
      </c>
      <c r="L187" s="436"/>
      <c r="M187" s="436">
        <v>1615</v>
      </c>
      <c r="N187" s="436"/>
      <c r="O187" s="436"/>
      <c r="P187" s="498"/>
      <c r="Q187" s="437"/>
    </row>
    <row r="188" spans="1:17" ht="14.4" customHeight="1" x14ac:dyDescent="0.3">
      <c r="A188" s="432" t="s">
        <v>714</v>
      </c>
      <c r="B188" s="433" t="s">
        <v>619</v>
      </c>
      <c r="C188" s="433" t="s">
        <v>620</v>
      </c>
      <c r="D188" s="433" t="s">
        <v>621</v>
      </c>
      <c r="E188" s="433" t="s">
        <v>622</v>
      </c>
      <c r="F188" s="436">
        <v>3</v>
      </c>
      <c r="G188" s="436">
        <v>31965</v>
      </c>
      <c r="H188" s="436">
        <v>1</v>
      </c>
      <c r="I188" s="436">
        <v>10655</v>
      </c>
      <c r="J188" s="436">
        <v>4</v>
      </c>
      <c r="K188" s="436">
        <v>42900</v>
      </c>
      <c r="L188" s="436">
        <v>1.3420929141248241</v>
      </c>
      <c r="M188" s="436">
        <v>10725</v>
      </c>
      <c r="N188" s="436"/>
      <c r="O188" s="436"/>
      <c r="P188" s="498"/>
      <c r="Q188" s="437"/>
    </row>
    <row r="189" spans="1:17" ht="14.4" customHeight="1" x14ac:dyDescent="0.3">
      <c r="A189" s="432" t="s">
        <v>714</v>
      </c>
      <c r="B189" s="433" t="s">
        <v>623</v>
      </c>
      <c r="C189" s="433" t="s">
        <v>620</v>
      </c>
      <c r="D189" s="433" t="s">
        <v>628</v>
      </c>
      <c r="E189" s="433" t="s">
        <v>629</v>
      </c>
      <c r="F189" s="436"/>
      <c r="G189" s="436"/>
      <c r="H189" s="436"/>
      <c r="I189" s="436"/>
      <c r="J189" s="436">
        <v>2</v>
      </c>
      <c r="K189" s="436">
        <v>4472</v>
      </c>
      <c r="L189" s="436"/>
      <c r="M189" s="436">
        <v>2236</v>
      </c>
      <c r="N189" s="436"/>
      <c r="O189" s="436"/>
      <c r="P189" s="498"/>
      <c r="Q189" s="437"/>
    </row>
    <row r="190" spans="1:17" ht="14.4" customHeight="1" x14ac:dyDescent="0.3">
      <c r="A190" s="432" t="s">
        <v>714</v>
      </c>
      <c r="B190" s="433" t="s">
        <v>623</v>
      </c>
      <c r="C190" s="433" t="s">
        <v>620</v>
      </c>
      <c r="D190" s="433" t="s">
        <v>632</v>
      </c>
      <c r="E190" s="433" t="s">
        <v>633</v>
      </c>
      <c r="F190" s="436"/>
      <c r="G190" s="436"/>
      <c r="H190" s="436"/>
      <c r="I190" s="436"/>
      <c r="J190" s="436"/>
      <c r="K190" s="436"/>
      <c r="L190" s="436"/>
      <c r="M190" s="436"/>
      <c r="N190" s="436">
        <v>5</v>
      </c>
      <c r="O190" s="436">
        <v>19115</v>
      </c>
      <c r="P190" s="498"/>
      <c r="Q190" s="437">
        <v>3823</v>
      </c>
    </row>
    <row r="191" spans="1:17" ht="14.4" customHeight="1" x14ac:dyDescent="0.3">
      <c r="A191" s="432" t="s">
        <v>714</v>
      </c>
      <c r="B191" s="433" t="s">
        <v>623</v>
      </c>
      <c r="C191" s="433" t="s">
        <v>620</v>
      </c>
      <c r="D191" s="433" t="s">
        <v>636</v>
      </c>
      <c r="E191" s="433" t="s">
        <v>637</v>
      </c>
      <c r="F191" s="436"/>
      <c r="G191" s="436"/>
      <c r="H191" s="436"/>
      <c r="I191" s="436"/>
      <c r="J191" s="436"/>
      <c r="K191" s="436"/>
      <c r="L191" s="436"/>
      <c r="M191" s="436"/>
      <c r="N191" s="436">
        <v>3</v>
      </c>
      <c r="O191" s="436">
        <v>2559</v>
      </c>
      <c r="P191" s="498"/>
      <c r="Q191" s="437">
        <v>853</v>
      </c>
    </row>
    <row r="192" spans="1:17" ht="14.4" customHeight="1" x14ac:dyDescent="0.3">
      <c r="A192" s="432" t="s">
        <v>714</v>
      </c>
      <c r="B192" s="433" t="s">
        <v>623</v>
      </c>
      <c r="C192" s="433" t="s">
        <v>620</v>
      </c>
      <c r="D192" s="433" t="s">
        <v>638</v>
      </c>
      <c r="E192" s="433" t="s">
        <v>639</v>
      </c>
      <c r="F192" s="436"/>
      <c r="G192" s="436"/>
      <c r="H192" s="436"/>
      <c r="I192" s="436"/>
      <c r="J192" s="436"/>
      <c r="K192" s="436"/>
      <c r="L192" s="436"/>
      <c r="M192" s="436"/>
      <c r="N192" s="436">
        <v>3</v>
      </c>
      <c r="O192" s="436">
        <v>4965</v>
      </c>
      <c r="P192" s="498"/>
      <c r="Q192" s="437">
        <v>1655</v>
      </c>
    </row>
    <row r="193" spans="1:17" ht="14.4" customHeight="1" x14ac:dyDescent="0.3">
      <c r="A193" s="432" t="s">
        <v>714</v>
      </c>
      <c r="B193" s="433" t="s">
        <v>623</v>
      </c>
      <c r="C193" s="433" t="s">
        <v>620</v>
      </c>
      <c r="D193" s="433" t="s">
        <v>644</v>
      </c>
      <c r="E193" s="433" t="s">
        <v>645</v>
      </c>
      <c r="F193" s="436">
        <v>1</v>
      </c>
      <c r="G193" s="436">
        <v>1447</v>
      </c>
      <c r="H193" s="436">
        <v>1</v>
      </c>
      <c r="I193" s="436">
        <v>1447</v>
      </c>
      <c r="J193" s="436"/>
      <c r="K193" s="436"/>
      <c r="L193" s="436"/>
      <c r="M193" s="436"/>
      <c r="N193" s="436"/>
      <c r="O193" s="436"/>
      <c r="P193" s="498"/>
      <c r="Q193" s="437"/>
    </row>
    <row r="194" spans="1:17" ht="14.4" customHeight="1" x14ac:dyDescent="0.3">
      <c r="A194" s="432" t="s">
        <v>714</v>
      </c>
      <c r="B194" s="433" t="s">
        <v>623</v>
      </c>
      <c r="C194" s="433" t="s">
        <v>620</v>
      </c>
      <c r="D194" s="433" t="s">
        <v>648</v>
      </c>
      <c r="E194" s="433" t="s">
        <v>649</v>
      </c>
      <c r="F194" s="436"/>
      <c r="G194" s="436"/>
      <c r="H194" s="436"/>
      <c r="I194" s="436"/>
      <c r="J194" s="436">
        <v>1</v>
      </c>
      <c r="K194" s="436">
        <v>16</v>
      </c>
      <c r="L194" s="436"/>
      <c r="M194" s="436">
        <v>16</v>
      </c>
      <c r="N194" s="436">
        <v>2</v>
      </c>
      <c r="O194" s="436">
        <v>34</v>
      </c>
      <c r="P194" s="498"/>
      <c r="Q194" s="437">
        <v>17</v>
      </c>
    </row>
    <row r="195" spans="1:17" ht="14.4" customHeight="1" x14ac:dyDescent="0.3">
      <c r="A195" s="432" t="s">
        <v>714</v>
      </c>
      <c r="B195" s="433" t="s">
        <v>623</v>
      </c>
      <c r="C195" s="433" t="s">
        <v>620</v>
      </c>
      <c r="D195" s="433" t="s">
        <v>650</v>
      </c>
      <c r="E195" s="433" t="s">
        <v>635</v>
      </c>
      <c r="F195" s="436"/>
      <c r="G195" s="436"/>
      <c r="H195" s="436"/>
      <c r="I195" s="436"/>
      <c r="J195" s="436">
        <v>2</v>
      </c>
      <c r="K195" s="436">
        <v>1392</v>
      </c>
      <c r="L195" s="436"/>
      <c r="M195" s="436">
        <v>696</v>
      </c>
      <c r="N195" s="436">
        <v>4</v>
      </c>
      <c r="O195" s="436">
        <v>2832</v>
      </c>
      <c r="P195" s="498"/>
      <c r="Q195" s="437">
        <v>708</v>
      </c>
    </row>
    <row r="196" spans="1:17" ht="14.4" customHeight="1" x14ac:dyDescent="0.3">
      <c r="A196" s="432" t="s">
        <v>714</v>
      </c>
      <c r="B196" s="433" t="s">
        <v>623</v>
      </c>
      <c r="C196" s="433" t="s">
        <v>620</v>
      </c>
      <c r="D196" s="433" t="s">
        <v>651</v>
      </c>
      <c r="E196" s="433" t="s">
        <v>637</v>
      </c>
      <c r="F196" s="436"/>
      <c r="G196" s="436"/>
      <c r="H196" s="436"/>
      <c r="I196" s="436"/>
      <c r="J196" s="436"/>
      <c r="K196" s="436"/>
      <c r="L196" s="436"/>
      <c r="M196" s="436"/>
      <c r="N196" s="436">
        <v>5</v>
      </c>
      <c r="O196" s="436">
        <v>7190</v>
      </c>
      <c r="P196" s="498"/>
      <c r="Q196" s="437">
        <v>1438</v>
      </c>
    </row>
    <row r="197" spans="1:17" ht="14.4" customHeight="1" x14ac:dyDescent="0.3">
      <c r="A197" s="432" t="s">
        <v>714</v>
      </c>
      <c r="B197" s="433" t="s">
        <v>623</v>
      </c>
      <c r="C197" s="433" t="s">
        <v>620</v>
      </c>
      <c r="D197" s="433" t="s">
        <v>652</v>
      </c>
      <c r="E197" s="433" t="s">
        <v>653</v>
      </c>
      <c r="F197" s="436"/>
      <c r="G197" s="436"/>
      <c r="H197" s="436"/>
      <c r="I197" s="436"/>
      <c r="J197" s="436"/>
      <c r="K197" s="436"/>
      <c r="L197" s="436"/>
      <c r="M197" s="436"/>
      <c r="N197" s="436">
        <v>3</v>
      </c>
      <c r="O197" s="436">
        <v>7311</v>
      </c>
      <c r="P197" s="498"/>
      <c r="Q197" s="437">
        <v>2437</v>
      </c>
    </row>
    <row r="198" spans="1:17" ht="14.4" customHeight="1" x14ac:dyDescent="0.3">
      <c r="A198" s="432" t="s">
        <v>714</v>
      </c>
      <c r="B198" s="433" t="s">
        <v>623</v>
      </c>
      <c r="C198" s="433" t="s">
        <v>620</v>
      </c>
      <c r="D198" s="433" t="s">
        <v>654</v>
      </c>
      <c r="E198" s="433" t="s">
        <v>655</v>
      </c>
      <c r="F198" s="436"/>
      <c r="G198" s="436"/>
      <c r="H198" s="436"/>
      <c r="I198" s="436"/>
      <c r="J198" s="436">
        <v>2</v>
      </c>
      <c r="K198" s="436">
        <v>132</v>
      </c>
      <c r="L198" s="436"/>
      <c r="M198" s="436">
        <v>66</v>
      </c>
      <c r="N198" s="436">
        <v>4</v>
      </c>
      <c r="O198" s="436">
        <v>276</v>
      </c>
      <c r="P198" s="498"/>
      <c r="Q198" s="437">
        <v>69</v>
      </c>
    </row>
    <row r="199" spans="1:17" ht="14.4" customHeight="1" x14ac:dyDescent="0.3">
      <c r="A199" s="432" t="s">
        <v>714</v>
      </c>
      <c r="B199" s="433" t="s">
        <v>623</v>
      </c>
      <c r="C199" s="433" t="s">
        <v>620</v>
      </c>
      <c r="D199" s="433" t="s">
        <v>656</v>
      </c>
      <c r="E199" s="433" t="s">
        <v>657</v>
      </c>
      <c r="F199" s="436">
        <v>1</v>
      </c>
      <c r="G199" s="436">
        <v>396</v>
      </c>
      <c r="H199" s="436">
        <v>1</v>
      </c>
      <c r="I199" s="436">
        <v>396</v>
      </c>
      <c r="J199" s="436"/>
      <c r="K199" s="436"/>
      <c r="L199" s="436"/>
      <c r="M199" s="436"/>
      <c r="N199" s="436"/>
      <c r="O199" s="436"/>
      <c r="P199" s="498"/>
      <c r="Q199" s="437"/>
    </row>
    <row r="200" spans="1:17" ht="14.4" customHeight="1" x14ac:dyDescent="0.3">
      <c r="A200" s="432" t="s">
        <v>714</v>
      </c>
      <c r="B200" s="433" t="s">
        <v>623</v>
      </c>
      <c r="C200" s="433" t="s">
        <v>620</v>
      </c>
      <c r="D200" s="433" t="s">
        <v>658</v>
      </c>
      <c r="E200" s="433" t="s">
        <v>659</v>
      </c>
      <c r="F200" s="436"/>
      <c r="G200" s="436"/>
      <c r="H200" s="436"/>
      <c r="I200" s="436"/>
      <c r="J200" s="436"/>
      <c r="K200" s="436"/>
      <c r="L200" s="436"/>
      <c r="M200" s="436"/>
      <c r="N200" s="436">
        <v>1</v>
      </c>
      <c r="O200" s="436">
        <v>1664</v>
      </c>
      <c r="P200" s="498"/>
      <c r="Q200" s="437">
        <v>1664</v>
      </c>
    </row>
    <row r="201" spans="1:17" ht="14.4" customHeight="1" x14ac:dyDescent="0.3">
      <c r="A201" s="432" t="s">
        <v>714</v>
      </c>
      <c r="B201" s="433" t="s">
        <v>623</v>
      </c>
      <c r="C201" s="433" t="s">
        <v>620</v>
      </c>
      <c r="D201" s="433" t="s">
        <v>660</v>
      </c>
      <c r="E201" s="433" t="s">
        <v>661</v>
      </c>
      <c r="F201" s="436"/>
      <c r="G201" s="436"/>
      <c r="H201" s="436"/>
      <c r="I201" s="436"/>
      <c r="J201" s="436">
        <v>5</v>
      </c>
      <c r="K201" s="436">
        <v>2760</v>
      </c>
      <c r="L201" s="436"/>
      <c r="M201" s="436">
        <v>552</v>
      </c>
      <c r="N201" s="436">
        <v>13</v>
      </c>
      <c r="O201" s="436">
        <v>7280</v>
      </c>
      <c r="P201" s="498"/>
      <c r="Q201" s="437">
        <v>560</v>
      </c>
    </row>
    <row r="202" spans="1:17" ht="14.4" customHeight="1" x14ac:dyDescent="0.3">
      <c r="A202" s="432" t="s">
        <v>714</v>
      </c>
      <c r="B202" s="433" t="s">
        <v>623</v>
      </c>
      <c r="C202" s="433" t="s">
        <v>620</v>
      </c>
      <c r="D202" s="433" t="s">
        <v>668</v>
      </c>
      <c r="E202" s="433" t="s">
        <v>669</v>
      </c>
      <c r="F202" s="436"/>
      <c r="G202" s="436"/>
      <c r="H202" s="436"/>
      <c r="I202" s="436"/>
      <c r="J202" s="436"/>
      <c r="K202" s="436"/>
      <c r="L202" s="436"/>
      <c r="M202" s="436"/>
      <c r="N202" s="436">
        <v>7</v>
      </c>
      <c r="O202" s="436">
        <v>3003</v>
      </c>
      <c r="P202" s="498"/>
      <c r="Q202" s="437">
        <v>429</v>
      </c>
    </row>
    <row r="203" spans="1:17" ht="14.4" customHeight="1" thickBot="1" x14ac:dyDescent="0.35">
      <c r="A203" s="438" t="s">
        <v>714</v>
      </c>
      <c r="B203" s="439" t="s">
        <v>623</v>
      </c>
      <c r="C203" s="439" t="s">
        <v>620</v>
      </c>
      <c r="D203" s="439" t="s">
        <v>673</v>
      </c>
      <c r="E203" s="439" t="s">
        <v>674</v>
      </c>
      <c r="F203" s="415"/>
      <c r="G203" s="415"/>
      <c r="H203" s="415"/>
      <c r="I203" s="415"/>
      <c r="J203" s="415"/>
      <c r="K203" s="415"/>
      <c r="L203" s="415"/>
      <c r="M203" s="415"/>
      <c r="N203" s="415">
        <v>10</v>
      </c>
      <c r="O203" s="415">
        <v>16490</v>
      </c>
      <c r="P203" s="416"/>
      <c r="Q203" s="425">
        <v>1649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93" t="s">
        <v>105</v>
      </c>
      <c r="B1" s="293"/>
      <c r="C1" s="294"/>
      <c r="D1" s="294"/>
      <c r="E1" s="294"/>
    </row>
    <row r="2" spans="1:5" ht="14.4" customHeight="1" thickBot="1" x14ac:dyDescent="0.35">
      <c r="A2" s="202" t="s">
        <v>222</v>
      </c>
      <c r="B2" s="125"/>
    </row>
    <row r="3" spans="1:5" ht="14.4" customHeight="1" thickBot="1" x14ac:dyDescent="0.35">
      <c r="A3" s="128"/>
      <c r="C3" s="129" t="s">
        <v>93</v>
      </c>
      <c r="D3" s="130" t="s">
        <v>59</v>
      </c>
      <c r="E3" s="131" t="s">
        <v>61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8868.6457072368321</v>
      </c>
      <c r="D4" s="134">
        <f ca="1">IF(ISERROR(VLOOKUP("Náklady celkem",INDIRECT("HI!$A:$G"),5,0)),0,VLOOKUP("Náklady celkem",INDIRECT("HI!$A:$G"),5,0))</f>
        <v>8928.9552999999996</v>
      </c>
      <c r="E4" s="135">
        <f ca="1">IF(C4=0,0,D4/C4)</f>
        <v>1.0068003159393271</v>
      </c>
    </row>
    <row r="5" spans="1:5" ht="14.4" customHeight="1" x14ac:dyDescent="0.3">
      <c r="A5" s="136" t="s">
        <v>120</v>
      </c>
      <c r="B5" s="137"/>
      <c r="C5" s="138"/>
      <c r="D5" s="138"/>
      <c r="E5" s="139"/>
    </row>
    <row r="6" spans="1:5" ht="14.4" customHeight="1" x14ac:dyDescent="0.3">
      <c r="A6" s="140" t="s">
        <v>125</v>
      </c>
      <c r="B6" s="141"/>
      <c r="C6" s="142"/>
      <c r="D6" s="142"/>
      <c r="E6" s="139"/>
    </row>
    <row r="7" spans="1:5" ht="14.4" customHeight="1" x14ac:dyDescent="0.3">
      <c r="A7" s="27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97</v>
      </c>
      <c r="C7" s="142">
        <f>IF(ISERROR(HI!F5),"",HI!F5)</f>
        <v>12.083336664172499</v>
      </c>
      <c r="D7" s="142">
        <f>IF(ISERROR(HI!E5),"",HI!E5)</f>
        <v>1.7242500000000001</v>
      </c>
      <c r="E7" s="139">
        <f t="shared" ref="E7:E12" si="0">IF(C7=0,0,D7/C7)</f>
        <v>0.14269651238903733</v>
      </c>
    </row>
    <row r="8" spans="1:5" ht="14.4" customHeight="1" x14ac:dyDescent="0.3">
      <c r="A8" s="279" t="str">
        <f>HYPERLINK("#'LŽ Statim'!A1","Podíl statimových žádanek (max. 30%)")</f>
        <v>Podíl statimových žádanek (max. 30%)</v>
      </c>
      <c r="B8" s="277" t="s">
        <v>189</v>
      </c>
      <c r="C8" s="278">
        <v>0.3</v>
      </c>
      <c r="D8" s="278">
        <f>IF('LŽ Statim'!G3="",0,'LŽ Statim'!G3)</f>
        <v>0</v>
      </c>
      <c r="E8" s="139">
        <f>IF(C8=0,0,D8/C8)</f>
        <v>0</v>
      </c>
    </row>
    <row r="9" spans="1:5" ht="14.4" customHeight="1" x14ac:dyDescent="0.3">
      <c r="A9" s="144" t="s">
        <v>121</v>
      </c>
      <c r="B9" s="141"/>
      <c r="C9" s="142"/>
      <c r="D9" s="142"/>
      <c r="E9" s="139"/>
    </row>
    <row r="10" spans="1:5" ht="14.4" customHeight="1" x14ac:dyDescent="0.3">
      <c r="A10" s="144" t="s">
        <v>122</v>
      </c>
      <c r="B10" s="141"/>
      <c r="C10" s="142"/>
      <c r="D10" s="142"/>
      <c r="E10" s="139"/>
    </row>
    <row r="11" spans="1:5" ht="14.4" customHeight="1" x14ac:dyDescent="0.3">
      <c r="A11" s="145" t="s">
        <v>126</v>
      </c>
      <c r="B11" s="141"/>
      <c r="C11" s="138"/>
      <c r="D11" s="138"/>
      <c r="E11" s="139"/>
    </row>
    <row r="12" spans="1:5" ht="14.4" customHeight="1" x14ac:dyDescent="0.3">
      <c r="A12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1" t="s">
        <v>97</v>
      </c>
      <c r="C12" s="142">
        <f>IF(ISERROR(HI!F6),"",HI!F6)</f>
        <v>567.08348965307084</v>
      </c>
      <c r="D12" s="142">
        <f>IF(ISERROR(HI!E6),"",HI!E6)</f>
        <v>406.89748999999995</v>
      </c>
      <c r="E12" s="139">
        <f t="shared" si="0"/>
        <v>0.71752660309142635</v>
      </c>
    </row>
    <row r="13" spans="1:5" ht="14.4" customHeight="1" thickBot="1" x14ac:dyDescent="0.35">
      <c r="A13" s="147" t="str">
        <f>HYPERLINK("#HI!A1","Osobní náklady")</f>
        <v>Osobní náklady</v>
      </c>
      <c r="B13" s="141"/>
      <c r="C13" s="138">
        <f ca="1">IF(ISERROR(VLOOKUP("Osobní náklady (Kč) *",INDIRECT("HI!$A:$G"),6,0)),0,VLOOKUP("Osobní náklady (Kč) *",INDIRECT("HI!$A:$G"),6,0))</f>
        <v>7153.751971971833</v>
      </c>
      <c r="D13" s="138">
        <f ca="1">IF(ISERROR(VLOOKUP("Osobní náklady (Kč) *",INDIRECT("HI!$A:$G"),5,0)),0,VLOOKUP("Osobní náklady (Kč) *",INDIRECT("HI!$A:$G"),5,0))</f>
        <v>7304.6859299999996</v>
      </c>
      <c r="E13" s="139">
        <f ca="1">IF(C13=0,0,D13/C13)</f>
        <v>1.021098572975345</v>
      </c>
    </row>
    <row r="14" spans="1:5" ht="14.4" customHeight="1" thickBot="1" x14ac:dyDescent="0.35">
      <c r="A14" s="151"/>
      <c r="B14" s="152"/>
      <c r="C14" s="153"/>
      <c r="D14" s="153"/>
      <c r="E14" s="154"/>
    </row>
    <row r="15" spans="1:5" ht="14.4" customHeight="1" thickBot="1" x14ac:dyDescent="0.35">
      <c r="A15" s="155" t="str">
        <f>HYPERLINK("#HI!A1","VÝNOSY CELKEM (v tisících)")</f>
        <v>VÝNOSY CELKEM (v tisících)</v>
      </c>
      <c r="B15" s="156"/>
      <c r="C15" s="157">
        <f ca="1">IF(ISERROR(VLOOKUP("Výnosy celkem",INDIRECT("HI!$A:$G"),6,0)),0,VLOOKUP("Výnosy celkem",INDIRECT("HI!$A:$G"),6,0))</f>
        <v>6722.8940000000002</v>
      </c>
      <c r="D15" s="157">
        <f ca="1">IF(ISERROR(VLOOKUP("Výnosy celkem",INDIRECT("HI!$A:$G"),5,0)),0,VLOOKUP("Výnosy celkem",INDIRECT("HI!$A:$G"),5,0))</f>
        <v>8462.3520000000008</v>
      </c>
      <c r="E15" s="158">
        <f t="shared" ref="E15:E18" ca="1" si="1">IF(C15=0,0,D15/C15)</f>
        <v>1.2587364905649265</v>
      </c>
    </row>
    <row r="16" spans="1:5" ht="14.4" customHeight="1" x14ac:dyDescent="0.3">
      <c r="A16" s="159" t="str">
        <f>HYPERLINK("#HI!A1","Ambulance (body za výkony + Kč za ZUM a ZULP)")</f>
        <v>Ambulance (body za výkony + Kč za ZUM a ZULP)</v>
      </c>
      <c r="B16" s="137"/>
      <c r="C16" s="138">
        <f ca="1">IF(ISERROR(VLOOKUP("Ambulance *",INDIRECT("HI!$A:$G"),6,0)),0,VLOOKUP("Ambulance *",INDIRECT("HI!$A:$G"),6,0))</f>
        <v>6722.8940000000002</v>
      </c>
      <c r="D16" s="138">
        <f ca="1">IF(ISERROR(VLOOKUP("Ambulance *",INDIRECT("HI!$A:$G"),5,0)),0,VLOOKUP("Ambulance *",INDIRECT("HI!$A:$G"),5,0))</f>
        <v>8462.3520000000008</v>
      </c>
      <c r="E16" s="139">
        <f t="shared" ca="1" si="1"/>
        <v>1.2587364905649265</v>
      </c>
    </row>
    <row r="17" spans="1:5" ht="14.4" customHeight="1" x14ac:dyDescent="0.3">
      <c r="A17" s="160" t="str">
        <f>HYPERLINK("#'ZV Vykáz.-A'!A1","Zdravotní výkony vykázané u ambulantních pacientů (min. 100 %)")</f>
        <v>Zdravotní výkony vykázané u ambulantních pacientů (min. 100 %)</v>
      </c>
      <c r="B17" s="124" t="s">
        <v>107</v>
      </c>
      <c r="C17" s="143">
        <v>1</v>
      </c>
      <c r="D17" s="143">
        <f>IF(ISERROR(VLOOKUP("Celkem:",'ZV Vykáz.-A'!$A:$S,7,0)),"",VLOOKUP("Celkem:",'ZV Vykáz.-A'!$A:$S,7,0))</f>
        <v>1.2587364905649263</v>
      </c>
      <c r="E17" s="139">
        <f t="shared" si="1"/>
        <v>1.2587364905649263</v>
      </c>
    </row>
    <row r="18" spans="1:5" ht="14.4" customHeight="1" x14ac:dyDescent="0.3">
      <c r="A18" s="160" t="str">
        <f>HYPERLINK("#'ZV Vykáz.-H'!A1","Zdravotní výkony vykázané u hospitalizovaných pacientů (max. 85 %)")</f>
        <v>Zdravotní výkony vykázané u hospitalizovaných pacientů (max. 85 %)</v>
      </c>
      <c r="B18" s="124" t="s">
        <v>109</v>
      </c>
      <c r="C18" s="143">
        <v>0.85</v>
      </c>
      <c r="D18" s="143">
        <f>IF(ISERROR(VLOOKUP("Celkem:",'ZV Vykáz.-H'!$A:$S,7,0)),"",VLOOKUP("Celkem:",'ZV Vykáz.-H'!$A:$S,7,0))</f>
        <v>0.61570769842007411</v>
      </c>
      <c r="E18" s="139">
        <f t="shared" si="1"/>
        <v>0.72436199814126367</v>
      </c>
    </row>
    <row r="19" spans="1:5" ht="14.4" customHeight="1" x14ac:dyDescent="0.3">
      <c r="A19" s="161" t="str">
        <f>HYPERLINK("#HI!A1","Hospitalizace (casemix * 30000)")</f>
        <v>Hospitalizace (casemix * 30000)</v>
      </c>
      <c r="B19" s="141"/>
      <c r="C19" s="138">
        <f ca="1">IF(ISERROR(VLOOKUP("Hospitalizace *",INDIRECT("HI!$A:$G"),6,0)),0,VLOOKUP("Hospitalizace *",INDIRECT("HI!$A:$G"),6,0))</f>
        <v>0</v>
      </c>
      <c r="D19" s="138">
        <f ca="1">IF(ISERROR(VLOOKUP("Hospitalizace *",INDIRECT("HI!$A:$G"),5,0)),0,VLOOKUP("Hospitalizace *",INDIRECT("HI!$A:$G"),5,0))</f>
        <v>0</v>
      </c>
      <c r="E19" s="139">
        <f ca="1">IF(C19=0,0,D19/C19)</f>
        <v>0</v>
      </c>
    </row>
    <row r="20" spans="1:5" ht="14.4" customHeight="1" thickBot="1" x14ac:dyDescent="0.35">
      <c r="A20" s="162" t="s">
        <v>123</v>
      </c>
      <c r="B20" s="148"/>
      <c r="C20" s="149"/>
      <c r="D20" s="149"/>
      <c r="E20" s="150"/>
    </row>
    <row r="21" spans="1:5" ht="14.4" customHeight="1" thickBot="1" x14ac:dyDescent="0.35">
      <c r="A21" s="163"/>
      <c r="B21" s="164"/>
      <c r="C21" s="165"/>
      <c r="D21" s="165"/>
      <c r="E21" s="166"/>
    </row>
    <row r="22" spans="1:5" ht="14.4" customHeight="1" thickBot="1" x14ac:dyDescent="0.35">
      <c r="A22" s="167" t="s">
        <v>124</v>
      </c>
      <c r="B22" s="168"/>
      <c r="C22" s="169"/>
      <c r="D22" s="169"/>
      <c r="E22" s="170"/>
    </row>
  </sheetData>
  <mergeCells count="1">
    <mergeCell ref="A1:E1"/>
  </mergeCells>
  <conditionalFormatting sqref="E5">
    <cfRule type="cellIs" dxfId="5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3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1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50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9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 E17">
    <cfRule type="cellIs" dxfId="48" priority="20" operator="lessThan">
      <formula>1</formula>
    </cfRule>
  </conditionalFormatting>
  <conditionalFormatting sqref="E8">
    <cfRule type="cellIs" dxfId="47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 E17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6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5" bestFit="1" customWidth="1"/>
    <col min="2" max="3" width="9.5546875" style="105" customWidth="1"/>
    <col min="4" max="4" width="2.21875" style="105" customWidth="1"/>
    <col min="5" max="8" width="9.5546875" style="105" customWidth="1"/>
    <col min="9" max="16384" width="8.88671875" style="105"/>
  </cols>
  <sheetData>
    <row r="1" spans="1:8" ht="18.600000000000001" customHeight="1" thickBot="1" x14ac:dyDescent="0.4">
      <c r="A1" s="293" t="s">
        <v>114</v>
      </c>
      <c r="B1" s="293"/>
      <c r="C1" s="293"/>
      <c r="D1" s="293"/>
      <c r="E1" s="293"/>
      <c r="F1" s="293"/>
      <c r="G1" s="294"/>
      <c r="H1" s="294"/>
    </row>
    <row r="2" spans="1:8" ht="14.4" customHeight="1" thickBot="1" x14ac:dyDescent="0.35">
      <c r="A2" s="202" t="s">
        <v>222</v>
      </c>
      <c r="B2" s="86"/>
      <c r="C2" s="86"/>
      <c r="D2" s="86"/>
      <c r="E2" s="86"/>
      <c r="F2" s="86"/>
    </row>
    <row r="3" spans="1:8" ht="14.4" customHeight="1" x14ac:dyDescent="0.3">
      <c r="A3" s="295"/>
      <c r="B3" s="82">
        <v>2014</v>
      </c>
      <c r="C3" s="40">
        <v>2015</v>
      </c>
      <c r="D3" s="7"/>
      <c r="E3" s="299">
        <v>2016</v>
      </c>
      <c r="F3" s="300"/>
      <c r="G3" s="300"/>
      <c r="H3" s="301"/>
    </row>
    <row r="4" spans="1:8" ht="14.4" customHeight="1" thickBot="1" x14ac:dyDescent="0.35">
      <c r="A4" s="296"/>
      <c r="B4" s="297" t="s">
        <v>59</v>
      </c>
      <c r="C4" s="298"/>
      <c r="D4" s="7"/>
      <c r="E4" s="103" t="s">
        <v>59</v>
      </c>
      <c r="F4" s="84" t="s">
        <v>60</v>
      </c>
      <c r="G4" s="84" t="s">
        <v>54</v>
      </c>
      <c r="H4" s="85" t="s">
        <v>61</v>
      </c>
    </row>
    <row r="5" spans="1:8" ht="14.4" customHeight="1" x14ac:dyDescent="0.3">
      <c r="A5" s="87" t="str">
        <f>HYPERLINK("#'Léky Žádanky'!A1","Léky (Kč)")</f>
        <v>Léky (Kč)</v>
      </c>
      <c r="B5" s="27">
        <v>8.8171600000000012</v>
      </c>
      <c r="C5" s="29">
        <v>2.5921799999999999</v>
      </c>
      <c r="D5" s="8"/>
      <c r="E5" s="92">
        <v>1.7242500000000001</v>
      </c>
      <c r="F5" s="28">
        <v>12.083336664172499</v>
      </c>
      <c r="G5" s="91">
        <f>E5-F5</f>
        <v>-10.3590866641725</v>
      </c>
      <c r="H5" s="97">
        <f>IF(F5&lt;0.00000001,"",E5/F5)</f>
        <v>0.14269651238903733</v>
      </c>
    </row>
    <row r="6" spans="1:8" ht="14.4" customHeight="1" x14ac:dyDescent="0.3">
      <c r="A6" s="87" t="str">
        <f>HYPERLINK("#'Materiál Žádanky'!A1","Materiál - SZM (Kč)")</f>
        <v>Materiál - SZM (Kč)</v>
      </c>
      <c r="B6" s="10">
        <v>424.67343000000108</v>
      </c>
      <c r="C6" s="31">
        <v>307.96851999999996</v>
      </c>
      <c r="D6" s="8"/>
      <c r="E6" s="93">
        <v>406.89748999999995</v>
      </c>
      <c r="F6" s="30">
        <v>567.08348965307084</v>
      </c>
      <c r="G6" s="94">
        <f>E6-F6</f>
        <v>-160.18599965307089</v>
      </c>
      <c r="H6" s="98">
        <f>IF(F6&lt;0.00000001,"",E6/F6)</f>
        <v>0.71752660309142635</v>
      </c>
    </row>
    <row r="7" spans="1:8" ht="14.4" customHeight="1" x14ac:dyDescent="0.3">
      <c r="A7" s="87" t="str">
        <f>HYPERLINK("#'Osobní náklady'!A1","Osobní náklady (Kč) *")</f>
        <v>Osobní náklady (Kč) *</v>
      </c>
      <c r="B7" s="10">
        <v>6792.5549800000099</v>
      </c>
      <c r="C7" s="31">
        <v>6840.4815900000003</v>
      </c>
      <c r="D7" s="8"/>
      <c r="E7" s="93">
        <v>7304.6859299999996</v>
      </c>
      <c r="F7" s="30">
        <v>7153.751971971833</v>
      </c>
      <c r="G7" s="94">
        <f>E7-F7</f>
        <v>150.93395802816667</v>
      </c>
      <c r="H7" s="98">
        <f>IF(F7&lt;0.00000001,"",E7/F7)</f>
        <v>1.021098572975345</v>
      </c>
    </row>
    <row r="8" spans="1:8" ht="14.4" customHeight="1" thickBot="1" x14ac:dyDescent="0.35">
      <c r="A8" s="1" t="s">
        <v>62</v>
      </c>
      <c r="B8" s="11">
        <v>1002.3024399999996</v>
      </c>
      <c r="C8" s="33">
        <v>1045.5176299999994</v>
      </c>
      <c r="D8" s="8"/>
      <c r="E8" s="95">
        <v>1215.6476299999999</v>
      </c>
      <c r="F8" s="32">
        <v>1135.7269089477559</v>
      </c>
      <c r="G8" s="96">
        <f>E8-F8</f>
        <v>79.920721052244062</v>
      </c>
      <c r="H8" s="99">
        <f>IF(F8&lt;0.00000001,"",E8/F8)</f>
        <v>1.0703696640650084</v>
      </c>
    </row>
    <row r="9" spans="1:8" ht="14.4" customHeight="1" thickBot="1" x14ac:dyDescent="0.35">
      <c r="A9" s="2" t="s">
        <v>63</v>
      </c>
      <c r="B9" s="3">
        <v>8228.3480100000106</v>
      </c>
      <c r="C9" s="35">
        <v>8196.5599199999997</v>
      </c>
      <c r="D9" s="8"/>
      <c r="E9" s="3">
        <v>8928.9552999999996</v>
      </c>
      <c r="F9" s="34">
        <v>8868.6457072368321</v>
      </c>
      <c r="G9" s="34">
        <f>E9-F9</f>
        <v>60.309592763167529</v>
      </c>
      <c r="H9" s="100">
        <f>IF(F9&lt;0.00000001,"",E9/F9)</f>
        <v>1.0068003159393271</v>
      </c>
    </row>
    <row r="10" spans="1:8" ht="14.4" customHeight="1" thickBot="1" x14ac:dyDescent="0.35">
      <c r="A10" s="12"/>
      <c r="B10" s="12"/>
      <c r="C10" s="83"/>
      <c r="D10" s="8"/>
      <c r="E10" s="12"/>
      <c r="F10" s="13"/>
    </row>
    <row r="11" spans="1:8" ht="14.4" customHeight="1" x14ac:dyDescent="0.3">
      <c r="A11" s="108" t="str">
        <f>HYPERLINK("#'ZV Vykáz.-A'!A1","Ambulance *")</f>
        <v>Ambulance *</v>
      </c>
      <c r="B11" s="9">
        <f>IF(ISERROR(VLOOKUP("Celkem:",'ZV Vykáz.-A'!A:F,2,0)),0,VLOOKUP("Celkem:",'ZV Vykáz.-A'!A:F,2,0)/1000)</f>
        <v>6722.8940000000002</v>
      </c>
      <c r="C11" s="29">
        <f>IF(ISERROR(VLOOKUP("Celkem:",'ZV Vykáz.-A'!A:F,4,0)),0,VLOOKUP("Celkem:",'ZV Vykáz.-A'!A:F,4,0)/1000)</f>
        <v>7956.98</v>
      </c>
      <c r="D11" s="8"/>
      <c r="E11" s="92">
        <f>IF(ISERROR(VLOOKUP("Celkem:",'ZV Vykáz.-A'!A:F,6,0)),0,VLOOKUP("Celkem:",'ZV Vykáz.-A'!A:F,6,0)/1000)</f>
        <v>8462.3520000000008</v>
      </c>
      <c r="F11" s="28">
        <f>B11</f>
        <v>6722.8940000000002</v>
      </c>
      <c r="G11" s="91">
        <f>E11-F11</f>
        <v>1739.4580000000005</v>
      </c>
      <c r="H11" s="97">
        <f>IF(F11&lt;0.00000001,"",E11/F11)</f>
        <v>1.2587364905649265</v>
      </c>
    </row>
    <row r="12" spans="1:8" ht="14.4" customHeight="1" thickBot="1" x14ac:dyDescent="0.35">
      <c r="A12" s="10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B12</f>
        <v>0</v>
      </c>
      <c r="G12" s="96">
        <f>E12-F12</f>
        <v>0</v>
      </c>
      <c r="H12" s="99" t="str">
        <f>IF(F12&lt;0.00000001,"",E12/F12)</f>
        <v/>
      </c>
    </row>
    <row r="13" spans="1:8" ht="14.4" customHeight="1" thickBot="1" x14ac:dyDescent="0.35">
      <c r="A13" s="4" t="s">
        <v>66</v>
      </c>
      <c r="B13" s="5">
        <f>SUM(B11:B12)</f>
        <v>6722.8940000000002</v>
      </c>
      <c r="C13" s="37">
        <f>SUM(C11:C12)</f>
        <v>7956.98</v>
      </c>
      <c r="D13" s="8"/>
      <c r="E13" s="5">
        <f>SUM(E11:E12)</f>
        <v>8462.3520000000008</v>
      </c>
      <c r="F13" s="36">
        <f>SUM(F11:F12)</f>
        <v>6722.8940000000002</v>
      </c>
      <c r="G13" s="36">
        <f>E13-F13</f>
        <v>1739.4580000000005</v>
      </c>
      <c r="H13" s="101">
        <f>IF(F13&lt;0.00000001,"",E13/F13)</f>
        <v>1.2587364905649265</v>
      </c>
    </row>
    <row r="14" spans="1:8" ht="14.4" customHeight="1" thickBot="1" x14ac:dyDescent="0.35">
      <c r="A14" s="12"/>
      <c r="B14" s="12"/>
      <c r="C14" s="83"/>
      <c r="D14" s="8"/>
      <c r="E14" s="12"/>
      <c r="F14" s="13"/>
    </row>
    <row r="15" spans="1:8" ht="14.4" customHeight="1" thickBot="1" x14ac:dyDescent="0.35">
      <c r="A15" s="110" t="str">
        <f>HYPERLINK("#'HI Graf'!A1","Hospodářský index (Výnosy / Náklady) *")</f>
        <v>Hospodářský index (Výnosy / Náklady) *</v>
      </c>
      <c r="B15" s="6">
        <f>IF(B9=0,"",B13/B9)</f>
        <v>0.81704055198316672</v>
      </c>
      <c r="C15" s="39">
        <f>IF(C9=0,"",C13/C9)</f>
        <v>0.9707706742415908</v>
      </c>
      <c r="D15" s="8"/>
      <c r="E15" s="6">
        <f>IF(E9=0,"",E13/E9)</f>
        <v>0.94774267713043669</v>
      </c>
      <c r="F15" s="38">
        <f>IF(F9=0,"",F13/F9)</f>
        <v>0.75805193057989739</v>
      </c>
      <c r="G15" s="38">
        <f>IF(ISERROR(F15-E15),"",E15-F15)</f>
        <v>0.1896907465505393</v>
      </c>
      <c r="H15" s="102">
        <f>IF(ISERROR(F15-E15),"",IF(F15&lt;0.00000001,"",E15/F15))</f>
        <v>1.2502345009601505</v>
      </c>
    </row>
    <row r="17" spans="1:8" ht="14.4" customHeight="1" x14ac:dyDescent="0.3">
      <c r="A17" s="88" t="s">
        <v>128</v>
      </c>
    </row>
    <row r="18" spans="1:8" ht="14.4" customHeight="1" x14ac:dyDescent="0.3">
      <c r="A18" s="255" t="s">
        <v>162</v>
      </c>
      <c r="B18" s="256"/>
      <c r="C18" s="256"/>
      <c r="D18" s="256"/>
      <c r="E18" s="256"/>
      <c r="F18" s="256"/>
      <c r="G18" s="256"/>
      <c r="H18" s="256"/>
    </row>
    <row r="19" spans="1:8" x14ac:dyDescent="0.3">
      <c r="A19" s="254" t="s">
        <v>161</v>
      </c>
      <c r="B19" s="256"/>
      <c r="C19" s="256"/>
      <c r="D19" s="256"/>
      <c r="E19" s="256"/>
      <c r="F19" s="256"/>
      <c r="G19" s="256"/>
      <c r="H19" s="256"/>
    </row>
    <row r="20" spans="1:8" ht="14.4" customHeight="1" x14ac:dyDescent="0.3">
      <c r="A20" s="89" t="s">
        <v>190</v>
      </c>
    </row>
    <row r="21" spans="1:8" ht="14.4" customHeight="1" x14ac:dyDescent="0.3">
      <c r="A21" s="89" t="s">
        <v>129</v>
      </c>
    </row>
    <row r="22" spans="1:8" ht="14.4" customHeight="1" x14ac:dyDescent="0.3">
      <c r="A22" s="90" t="s">
        <v>221</v>
      </c>
    </row>
    <row r="23" spans="1:8" ht="14.4" customHeight="1" x14ac:dyDescent="0.3">
      <c r="A23" s="90" t="s">
        <v>130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5" priority="4" operator="greaterThan">
      <formula>0</formula>
    </cfRule>
  </conditionalFormatting>
  <conditionalFormatting sqref="G11:G13 G15">
    <cfRule type="cellIs" dxfId="44" priority="3" operator="lessThan">
      <formula>0</formula>
    </cfRule>
  </conditionalFormatting>
  <conditionalFormatting sqref="H5:H9">
    <cfRule type="cellIs" dxfId="43" priority="2" operator="greaterThan">
      <formula>1</formula>
    </cfRule>
  </conditionalFormatting>
  <conditionalFormatting sqref="H11:H13 H15">
    <cfRule type="cellIs" dxfId="42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5"/>
    <col min="2" max="13" width="8.88671875" style="105" customWidth="1"/>
    <col min="14" max="16384" width="8.88671875" style="105"/>
  </cols>
  <sheetData>
    <row r="1" spans="1:13" ht="18.600000000000001" customHeight="1" thickBot="1" x14ac:dyDescent="0.4">
      <c r="A1" s="293" t="s">
        <v>90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</row>
    <row r="2" spans="1:13" ht="14.4" customHeight="1" x14ac:dyDescent="0.3">
      <c r="A2" s="202" t="s">
        <v>222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4.4" customHeight="1" x14ac:dyDescent="0.3">
      <c r="A3" s="171"/>
      <c r="B3" s="172" t="s">
        <v>68</v>
      </c>
      <c r="C3" s="173" t="s">
        <v>69</v>
      </c>
      <c r="D3" s="173" t="s">
        <v>70</v>
      </c>
      <c r="E3" s="172" t="s">
        <v>71</v>
      </c>
      <c r="F3" s="173" t="s">
        <v>72</v>
      </c>
      <c r="G3" s="173" t="s">
        <v>73</v>
      </c>
      <c r="H3" s="173" t="s">
        <v>74</v>
      </c>
      <c r="I3" s="173" t="s">
        <v>75</v>
      </c>
      <c r="J3" s="173" t="s">
        <v>76</v>
      </c>
      <c r="K3" s="173" t="s">
        <v>77</v>
      </c>
      <c r="L3" s="173" t="s">
        <v>78</v>
      </c>
      <c r="M3" s="173" t="s">
        <v>79</v>
      </c>
    </row>
    <row r="4" spans="1:13" ht="14.4" customHeight="1" x14ac:dyDescent="0.3">
      <c r="A4" s="171" t="s">
        <v>67</v>
      </c>
      <c r="B4" s="174">
        <f>(B10+B8)/B6</f>
        <v>0.90457707285001354</v>
      </c>
      <c r="C4" s="174">
        <f t="shared" ref="C4:M4" si="0">(C10+C8)/C6</f>
        <v>0.9493943694426128</v>
      </c>
      <c r="D4" s="174">
        <f t="shared" si="0"/>
        <v>0.95783549705930948</v>
      </c>
      <c r="E4" s="174">
        <f t="shared" si="0"/>
        <v>0.96804117142676238</v>
      </c>
      <c r="F4" s="174">
        <f t="shared" si="0"/>
        <v>0.94774267713043669</v>
      </c>
      <c r="G4" s="174">
        <f t="shared" si="0"/>
        <v>0.94774267713043669</v>
      </c>
      <c r="H4" s="174">
        <f t="shared" si="0"/>
        <v>0.94774267713043669</v>
      </c>
      <c r="I4" s="174">
        <f t="shared" si="0"/>
        <v>0.94774267713043669</v>
      </c>
      <c r="J4" s="174">
        <f t="shared" si="0"/>
        <v>0.94774267713043669</v>
      </c>
      <c r="K4" s="174">
        <f t="shared" si="0"/>
        <v>0.94774267713043669</v>
      </c>
      <c r="L4" s="174">
        <f t="shared" si="0"/>
        <v>0.94774267713043669</v>
      </c>
      <c r="M4" s="174">
        <f t="shared" si="0"/>
        <v>0.94774267713043669</v>
      </c>
    </row>
    <row r="5" spans="1:13" ht="14.4" customHeight="1" x14ac:dyDescent="0.3">
      <c r="A5" s="175" t="s">
        <v>39</v>
      </c>
      <c r="B5" s="174">
        <f>IF(ISERROR(VLOOKUP($A5,'Man Tab'!$A:$Q,COLUMN()+2,0)),0,VLOOKUP($A5,'Man Tab'!$A:$Q,COLUMN()+2,0))</f>
        <v>1838.4503099999999</v>
      </c>
      <c r="C5" s="174">
        <f>IF(ISERROR(VLOOKUP($A5,'Man Tab'!$A:$Q,COLUMN()+2,0)),0,VLOOKUP($A5,'Man Tab'!$A:$Q,COLUMN()+2,0))</f>
        <v>1723.6552899999999</v>
      </c>
      <c r="D5" s="174">
        <f>IF(ISERROR(VLOOKUP($A5,'Man Tab'!$A:$Q,COLUMN()+2,0)),0,VLOOKUP($A5,'Man Tab'!$A:$Q,COLUMN()+2,0))</f>
        <v>1735.17563</v>
      </c>
      <c r="E5" s="174">
        <f>IF(ISERROR(VLOOKUP($A5,'Man Tab'!$A:$Q,COLUMN()+2,0)),0,VLOOKUP($A5,'Man Tab'!$A:$Q,COLUMN()+2,0))</f>
        <v>1771.5823700000001</v>
      </c>
      <c r="F5" s="174">
        <f>IF(ISERROR(VLOOKUP($A5,'Man Tab'!$A:$Q,COLUMN()+2,0)),0,VLOOKUP($A5,'Man Tab'!$A:$Q,COLUMN()+2,0))</f>
        <v>1860.0916999999999</v>
      </c>
      <c r="G5" s="174">
        <f>IF(ISERROR(VLOOKUP($A5,'Man Tab'!$A:$Q,COLUMN()+2,0)),0,VLOOKUP($A5,'Man Tab'!$A:$Q,COLUMN()+2,0))</f>
        <v>0</v>
      </c>
      <c r="H5" s="174">
        <f>IF(ISERROR(VLOOKUP($A5,'Man Tab'!$A:$Q,COLUMN()+2,0)),0,VLOOKUP($A5,'Man Tab'!$A:$Q,COLUMN()+2,0))</f>
        <v>0</v>
      </c>
      <c r="I5" s="174">
        <f>IF(ISERROR(VLOOKUP($A5,'Man Tab'!$A:$Q,COLUMN()+2,0)),0,VLOOKUP($A5,'Man Tab'!$A:$Q,COLUMN()+2,0))</f>
        <v>0</v>
      </c>
      <c r="J5" s="174">
        <f>IF(ISERROR(VLOOKUP($A5,'Man Tab'!$A:$Q,COLUMN()+2,0)),0,VLOOKUP($A5,'Man Tab'!$A:$Q,COLUMN()+2,0))</f>
        <v>0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63</v>
      </c>
      <c r="B6" s="176">
        <f>B5</f>
        <v>1838.4503099999999</v>
      </c>
      <c r="C6" s="176">
        <f t="shared" ref="C6:M6" si="1">C5+B6</f>
        <v>3562.1055999999999</v>
      </c>
      <c r="D6" s="176">
        <f t="shared" si="1"/>
        <v>5297.2812299999996</v>
      </c>
      <c r="E6" s="176">
        <f t="shared" si="1"/>
        <v>7068.8635999999997</v>
      </c>
      <c r="F6" s="176">
        <f t="shared" si="1"/>
        <v>8928.9552999999996</v>
      </c>
      <c r="G6" s="176">
        <f t="shared" si="1"/>
        <v>8928.9552999999996</v>
      </c>
      <c r="H6" s="176">
        <f t="shared" si="1"/>
        <v>8928.9552999999996</v>
      </c>
      <c r="I6" s="176">
        <f t="shared" si="1"/>
        <v>8928.9552999999996</v>
      </c>
      <c r="J6" s="176">
        <f t="shared" si="1"/>
        <v>8928.9552999999996</v>
      </c>
      <c r="K6" s="176">
        <f t="shared" si="1"/>
        <v>8928.9552999999996</v>
      </c>
      <c r="L6" s="176">
        <f t="shared" si="1"/>
        <v>8928.9552999999996</v>
      </c>
      <c r="M6" s="176">
        <f t="shared" si="1"/>
        <v>8928.9552999999996</v>
      </c>
    </row>
    <row r="7" spans="1:13" ht="14.4" customHeight="1" x14ac:dyDescent="0.3">
      <c r="A7" s="175" t="s">
        <v>88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64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89</v>
      </c>
      <c r="B9" s="175">
        <v>1663020</v>
      </c>
      <c r="C9" s="175">
        <v>1718823</v>
      </c>
      <c r="D9" s="175">
        <v>1692081</v>
      </c>
      <c r="E9" s="175">
        <v>1769027</v>
      </c>
      <c r="F9" s="175">
        <v>1619401</v>
      </c>
      <c r="G9" s="175">
        <v>0</v>
      </c>
      <c r="H9" s="175">
        <v>0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</row>
    <row r="10" spans="1:13" ht="14.4" customHeight="1" x14ac:dyDescent="0.3">
      <c r="A10" s="175" t="s">
        <v>65</v>
      </c>
      <c r="B10" s="176">
        <f>B9/1000</f>
        <v>1663.02</v>
      </c>
      <c r="C10" s="176">
        <f t="shared" ref="C10:M10" si="3">C9/1000+B10</f>
        <v>3381.8429999999998</v>
      </c>
      <c r="D10" s="176">
        <f t="shared" si="3"/>
        <v>5073.924</v>
      </c>
      <c r="E10" s="176">
        <f t="shared" si="3"/>
        <v>6842.951</v>
      </c>
      <c r="F10" s="176">
        <f t="shared" si="3"/>
        <v>8462.3520000000008</v>
      </c>
      <c r="G10" s="176">
        <f t="shared" si="3"/>
        <v>8462.3520000000008</v>
      </c>
      <c r="H10" s="176">
        <f t="shared" si="3"/>
        <v>8462.3520000000008</v>
      </c>
      <c r="I10" s="176">
        <f t="shared" si="3"/>
        <v>8462.3520000000008</v>
      </c>
      <c r="J10" s="176">
        <f t="shared" si="3"/>
        <v>8462.3520000000008</v>
      </c>
      <c r="K10" s="176">
        <f t="shared" si="3"/>
        <v>8462.3520000000008</v>
      </c>
      <c r="L10" s="176">
        <f t="shared" si="3"/>
        <v>8462.3520000000008</v>
      </c>
      <c r="M10" s="176">
        <f t="shared" si="3"/>
        <v>8462.3520000000008</v>
      </c>
    </row>
    <row r="11" spans="1:13" ht="14.4" customHeight="1" x14ac:dyDescent="0.3">
      <c r="A11" s="171"/>
      <c r="B11" s="171" t="s">
        <v>80</v>
      </c>
      <c r="C11" s="171">
        <f ca="1">IF(MONTH(TODAY())=1,12,MONTH(TODAY())-1)</f>
        <v>5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0.75805193057989739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0.75805193057989739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5" bestFit="1" customWidth="1"/>
    <col min="2" max="2" width="12.77734375" style="105" bestFit="1" customWidth="1"/>
    <col min="3" max="3" width="13.6640625" style="105" bestFit="1" customWidth="1"/>
    <col min="4" max="15" width="7.77734375" style="105" bestFit="1" customWidth="1"/>
    <col min="16" max="16" width="8.88671875" style="105" customWidth="1"/>
    <col min="17" max="17" width="6.6640625" style="105" bestFit="1" customWidth="1"/>
    <col min="18" max="16384" width="8.88671875" style="105"/>
  </cols>
  <sheetData>
    <row r="1" spans="1:17" s="177" customFormat="1" ht="18.600000000000001" customHeight="1" thickBot="1" x14ac:dyDescent="0.4">
      <c r="A1" s="302" t="s">
        <v>224</v>
      </c>
      <c r="B1" s="302"/>
      <c r="C1" s="302"/>
      <c r="D1" s="302"/>
      <c r="E1" s="302"/>
      <c r="F1" s="302"/>
      <c r="G1" s="302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s="177" customFormat="1" ht="14.4" customHeight="1" thickBot="1" x14ac:dyDescent="0.3">
      <c r="A2" s="202" t="s">
        <v>222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03" t="s">
        <v>15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113"/>
      <c r="Q3" s="115"/>
    </row>
    <row r="4" spans="1:17" ht="14.4" customHeight="1" x14ac:dyDescent="0.3">
      <c r="A4" s="61"/>
      <c r="B4" s="20">
        <v>2016</v>
      </c>
      <c r="C4" s="114" t="s">
        <v>16</v>
      </c>
      <c r="D4" s="104" t="s">
        <v>201</v>
      </c>
      <c r="E4" s="104" t="s">
        <v>202</v>
      </c>
      <c r="F4" s="104" t="s">
        <v>203</v>
      </c>
      <c r="G4" s="104" t="s">
        <v>204</v>
      </c>
      <c r="H4" s="104" t="s">
        <v>205</v>
      </c>
      <c r="I4" s="104" t="s">
        <v>206</v>
      </c>
      <c r="J4" s="104" t="s">
        <v>207</v>
      </c>
      <c r="K4" s="104" t="s">
        <v>208</v>
      </c>
      <c r="L4" s="104" t="s">
        <v>209</v>
      </c>
      <c r="M4" s="104" t="s">
        <v>210</v>
      </c>
      <c r="N4" s="104" t="s">
        <v>211</v>
      </c>
      <c r="O4" s="104" t="s">
        <v>212</v>
      </c>
      <c r="P4" s="305" t="s">
        <v>3</v>
      </c>
      <c r="Q4" s="306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223</v>
      </c>
    </row>
    <row r="7" spans="1:17" ht="14.4" customHeight="1" x14ac:dyDescent="0.3">
      <c r="A7" s="15" t="s">
        <v>21</v>
      </c>
      <c r="B7" s="46">
        <v>29.000007994013998</v>
      </c>
      <c r="C7" s="47">
        <v>2.4166673328339998</v>
      </c>
      <c r="D7" s="47">
        <v>0</v>
      </c>
      <c r="E7" s="47">
        <v>0</v>
      </c>
      <c r="F7" s="47">
        <v>0</v>
      </c>
      <c r="G7" s="47">
        <v>0</v>
      </c>
      <c r="H7" s="47">
        <v>1.7242500000000001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1.7242500000000001</v>
      </c>
      <c r="Q7" s="71">
        <v>0.142696512389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223</v>
      </c>
    </row>
    <row r="9" spans="1:17" ht="14.4" customHeight="1" x14ac:dyDescent="0.3">
      <c r="A9" s="15" t="s">
        <v>23</v>
      </c>
      <c r="B9" s="46">
        <v>1361.0003751673701</v>
      </c>
      <c r="C9" s="47">
        <v>113.41669793061401</v>
      </c>
      <c r="D9" s="47">
        <v>140.03523999999999</v>
      </c>
      <c r="E9" s="47">
        <v>44.180729999999997</v>
      </c>
      <c r="F9" s="47">
        <v>82.878439999999998</v>
      </c>
      <c r="G9" s="47">
        <v>88.076719999999995</v>
      </c>
      <c r="H9" s="47">
        <v>51.72636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406.89749</v>
      </c>
      <c r="Q9" s="71">
        <v>0.71752660309100003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223</v>
      </c>
    </row>
    <row r="11" spans="1:17" ht="14.4" customHeight="1" x14ac:dyDescent="0.3">
      <c r="A11" s="15" t="s">
        <v>25</v>
      </c>
      <c r="B11" s="46">
        <v>227.80419737622401</v>
      </c>
      <c r="C11" s="47">
        <v>18.983683114685</v>
      </c>
      <c r="D11" s="47">
        <v>16.522539999999999</v>
      </c>
      <c r="E11" s="47">
        <v>26.7349</v>
      </c>
      <c r="F11" s="47">
        <v>7.5521599999999998</v>
      </c>
      <c r="G11" s="47">
        <v>18.299779999999998</v>
      </c>
      <c r="H11" s="47">
        <v>14.76577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83.875150000000005</v>
      </c>
      <c r="Q11" s="71">
        <v>0.88365518422599998</v>
      </c>
    </row>
    <row r="12" spans="1:17" ht="14.4" customHeight="1" x14ac:dyDescent="0.3">
      <c r="A12" s="15" t="s">
        <v>26</v>
      </c>
      <c r="B12" s="46">
        <v>112.36171522241</v>
      </c>
      <c r="C12" s="47">
        <v>9.3634762685340007</v>
      </c>
      <c r="D12" s="47">
        <v>0</v>
      </c>
      <c r="E12" s="47">
        <v>1.99</v>
      </c>
      <c r="F12" s="47">
        <v>0</v>
      </c>
      <c r="G12" s="47">
        <v>0</v>
      </c>
      <c r="H12" s="47">
        <v>34.103230000000003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36.093229999999998</v>
      </c>
      <c r="Q12" s="71">
        <v>0.77093654033699999</v>
      </c>
    </row>
    <row r="13" spans="1:17" ht="14.4" customHeight="1" x14ac:dyDescent="0.3">
      <c r="A13" s="15" t="s">
        <v>27</v>
      </c>
      <c r="B13" s="46">
        <v>14.109737163462</v>
      </c>
      <c r="C13" s="47">
        <v>1.1758114302880001</v>
      </c>
      <c r="D13" s="47">
        <v>-0.51283000000000001</v>
      </c>
      <c r="E13" s="47">
        <v>0.46966000000000002</v>
      </c>
      <c r="F13" s="47">
        <v>3.7818399999999999</v>
      </c>
      <c r="G13" s="47">
        <v>1.0321400000000001</v>
      </c>
      <c r="H13" s="47">
        <v>2.0906799999999999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6.8614899999999999</v>
      </c>
      <c r="Q13" s="71">
        <v>1.167107211794</v>
      </c>
    </row>
    <row r="14" spans="1:17" ht="14.4" customHeight="1" x14ac:dyDescent="0.3">
      <c r="A14" s="15" t="s">
        <v>28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</v>
      </c>
      <c r="Q14" s="71" t="s">
        <v>223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223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223</v>
      </c>
    </row>
    <row r="17" spans="1:17" ht="14.4" customHeight="1" x14ac:dyDescent="0.3">
      <c r="A17" s="15" t="s">
        <v>31</v>
      </c>
      <c r="B17" s="46">
        <v>133.88866830760401</v>
      </c>
      <c r="C17" s="47">
        <v>11.157389025633</v>
      </c>
      <c r="D17" s="47">
        <v>20.4068</v>
      </c>
      <c r="E17" s="47">
        <v>2.5168300000000001</v>
      </c>
      <c r="F17" s="47">
        <v>4.9604999999999997</v>
      </c>
      <c r="G17" s="47">
        <v>5.07897</v>
      </c>
      <c r="H17" s="47">
        <v>32.152000000000001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65.115099999999998</v>
      </c>
      <c r="Q17" s="71">
        <v>1.1672103545079999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0</v>
      </c>
      <c r="E18" s="47">
        <v>0</v>
      </c>
      <c r="F18" s="47">
        <v>0.60499999999999998</v>
      </c>
      <c r="G18" s="47">
        <v>3.585</v>
      </c>
      <c r="H18" s="47">
        <v>5.2009999999999996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9.391</v>
      </c>
      <c r="Q18" s="71" t="s">
        <v>223</v>
      </c>
    </row>
    <row r="19" spans="1:17" ht="14.4" customHeight="1" x14ac:dyDescent="0.3">
      <c r="A19" s="15" t="s">
        <v>33</v>
      </c>
      <c r="B19" s="46">
        <v>461.78341759696201</v>
      </c>
      <c r="C19" s="47">
        <v>38.481951466413001</v>
      </c>
      <c r="D19" s="47">
        <v>52.71846</v>
      </c>
      <c r="E19" s="47">
        <v>43.502200000000002</v>
      </c>
      <c r="F19" s="47">
        <v>76.34787</v>
      </c>
      <c r="G19" s="47">
        <v>35.603059999999999</v>
      </c>
      <c r="H19" s="47">
        <v>49.713270000000001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257.88486</v>
      </c>
      <c r="Q19" s="71">
        <v>1.3402899290329999</v>
      </c>
    </row>
    <row r="20" spans="1:17" ht="14.4" customHeight="1" x14ac:dyDescent="0.3">
      <c r="A20" s="15" t="s">
        <v>34</v>
      </c>
      <c r="B20" s="46">
        <v>17169.004732732399</v>
      </c>
      <c r="C20" s="47">
        <v>1430.75039439436</v>
      </c>
      <c r="D20" s="47">
        <v>1460.3274699999999</v>
      </c>
      <c r="E20" s="47">
        <v>1454.29827</v>
      </c>
      <c r="F20" s="47">
        <v>1408.99899</v>
      </c>
      <c r="G20" s="47">
        <v>1464.2696599999999</v>
      </c>
      <c r="H20" s="47">
        <v>1516.7915399999999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7304.6859299999996</v>
      </c>
      <c r="Q20" s="71">
        <v>1.021098572975</v>
      </c>
    </row>
    <row r="21" spans="1:17" ht="14.4" customHeight="1" x14ac:dyDescent="0.3">
      <c r="A21" s="16" t="s">
        <v>35</v>
      </c>
      <c r="B21" s="46">
        <v>1734.0043256992601</v>
      </c>
      <c r="C21" s="47">
        <v>144.50036047493799</v>
      </c>
      <c r="D21" s="47">
        <v>144.53700000000001</v>
      </c>
      <c r="E21" s="47">
        <v>144.53700000000001</v>
      </c>
      <c r="F21" s="47">
        <v>144.53700000000001</v>
      </c>
      <c r="G21" s="47">
        <v>144.53700000000001</v>
      </c>
      <c r="H21" s="47">
        <v>144.53700000000001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722.68499999999995</v>
      </c>
      <c r="Q21" s="71">
        <v>1.0002535600939999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1" t="s">
        <v>223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/>
    </row>
    <row r="24" spans="1:17" ht="14.4" customHeight="1" x14ac:dyDescent="0.3">
      <c r="A24" s="16" t="s">
        <v>38</v>
      </c>
      <c r="B24" s="46">
        <v>41.792520108741002</v>
      </c>
      <c r="C24" s="47">
        <v>3.4827100090609999</v>
      </c>
      <c r="D24" s="47">
        <v>4.4156299999990001</v>
      </c>
      <c r="E24" s="47">
        <v>5.4256999999989999</v>
      </c>
      <c r="F24" s="47">
        <v>5.5138299999999996</v>
      </c>
      <c r="G24" s="47">
        <v>11.100039999999</v>
      </c>
      <c r="H24" s="47">
        <v>7.2866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33.741799999999998</v>
      </c>
      <c r="Q24" s="71">
        <v>1.9376749664599999</v>
      </c>
    </row>
    <row r="25" spans="1:17" ht="14.4" customHeight="1" x14ac:dyDescent="0.3">
      <c r="A25" s="17" t="s">
        <v>39</v>
      </c>
      <c r="B25" s="49">
        <v>21284.749697368399</v>
      </c>
      <c r="C25" s="50">
        <v>1773.72914144737</v>
      </c>
      <c r="D25" s="50">
        <v>1838.4503099999999</v>
      </c>
      <c r="E25" s="50">
        <v>1723.6552899999999</v>
      </c>
      <c r="F25" s="50">
        <v>1735.17563</v>
      </c>
      <c r="G25" s="50">
        <v>1771.5823700000001</v>
      </c>
      <c r="H25" s="50">
        <v>1860.0916999999999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8928.9552999999996</v>
      </c>
      <c r="Q25" s="72">
        <v>1.006800315939</v>
      </c>
    </row>
    <row r="26" spans="1:17" ht="14.4" customHeight="1" x14ac:dyDescent="0.3">
      <c r="A26" s="15" t="s">
        <v>40</v>
      </c>
      <c r="B26" s="46">
        <v>0</v>
      </c>
      <c r="C26" s="47">
        <v>0</v>
      </c>
      <c r="D26" s="47">
        <v>228.33476999999999</v>
      </c>
      <c r="E26" s="47">
        <v>209.89219</v>
      </c>
      <c r="F26" s="47">
        <v>215.52707000000001</v>
      </c>
      <c r="G26" s="47">
        <v>223.37967</v>
      </c>
      <c r="H26" s="47">
        <v>208.29578000000001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1085.42948</v>
      </c>
      <c r="Q26" s="71" t="s">
        <v>223</v>
      </c>
    </row>
    <row r="27" spans="1:17" ht="14.4" customHeight="1" x14ac:dyDescent="0.3">
      <c r="A27" s="18" t="s">
        <v>41</v>
      </c>
      <c r="B27" s="49">
        <v>21284.749697368399</v>
      </c>
      <c r="C27" s="50">
        <v>1773.72914144737</v>
      </c>
      <c r="D27" s="50">
        <v>2066.7850800000001</v>
      </c>
      <c r="E27" s="50">
        <v>1933.54748</v>
      </c>
      <c r="F27" s="50">
        <v>1950.7027</v>
      </c>
      <c r="G27" s="50">
        <v>1994.9620399999999</v>
      </c>
      <c r="H27" s="50">
        <v>2068.3874799999999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10014.38478</v>
      </c>
      <c r="Q27" s="72">
        <v>1.129189857232</v>
      </c>
    </row>
    <row r="28" spans="1:17" ht="14.4" customHeight="1" x14ac:dyDescent="0.3">
      <c r="A28" s="16" t="s">
        <v>42</v>
      </c>
      <c r="B28" s="46">
        <v>889.874720365852</v>
      </c>
      <c r="C28" s="47">
        <v>74.156226697153997</v>
      </c>
      <c r="D28" s="47">
        <v>87.156400000000005</v>
      </c>
      <c r="E28" s="47">
        <v>90.092680000000001</v>
      </c>
      <c r="F28" s="47">
        <v>133.39096000000001</v>
      </c>
      <c r="G28" s="47">
        <v>103.83062</v>
      </c>
      <c r="H28" s="47">
        <v>125.53555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540.00621000000001</v>
      </c>
      <c r="Q28" s="71">
        <v>1.4564015297199999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223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5.4257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5.4257</v>
      </c>
      <c r="Q31" s="73" t="s">
        <v>223</v>
      </c>
    </row>
    <row r="32" spans="1:17" ht="14.4" customHeight="1" x14ac:dyDescent="0.3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17" ht="14.4" customHeight="1" x14ac:dyDescent="0.3">
      <c r="A33" s="88" t="s">
        <v>128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  <row r="34" spans="1:17" ht="14.4" customHeight="1" x14ac:dyDescent="0.3">
      <c r="A34" s="111" t="s">
        <v>213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17" ht="14.4" customHeight="1" x14ac:dyDescent="0.3">
      <c r="A35" s="112" t="s">
        <v>46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5" customWidth="1"/>
    <col min="2" max="11" width="10" style="105" customWidth="1"/>
    <col min="12" max="16384" width="8.88671875" style="105"/>
  </cols>
  <sheetData>
    <row r="1" spans="1:11" s="55" customFormat="1" ht="18.600000000000001" customHeight="1" thickBot="1" x14ac:dyDescent="0.4">
      <c r="A1" s="302" t="s">
        <v>47</v>
      </c>
      <c r="B1" s="302"/>
      <c r="C1" s="302"/>
      <c r="D1" s="302"/>
      <c r="E1" s="302"/>
      <c r="F1" s="302"/>
      <c r="G1" s="302"/>
      <c r="H1" s="307"/>
      <c r="I1" s="307"/>
      <c r="J1" s="307"/>
      <c r="K1" s="307"/>
    </row>
    <row r="2" spans="1:11" s="55" customFormat="1" ht="14.4" customHeight="1" thickBot="1" x14ac:dyDescent="0.35">
      <c r="A2" s="202" t="s">
        <v>222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03" t="s">
        <v>48</v>
      </c>
      <c r="C3" s="304"/>
      <c r="D3" s="304"/>
      <c r="E3" s="304"/>
      <c r="F3" s="310" t="s">
        <v>49</v>
      </c>
      <c r="G3" s="304"/>
      <c r="H3" s="304"/>
      <c r="I3" s="304"/>
      <c r="J3" s="304"/>
      <c r="K3" s="311"/>
    </row>
    <row r="4" spans="1:11" ht="14.4" customHeight="1" x14ac:dyDescent="0.3">
      <c r="A4" s="61"/>
      <c r="B4" s="308"/>
      <c r="C4" s="309"/>
      <c r="D4" s="309"/>
      <c r="E4" s="309"/>
      <c r="F4" s="312" t="s">
        <v>218</v>
      </c>
      <c r="G4" s="314" t="s">
        <v>50</v>
      </c>
      <c r="H4" s="116" t="s">
        <v>118</v>
      </c>
      <c r="I4" s="312" t="s">
        <v>51</v>
      </c>
      <c r="J4" s="314" t="s">
        <v>193</v>
      </c>
      <c r="K4" s="315" t="s">
        <v>220</v>
      </c>
    </row>
    <row r="5" spans="1:11" ht="42" thickBot="1" x14ac:dyDescent="0.35">
      <c r="A5" s="62"/>
      <c r="B5" s="24" t="s">
        <v>214</v>
      </c>
      <c r="C5" s="25" t="s">
        <v>215</v>
      </c>
      <c r="D5" s="26" t="s">
        <v>216</v>
      </c>
      <c r="E5" s="26" t="s">
        <v>217</v>
      </c>
      <c r="F5" s="313"/>
      <c r="G5" s="313"/>
      <c r="H5" s="25" t="s">
        <v>219</v>
      </c>
      <c r="I5" s="313"/>
      <c r="J5" s="313"/>
      <c r="K5" s="316"/>
    </row>
    <row r="6" spans="1:11" ht="14.4" customHeight="1" thickBot="1" x14ac:dyDescent="0.35">
      <c r="A6" s="379" t="s">
        <v>225</v>
      </c>
      <c r="B6" s="361">
        <v>22923.1442559512</v>
      </c>
      <c r="C6" s="361">
        <v>21997.43563</v>
      </c>
      <c r="D6" s="362">
        <v>-925.70862595119297</v>
      </c>
      <c r="E6" s="363">
        <v>0.95961685641299999</v>
      </c>
      <c r="F6" s="361">
        <v>21284.749697368399</v>
      </c>
      <c r="G6" s="362">
        <v>8868.6457072368394</v>
      </c>
      <c r="H6" s="364">
        <v>1860.0916999999999</v>
      </c>
      <c r="I6" s="361">
        <v>8928.9552999999996</v>
      </c>
      <c r="J6" s="362">
        <v>60.309592763158001</v>
      </c>
      <c r="K6" s="365">
        <v>0.41950013164099997</v>
      </c>
    </row>
    <row r="7" spans="1:11" ht="14.4" customHeight="1" thickBot="1" x14ac:dyDescent="0.35">
      <c r="A7" s="380" t="s">
        <v>226</v>
      </c>
      <c r="B7" s="361">
        <v>1632.8719295041401</v>
      </c>
      <c r="C7" s="361">
        <v>1609.2761800000001</v>
      </c>
      <c r="D7" s="362">
        <v>-23.595749504139999</v>
      </c>
      <c r="E7" s="363">
        <v>0.98554954061099997</v>
      </c>
      <c r="F7" s="361">
        <v>1744.27603292348</v>
      </c>
      <c r="G7" s="362">
        <v>726.78168038478304</v>
      </c>
      <c r="H7" s="364">
        <v>104.41019</v>
      </c>
      <c r="I7" s="361">
        <v>540.87725</v>
      </c>
      <c r="J7" s="362">
        <v>-185.90443038478301</v>
      </c>
      <c r="K7" s="365">
        <v>0.31008695859500002</v>
      </c>
    </row>
    <row r="8" spans="1:11" ht="14.4" customHeight="1" thickBot="1" x14ac:dyDescent="0.35">
      <c r="A8" s="381" t="s">
        <v>227</v>
      </c>
      <c r="B8" s="361">
        <v>1632.8719295041401</v>
      </c>
      <c r="C8" s="361">
        <v>1609.2761800000001</v>
      </c>
      <c r="D8" s="362">
        <v>-23.595749504139999</v>
      </c>
      <c r="E8" s="363">
        <v>0.98554954061099997</v>
      </c>
      <c r="F8" s="361">
        <v>1744.27603292348</v>
      </c>
      <c r="G8" s="362">
        <v>726.78168038478304</v>
      </c>
      <c r="H8" s="364">
        <v>104.41019</v>
      </c>
      <c r="I8" s="361">
        <v>540.87725</v>
      </c>
      <c r="J8" s="362">
        <v>-185.90443038478301</v>
      </c>
      <c r="K8" s="365">
        <v>0.31008695859500002</v>
      </c>
    </row>
    <row r="9" spans="1:11" ht="14.4" customHeight="1" thickBot="1" x14ac:dyDescent="0.35">
      <c r="A9" s="382" t="s">
        <v>228</v>
      </c>
      <c r="B9" s="366">
        <v>0</v>
      </c>
      <c r="C9" s="366">
        <v>1.0200000000000001E-3</v>
      </c>
      <c r="D9" s="367">
        <v>1.0200000000000001E-3</v>
      </c>
      <c r="E9" s="368" t="s">
        <v>223</v>
      </c>
      <c r="F9" s="366">
        <v>0</v>
      </c>
      <c r="G9" s="367">
        <v>0</v>
      </c>
      <c r="H9" s="369">
        <v>-1E-4</v>
      </c>
      <c r="I9" s="366">
        <v>-6.0000000000000002E-5</v>
      </c>
      <c r="J9" s="367">
        <v>-6.0000000000000002E-5</v>
      </c>
      <c r="K9" s="370" t="s">
        <v>223</v>
      </c>
    </row>
    <row r="10" spans="1:11" ht="14.4" customHeight="1" thickBot="1" x14ac:dyDescent="0.35">
      <c r="A10" s="383" t="s">
        <v>229</v>
      </c>
      <c r="B10" s="361">
        <v>0</v>
      </c>
      <c r="C10" s="361">
        <v>1.0200000000000001E-3</v>
      </c>
      <c r="D10" s="362">
        <v>1.0200000000000001E-3</v>
      </c>
      <c r="E10" s="371" t="s">
        <v>223</v>
      </c>
      <c r="F10" s="361">
        <v>0</v>
      </c>
      <c r="G10" s="362">
        <v>0</v>
      </c>
      <c r="H10" s="364">
        <v>-1E-4</v>
      </c>
      <c r="I10" s="361">
        <v>-6.0000000000000002E-5</v>
      </c>
      <c r="J10" s="362">
        <v>-6.0000000000000002E-5</v>
      </c>
      <c r="K10" s="372" t="s">
        <v>223</v>
      </c>
    </row>
    <row r="11" spans="1:11" ht="14.4" customHeight="1" thickBot="1" x14ac:dyDescent="0.35">
      <c r="A11" s="382" t="s">
        <v>230</v>
      </c>
      <c r="B11" s="366">
        <v>28.695716408865</v>
      </c>
      <c r="C11" s="366">
        <v>12.290100000000001</v>
      </c>
      <c r="D11" s="367">
        <v>-16.405616408865001</v>
      </c>
      <c r="E11" s="373">
        <v>0.42829040491199999</v>
      </c>
      <c r="F11" s="366">
        <v>29.000007994013998</v>
      </c>
      <c r="G11" s="367">
        <v>12.083336664172</v>
      </c>
      <c r="H11" s="369">
        <v>1.7242500000000001</v>
      </c>
      <c r="I11" s="366">
        <v>1.7242500000000001</v>
      </c>
      <c r="J11" s="367">
        <v>-10.359086664172001</v>
      </c>
      <c r="K11" s="374">
        <v>5.9456880162E-2</v>
      </c>
    </row>
    <row r="12" spans="1:11" ht="14.4" customHeight="1" thickBot="1" x14ac:dyDescent="0.35">
      <c r="A12" s="383" t="s">
        <v>231</v>
      </c>
      <c r="B12" s="361">
        <v>28.695716408865</v>
      </c>
      <c r="C12" s="361">
        <v>10.934900000000001</v>
      </c>
      <c r="D12" s="362">
        <v>-17.760816408865001</v>
      </c>
      <c r="E12" s="363">
        <v>0.38106384396100001</v>
      </c>
      <c r="F12" s="361">
        <v>29.000007994013998</v>
      </c>
      <c r="G12" s="362">
        <v>12.083336664172</v>
      </c>
      <c r="H12" s="364">
        <v>1.7242500000000001</v>
      </c>
      <c r="I12" s="361">
        <v>1.7242500000000001</v>
      </c>
      <c r="J12" s="362">
        <v>-10.359086664172001</v>
      </c>
      <c r="K12" s="365">
        <v>5.9456880162E-2</v>
      </c>
    </row>
    <row r="13" spans="1:11" ht="14.4" customHeight="1" thickBot="1" x14ac:dyDescent="0.35">
      <c r="A13" s="383" t="s">
        <v>232</v>
      </c>
      <c r="B13" s="361">
        <v>0</v>
      </c>
      <c r="C13" s="361">
        <v>1.3552</v>
      </c>
      <c r="D13" s="362">
        <v>1.3552</v>
      </c>
      <c r="E13" s="371" t="s">
        <v>233</v>
      </c>
      <c r="F13" s="361">
        <v>0</v>
      </c>
      <c r="G13" s="362">
        <v>0</v>
      </c>
      <c r="H13" s="364">
        <v>0</v>
      </c>
      <c r="I13" s="361">
        <v>0</v>
      </c>
      <c r="J13" s="362">
        <v>0</v>
      </c>
      <c r="K13" s="372" t="s">
        <v>223</v>
      </c>
    </row>
    <row r="14" spans="1:11" ht="14.4" customHeight="1" thickBot="1" x14ac:dyDescent="0.35">
      <c r="A14" s="382" t="s">
        <v>234</v>
      </c>
      <c r="B14" s="366">
        <v>1361.9999571003</v>
      </c>
      <c r="C14" s="366">
        <v>1269.78981</v>
      </c>
      <c r="D14" s="367">
        <v>-92.210147100300006</v>
      </c>
      <c r="E14" s="373">
        <v>0.93229798090600002</v>
      </c>
      <c r="F14" s="366">
        <v>1361.0003751673701</v>
      </c>
      <c r="G14" s="367">
        <v>567.08348965307005</v>
      </c>
      <c r="H14" s="369">
        <v>51.72636</v>
      </c>
      <c r="I14" s="366">
        <v>406.89749</v>
      </c>
      <c r="J14" s="367">
        <v>-160.18599965307001</v>
      </c>
      <c r="K14" s="374">
        <v>0.29896941795400001</v>
      </c>
    </row>
    <row r="15" spans="1:11" ht="14.4" customHeight="1" thickBot="1" x14ac:dyDescent="0.35">
      <c r="A15" s="383" t="s">
        <v>235</v>
      </c>
      <c r="B15" s="361">
        <v>1024.9999677149799</v>
      </c>
      <c r="C15" s="361">
        <v>756.29521999999997</v>
      </c>
      <c r="D15" s="362">
        <v>-268.70474771498402</v>
      </c>
      <c r="E15" s="363">
        <v>0.73784901836200001</v>
      </c>
      <c r="F15" s="361">
        <v>900.00024809010404</v>
      </c>
      <c r="G15" s="362">
        <v>375.00010337087701</v>
      </c>
      <c r="H15" s="364">
        <v>28.648319999999998</v>
      </c>
      <c r="I15" s="361">
        <v>269.15213</v>
      </c>
      <c r="J15" s="362">
        <v>-105.847973370877</v>
      </c>
      <c r="K15" s="365">
        <v>0.299057839785</v>
      </c>
    </row>
    <row r="16" spans="1:11" ht="14.4" customHeight="1" thickBot="1" x14ac:dyDescent="0.35">
      <c r="A16" s="383" t="s">
        <v>236</v>
      </c>
      <c r="B16" s="361">
        <v>61.999998047150001</v>
      </c>
      <c r="C16" s="361">
        <v>131.94640999999999</v>
      </c>
      <c r="D16" s="362">
        <v>69.946411952849004</v>
      </c>
      <c r="E16" s="363">
        <v>2.128167970257</v>
      </c>
      <c r="F16" s="361">
        <v>80.000022052453005</v>
      </c>
      <c r="G16" s="362">
        <v>33.333342521855002</v>
      </c>
      <c r="H16" s="364">
        <v>15.4719</v>
      </c>
      <c r="I16" s="361">
        <v>66.079369999999997</v>
      </c>
      <c r="J16" s="362">
        <v>32.746027478144001</v>
      </c>
      <c r="K16" s="365">
        <v>0.82599189731</v>
      </c>
    </row>
    <row r="17" spans="1:11" ht="14.4" customHeight="1" thickBot="1" x14ac:dyDescent="0.35">
      <c r="A17" s="383" t="s">
        <v>237</v>
      </c>
      <c r="B17" s="361">
        <v>32.999998960580001</v>
      </c>
      <c r="C17" s="361">
        <v>39.771450000000002</v>
      </c>
      <c r="D17" s="362">
        <v>6.7714510394199996</v>
      </c>
      <c r="E17" s="363">
        <v>1.205195492506</v>
      </c>
      <c r="F17" s="361">
        <v>36.000009923603997</v>
      </c>
      <c r="G17" s="362">
        <v>15.000004134835001</v>
      </c>
      <c r="H17" s="364">
        <v>1.8492</v>
      </c>
      <c r="I17" s="361">
        <v>11.150460000000001</v>
      </c>
      <c r="J17" s="362">
        <v>-3.8495441348349999</v>
      </c>
      <c r="K17" s="365">
        <v>0.30973491461899999</v>
      </c>
    </row>
    <row r="18" spans="1:11" ht="14.4" customHeight="1" thickBot="1" x14ac:dyDescent="0.35">
      <c r="A18" s="383" t="s">
        <v>238</v>
      </c>
      <c r="B18" s="361">
        <v>199.99999370048499</v>
      </c>
      <c r="C18" s="361">
        <v>283.31072999999998</v>
      </c>
      <c r="D18" s="362">
        <v>83.310736299515</v>
      </c>
      <c r="E18" s="363">
        <v>1.416553694618</v>
      </c>
      <c r="F18" s="361">
        <v>300.00008269670099</v>
      </c>
      <c r="G18" s="362">
        <v>125.000034456959</v>
      </c>
      <c r="H18" s="364">
        <v>2.52501</v>
      </c>
      <c r="I18" s="361">
        <v>39.338070000000002</v>
      </c>
      <c r="J18" s="362">
        <v>-85.661964456958003</v>
      </c>
      <c r="K18" s="365">
        <v>0.13112686385399999</v>
      </c>
    </row>
    <row r="19" spans="1:11" ht="14.4" customHeight="1" thickBot="1" x14ac:dyDescent="0.35">
      <c r="A19" s="383" t="s">
        <v>239</v>
      </c>
      <c r="B19" s="361">
        <v>0</v>
      </c>
      <c r="C19" s="361">
        <v>0.96699999999999997</v>
      </c>
      <c r="D19" s="362">
        <v>0.96699999999999997</v>
      </c>
      <c r="E19" s="371" t="s">
        <v>223</v>
      </c>
      <c r="F19" s="361">
        <v>0</v>
      </c>
      <c r="G19" s="362">
        <v>0</v>
      </c>
      <c r="H19" s="364">
        <v>0</v>
      </c>
      <c r="I19" s="361">
        <v>0</v>
      </c>
      <c r="J19" s="362">
        <v>0</v>
      </c>
      <c r="K19" s="372" t="s">
        <v>223</v>
      </c>
    </row>
    <row r="20" spans="1:11" ht="14.4" customHeight="1" thickBot="1" x14ac:dyDescent="0.35">
      <c r="A20" s="383" t="s">
        <v>240</v>
      </c>
      <c r="B20" s="361">
        <v>41.999998677100997</v>
      </c>
      <c r="C20" s="361">
        <v>57.499000000000002</v>
      </c>
      <c r="D20" s="362">
        <v>15.499001322898</v>
      </c>
      <c r="E20" s="363">
        <v>1.369023852644</v>
      </c>
      <c r="F20" s="361">
        <v>45.000012404505</v>
      </c>
      <c r="G20" s="362">
        <v>18.750005168543002</v>
      </c>
      <c r="H20" s="364">
        <v>3.2319300000000002</v>
      </c>
      <c r="I20" s="361">
        <v>21.17746</v>
      </c>
      <c r="J20" s="362">
        <v>2.4274548314560001</v>
      </c>
      <c r="K20" s="365">
        <v>0.47061009249500002</v>
      </c>
    </row>
    <row r="21" spans="1:11" ht="14.4" customHeight="1" thickBot="1" x14ac:dyDescent="0.35">
      <c r="A21" s="382" t="s">
        <v>241</v>
      </c>
      <c r="B21" s="366">
        <v>164.35015257124499</v>
      </c>
      <c r="C21" s="366">
        <v>202.47486000000001</v>
      </c>
      <c r="D21" s="367">
        <v>38.124707428755002</v>
      </c>
      <c r="E21" s="373">
        <v>1.231972449263</v>
      </c>
      <c r="F21" s="366">
        <v>227.80419737622401</v>
      </c>
      <c r="G21" s="367">
        <v>94.918415573426003</v>
      </c>
      <c r="H21" s="369">
        <v>14.76577</v>
      </c>
      <c r="I21" s="366">
        <v>83.875150000000005</v>
      </c>
      <c r="J21" s="367">
        <v>-11.043265573426</v>
      </c>
      <c r="K21" s="374">
        <v>0.368189660094</v>
      </c>
    </row>
    <row r="22" spans="1:11" ht="14.4" customHeight="1" thickBot="1" x14ac:dyDescent="0.35">
      <c r="A22" s="383" t="s">
        <v>242</v>
      </c>
      <c r="B22" s="361">
        <v>1.623618597786</v>
      </c>
      <c r="C22" s="361">
        <v>9.9999999900000002E-4</v>
      </c>
      <c r="D22" s="362">
        <v>-1.6226185977859999</v>
      </c>
      <c r="E22" s="363">
        <v>6.1590819499999995E-4</v>
      </c>
      <c r="F22" s="361">
        <v>-1.6516561178785199E-15</v>
      </c>
      <c r="G22" s="362">
        <v>-6.8819004911604905E-16</v>
      </c>
      <c r="H22" s="364">
        <v>0</v>
      </c>
      <c r="I22" s="361">
        <v>1.6214999999999999</v>
      </c>
      <c r="J22" s="362">
        <v>1.6214999999999999</v>
      </c>
      <c r="K22" s="365">
        <v>0</v>
      </c>
    </row>
    <row r="23" spans="1:11" ht="14.4" customHeight="1" thickBot="1" x14ac:dyDescent="0.35">
      <c r="A23" s="383" t="s">
        <v>243</v>
      </c>
      <c r="B23" s="361">
        <v>8.9999997165209997</v>
      </c>
      <c r="C23" s="361">
        <v>11.02753</v>
      </c>
      <c r="D23" s="362">
        <v>2.0275302834779998</v>
      </c>
      <c r="E23" s="363">
        <v>1.2252811497039999</v>
      </c>
      <c r="F23" s="361">
        <v>13.155460753671999</v>
      </c>
      <c r="G23" s="362">
        <v>5.4814419806960002</v>
      </c>
      <c r="H23" s="364">
        <v>0</v>
      </c>
      <c r="I23" s="361">
        <v>1.89211</v>
      </c>
      <c r="J23" s="362">
        <v>-3.589331980696</v>
      </c>
      <c r="K23" s="365">
        <v>0.143826965503</v>
      </c>
    </row>
    <row r="24" spans="1:11" ht="14.4" customHeight="1" thickBot="1" x14ac:dyDescent="0.35">
      <c r="A24" s="383" t="s">
        <v>244</v>
      </c>
      <c r="B24" s="361">
        <v>34.704092678255002</v>
      </c>
      <c r="C24" s="361">
        <v>29.048780000000001</v>
      </c>
      <c r="D24" s="362">
        <v>-5.6553126782550001</v>
      </c>
      <c r="E24" s="363">
        <v>0.83704190941699996</v>
      </c>
      <c r="F24" s="361">
        <v>24.005973656190999</v>
      </c>
      <c r="G24" s="362">
        <v>10.002489023413</v>
      </c>
      <c r="H24" s="364">
        <v>3.4725100000000002</v>
      </c>
      <c r="I24" s="361">
        <v>5.9952399999999999</v>
      </c>
      <c r="J24" s="362">
        <v>-4.0072490234130003</v>
      </c>
      <c r="K24" s="365">
        <v>0.24973950591800001</v>
      </c>
    </row>
    <row r="25" spans="1:11" ht="14.4" customHeight="1" thickBot="1" x14ac:dyDescent="0.35">
      <c r="A25" s="383" t="s">
        <v>245</v>
      </c>
      <c r="B25" s="361">
        <v>33.999998929081997</v>
      </c>
      <c r="C25" s="361">
        <v>42.180619999999998</v>
      </c>
      <c r="D25" s="362">
        <v>8.1806210709170006</v>
      </c>
      <c r="E25" s="363">
        <v>1.240606509664</v>
      </c>
      <c r="F25" s="361">
        <v>38.409304583556001</v>
      </c>
      <c r="G25" s="362">
        <v>16.003876909814998</v>
      </c>
      <c r="H25" s="364">
        <v>3.7255799999999999</v>
      </c>
      <c r="I25" s="361">
        <v>15.45579</v>
      </c>
      <c r="J25" s="362">
        <v>-0.54808690981499997</v>
      </c>
      <c r="K25" s="365">
        <v>0.40239702768800001</v>
      </c>
    </row>
    <row r="26" spans="1:11" ht="14.4" customHeight="1" thickBot="1" x14ac:dyDescent="0.35">
      <c r="A26" s="383" t="s">
        <v>246</v>
      </c>
      <c r="B26" s="361">
        <v>0</v>
      </c>
      <c r="C26" s="361">
        <v>3.9E-2</v>
      </c>
      <c r="D26" s="362">
        <v>3.9E-2</v>
      </c>
      <c r="E26" s="371" t="s">
        <v>233</v>
      </c>
      <c r="F26" s="361">
        <v>4.2929677520000001E-2</v>
      </c>
      <c r="G26" s="362">
        <v>1.7887365632999998E-2</v>
      </c>
      <c r="H26" s="364">
        <v>0</v>
      </c>
      <c r="I26" s="361">
        <v>0</v>
      </c>
      <c r="J26" s="362">
        <v>-1.7887365632999998E-2</v>
      </c>
      <c r="K26" s="365">
        <v>0</v>
      </c>
    </row>
    <row r="27" spans="1:11" ht="14.4" customHeight="1" thickBot="1" x14ac:dyDescent="0.35">
      <c r="A27" s="383" t="s">
        <v>247</v>
      </c>
      <c r="B27" s="361">
        <v>2.6688119404289998</v>
      </c>
      <c r="C27" s="361">
        <v>4.7766000000000002</v>
      </c>
      <c r="D27" s="362">
        <v>2.1077880595699998</v>
      </c>
      <c r="E27" s="363">
        <v>1.7897851578220001</v>
      </c>
      <c r="F27" s="361">
        <v>0</v>
      </c>
      <c r="G27" s="362">
        <v>0</v>
      </c>
      <c r="H27" s="364">
        <v>0</v>
      </c>
      <c r="I27" s="361">
        <v>0</v>
      </c>
      <c r="J27" s="362">
        <v>0</v>
      </c>
      <c r="K27" s="372" t="s">
        <v>223</v>
      </c>
    </row>
    <row r="28" spans="1:11" ht="14.4" customHeight="1" thickBot="1" x14ac:dyDescent="0.35">
      <c r="A28" s="383" t="s">
        <v>248</v>
      </c>
      <c r="B28" s="361">
        <v>0.10178383586799999</v>
      </c>
      <c r="C28" s="361">
        <v>0</v>
      </c>
      <c r="D28" s="362">
        <v>-0.10178383586799999</v>
      </c>
      <c r="E28" s="363">
        <v>0</v>
      </c>
      <c r="F28" s="361">
        <v>0</v>
      </c>
      <c r="G28" s="362">
        <v>0</v>
      </c>
      <c r="H28" s="364">
        <v>0</v>
      </c>
      <c r="I28" s="361">
        <v>0</v>
      </c>
      <c r="J28" s="362">
        <v>0</v>
      </c>
      <c r="K28" s="365">
        <v>0</v>
      </c>
    </row>
    <row r="29" spans="1:11" ht="14.4" customHeight="1" thickBot="1" x14ac:dyDescent="0.35">
      <c r="A29" s="383" t="s">
        <v>249</v>
      </c>
      <c r="B29" s="361">
        <v>22.251848763154999</v>
      </c>
      <c r="C29" s="361">
        <v>13.66521</v>
      </c>
      <c r="D29" s="362">
        <v>-8.5866387631549994</v>
      </c>
      <c r="E29" s="363">
        <v>0.61411571440400003</v>
      </c>
      <c r="F29" s="361">
        <v>17.780189146379001</v>
      </c>
      <c r="G29" s="362">
        <v>7.4084121443240001</v>
      </c>
      <c r="H29" s="364">
        <v>0.55735999999999997</v>
      </c>
      <c r="I29" s="361">
        <v>13.31673</v>
      </c>
      <c r="J29" s="362">
        <v>5.9083178556749996</v>
      </c>
      <c r="K29" s="365">
        <v>0.74896447334500005</v>
      </c>
    </row>
    <row r="30" spans="1:11" ht="14.4" customHeight="1" thickBot="1" x14ac:dyDescent="0.35">
      <c r="A30" s="383" t="s">
        <v>250</v>
      </c>
      <c r="B30" s="361">
        <v>0</v>
      </c>
      <c r="C30" s="361">
        <v>1.25</v>
      </c>
      <c r="D30" s="362">
        <v>1.25</v>
      </c>
      <c r="E30" s="371" t="s">
        <v>233</v>
      </c>
      <c r="F30" s="361">
        <v>0</v>
      </c>
      <c r="G30" s="362">
        <v>0</v>
      </c>
      <c r="H30" s="364">
        <v>0</v>
      </c>
      <c r="I30" s="361">
        <v>0</v>
      </c>
      <c r="J30" s="362">
        <v>0</v>
      </c>
      <c r="K30" s="372" t="s">
        <v>223</v>
      </c>
    </row>
    <row r="31" spans="1:11" ht="14.4" customHeight="1" thickBot="1" x14ac:dyDescent="0.35">
      <c r="A31" s="383" t="s">
        <v>251</v>
      </c>
      <c r="B31" s="361">
        <v>47.999998488115999</v>
      </c>
      <c r="C31" s="361">
        <v>37.27572</v>
      </c>
      <c r="D31" s="362">
        <v>-10.724278488115999</v>
      </c>
      <c r="E31" s="363">
        <v>0.77657752445999995</v>
      </c>
      <c r="F31" s="361">
        <v>29.346745722941002</v>
      </c>
      <c r="G31" s="362">
        <v>12.227810717892</v>
      </c>
      <c r="H31" s="364">
        <v>3.1625200000000002</v>
      </c>
      <c r="I31" s="361">
        <v>15.839880000000001</v>
      </c>
      <c r="J31" s="362">
        <v>3.612069282107</v>
      </c>
      <c r="K31" s="365">
        <v>0.539749113906</v>
      </c>
    </row>
    <row r="32" spans="1:11" ht="14.4" customHeight="1" thickBot="1" x14ac:dyDescent="0.35">
      <c r="A32" s="383" t="s">
        <v>252</v>
      </c>
      <c r="B32" s="361">
        <v>11.999999622029</v>
      </c>
      <c r="C32" s="361">
        <v>63.2104</v>
      </c>
      <c r="D32" s="362">
        <v>51.210400377969997</v>
      </c>
      <c r="E32" s="363">
        <v>5.2675334992470004</v>
      </c>
      <c r="F32" s="361">
        <v>105.063593835962</v>
      </c>
      <c r="G32" s="362">
        <v>43.776497431651002</v>
      </c>
      <c r="H32" s="364">
        <v>3.8477999999999999</v>
      </c>
      <c r="I32" s="361">
        <v>29.753900000000002</v>
      </c>
      <c r="J32" s="362">
        <v>-14.022597431651</v>
      </c>
      <c r="K32" s="365">
        <v>0.283198955162</v>
      </c>
    </row>
    <row r="33" spans="1:11" ht="14.4" customHeight="1" thickBot="1" x14ac:dyDescent="0.35">
      <c r="A33" s="382" t="s">
        <v>253</v>
      </c>
      <c r="B33" s="366">
        <v>47.826104368656999</v>
      </c>
      <c r="C33" s="366">
        <v>90.649699999999996</v>
      </c>
      <c r="D33" s="367">
        <v>42.823595631342002</v>
      </c>
      <c r="E33" s="373">
        <v>1.8954021281190001</v>
      </c>
      <c r="F33" s="366">
        <v>112.36171522241</v>
      </c>
      <c r="G33" s="367">
        <v>46.817381342669997</v>
      </c>
      <c r="H33" s="369">
        <v>34.103230000000003</v>
      </c>
      <c r="I33" s="366">
        <v>36.093229999999998</v>
      </c>
      <c r="J33" s="367">
        <v>-10.72415134267</v>
      </c>
      <c r="K33" s="374">
        <v>0.32122355847400003</v>
      </c>
    </row>
    <row r="34" spans="1:11" ht="14.4" customHeight="1" thickBot="1" x14ac:dyDescent="0.35">
      <c r="A34" s="383" t="s">
        <v>254</v>
      </c>
      <c r="B34" s="361">
        <v>0</v>
      </c>
      <c r="C34" s="361">
        <v>0</v>
      </c>
      <c r="D34" s="362">
        <v>0</v>
      </c>
      <c r="E34" s="363">
        <v>1</v>
      </c>
      <c r="F34" s="361">
        <v>0</v>
      </c>
      <c r="G34" s="362">
        <v>0</v>
      </c>
      <c r="H34" s="364">
        <v>0</v>
      </c>
      <c r="I34" s="361">
        <v>1.99</v>
      </c>
      <c r="J34" s="362">
        <v>1.99</v>
      </c>
      <c r="K34" s="372" t="s">
        <v>233</v>
      </c>
    </row>
    <row r="35" spans="1:11" ht="14.4" customHeight="1" thickBot="1" x14ac:dyDescent="0.35">
      <c r="A35" s="383" t="s">
        <v>255</v>
      </c>
      <c r="B35" s="361">
        <v>47.826104368656999</v>
      </c>
      <c r="C35" s="361">
        <v>90.649699999999996</v>
      </c>
      <c r="D35" s="362">
        <v>42.823595631342002</v>
      </c>
      <c r="E35" s="363">
        <v>1.8954021281190001</v>
      </c>
      <c r="F35" s="361">
        <v>112.36171522241</v>
      </c>
      <c r="G35" s="362">
        <v>46.817381342669997</v>
      </c>
      <c r="H35" s="364">
        <v>34.103230000000003</v>
      </c>
      <c r="I35" s="361">
        <v>34.103230000000003</v>
      </c>
      <c r="J35" s="362">
        <v>-12.71415134267</v>
      </c>
      <c r="K35" s="365">
        <v>0.30351289967799999</v>
      </c>
    </row>
    <row r="36" spans="1:11" ht="14.4" customHeight="1" thickBot="1" x14ac:dyDescent="0.35">
      <c r="A36" s="382" t="s">
        <v>256</v>
      </c>
      <c r="B36" s="366">
        <v>29.999999055071999</v>
      </c>
      <c r="C36" s="366">
        <v>34.070689999999999</v>
      </c>
      <c r="D36" s="367">
        <v>4.0706909449269997</v>
      </c>
      <c r="E36" s="373">
        <v>1.1356897024379999</v>
      </c>
      <c r="F36" s="366">
        <v>14.109737163462</v>
      </c>
      <c r="G36" s="367">
        <v>5.8790571514419998</v>
      </c>
      <c r="H36" s="369">
        <v>2.0906799999999999</v>
      </c>
      <c r="I36" s="366">
        <v>6.8614899999999999</v>
      </c>
      <c r="J36" s="367">
        <v>0.98243284855699997</v>
      </c>
      <c r="K36" s="374">
        <v>0.48629467158</v>
      </c>
    </row>
    <row r="37" spans="1:11" ht="14.4" customHeight="1" thickBot="1" x14ac:dyDescent="0.35">
      <c r="A37" s="383" t="s">
        <v>257</v>
      </c>
      <c r="B37" s="361">
        <v>14.999999527536</v>
      </c>
      <c r="C37" s="361">
        <v>19.332630000000002</v>
      </c>
      <c r="D37" s="362">
        <v>4.3326304724630003</v>
      </c>
      <c r="E37" s="363">
        <v>1.2888420405950001</v>
      </c>
      <c r="F37" s="361">
        <v>0</v>
      </c>
      <c r="G37" s="362">
        <v>0</v>
      </c>
      <c r="H37" s="364">
        <v>1.1468799999999999</v>
      </c>
      <c r="I37" s="361">
        <v>4.9729900000000002</v>
      </c>
      <c r="J37" s="362">
        <v>4.9729900000000002</v>
      </c>
      <c r="K37" s="372" t="s">
        <v>223</v>
      </c>
    </row>
    <row r="38" spans="1:11" ht="14.4" customHeight="1" thickBot="1" x14ac:dyDescent="0.35">
      <c r="A38" s="383" t="s">
        <v>258</v>
      </c>
      <c r="B38" s="361">
        <v>0</v>
      </c>
      <c r="C38" s="361">
        <v>0.64685999999999999</v>
      </c>
      <c r="D38" s="362">
        <v>0.64685999999999999</v>
      </c>
      <c r="E38" s="371" t="s">
        <v>233</v>
      </c>
      <c r="F38" s="361">
        <v>0.419763600949</v>
      </c>
      <c r="G38" s="362">
        <v>0.17490150039499999</v>
      </c>
      <c r="H38" s="364">
        <v>0</v>
      </c>
      <c r="I38" s="361">
        <v>0</v>
      </c>
      <c r="J38" s="362">
        <v>-0.17490150039499999</v>
      </c>
      <c r="K38" s="365">
        <v>0</v>
      </c>
    </row>
    <row r="39" spans="1:11" ht="14.4" customHeight="1" thickBot="1" x14ac:dyDescent="0.35">
      <c r="A39" s="383" t="s">
        <v>259</v>
      </c>
      <c r="B39" s="361">
        <v>9.9999996850239992</v>
      </c>
      <c r="C39" s="361">
        <v>10.58705</v>
      </c>
      <c r="D39" s="362">
        <v>0.58705031497500004</v>
      </c>
      <c r="E39" s="363">
        <v>1.058705033346</v>
      </c>
      <c r="F39" s="361">
        <v>9.8538663737659995</v>
      </c>
      <c r="G39" s="362">
        <v>4.1057776557360004</v>
      </c>
      <c r="H39" s="364">
        <v>0.94379999999999997</v>
      </c>
      <c r="I39" s="361">
        <v>1.8885000000000001</v>
      </c>
      <c r="J39" s="362">
        <v>-2.2172776557359999</v>
      </c>
      <c r="K39" s="365">
        <v>0.19165066059999999</v>
      </c>
    </row>
    <row r="40" spans="1:11" ht="14.4" customHeight="1" thickBot="1" x14ac:dyDescent="0.35">
      <c r="A40" s="383" t="s">
        <v>260</v>
      </c>
      <c r="B40" s="361">
        <v>4.9999998425119996</v>
      </c>
      <c r="C40" s="361">
        <v>3.5041500000000001</v>
      </c>
      <c r="D40" s="362">
        <v>-1.4958498425119999</v>
      </c>
      <c r="E40" s="363">
        <v>0.70083002207400003</v>
      </c>
      <c r="F40" s="361">
        <v>3.8361071887459999</v>
      </c>
      <c r="G40" s="362">
        <v>1.5983779953099999</v>
      </c>
      <c r="H40" s="364">
        <v>0</v>
      </c>
      <c r="I40" s="361">
        <v>0</v>
      </c>
      <c r="J40" s="362">
        <v>-1.5983779953099999</v>
      </c>
      <c r="K40" s="365">
        <v>0</v>
      </c>
    </row>
    <row r="41" spans="1:11" ht="14.4" customHeight="1" thickBot="1" x14ac:dyDescent="0.35">
      <c r="A41" s="382" t="s">
        <v>261</v>
      </c>
      <c r="B41" s="366">
        <v>0</v>
      </c>
      <c r="C41" s="366">
        <v>0</v>
      </c>
      <c r="D41" s="367">
        <v>0</v>
      </c>
      <c r="E41" s="368" t="s">
        <v>223</v>
      </c>
      <c r="F41" s="366">
        <v>0</v>
      </c>
      <c r="G41" s="367">
        <v>0</v>
      </c>
      <c r="H41" s="369">
        <v>0</v>
      </c>
      <c r="I41" s="366">
        <v>5.4257</v>
      </c>
      <c r="J41" s="367">
        <v>5.4257</v>
      </c>
      <c r="K41" s="370" t="s">
        <v>233</v>
      </c>
    </row>
    <row r="42" spans="1:11" ht="14.4" customHeight="1" thickBot="1" x14ac:dyDescent="0.35">
      <c r="A42" s="383" t="s">
        <v>262</v>
      </c>
      <c r="B42" s="361">
        <v>0</v>
      </c>
      <c r="C42" s="361">
        <v>0</v>
      </c>
      <c r="D42" s="362">
        <v>0</v>
      </c>
      <c r="E42" s="371" t="s">
        <v>223</v>
      </c>
      <c r="F42" s="361">
        <v>0</v>
      </c>
      <c r="G42" s="362">
        <v>0</v>
      </c>
      <c r="H42" s="364">
        <v>0</v>
      </c>
      <c r="I42" s="361">
        <v>5.4257</v>
      </c>
      <c r="J42" s="362">
        <v>5.4257</v>
      </c>
      <c r="K42" s="372" t="s">
        <v>233</v>
      </c>
    </row>
    <row r="43" spans="1:11" ht="14.4" customHeight="1" thickBot="1" x14ac:dyDescent="0.35">
      <c r="A43" s="384" t="s">
        <v>263</v>
      </c>
      <c r="B43" s="366">
        <v>465.27298046276201</v>
      </c>
      <c r="C43" s="366">
        <v>663.26179000000002</v>
      </c>
      <c r="D43" s="367">
        <v>197.98880953723801</v>
      </c>
      <c r="E43" s="373">
        <v>1.4255325751779999</v>
      </c>
      <c r="F43" s="366">
        <v>595.67208590456596</v>
      </c>
      <c r="G43" s="367">
        <v>248.196702460236</v>
      </c>
      <c r="H43" s="369">
        <v>87.066270000000003</v>
      </c>
      <c r="I43" s="366">
        <v>332.39096000000001</v>
      </c>
      <c r="J43" s="367">
        <v>84.194257539763996</v>
      </c>
      <c r="K43" s="374">
        <v>0.55800996532299996</v>
      </c>
    </row>
    <row r="44" spans="1:11" ht="14.4" customHeight="1" thickBot="1" x14ac:dyDescent="0.35">
      <c r="A44" s="381" t="s">
        <v>31</v>
      </c>
      <c r="B44" s="361">
        <v>16.72504391647</v>
      </c>
      <c r="C44" s="361">
        <v>93.445419999999999</v>
      </c>
      <c r="D44" s="362">
        <v>76.720376083529004</v>
      </c>
      <c r="E44" s="363">
        <v>5.5871554338919998</v>
      </c>
      <c r="F44" s="361">
        <v>133.88866830760401</v>
      </c>
      <c r="G44" s="362">
        <v>55.786945128168</v>
      </c>
      <c r="H44" s="364">
        <v>32.152000000000001</v>
      </c>
      <c r="I44" s="361">
        <v>65.115099999999998</v>
      </c>
      <c r="J44" s="362">
        <v>9.3281548718309999</v>
      </c>
      <c r="K44" s="365">
        <v>0.48633764771100002</v>
      </c>
    </row>
    <row r="45" spans="1:11" ht="14.4" customHeight="1" thickBot="1" x14ac:dyDescent="0.35">
      <c r="A45" s="385" t="s">
        <v>264</v>
      </c>
      <c r="B45" s="361">
        <v>16.72504391647</v>
      </c>
      <c r="C45" s="361">
        <v>93.445419999999999</v>
      </c>
      <c r="D45" s="362">
        <v>76.720376083529004</v>
      </c>
      <c r="E45" s="363">
        <v>5.5871554338919998</v>
      </c>
      <c r="F45" s="361">
        <v>133.88866830760401</v>
      </c>
      <c r="G45" s="362">
        <v>55.786945128168</v>
      </c>
      <c r="H45" s="364">
        <v>32.152000000000001</v>
      </c>
      <c r="I45" s="361">
        <v>65.115099999999998</v>
      </c>
      <c r="J45" s="362">
        <v>9.3281548718309999</v>
      </c>
      <c r="K45" s="365">
        <v>0.48633764771100002</v>
      </c>
    </row>
    <row r="46" spans="1:11" ht="14.4" customHeight="1" thickBot="1" x14ac:dyDescent="0.35">
      <c r="A46" s="383" t="s">
        <v>265</v>
      </c>
      <c r="B46" s="361">
        <v>16.318299009777999</v>
      </c>
      <c r="C46" s="361">
        <v>57.692869999999999</v>
      </c>
      <c r="D46" s="362">
        <v>41.374570990221002</v>
      </c>
      <c r="E46" s="363">
        <v>3.5354708211569998</v>
      </c>
      <c r="F46" s="361">
        <v>45.798471839336003</v>
      </c>
      <c r="G46" s="362">
        <v>19.082696599723</v>
      </c>
      <c r="H46" s="364">
        <v>32.152000000000001</v>
      </c>
      <c r="I46" s="361">
        <v>60.141750000000002</v>
      </c>
      <c r="J46" s="362">
        <v>41.059053400275999</v>
      </c>
      <c r="K46" s="365">
        <v>1.3131824618720001</v>
      </c>
    </row>
    <row r="47" spans="1:11" ht="14.4" customHeight="1" thickBot="1" x14ac:dyDescent="0.35">
      <c r="A47" s="383" t="s">
        <v>266</v>
      </c>
      <c r="B47" s="361">
        <v>0.406744906691</v>
      </c>
      <c r="C47" s="361">
        <v>30.9739</v>
      </c>
      <c r="D47" s="362">
        <v>30.567155093307999</v>
      </c>
      <c r="E47" s="363">
        <v>76.150676973257006</v>
      </c>
      <c r="F47" s="361">
        <v>84.654975893035996</v>
      </c>
      <c r="G47" s="362">
        <v>35.272906622097999</v>
      </c>
      <c r="H47" s="364">
        <v>0</v>
      </c>
      <c r="I47" s="361">
        <v>0.13683000000000001</v>
      </c>
      <c r="J47" s="362">
        <v>-35.136076622098003</v>
      </c>
      <c r="K47" s="365">
        <v>1.616325544E-3</v>
      </c>
    </row>
    <row r="48" spans="1:11" ht="14.4" customHeight="1" thickBot="1" x14ac:dyDescent="0.35">
      <c r="A48" s="383" t="s">
        <v>267</v>
      </c>
      <c r="B48" s="361">
        <v>0</v>
      </c>
      <c r="C48" s="361">
        <v>4.7786499999999998</v>
      </c>
      <c r="D48" s="362">
        <v>4.7786499999999998</v>
      </c>
      <c r="E48" s="371" t="s">
        <v>233</v>
      </c>
      <c r="F48" s="361">
        <v>3.4352205752309999</v>
      </c>
      <c r="G48" s="362">
        <v>1.431341906346</v>
      </c>
      <c r="H48" s="364">
        <v>0</v>
      </c>
      <c r="I48" s="361">
        <v>4.8365200000000002</v>
      </c>
      <c r="J48" s="362">
        <v>3.4051780936529998</v>
      </c>
      <c r="K48" s="365">
        <v>1.40792123652</v>
      </c>
    </row>
    <row r="49" spans="1:11" ht="14.4" customHeight="1" thickBot="1" x14ac:dyDescent="0.35">
      <c r="A49" s="386" t="s">
        <v>32</v>
      </c>
      <c r="B49" s="366">
        <v>0</v>
      </c>
      <c r="C49" s="366">
        <v>68.05</v>
      </c>
      <c r="D49" s="367">
        <v>68.05</v>
      </c>
      <c r="E49" s="368" t="s">
        <v>223</v>
      </c>
      <c r="F49" s="366">
        <v>0</v>
      </c>
      <c r="G49" s="367">
        <v>0</v>
      </c>
      <c r="H49" s="369">
        <v>5.2009999999999996</v>
      </c>
      <c r="I49" s="366">
        <v>9.391</v>
      </c>
      <c r="J49" s="367">
        <v>9.391</v>
      </c>
      <c r="K49" s="370" t="s">
        <v>223</v>
      </c>
    </row>
    <row r="50" spans="1:11" ht="14.4" customHeight="1" thickBot="1" x14ac:dyDescent="0.35">
      <c r="A50" s="382" t="s">
        <v>268</v>
      </c>
      <c r="B50" s="366">
        <v>0</v>
      </c>
      <c r="C50" s="366">
        <v>18.359000000000002</v>
      </c>
      <c r="D50" s="367">
        <v>18.359000000000002</v>
      </c>
      <c r="E50" s="368" t="s">
        <v>223</v>
      </c>
      <c r="F50" s="366">
        <v>0</v>
      </c>
      <c r="G50" s="367">
        <v>0</v>
      </c>
      <c r="H50" s="369">
        <v>5.2009999999999996</v>
      </c>
      <c r="I50" s="366">
        <v>9.391</v>
      </c>
      <c r="J50" s="367">
        <v>9.391</v>
      </c>
      <c r="K50" s="370" t="s">
        <v>223</v>
      </c>
    </row>
    <row r="51" spans="1:11" ht="14.4" customHeight="1" thickBot="1" x14ac:dyDescent="0.35">
      <c r="A51" s="383" t="s">
        <v>269</v>
      </c>
      <c r="B51" s="361">
        <v>0</v>
      </c>
      <c r="C51" s="361">
        <v>18.359000000000002</v>
      </c>
      <c r="D51" s="362">
        <v>18.359000000000002</v>
      </c>
      <c r="E51" s="371" t="s">
        <v>223</v>
      </c>
      <c r="F51" s="361">
        <v>0</v>
      </c>
      <c r="G51" s="362">
        <v>0</v>
      </c>
      <c r="H51" s="364">
        <v>5.0410000000000004</v>
      </c>
      <c r="I51" s="361">
        <v>9.2309999999999999</v>
      </c>
      <c r="J51" s="362">
        <v>9.2309999999999999</v>
      </c>
      <c r="K51" s="372" t="s">
        <v>223</v>
      </c>
    </row>
    <row r="52" spans="1:11" ht="14.4" customHeight="1" thickBot="1" x14ac:dyDescent="0.35">
      <c r="A52" s="383" t="s">
        <v>270</v>
      </c>
      <c r="B52" s="361">
        <v>0</v>
      </c>
      <c r="C52" s="361">
        <v>0</v>
      </c>
      <c r="D52" s="362">
        <v>0</v>
      </c>
      <c r="E52" s="363">
        <v>1</v>
      </c>
      <c r="F52" s="361">
        <v>0</v>
      </c>
      <c r="G52" s="362">
        <v>0</v>
      </c>
      <c r="H52" s="364">
        <v>0.16</v>
      </c>
      <c r="I52" s="361">
        <v>0.16</v>
      </c>
      <c r="J52" s="362">
        <v>0.16</v>
      </c>
      <c r="K52" s="372" t="s">
        <v>233</v>
      </c>
    </row>
    <row r="53" spans="1:11" ht="14.4" customHeight="1" thickBot="1" x14ac:dyDescent="0.35">
      <c r="A53" s="382" t="s">
        <v>271</v>
      </c>
      <c r="B53" s="366">
        <v>0</v>
      </c>
      <c r="C53" s="366">
        <v>49.691000000000003</v>
      </c>
      <c r="D53" s="367">
        <v>49.691000000000003</v>
      </c>
      <c r="E53" s="368" t="s">
        <v>233</v>
      </c>
      <c r="F53" s="366">
        <v>0</v>
      </c>
      <c r="G53" s="367">
        <v>0</v>
      </c>
      <c r="H53" s="369">
        <v>0</v>
      </c>
      <c r="I53" s="366">
        <v>0</v>
      </c>
      <c r="J53" s="367">
        <v>0</v>
      </c>
      <c r="K53" s="370" t="s">
        <v>223</v>
      </c>
    </row>
    <row r="54" spans="1:11" ht="14.4" customHeight="1" thickBot="1" x14ac:dyDescent="0.35">
      <c r="A54" s="383" t="s">
        <v>272</v>
      </c>
      <c r="B54" s="361">
        <v>0</v>
      </c>
      <c r="C54" s="361">
        <v>49.691000000000003</v>
      </c>
      <c r="D54" s="362">
        <v>49.691000000000003</v>
      </c>
      <c r="E54" s="371" t="s">
        <v>233</v>
      </c>
      <c r="F54" s="361">
        <v>0</v>
      </c>
      <c r="G54" s="362">
        <v>0</v>
      </c>
      <c r="H54" s="364">
        <v>0</v>
      </c>
      <c r="I54" s="361">
        <v>0</v>
      </c>
      <c r="J54" s="362">
        <v>0</v>
      </c>
      <c r="K54" s="372" t="s">
        <v>223</v>
      </c>
    </row>
    <row r="55" spans="1:11" ht="14.4" customHeight="1" thickBot="1" x14ac:dyDescent="0.35">
      <c r="A55" s="381" t="s">
        <v>33</v>
      </c>
      <c r="B55" s="361">
        <v>448.54793654629202</v>
      </c>
      <c r="C55" s="361">
        <v>501.76636999999999</v>
      </c>
      <c r="D55" s="362">
        <v>53.218433453708002</v>
      </c>
      <c r="E55" s="363">
        <v>1.1186460333829999</v>
      </c>
      <c r="F55" s="361">
        <v>461.78341759696201</v>
      </c>
      <c r="G55" s="362">
        <v>192.40975733206699</v>
      </c>
      <c r="H55" s="364">
        <v>49.713270000000001</v>
      </c>
      <c r="I55" s="361">
        <v>257.88486</v>
      </c>
      <c r="J55" s="362">
        <v>65.475102667932006</v>
      </c>
      <c r="K55" s="365">
        <v>0.55845413709699998</v>
      </c>
    </row>
    <row r="56" spans="1:11" ht="14.4" customHeight="1" thickBot="1" x14ac:dyDescent="0.35">
      <c r="A56" s="382" t="s">
        <v>273</v>
      </c>
      <c r="B56" s="366">
        <v>6.9999997795160001</v>
      </c>
      <c r="C56" s="366">
        <v>0.82099999999999995</v>
      </c>
      <c r="D56" s="367">
        <v>-6.1789997795160003</v>
      </c>
      <c r="E56" s="373">
        <v>0.117285717979</v>
      </c>
      <c r="F56" s="366">
        <v>0.63045908150999996</v>
      </c>
      <c r="G56" s="367">
        <v>0.26269128396199998</v>
      </c>
      <c r="H56" s="369">
        <v>0</v>
      </c>
      <c r="I56" s="366">
        <v>0</v>
      </c>
      <c r="J56" s="367">
        <v>-0.26269128396199998</v>
      </c>
      <c r="K56" s="374">
        <v>0</v>
      </c>
    </row>
    <row r="57" spans="1:11" ht="14.4" customHeight="1" thickBot="1" x14ac:dyDescent="0.35">
      <c r="A57" s="383" t="s">
        <v>274</v>
      </c>
      <c r="B57" s="361">
        <v>6.9999997795160001</v>
      </c>
      <c r="C57" s="361">
        <v>0.82099999999999995</v>
      </c>
      <c r="D57" s="362">
        <v>-6.1789997795160003</v>
      </c>
      <c r="E57" s="363">
        <v>0.117285717979</v>
      </c>
      <c r="F57" s="361">
        <v>0.63045908150999996</v>
      </c>
      <c r="G57" s="362">
        <v>0.26269128396199998</v>
      </c>
      <c r="H57" s="364">
        <v>0</v>
      </c>
      <c r="I57" s="361">
        <v>0</v>
      </c>
      <c r="J57" s="362">
        <v>-0.26269128396199998</v>
      </c>
      <c r="K57" s="365">
        <v>0</v>
      </c>
    </row>
    <row r="58" spans="1:11" ht="14.4" customHeight="1" thickBot="1" x14ac:dyDescent="0.35">
      <c r="A58" s="382" t="s">
        <v>275</v>
      </c>
      <c r="B58" s="366">
        <v>33.198399692080002</v>
      </c>
      <c r="C58" s="366">
        <v>46.469830000000002</v>
      </c>
      <c r="D58" s="367">
        <v>13.271430307919999</v>
      </c>
      <c r="E58" s="373">
        <v>1.399761146049</v>
      </c>
      <c r="F58" s="366">
        <v>33.571184371649998</v>
      </c>
      <c r="G58" s="367">
        <v>13.987993488187</v>
      </c>
      <c r="H58" s="369">
        <v>0.54683000000000004</v>
      </c>
      <c r="I58" s="366">
        <v>18.03716</v>
      </c>
      <c r="J58" s="367">
        <v>4.0491665118120004</v>
      </c>
      <c r="K58" s="374">
        <v>0.53728101458400002</v>
      </c>
    </row>
    <row r="59" spans="1:11" ht="14.4" customHeight="1" thickBot="1" x14ac:dyDescent="0.35">
      <c r="A59" s="383" t="s">
        <v>276</v>
      </c>
      <c r="B59" s="361">
        <v>1.8464225194000001E-2</v>
      </c>
      <c r="C59" s="361">
        <v>0</v>
      </c>
      <c r="D59" s="362">
        <v>-1.8464225194000001E-2</v>
      </c>
      <c r="E59" s="363">
        <v>0</v>
      </c>
      <c r="F59" s="361">
        <v>0</v>
      </c>
      <c r="G59" s="362">
        <v>0</v>
      </c>
      <c r="H59" s="364">
        <v>0</v>
      </c>
      <c r="I59" s="361">
        <v>7.7899999999999997E-2</v>
      </c>
      <c r="J59" s="362">
        <v>7.7899999999999997E-2</v>
      </c>
      <c r="K59" s="372" t="s">
        <v>233</v>
      </c>
    </row>
    <row r="60" spans="1:11" ht="14.4" customHeight="1" thickBot="1" x14ac:dyDescent="0.35">
      <c r="A60" s="383" t="s">
        <v>277</v>
      </c>
      <c r="B60" s="361">
        <v>27.434868072655998</v>
      </c>
      <c r="C60" s="361">
        <v>42.683999999999997</v>
      </c>
      <c r="D60" s="362">
        <v>15.249131927343001</v>
      </c>
      <c r="E60" s="363">
        <v>1.555830335577</v>
      </c>
      <c r="F60" s="361">
        <v>29.397573761865001</v>
      </c>
      <c r="G60" s="362">
        <v>12.248989067444001</v>
      </c>
      <c r="H60" s="364">
        <v>0</v>
      </c>
      <c r="I60" s="361">
        <v>16.509</v>
      </c>
      <c r="J60" s="362">
        <v>4.2600109325549997</v>
      </c>
      <c r="K60" s="365">
        <v>0.56157695644299999</v>
      </c>
    </row>
    <row r="61" spans="1:11" ht="14.4" customHeight="1" thickBot="1" x14ac:dyDescent="0.35">
      <c r="A61" s="383" t="s">
        <v>278</v>
      </c>
      <c r="B61" s="361">
        <v>5.7450673942280002</v>
      </c>
      <c r="C61" s="361">
        <v>3.7858299999999998</v>
      </c>
      <c r="D61" s="362">
        <v>-1.9592373942279999</v>
      </c>
      <c r="E61" s="363">
        <v>0.65897051160800002</v>
      </c>
      <c r="F61" s="361">
        <v>4.1736106097840002</v>
      </c>
      <c r="G61" s="362">
        <v>1.739004420743</v>
      </c>
      <c r="H61" s="364">
        <v>0.54683000000000004</v>
      </c>
      <c r="I61" s="361">
        <v>1.4502600000000001</v>
      </c>
      <c r="J61" s="362">
        <v>-0.288744420743</v>
      </c>
      <c r="K61" s="365">
        <v>0.34748330297000002</v>
      </c>
    </row>
    <row r="62" spans="1:11" ht="14.4" customHeight="1" thickBot="1" x14ac:dyDescent="0.35">
      <c r="A62" s="382" t="s">
        <v>279</v>
      </c>
      <c r="B62" s="366">
        <v>16.99999946454</v>
      </c>
      <c r="C62" s="366">
        <v>14.67403</v>
      </c>
      <c r="D62" s="367">
        <v>-2.32596946454</v>
      </c>
      <c r="E62" s="373">
        <v>0.86317826248200002</v>
      </c>
      <c r="F62" s="366">
        <v>21.718372037786001</v>
      </c>
      <c r="G62" s="367">
        <v>9.0493216824109997</v>
      </c>
      <c r="H62" s="369">
        <v>1.2842899999999999</v>
      </c>
      <c r="I62" s="366">
        <v>33.941070000000003</v>
      </c>
      <c r="J62" s="367">
        <v>24.891748317588</v>
      </c>
      <c r="K62" s="374">
        <v>1.562781498583</v>
      </c>
    </row>
    <row r="63" spans="1:11" ht="14.4" customHeight="1" thickBot="1" x14ac:dyDescent="0.35">
      <c r="A63" s="383" t="s">
        <v>280</v>
      </c>
      <c r="B63" s="361">
        <v>1.999999937004</v>
      </c>
      <c r="C63" s="361">
        <v>1.62</v>
      </c>
      <c r="D63" s="362">
        <v>-0.37999993700399998</v>
      </c>
      <c r="E63" s="363">
        <v>0.81000002551299999</v>
      </c>
      <c r="F63" s="361">
        <v>2.000000551311</v>
      </c>
      <c r="G63" s="362">
        <v>0.83333356304600004</v>
      </c>
      <c r="H63" s="364">
        <v>0</v>
      </c>
      <c r="I63" s="361">
        <v>0.81</v>
      </c>
      <c r="J63" s="362">
        <v>-2.3333563046000001E-2</v>
      </c>
      <c r="K63" s="365">
        <v>0.40499988835900003</v>
      </c>
    </row>
    <row r="64" spans="1:11" ht="14.4" customHeight="1" thickBot="1" x14ac:dyDescent="0.35">
      <c r="A64" s="383" t="s">
        <v>281</v>
      </c>
      <c r="B64" s="361">
        <v>14.999999527536</v>
      </c>
      <c r="C64" s="361">
        <v>13.054029999999999</v>
      </c>
      <c r="D64" s="362">
        <v>-1.9459695275360001</v>
      </c>
      <c r="E64" s="363">
        <v>0.870268694078</v>
      </c>
      <c r="F64" s="361">
        <v>19.718371486475</v>
      </c>
      <c r="G64" s="362">
        <v>8.2159881193640008</v>
      </c>
      <c r="H64" s="364">
        <v>1.2842899999999999</v>
      </c>
      <c r="I64" s="361">
        <v>33.131070000000001</v>
      </c>
      <c r="J64" s="362">
        <v>24.915081880635</v>
      </c>
      <c r="K64" s="365">
        <v>1.680213298685</v>
      </c>
    </row>
    <row r="65" spans="1:11" ht="14.4" customHeight="1" thickBot="1" x14ac:dyDescent="0.35">
      <c r="A65" s="382" t="s">
        <v>282</v>
      </c>
      <c r="B65" s="366">
        <v>45.985110726770998</v>
      </c>
      <c r="C65" s="366">
        <v>55.442999999999998</v>
      </c>
      <c r="D65" s="367">
        <v>9.457889273228</v>
      </c>
      <c r="E65" s="373">
        <v>1.2056728607089999</v>
      </c>
      <c r="F65" s="366">
        <v>47.907876295091</v>
      </c>
      <c r="G65" s="367">
        <v>19.961615122954001</v>
      </c>
      <c r="H65" s="369">
        <v>4.2275099999999997</v>
      </c>
      <c r="I65" s="366">
        <v>21.117170000000002</v>
      </c>
      <c r="J65" s="367">
        <v>1.1555548770449999</v>
      </c>
      <c r="K65" s="374">
        <v>0.44078701944300003</v>
      </c>
    </row>
    <row r="66" spans="1:11" ht="14.4" customHeight="1" thickBot="1" x14ac:dyDescent="0.35">
      <c r="A66" s="383" t="s">
        <v>283</v>
      </c>
      <c r="B66" s="361">
        <v>0</v>
      </c>
      <c r="C66" s="361">
        <v>0.372</v>
      </c>
      <c r="D66" s="362">
        <v>0.372</v>
      </c>
      <c r="E66" s="371" t="s">
        <v>233</v>
      </c>
      <c r="F66" s="361">
        <v>0.41070856320900001</v>
      </c>
      <c r="G66" s="362">
        <v>0.171128568003</v>
      </c>
      <c r="H66" s="364">
        <v>0</v>
      </c>
      <c r="I66" s="361">
        <v>0</v>
      </c>
      <c r="J66" s="362">
        <v>-0.171128568003</v>
      </c>
      <c r="K66" s="365">
        <v>0</v>
      </c>
    </row>
    <row r="67" spans="1:11" ht="14.4" customHeight="1" thickBot="1" x14ac:dyDescent="0.35">
      <c r="A67" s="383" t="s">
        <v>284</v>
      </c>
      <c r="B67" s="361">
        <v>45.682370026051998</v>
      </c>
      <c r="C67" s="361">
        <v>55.070999999999998</v>
      </c>
      <c r="D67" s="362">
        <v>9.3886299739469994</v>
      </c>
      <c r="E67" s="363">
        <v>1.2055197654709999</v>
      </c>
      <c r="F67" s="361">
        <v>47.497167731880999</v>
      </c>
      <c r="G67" s="362">
        <v>19.79048655495</v>
      </c>
      <c r="H67" s="364">
        <v>4.2275099999999997</v>
      </c>
      <c r="I67" s="361">
        <v>21.117170000000002</v>
      </c>
      <c r="J67" s="362">
        <v>1.3266834450489999</v>
      </c>
      <c r="K67" s="365">
        <v>0.44459850994</v>
      </c>
    </row>
    <row r="68" spans="1:11" ht="14.4" customHeight="1" thickBot="1" x14ac:dyDescent="0.35">
      <c r="A68" s="383" t="s">
        <v>285</v>
      </c>
      <c r="B68" s="361">
        <v>0.302740700719</v>
      </c>
      <c r="C68" s="361">
        <v>0</v>
      </c>
      <c r="D68" s="362">
        <v>-0.302740700719</v>
      </c>
      <c r="E68" s="363">
        <v>0</v>
      </c>
      <c r="F68" s="361">
        <v>0</v>
      </c>
      <c r="G68" s="362">
        <v>0</v>
      </c>
      <c r="H68" s="364">
        <v>0</v>
      </c>
      <c r="I68" s="361">
        <v>0</v>
      </c>
      <c r="J68" s="362">
        <v>0</v>
      </c>
      <c r="K68" s="365">
        <v>0</v>
      </c>
    </row>
    <row r="69" spans="1:11" ht="14.4" customHeight="1" thickBot="1" x14ac:dyDescent="0.35">
      <c r="A69" s="382" t="s">
        <v>286</v>
      </c>
      <c r="B69" s="366">
        <v>230.364430505603</v>
      </c>
      <c r="C69" s="366">
        <v>331.16082999999998</v>
      </c>
      <c r="D69" s="367">
        <v>100.79639949439699</v>
      </c>
      <c r="E69" s="373">
        <v>1.4375519227210001</v>
      </c>
      <c r="F69" s="366">
        <v>313.61602406690201</v>
      </c>
      <c r="G69" s="367">
        <v>130.67334336120899</v>
      </c>
      <c r="H69" s="369">
        <v>43.282640000000001</v>
      </c>
      <c r="I69" s="366">
        <v>131.79001</v>
      </c>
      <c r="J69" s="367">
        <v>1.1166666387899999</v>
      </c>
      <c r="K69" s="374">
        <v>0.42022728395999998</v>
      </c>
    </row>
    <row r="70" spans="1:11" ht="14.4" customHeight="1" thickBot="1" x14ac:dyDescent="0.35">
      <c r="A70" s="383" t="s">
        <v>287</v>
      </c>
      <c r="B70" s="361">
        <v>116.885885911087</v>
      </c>
      <c r="C70" s="361">
        <v>261.64478000000003</v>
      </c>
      <c r="D70" s="362">
        <v>144.758894088913</v>
      </c>
      <c r="E70" s="363">
        <v>2.23846342063</v>
      </c>
      <c r="F70" s="361">
        <v>243.29298941213401</v>
      </c>
      <c r="G70" s="362">
        <v>101.372078921723</v>
      </c>
      <c r="H70" s="364">
        <v>42.651699999999998</v>
      </c>
      <c r="I70" s="361">
        <v>123.87757000000001</v>
      </c>
      <c r="J70" s="362">
        <v>22.505491078277</v>
      </c>
      <c r="K70" s="365">
        <v>0.509170322989</v>
      </c>
    </row>
    <row r="71" spans="1:11" ht="14.4" customHeight="1" thickBot="1" x14ac:dyDescent="0.35">
      <c r="A71" s="383" t="s">
        <v>288</v>
      </c>
      <c r="B71" s="361">
        <v>113.47854459451599</v>
      </c>
      <c r="C71" s="361">
        <v>68.572249999999997</v>
      </c>
      <c r="D71" s="362">
        <v>-44.906294594515998</v>
      </c>
      <c r="E71" s="363">
        <v>0.60427502172299996</v>
      </c>
      <c r="F71" s="361">
        <v>67.344875823430002</v>
      </c>
      <c r="G71" s="362">
        <v>28.060364926428999</v>
      </c>
      <c r="H71" s="364">
        <v>0.63093999999999995</v>
      </c>
      <c r="I71" s="361">
        <v>7.9124400000000001</v>
      </c>
      <c r="J71" s="362">
        <v>-20.147924926428999</v>
      </c>
      <c r="K71" s="365">
        <v>0.117491344415</v>
      </c>
    </row>
    <row r="72" spans="1:11" ht="14.4" customHeight="1" thickBot="1" x14ac:dyDescent="0.35">
      <c r="A72" s="383" t="s">
        <v>289</v>
      </c>
      <c r="B72" s="361">
        <v>0</v>
      </c>
      <c r="C72" s="361">
        <v>0.94379999999899999</v>
      </c>
      <c r="D72" s="362">
        <v>0.94379999999899999</v>
      </c>
      <c r="E72" s="371" t="s">
        <v>233</v>
      </c>
      <c r="F72" s="361">
        <v>2.9781588313370002</v>
      </c>
      <c r="G72" s="362">
        <v>1.240899513057</v>
      </c>
      <c r="H72" s="364">
        <v>0</v>
      </c>
      <c r="I72" s="361">
        <v>0</v>
      </c>
      <c r="J72" s="362">
        <v>-1.240899513057</v>
      </c>
      <c r="K72" s="365">
        <v>0</v>
      </c>
    </row>
    <row r="73" spans="1:11" ht="14.4" customHeight="1" thickBot="1" x14ac:dyDescent="0.35">
      <c r="A73" s="382" t="s">
        <v>290</v>
      </c>
      <c r="B73" s="366">
        <v>0</v>
      </c>
      <c r="C73" s="366">
        <v>9.9999999999E-2</v>
      </c>
      <c r="D73" s="367">
        <v>9.9999999999E-2</v>
      </c>
      <c r="E73" s="368" t="s">
        <v>233</v>
      </c>
      <c r="F73" s="366">
        <v>0</v>
      </c>
      <c r="G73" s="367">
        <v>0</v>
      </c>
      <c r="H73" s="369">
        <v>0</v>
      </c>
      <c r="I73" s="366">
        <v>0</v>
      </c>
      <c r="J73" s="367">
        <v>0</v>
      </c>
      <c r="K73" s="370" t="s">
        <v>223</v>
      </c>
    </row>
    <row r="74" spans="1:11" ht="14.4" customHeight="1" thickBot="1" x14ac:dyDescent="0.35">
      <c r="A74" s="383" t="s">
        <v>291</v>
      </c>
      <c r="B74" s="361">
        <v>0</v>
      </c>
      <c r="C74" s="361">
        <v>9.9999999999E-2</v>
      </c>
      <c r="D74" s="362">
        <v>9.9999999999E-2</v>
      </c>
      <c r="E74" s="371" t="s">
        <v>233</v>
      </c>
      <c r="F74" s="361">
        <v>0</v>
      </c>
      <c r="G74" s="362">
        <v>0</v>
      </c>
      <c r="H74" s="364">
        <v>0</v>
      </c>
      <c r="I74" s="361">
        <v>0</v>
      </c>
      <c r="J74" s="362">
        <v>0</v>
      </c>
      <c r="K74" s="372" t="s">
        <v>223</v>
      </c>
    </row>
    <row r="75" spans="1:11" ht="14.4" customHeight="1" thickBot="1" x14ac:dyDescent="0.35">
      <c r="A75" s="382" t="s">
        <v>292</v>
      </c>
      <c r="B75" s="366">
        <v>114.999996377779</v>
      </c>
      <c r="C75" s="366">
        <v>53.097679999999997</v>
      </c>
      <c r="D75" s="367">
        <v>-61.902316377778</v>
      </c>
      <c r="E75" s="373">
        <v>0.46171897106400001</v>
      </c>
      <c r="F75" s="366">
        <v>44.339501744019998</v>
      </c>
      <c r="G75" s="367">
        <v>18.474792393342</v>
      </c>
      <c r="H75" s="369">
        <v>0.372</v>
      </c>
      <c r="I75" s="366">
        <v>52.999450000000003</v>
      </c>
      <c r="J75" s="367">
        <v>34.524657606658003</v>
      </c>
      <c r="K75" s="374">
        <v>1.1953100038419999</v>
      </c>
    </row>
    <row r="76" spans="1:11" ht="14.4" customHeight="1" thickBot="1" x14ac:dyDescent="0.35">
      <c r="A76" s="383" t="s">
        <v>293</v>
      </c>
      <c r="B76" s="361">
        <v>0</v>
      </c>
      <c r="C76" s="361">
        <v>0</v>
      </c>
      <c r="D76" s="362">
        <v>0</v>
      </c>
      <c r="E76" s="371" t="s">
        <v>223</v>
      </c>
      <c r="F76" s="361">
        <v>0</v>
      </c>
      <c r="G76" s="362">
        <v>0</v>
      </c>
      <c r="H76" s="364">
        <v>0</v>
      </c>
      <c r="I76" s="361">
        <v>28.137</v>
      </c>
      <c r="J76" s="362">
        <v>28.137</v>
      </c>
      <c r="K76" s="372" t="s">
        <v>233</v>
      </c>
    </row>
    <row r="77" spans="1:11" ht="14.4" customHeight="1" thickBot="1" x14ac:dyDescent="0.35">
      <c r="A77" s="383" t="s">
        <v>294</v>
      </c>
      <c r="B77" s="361">
        <v>39.999998740095997</v>
      </c>
      <c r="C77" s="361">
        <v>23.452680000000001</v>
      </c>
      <c r="D77" s="362">
        <v>-16.547318740095999</v>
      </c>
      <c r="E77" s="363">
        <v>0.58631701846700002</v>
      </c>
      <c r="F77" s="361">
        <v>39.339500365741998</v>
      </c>
      <c r="G77" s="362">
        <v>16.391458485726002</v>
      </c>
      <c r="H77" s="364">
        <v>0.372</v>
      </c>
      <c r="I77" s="361">
        <v>20.62745</v>
      </c>
      <c r="J77" s="362">
        <v>4.2359915142729996</v>
      </c>
      <c r="K77" s="365">
        <v>0.52434448348899998</v>
      </c>
    </row>
    <row r="78" spans="1:11" ht="14.4" customHeight="1" thickBot="1" x14ac:dyDescent="0.35">
      <c r="A78" s="383" t="s">
        <v>295</v>
      </c>
      <c r="B78" s="361">
        <v>74.999997637681005</v>
      </c>
      <c r="C78" s="361">
        <v>29.645</v>
      </c>
      <c r="D78" s="362">
        <v>-45.354997637681002</v>
      </c>
      <c r="E78" s="363">
        <v>0.395266679116</v>
      </c>
      <c r="F78" s="361">
        <v>5.0000013782780002</v>
      </c>
      <c r="G78" s="362">
        <v>2.0833339076150001</v>
      </c>
      <c r="H78" s="364">
        <v>0</v>
      </c>
      <c r="I78" s="361">
        <v>4.2350000000000003</v>
      </c>
      <c r="J78" s="362">
        <v>2.1516660923840001</v>
      </c>
      <c r="K78" s="365">
        <v>0.846999766519</v>
      </c>
    </row>
    <row r="79" spans="1:11" ht="14.4" customHeight="1" thickBot="1" x14ac:dyDescent="0.35">
      <c r="A79" s="380" t="s">
        <v>34</v>
      </c>
      <c r="B79" s="361">
        <v>19075.999399152199</v>
      </c>
      <c r="C79" s="361">
        <v>17830.60828</v>
      </c>
      <c r="D79" s="362">
        <v>-1245.39111915223</v>
      </c>
      <c r="E79" s="363">
        <v>0.93471423996699998</v>
      </c>
      <c r="F79" s="361">
        <v>17169.004732732399</v>
      </c>
      <c r="G79" s="362">
        <v>7153.7519719718202</v>
      </c>
      <c r="H79" s="364">
        <v>1516.7915399999999</v>
      </c>
      <c r="I79" s="361">
        <v>7304.6859299999996</v>
      </c>
      <c r="J79" s="362">
        <v>150.93395802817801</v>
      </c>
      <c r="K79" s="365">
        <v>0.425457738739</v>
      </c>
    </row>
    <row r="80" spans="1:11" ht="14.4" customHeight="1" thickBot="1" x14ac:dyDescent="0.35">
      <c r="A80" s="386" t="s">
        <v>296</v>
      </c>
      <c r="B80" s="366">
        <v>14490.9995435686</v>
      </c>
      <c r="C80" s="366">
        <v>13254.982</v>
      </c>
      <c r="D80" s="367">
        <v>-1236.0175435686201</v>
      </c>
      <c r="E80" s="373">
        <v>0.91470446604699995</v>
      </c>
      <c r="F80" s="366">
        <v>13033.0035926205</v>
      </c>
      <c r="G80" s="367">
        <v>5430.4181635918703</v>
      </c>
      <c r="H80" s="369">
        <v>1120.383</v>
      </c>
      <c r="I80" s="366">
        <v>5401.0190000000002</v>
      </c>
      <c r="J80" s="367">
        <v>-29.399163591865001</v>
      </c>
      <c r="K80" s="374">
        <v>0.41441091929500001</v>
      </c>
    </row>
    <row r="81" spans="1:11" ht="14.4" customHeight="1" thickBot="1" x14ac:dyDescent="0.35">
      <c r="A81" s="382" t="s">
        <v>297</v>
      </c>
      <c r="B81" s="366">
        <v>13099.999587381801</v>
      </c>
      <c r="C81" s="366">
        <v>11831.883</v>
      </c>
      <c r="D81" s="367">
        <v>-1268.1165873817499</v>
      </c>
      <c r="E81" s="373">
        <v>0.90319720402100001</v>
      </c>
      <c r="F81" s="366">
        <v>11650.003211388699</v>
      </c>
      <c r="G81" s="367">
        <v>4854.1680047452801</v>
      </c>
      <c r="H81" s="369">
        <v>1031.9929999999999</v>
      </c>
      <c r="I81" s="366">
        <v>4911.0789999999997</v>
      </c>
      <c r="J81" s="367">
        <v>56.910995254718003</v>
      </c>
      <c r="K81" s="374">
        <v>0.42155172929000001</v>
      </c>
    </row>
    <row r="82" spans="1:11" ht="14.4" customHeight="1" thickBot="1" x14ac:dyDescent="0.35">
      <c r="A82" s="383" t="s">
        <v>298</v>
      </c>
      <c r="B82" s="361">
        <v>13099.999587381801</v>
      </c>
      <c r="C82" s="361">
        <v>11831.883</v>
      </c>
      <c r="D82" s="362">
        <v>-1268.1165873817499</v>
      </c>
      <c r="E82" s="363">
        <v>0.90319720402100001</v>
      </c>
      <c r="F82" s="361">
        <v>11650.003211388699</v>
      </c>
      <c r="G82" s="362">
        <v>4854.1680047452801</v>
      </c>
      <c r="H82" s="364">
        <v>1031.9929999999999</v>
      </c>
      <c r="I82" s="361">
        <v>4911.0789999999997</v>
      </c>
      <c r="J82" s="362">
        <v>56.910995254718003</v>
      </c>
      <c r="K82" s="365">
        <v>0.42155172929000001</v>
      </c>
    </row>
    <row r="83" spans="1:11" ht="14.4" customHeight="1" thickBot="1" x14ac:dyDescent="0.35">
      <c r="A83" s="382" t="s">
        <v>299</v>
      </c>
      <c r="B83" s="366">
        <v>1349.9999574782701</v>
      </c>
      <c r="C83" s="366">
        <v>1400.58</v>
      </c>
      <c r="D83" s="367">
        <v>50.580042521727997</v>
      </c>
      <c r="E83" s="373">
        <v>1.037466699344</v>
      </c>
      <c r="F83" s="366">
        <v>1350.00037213517</v>
      </c>
      <c r="G83" s="367">
        <v>562.50015505631995</v>
      </c>
      <c r="H83" s="369">
        <v>88.39</v>
      </c>
      <c r="I83" s="366">
        <v>472.33</v>
      </c>
      <c r="J83" s="367">
        <v>-90.170155056319999</v>
      </c>
      <c r="K83" s="374">
        <v>0.34987397762900002</v>
      </c>
    </row>
    <row r="84" spans="1:11" ht="14.4" customHeight="1" thickBot="1" x14ac:dyDescent="0.35">
      <c r="A84" s="383" t="s">
        <v>300</v>
      </c>
      <c r="B84" s="361">
        <v>1349.9999574782701</v>
      </c>
      <c r="C84" s="361">
        <v>1400.58</v>
      </c>
      <c r="D84" s="362">
        <v>50.580042521727997</v>
      </c>
      <c r="E84" s="363">
        <v>1.037466699344</v>
      </c>
      <c r="F84" s="361">
        <v>1350.00037213517</v>
      </c>
      <c r="G84" s="362">
        <v>562.50015505631995</v>
      </c>
      <c r="H84" s="364">
        <v>88.39</v>
      </c>
      <c r="I84" s="361">
        <v>472.33</v>
      </c>
      <c r="J84" s="362">
        <v>-90.170155056319999</v>
      </c>
      <c r="K84" s="365">
        <v>0.34987397762900002</v>
      </c>
    </row>
    <row r="85" spans="1:11" ht="14.4" customHeight="1" thickBot="1" x14ac:dyDescent="0.35">
      <c r="A85" s="382" t="s">
        <v>301</v>
      </c>
      <c r="B85" s="366">
        <v>40.999998708599001</v>
      </c>
      <c r="C85" s="366">
        <v>22.518999999999998</v>
      </c>
      <c r="D85" s="367">
        <v>-18.480998708599</v>
      </c>
      <c r="E85" s="373">
        <v>0.54924391973800002</v>
      </c>
      <c r="F85" s="366">
        <v>33.000009096637001</v>
      </c>
      <c r="G85" s="367">
        <v>13.750003790265</v>
      </c>
      <c r="H85" s="369">
        <v>0</v>
      </c>
      <c r="I85" s="366">
        <v>17.61</v>
      </c>
      <c r="J85" s="367">
        <v>3.8599962097340001</v>
      </c>
      <c r="K85" s="374">
        <v>0.53363621653600002</v>
      </c>
    </row>
    <row r="86" spans="1:11" ht="14.4" customHeight="1" thickBot="1" x14ac:dyDescent="0.35">
      <c r="A86" s="383" t="s">
        <v>302</v>
      </c>
      <c r="B86" s="361">
        <v>40.999998708599001</v>
      </c>
      <c r="C86" s="361">
        <v>22.518999999999998</v>
      </c>
      <c r="D86" s="362">
        <v>-18.480998708599</v>
      </c>
      <c r="E86" s="363">
        <v>0.54924391973800002</v>
      </c>
      <c r="F86" s="361">
        <v>33.000009096637001</v>
      </c>
      <c r="G86" s="362">
        <v>13.750003790265</v>
      </c>
      <c r="H86" s="364">
        <v>0</v>
      </c>
      <c r="I86" s="361">
        <v>17.61</v>
      </c>
      <c r="J86" s="362">
        <v>3.8599962097340001</v>
      </c>
      <c r="K86" s="365">
        <v>0.53363621653600002</v>
      </c>
    </row>
    <row r="87" spans="1:11" ht="14.4" customHeight="1" thickBot="1" x14ac:dyDescent="0.35">
      <c r="A87" s="381" t="s">
        <v>303</v>
      </c>
      <c r="B87" s="361">
        <v>4453.9998597097901</v>
      </c>
      <c r="C87" s="361">
        <v>4457.0822900000003</v>
      </c>
      <c r="D87" s="362">
        <v>3.0824302902060001</v>
      </c>
      <c r="E87" s="363">
        <v>1.0006920589099999</v>
      </c>
      <c r="F87" s="361">
        <v>3961.00109187215</v>
      </c>
      <c r="G87" s="362">
        <v>1650.4171216134</v>
      </c>
      <c r="H87" s="364">
        <v>380.92948000000001</v>
      </c>
      <c r="I87" s="361">
        <v>1829.73714</v>
      </c>
      <c r="J87" s="362">
        <v>179.320018386604</v>
      </c>
      <c r="K87" s="365">
        <v>0.46193805494099999</v>
      </c>
    </row>
    <row r="88" spans="1:11" ht="14.4" customHeight="1" thickBot="1" x14ac:dyDescent="0.35">
      <c r="A88" s="382" t="s">
        <v>304</v>
      </c>
      <c r="B88" s="366">
        <v>1178.99996286436</v>
      </c>
      <c r="C88" s="366">
        <v>1178.9665</v>
      </c>
      <c r="D88" s="367">
        <v>-3.3462864357000001E-2</v>
      </c>
      <c r="E88" s="373">
        <v>0.99997161758599995</v>
      </c>
      <c r="F88" s="366">
        <v>1049.0002891628101</v>
      </c>
      <c r="G88" s="367">
        <v>437.08345381783698</v>
      </c>
      <c r="H88" s="369">
        <v>100.83371</v>
      </c>
      <c r="I88" s="366">
        <v>483.88488000000001</v>
      </c>
      <c r="J88" s="367">
        <v>46.801426182162999</v>
      </c>
      <c r="K88" s="374">
        <v>0.46128193194799999</v>
      </c>
    </row>
    <row r="89" spans="1:11" ht="14.4" customHeight="1" thickBot="1" x14ac:dyDescent="0.35">
      <c r="A89" s="383" t="s">
        <v>305</v>
      </c>
      <c r="B89" s="361">
        <v>1178.99996286436</v>
      </c>
      <c r="C89" s="361">
        <v>1178.9665</v>
      </c>
      <c r="D89" s="362">
        <v>-3.3462864357000001E-2</v>
      </c>
      <c r="E89" s="363">
        <v>0.99997161758599995</v>
      </c>
      <c r="F89" s="361">
        <v>1049.0002891628101</v>
      </c>
      <c r="G89" s="362">
        <v>437.08345381783698</v>
      </c>
      <c r="H89" s="364">
        <v>100.83371</v>
      </c>
      <c r="I89" s="361">
        <v>483.88488000000001</v>
      </c>
      <c r="J89" s="362">
        <v>46.801426182162999</v>
      </c>
      <c r="K89" s="365">
        <v>0.46128193194799999</v>
      </c>
    </row>
    <row r="90" spans="1:11" ht="14.4" customHeight="1" thickBot="1" x14ac:dyDescent="0.35">
      <c r="A90" s="382" t="s">
        <v>306</v>
      </c>
      <c r="B90" s="366">
        <v>3274.9998968454402</v>
      </c>
      <c r="C90" s="366">
        <v>3278.1157899999998</v>
      </c>
      <c r="D90" s="367">
        <v>3.115893154563</v>
      </c>
      <c r="E90" s="373">
        <v>1.000951417787</v>
      </c>
      <c r="F90" s="366">
        <v>2912.00080270934</v>
      </c>
      <c r="G90" s="367">
        <v>1213.3336677955599</v>
      </c>
      <c r="H90" s="369">
        <v>280.09577000000002</v>
      </c>
      <c r="I90" s="366">
        <v>1345.8522599999999</v>
      </c>
      <c r="J90" s="367">
        <v>132.51859220444101</v>
      </c>
      <c r="K90" s="374">
        <v>0.46217441243399998</v>
      </c>
    </row>
    <row r="91" spans="1:11" ht="14.4" customHeight="1" thickBot="1" x14ac:dyDescent="0.35">
      <c r="A91" s="383" t="s">
        <v>307</v>
      </c>
      <c r="B91" s="361">
        <v>3274.9998968454402</v>
      </c>
      <c r="C91" s="361">
        <v>3278.1157899999998</v>
      </c>
      <c r="D91" s="362">
        <v>3.115893154563</v>
      </c>
      <c r="E91" s="363">
        <v>1.000951417787</v>
      </c>
      <c r="F91" s="361">
        <v>2912.00080270934</v>
      </c>
      <c r="G91" s="362">
        <v>1213.3336677955599</v>
      </c>
      <c r="H91" s="364">
        <v>280.09577000000002</v>
      </c>
      <c r="I91" s="361">
        <v>1345.8522599999999</v>
      </c>
      <c r="J91" s="362">
        <v>132.51859220444101</v>
      </c>
      <c r="K91" s="365">
        <v>0.46217441243399998</v>
      </c>
    </row>
    <row r="92" spans="1:11" ht="14.4" customHeight="1" thickBot="1" x14ac:dyDescent="0.35">
      <c r="A92" s="381" t="s">
        <v>308</v>
      </c>
      <c r="B92" s="361">
        <v>130.999995873817</v>
      </c>
      <c r="C92" s="361">
        <v>118.54398999999999</v>
      </c>
      <c r="D92" s="362">
        <v>-12.456005873817</v>
      </c>
      <c r="E92" s="363">
        <v>0.90491598270100004</v>
      </c>
      <c r="F92" s="361">
        <v>175.00004823974399</v>
      </c>
      <c r="G92" s="362">
        <v>72.916686766560005</v>
      </c>
      <c r="H92" s="364">
        <v>15.47906</v>
      </c>
      <c r="I92" s="361">
        <v>73.929789999999997</v>
      </c>
      <c r="J92" s="362">
        <v>1.013103233439</v>
      </c>
      <c r="K92" s="365">
        <v>0.42245582640399998</v>
      </c>
    </row>
    <row r="93" spans="1:11" ht="14.4" customHeight="1" thickBot="1" x14ac:dyDescent="0.35">
      <c r="A93" s="382" t="s">
        <v>309</v>
      </c>
      <c r="B93" s="366">
        <v>130.999995873817</v>
      </c>
      <c r="C93" s="366">
        <v>118.54398999999999</v>
      </c>
      <c r="D93" s="367">
        <v>-12.456005873817</v>
      </c>
      <c r="E93" s="373">
        <v>0.90491598270100004</v>
      </c>
      <c r="F93" s="366">
        <v>175.00004823974399</v>
      </c>
      <c r="G93" s="367">
        <v>72.916686766560005</v>
      </c>
      <c r="H93" s="369">
        <v>15.47906</v>
      </c>
      <c r="I93" s="366">
        <v>73.929789999999997</v>
      </c>
      <c r="J93" s="367">
        <v>1.013103233439</v>
      </c>
      <c r="K93" s="374">
        <v>0.42245582640399998</v>
      </c>
    </row>
    <row r="94" spans="1:11" ht="14.4" customHeight="1" thickBot="1" x14ac:dyDescent="0.35">
      <c r="A94" s="383" t="s">
        <v>310</v>
      </c>
      <c r="B94" s="361">
        <v>130.999995873817</v>
      </c>
      <c r="C94" s="361">
        <v>118.54398999999999</v>
      </c>
      <c r="D94" s="362">
        <v>-12.456005873817</v>
      </c>
      <c r="E94" s="363">
        <v>0.90491598270100004</v>
      </c>
      <c r="F94" s="361">
        <v>175.00004823974399</v>
      </c>
      <c r="G94" s="362">
        <v>72.916686766560005</v>
      </c>
      <c r="H94" s="364">
        <v>15.47906</v>
      </c>
      <c r="I94" s="361">
        <v>73.929789999999997</v>
      </c>
      <c r="J94" s="362">
        <v>1.013103233439</v>
      </c>
      <c r="K94" s="365">
        <v>0.42245582640399998</v>
      </c>
    </row>
    <row r="95" spans="1:11" ht="14.4" customHeight="1" thickBot="1" x14ac:dyDescent="0.35">
      <c r="A95" s="380" t="s">
        <v>311</v>
      </c>
      <c r="B95" s="361">
        <v>0</v>
      </c>
      <c r="C95" s="361">
        <v>91.65607</v>
      </c>
      <c r="D95" s="362">
        <v>91.65607</v>
      </c>
      <c r="E95" s="371" t="s">
        <v>223</v>
      </c>
      <c r="F95" s="361">
        <v>41.792520108733001</v>
      </c>
      <c r="G95" s="362">
        <v>17.413550045305001</v>
      </c>
      <c r="H95" s="364">
        <v>7.2866999999999997</v>
      </c>
      <c r="I95" s="361">
        <v>27.901700000000002</v>
      </c>
      <c r="J95" s="362">
        <v>10.488149954694</v>
      </c>
      <c r="K95" s="365">
        <v>0.66762425255500002</v>
      </c>
    </row>
    <row r="96" spans="1:11" ht="14.4" customHeight="1" thickBot="1" x14ac:dyDescent="0.35">
      <c r="A96" s="381" t="s">
        <v>312</v>
      </c>
      <c r="B96" s="361">
        <v>0</v>
      </c>
      <c r="C96" s="361">
        <v>91.65607</v>
      </c>
      <c r="D96" s="362">
        <v>91.65607</v>
      </c>
      <c r="E96" s="371" t="s">
        <v>223</v>
      </c>
      <c r="F96" s="361">
        <v>41.792520108733001</v>
      </c>
      <c r="G96" s="362">
        <v>17.413550045305001</v>
      </c>
      <c r="H96" s="364">
        <v>7.2866999999999997</v>
      </c>
      <c r="I96" s="361">
        <v>27.901700000000002</v>
      </c>
      <c r="J96" s="362">
        <v>10.488149954694</v>
      </c>
      <c r="K96" s="365">
        <v>0.66762425255500002</v>
      </c>
    </row>
    <row r="97" spans="1:11" ht="14.4" customHeight="1" thickBot="1" x14ac:dyDescent="0.35">
      <c r="A97" s="382" t="s">
        <v>313</v>
      </c>
      <c r="B97" s="366">
        <v>0</v>
      </c>
      <c r="C97" s="366">
        <v>10.372070000000001</v>
      </c>
      <c r="D97" s="367">
        <v>10.372070000000001</v>
      </c>
      <c r="E97" s="368" t="s">
        <v>223</v>
      </c>
      <c r="F97" s="366">
        <v>13.791530988062</v>
      </c>
      <c r="G97" s="367">
        <v>5.746471245026</v>
      </c>
      <c r="H97" s="369">
        <v>1.1867000000000001</v>
      </c>
      <c r="I97" s="366">
        <v>4.9016999999999999</v>
      </c>
      <c r="J97" s="367">
        <v>-0.84477124502599998</v>
      </c>
      <c r="K97" s="374">
        <v>0.35541376836499999</v>
      </c>
    </row>
    <row r="98" spans="1:11" ht="14.4" customHeight="1" thickBot="1" x14ac:dyDescent="0.35">
      <c r="A98" s="383" t="s">
        <v>314</v>
      </c>
      <c r="B98" s="361">
        <v>0</v>
      </c>
      <c r="C98" s="361">
        <v>-1.3619300000000001</v>
      </c>
      <c r="D98" s="362">
        <v>-1.3619300000000001</v>
      </c>
      <c r="E98" s="371" t="s">
        <v>223</v>
      </c>
      <c r="F98" s="361">
        <v>0</v>
      </c>
      <c r="G98" s="362">
        <v>0</v>
      </c>
      <c r="H98" s="364">
        <v>-0.1033</v>
      </c>
      <c r="I98" s="361">
        <v>-0.1033</v>
      </c>
      <c r="J98" s="362">
        <v>-0.1033</v>
      </c>
      <c r="K98" s="372" t="s">
        <v>223</v>
      </c>
    </row>
    <row r="99" spans="1:11" ht="14.4" customHeight="1" thickBot="1" x14ac:dyDescent="0.35">
      <c r="A99" s="383" t="s">
        <v>315</v>
      </c>
      <c r="B99" s="361">
        <v>0</v>
      </c>
      <c r="C99" s="361">
        <v>11.534000000000001</v>
      </c>
      <c r="D99" s="362">
        <v>11.534000000000001</v>
      </c>
      <c r="E99" s="371" t="s">
        <v>233</v>
      </c>
      <c r="F99" s="361">
        <v>13.791530988062</v>
      </c>
      <c r="G99" s="362">
        <v>5.746471245026</v>
      </c>
      <c r="H99" s="364">
        <v>0</v>
      </c>
      <c r="I99" s="361">
        <v>0</v>
      </c>
      <c r="J99" s="362">
        <v>-5.746471245026</v>
      </c>
      <c r="K99" s="365">
        <v>0</v>
      </c>
    </row>
    <row r="100" spans="1:11" ht="14.4" customHeight="1" thickBot="1" x14ac:dyDescent="0.35">
      <c r="A100" s="383" t="s">
        <v>316</v>
      </c>
      <c r="B100" s="361">
        <v>0</v>
      </c>
      <c r="C100" s="361">
        <v>0</v>
      </c>
      <c r="D100" s="362">
        <v>0</v>
      </c>
      <c r="E100" s="371" t="s">
        <v>223</v>
      </c>
      <c r="F100" s="361">
        <v>0</v>
      </c>
      <c r="G100" s="362">
        <v>0</v>
      </c>
      <c r="H100" s="364">
        <v>1.29</v>
      </c>
      <c r="I100" s="361">
        <v>4.29</v>
      </c>
      <c r="J100" s="362">
        <v>4.29</v>
      </c>
      <c r="K100" s="372" t="s">
        <v>233</v>
      </c>
    </row>
    <row r="101" spans="1:11" ht="14.4" customHeight="1" thickBot="1" x14ac:dyDescent="0.35">
      <c r="A101" s="383" t="s">
        <v>317</v>
      </c>
      <c r="B101" s="361">
        <v>0</v>
      </c>
      <c r="C101" s="361">
        <v>0.2</v>
      </c>
      <c r="D101" s="362">
        <v>0.2</v>
      </c>
      <c r="E101" s="371" t="s">
        <v>223</v>
      </c>
      <c r="F101" s="361">
        <v>0</v>
      </c>
      <c r="G101" s="362">
        <v>0</v>
      </c>
      <c r="H101" s="364">
        <v>0</v>
      </c>
      <c r="I101" s="361">
        <v>0.71499999999999997</v>
      </c>
      <c r="J101" s="362">
        <v>0.71499999999999997</v>
      </c>
      <c r="K101" s="372" t="s">
        <v>223</v>
      </c>
    </row>
    <row r="102" spans="1:11" ht="14.4" customHeight="1" thickBot="1" x14ac:dyDescent="0.35">
      <c r="A102" s="382" t="s">
        <v>318</v>
      </c>
      <c r="B102" s="366">
        <v>0</v>
      </c>
      <c r="C102" s="366">
        <v>54.6</v>
      </c>
      <c r="D102" s="367">
        <v>54.6</v>
      </c>
      <c r="E102" s="368" t="s">
        <v>223</v>
      </c>
      <c r="F102" s="366">
        <v>0</v>
      </c>
      <c r="G102" s="367">
        <v>0</v>
      </c>
      <c r="H102" s="369">
        <v>3.2</v>
      </c>
      <c r="I102" s="366">
        <v>19.8</v>
      </c>
      <c r="J102" s="367">
        <v>19.8</v>
      </c>
      <c r="K102" s="370" t="s">
        <v>223</v>
      </c>
    </row>
    <row r="103" spans="1:11" ht="14.4" customHeight="1" thickBot="1" x14ac:dyDescent="0.35">
      <c r="A103" s="383" t="s">
        <v>319</v>
      </c>
      <c r="B103" s="361">
        <v>0</v>
      </c>
      <c r="C103" s="361">
        <v>54.6</v>
      </c>
      <c r="D103" s="362">
        <v>54.6</v>
      </c>
      <c r="E103" s="371" t="s">
        <v>223</v>
      </c>
      <c r="F103" s="361">
        <v>0</v>
      </c>
      <c r="G103" s="362">
        <v>0</v>
      </c>
      <c r="H103" s="364">
        <v>3.2</v>
      </c>
      <c r="I103" s="361">
        <v>19.8</v>
      </c>
      <c r="J103" s="362">
        <v>19.8</v>
      </c>
      <c r="K103" s="372" t="s">
        <v>223</v>
      </c>
    </row>
    <row r="104" spans="1:11" ht="14.4" customHeight="1" thickBot="1" x14ac:dyDescent="0.35">
      <c r="A104" s="385" t="s">
        <v>320</v>
      </c>
      <c r="B104" s="361">
        <v>0</v>
      </c>
      <c r="C104" s="361">
        <v>5.8</v>
      </c>
      <c r="D104" s="362">
        <v>5.8</v>
      </c>
      <c r="E104" s="371" t="s">
        <v>223</v>
      </c>
      <c r="F104" s="361">
        <v>7.2774570716699998</v>
      </c>
      <c r="G104" s="362">
        <v>3.0322737798619999</v>
      </c>
      <c r="H104" s="364">
        <v>2.9</v>
      </c>
      <c r="I104" s="361">
        <v>2.9</v>
      </c>
      <c r="J104" s="362">
        <v>-0.13227377986200001</v>
      </c>
      <c r="K104" s="365">
        <v>0.39849084253400002</v>
      </c>
    </row>
    <row r="105" spans="1:11" ht="14.4" customHeight="1" thickBot="1" x14ac:dyDescent="0.35">
      <c r="A105" s="383" t="s">
        <v>321</v>
      </c>
      <c r="B105" s="361">
        <v>0</v>
      </c>
      <c r="C105" s="361">
        <v>5.8</v>
      </c>
      <c r="D105" s="362">
        <v>5.8</v>
      </c>
      <c r="E105" s="371" t="s">
        <v>223</v>
      </c>
      <c r="F105" s="361">
        <v>7.2774570716699998</v>
      </c>
      <c r="G105" s="362">
        <v>3.0322737798619999</v>
      </c>
      <c r="H105" s="364">
        <v>2.9</v>
      </c>
      <c r="I105" s="361">
        <v>2.9</v>
      </c>
      <c r="J105" s="362">
        <v>-0.13227377986200001</v>
      </c>
      <c r="K105" s="365">
        <v>0.39849084253400002</v>
      </c>
    </row>
    <row r="106" spans="1:11" ht="14.4" customHeight="1" thickBot="1" x14ac:dyDescent="0.35">
      <c r="A106" s="385" t="s">
        <v>322</v>
      </c>
      <c r="B106" s="361">
        <v>0</v>
      </c>
      <c r="C106" s="361">
        <v>3.25</v>
      </c>
      <c r="D106" s="362">
        <v>3.25</v>
      </c>
      <c r="E106" s="371" t="s">
        <v>223</v>
      </c>
      <c r="F106" s="361">
        <v>1.672512342304</v>
      </c>
      <c r="G106" s="362">
        <v>0.69688014262599995</v>
      </c>
      <c r="H106" s="364">
        <v>0</v>
      </c>
      <c r="I106" s="361">
        <v>0.3</v>
      </c>
      <c r="J106" s="362">
        <v>-0.39688014262600002</v>
      </c>
      <c r="K106" s="365">
        <v>0.17937087363199999</v>
      </c>
    </row>
    <row r="107" spans="1:11" ht="14.4" customHeight="1" thickBot="1" x14ac:dyDescent="0.35">
      <c r="A107" s="383" t="s">
        <v>323</v>
      </c>
      <c r="B107" s="361">
        <v>0</v>
      </c>
      <c r="C107" s="361">
        <v>3.25</v>
      </c>
      <c r="D107" s="362">
        <v>3.25</v>
      </c>
      <c r="E107" s="371" t="s">
        <v>223</v>
      </c>
      <c r="F107" s="361">
        <v>1.672512342304</v>
      </c>
      <c r="G107" s="362">
        <v>0.69688014262599995</v>
      </c>
      <c r="H107" s="364">
        <v>0</v>
      </c>
      <c r="I107" s="361">
        <v>0.3</v>
      </c>
      <c r="J107" s="362">
        <v>-0.39688014262600002</v>
      </c>
      <c r="K107" s="365">
        <v>0.17937087363199999</v>
      </c>
    </row>
    <row r="108" spans="1:11" ht="14.4" customHeight="1" thickBot="1" x14ac:dyDescent="0.35">
      <c r="A108" s="385" t="s">
        <v>324</v>
      </c>
      <c r="B108" s="361">
        <v>0</v>
      </c>
      <c r="C108" s="361">
        <v>17.634</v>
      </c>
      <c r="D108" s="362">
        <v>17.634</v>
      </c>
      <c r="E108" s="371" t="s">
        <v>233</v>
      </c>
      <c r="F108" s="361">
        <v>19.051019706696</v>
      </c>
      <c r="G108" s="362">
        <v>7.9379248777899996</v>
      </c>
      <c r="H108" s="364">
        <v>0</v>
      </c>
      <c r="I108" s="361">
        <v>0</v>
      </c>
      <c r="J108" s="362">
        <v>-7.9379248777899996</v>
      </c>
      <c r="K108" s="365">
        <v>0</v>
      </c>
    </row>
    <row r="109" spans="1:11" ht="14.4" customHeight="1" thickBot="1" x14ac:dyDescent="0.35">
      <c r="A109" s="383" t="s">
        <v>325</v>
      </c>
      <c r="B109" s="361">
        <v>0</v>
      </c>
      <c r="C109" s="361">
        <v>17.634</v>
      </c>
      <c r="D109" s="362">
        <v>17.634</v>
      </c>
      <c r="E109" s="371" t="s">
        <v>233</v>
      </c>
      <c r="F109" s="361">
        <v>19.051019706696</v>
      </c>
      <c r="G109" s="362">
        <v>7.9379248777899996</v>
      </c>
      <c r="H109" s="364">
        <v>0</v>
      </c>
      <c r="I109" s="361">
        <v>0</v>
      </c>
      <c r="J109" s="362">
        <v>-7.9379248777899996</v>
      </c>
      <c r="K109" s="365">
        <v>0</v>
      </c>
    </row>
    <row r="110" spans="1:11" ht="14.4" customHeight="1" thickBot="1" x14ac:dyDescent="0.35">
      <c r="A110" s="380" t="s">
        <v>326</v>
      </c>
      <c r="B110" s="361">
        <v>1748.99994683206</v>
      </c>
      <c r="C110" s="361">
        <v>1802.46289</v>
      </c>
      <c r="D110" s="362">
        <v>53.462943167940999</v>
      </c>
      <c r="E110" s="363">
        <v>1.0305677214360001</v>
      </c>
      <c r="F110" s="361">
        <v>1734.0043256992601</v>
      </c>
      <c r="G110" s="362">
        <v>722.50180237469203</v>
      </c>
      <c r="H110" s="364">
        <v>144.53700000000001</v>
      </c>
      <c r="I110" s="361">
        <v>722.68499999999995</v>
      </c>
      <c r="J110" s="362">
        <v>0.18319762530700001</v>
      </c>
      <c r="K110" s="365">
        <v>0.41677231670600001</v>
      </c>
    </row>
    <row r="111" spans="1:11" ht="14.4" customHeight="1" thickBot="1" x14ac:dyDescent="0.35">
      <c r="A111" s="381" t="s">
        <v>327</v>
      </c>
      <c r="B111" s="361">
        <v>1687.99994683206</v>
      </c>
      <c r="C111" s="361">
        <v>1698.4380000000001</v>
      </c>
      <c r="D111" s="362">
        <v>10.438053167941</v>
      </c>
      <c r="E111" s="363">
        <v>1.0061836809810001</v>
      </c>
      <c r="F111" s="361">
        <v>1734.0043256992601</v>
      </c>
      <c r="G111" s="362">
        <v>722.50180237469203</v>
      </c>
      <c r="H111" s="364">
        <v>144.53700000000001</v>
      </c>
      <c r="I111" s="361">
        <v>722.68499999999995</v>
      </c>
      <c r="J111" s="362">
        <v>0.18319762530700001</v>
      </c>
      <c r="K111" s="365">
        <v>0.41677231670600001</v>
      </c>
    </row>
    <row r="112" spans="1:11" ht="14.4" customHeight="1" thickBot="1" x14ac:dyDescent="0.35">
      <c r="A112" s="382" t="s">
        <v>328</v>
      </c>
      <c r="B112" s="366">
        <v>1687.99994683206</v>
      </c>
      <c r="C112" s="366">
        <v>1698.4380000000001</v>
      </c>
      <c r="D112" s="367">
        <v>10.438053167941</v>
      </c>
      <c r="E112" s="373">
        <v>1.0061836809810001</v>
      </c>
      <c r="F112" s="366">
        <v>1734.0043256992601</v>
      </c>
      <c r="G112" s="367">
        <v>722.50180237469203</v>
      </c>
      <c r="H112" s="369">
        <v>144.53700000000001</v>
      </c>
      <c r="I112" s="366">
        <v>722.68499999999995</v>
      </c>
      <c r="J112" s="367">
        <v>0.18319762530700001</v>
      </c>
      <c r="K112" s="374">
        <v>0.41677231670600001</v>
      </c>
    </row>
    <row r="113" spans="1:11" ht="14.4" customHeight="1" thickBot="1" x14ac:dyDescent="0.35">
      <c r="A113" s="383" t="s">
        <v>329</v>
      </c>
      <c r="B113" s="361">
        <v>1.999999937004</v>
      </c>
      <c r="C113" s="361">
        <v>1.728</v>
      </c>
      <c r="D113" s="362">
        <v>-0.27199993700399999</v>
      </c>
      <c r="E113" s="363">
        <v>0.86400002721299995</v>
      </c>
      <c r="F113" s="361">
        <v>2.000004989272</v>
      </c>
      <c r="G113" s="362">
        <v>0.83333541219600005</v>
      </c>
      <c r="H113" s="364">
        <v>0.14399999999999999</v>
      </c>
      <c r="I113" s="361">
        <v>0.72</v>
      </c>
      <c r="J113" s="362">
        <v>-0.113335412196</v>
      </c>
      <c r="K113" s="365">
        <v>0.359999101933</v>
      </c>
    </row>
    <row r="114" spans="1:11" ht="14.4" customHeight="1" thickBot="1" x14ac:dyDescent="0.35">
      <c r="A114" s="383" t="s">
        <v>330</v>
      </c>
      <c r="B114" s="361">
        <v>1685.99994689505</v>
      </c>
      <c r="C114" s="361">
        <v>1696.3979999999999</v>
      </c>
      <c r="D114" s="362">
        <v>10.398053104945999</v>
      </c>
      <c r="E114" s="363">
        <v>1.006167291478</v>
      </c>
      <c r="F114" s="361">
        <v>1732.00432070999</v>
      </c>
      <c r="G114" s="362">
        <v>721.66846696249502</v>
      </c>
      <c r="H114" s="364">
        <v>144.36699999999999</v>
      </c>
      <c r="I114" s="361">
        <v>721.83500000000004</v>
      </c>
      <c r="J114" s="362">
        <v>0.166533037504</v>
      </c>
      <c r="K114" s="365">
        <v>0.416762817141</v>
      </c>
    </row>
    <row r="115" spans="1:11" ht="14.4" customHeight="1" thickBot="1" x14ac:dyDescent="0.35">
      <c r="A115" s="383" t="s">
        <v>331</v>
      </c>
      <c r="B115" s="361">
        <v>0</v>
      </c>
      <c r="C115" s="361">
        <v>0.312</v>
      </c>
      <c r="D115" s="362">
        <v>0.312</v>
      </c>
      <c r="E115" s="371" t="s">
        <v>223</v>
      </c>
      <c r="F115" s="361">
        <v>0</v>
      </c>
      <c r="G115" s="362">
        <v>0</v>
      </c>
      <c r="H115" s="364">
        <v>2.5999999999999999E-2</v>
      </c>
      <c r="I115" s="361">
        <v>0.13</v>
      </c>
      <c r="J115" s="362">
        <v>0.13</v>
      </c>
      <c r="K115" s="372" t="s">
        <v>223</v>
      </c>
    </row>
    <row r="116" spans="1:11" ht="14.4" customHeight="1" thickBot="1" x14ac:dyDescent="0.35">
      <c r="A116" s="381" t="s">
        <v>332</v>
      </c>
      <c r="B116" s="361">
        <v>61</v>
      </c>
      <c r="C116" s="361">
        <v>104.02489</v>
      </c>
      <c r="D116" s="362">
        <v>43.024889999999999</v>
      </c>
      <c r="E116" s="363">
        <v>1.705326065573</v>
      </c>
      <c r="F116" s="361">
        <v>0</v>
      </c>
      <c r="G116" s="362">
        <v>0</v>
      </c>
      <c r="H116" s="364">
        <v>0</v>
      </c>
      <c r="I116" s="361">
        <v>0</v>
      </c>
      <c r="J116" s="362">
        <v>0</v>
      </c>
      <c r="K116" s="372" t="s">
        <v>223</v>
      </c>
    </row>
    <row r="117" spans="1:11" ht="14.4" customHeight="1" thickBot="1" x14ac:dyDescent="0.35">
      <c r="A117" s="382" t="s">
        <v>333</v>
      </c>
      <c r="B117" s="366">
        <v>61</v>
      </c>
      <c r="C117" s="366">
        <v>77.658990000000003</v>
      </c>
      <c r="D117" s="367">
        <v>16.658989999999999</v>
      </c>
      <c r="E117" s="373">
        <v>1.273098196721</v>
      </c>
      <c r="F117" s="366">
        <v>0</v>
      </c>
      <c r="G117" s="367">
        <v>0</v>
      </c>
      <c r="H117" s="369">
        <v>0</v>
      </c>
      <c r="I117" s="366">
        <v>0</v>
      </c>
      <c r="J117" s="367">
        <v>0</v>
      </c>
      <c r="K117" s="370" t="s">
        <v>223</v>
      </c>
    </row>
    <row r="118" spans="1:11" ht="14.4" customHeight="1" thickBot="1" x14ac:dyDescent="0.35">
      <c r="A118" s="383" t="s">
        <v>334</v>
      </c>
      <c r="B118" s="361">
        <v>61</v>
      </c>
      <c r="C118" s="361">
        <v>77.658990000000003</v>
      </c>
      <c r="D118" s="362">
        <v>16.658989999999999</v>
      </c>
      <c r="E118" s="363">
        <v>1.273098196721</v>
      </c>
      <c r="F118" s="361">
        <v>0</v>
      </c>
      <c r="G118" s="362">
        <v>0</v>
      </c>
      <c r="H118" s="364">
        <v>0</v>
      </c>
      <c r="I118" s="361">
        <v>0</v>
      </c>
      <c r="J118" s="362">
        <v>0</v>
      </c>
      <c r="K118" s="372" t="s">
        <v>223</v>
      </c>
    </row>
    <row r="119" spans="1:11" ht="14.4" customHeight="1" thickBot="1" x14ac:dyDescent="0.35">
      <c r="A119" s="382" t="s">
        <v>335</v>
      </c>
      <c r="B119" s="366">
        <v>0</v>
      </c>
      <c r="C119" s="366">
        <v>26.3659</v>
      </c>
      <c r="D119" s="367">
        <v>26.3659</v>
      </c>
      <c r="E119" s="368" t="s">
        <v>233</v>
      </c>
      <c r="F119" s="366">
        <v>0</v>
      </c>
      <c r="G119" s="367">
        <v>0</v>
      </c>
      <c r="H119" s="369">
        <v>0</v>
      </c>
      <c r="I119" s="366">
        <v>0</v>
      </c>
      <c r="J119" s="367">
        <v>0</v>
      </c>
      <c r="K119" s="370" t="s">
        <v>223</v>
      </c>
    </row>
    <row r="120" spans="1:11" ht="14.4" customHeight="1" thickBot="1" x14ac:dyDescent="0.35">
      <c r="A120" s="383" t="s">
        <v>336</v>
      </c>
      <c r="B120" s="361">
        <v>0</v>
      </c>
      <c r="C120" s="361">
        <v>26.3659</v>
      </c>
      <c r="D120" s="362">
        <v>26.3659</v>
      </c>
      <c r="E120" s="371" t="s">
        <v>233</v>
      </c>
      <c r="F120" s="361">
        <v>0</v>
      </c>
      <c r="G120" s="362">
        <v>0</v>
      </c>
      <c r="H120" s="364">
        <v>0</v>
      </c>
      <c r="I120" s="361">
        <v>0</v>
      </c>
      <c r="J120" s="362">
        <v>0</v>
      </c>
      <c r="K120" s="372" t="s">
        <v>223</v>
      </c>
    </row>
    <row r="121" spans="1:11" ht="14.4" customHeight="1" thickBot="1" x14ac:dyDescent="0.35">
      <c r="A121" s="380" t="s">
        <v>337</v>
      </c>
      <c r="B121" s="361">
        <v>0</v>
      </c>
      <c r="C121" s="361">
        <v>0.17041999999999999</v>
      </c>
      <c r="D121" s="362">
        <v>0.17041999999999999</v>
      </c>
      <c r="E121" s="371" t="s">
        <v>233</v>
      </c>
      <c r="F121" s="361">
        <v>0</v>
      </c>
      <c r="G121" s="362">
        <v>0</v>
      </c>
      <c r="H121" s="364">
        <v>0</v>
      </c>
      <c r="I121" s="361">
        <v>0.41446</v>
      </c>
      <c r="J121" s="362">
        <v>0.41446</v>
      </c>
      <c r="K121" s="372" t="s">
        <v>223</v>
      </c>
    </row>
    <row r="122" spans="1:11" ht="14.4" customHeight="1" thickBot="1" x14ac:dyDescent="0.35">
      <c r="A122" s="381" t="s">
        <v>338</v>
      </c>
      <c r="B122" s="361">
        <v>0</v>
      </c>
      <c r="C122" s="361">
        <v>0.17041999999999999</v>
      </c>
      <c r="D122" s="362">
        <v>0.17041999999999999</v>
      </c>
      <c r="E122" s="371" t="s">
        <v>233</v>
      </c>
      <c r="F122" s="361">
        <v>0</v>
      </c>
      <c r="G122" s="362">
        <v>0</v>
      </c>
      <c r="H122" s="364">
        <v>0</v>
      </c>
      <c r="I122" s="361">
        <v>0.41446</v>
      </c>
      <c r="J122" s="362">
        <v>0.41446</v>
      </c>
      <c r="K122" s="372" t="s">
        <v>223</v>
      </c>
    </row>
    <row r="123" spans="1:11" ht="14.4" customHeight="1" thickBot="1" x14ac:dyDescent="0.35">
      <c r="A123" s="382" t="s">
        <v>339</v>
      </c>
      <c r="B123" s="366">
        <v>0</v>
      </c>
      <c r="C123" s="366">
        <v>0.17041999999999999</v>
      </c>
      <c r="D123" s="367">
        <v>0.17041999999999999</v>
      </c>
      <c r="E123" s="368" t="s">
        <v>233</v>
      </c>
      <c r="F123" s="366">
        <v>0</v>
      </c>
      <c r="G123" s="367">
        <v>0</v>
      </c>
      <c r="H123" s="369">
        <v>0</v>
      </c>
      <c r="I123" s="366">
        <v>0.41446</v>
      </c>
      <c r="J123" s="367">
        <v>0.41446</v>
      </c>
      <c r="K123" s="370" t="s">
        <v>223</v>
      </c>
    </row>
    <row r="124" spans="1:11" ht="14.4" customHeight="1" thickBot="1" x14ac:dyDescent="0.35">
      <c r="A124" s="383" t="s">
        <v>340</v>
      </c>
      <c r="B124" s="361">
        <v>0</v>
      </c>
      <c r="C124" s="361">
        <v>0.17041999999999999</v>
      </c>
      <c r="D124" s="362">
        <v>0.17041999999999999</v>
      </c>
      <c r="E124" s="371" t="s">
        <v>233</v>
      </c>
      <c r="F124" s="361">
        <v>0</v>
      </c>
      <c r="G124" s="362">
        <v>0</v>
      </c>
      <c r="H124" s="364">
        <v>0</v>
      </c>
      <c r="I124" s="361">
        <v>0.41446</v>
      </c>
      <c r="J124" s="362">
        <v>0.41446</v>
      </c>
      <c r="K124" s="372" t="s">
        <v>223</v>
      </c>
    </row>
    <row r="125" spans="1:11" ht="14.4" customHeight="1" thickBot="1" x14ac:dyDescent="0.35">
      <c r="A125" s="379" t="s">
        <v>341</v>
      </c>
      <c r="B125" s="361">
        <v>23275.8821712391</v>
      </c>
      <c r="C125" s="361">
        <v>24493.926960000001</v>
      </c>
      <c r="D125" s="362">
        <v>1218.0447887609</v>
      </c>
      <c r="E125" s="363">
        <v>1.0523307679509999</v>
      </c>
      <c r="F125" s="361">
        <v>25469.354388343902</v>
      </c>
      <c r="G125" s="362">
        <v>10612.2309951433</v>
      </c>
      <c r="H125" s="364">
        <v>2188.7441100000001</v>
      </c>
      <c r="I125" s="361">
        <v>10507.97323</v>
      </c>
      <c r="J125" s="362">
        <v>-104.257765143284</v>
      </c>
      <c r="K125" s="365">
        <v>0.412573207384</v>
      </c>
    </row>
    <row r="126" spans="1:11" ht="14.4" customHeight="1" thickBot="1" x14ac:dyDescent="0.35">
      <c r="A126" s="380" t="s">
        <v>342</v>
      </c>
      <c r="B126" s="361">
        <v>23214.3826175465</v>
      </c>
      <c r="C126" s="361">
        <v>24430.980650000001</v>
      </c>
      <c r="D126" s="362">
        <v>1216.5980324534801</v>
      </c>
      <c r="E126" s="363">
        <v>1.052407081096</v>
      </c>
      <c r="F126" s="361">
        <v>25401.004190260399</v>
      </c>
      <c r="G126" s="362">
        <v>10583.7517459418</v>
      </c>
      <c r="H126" s="364">
        <v>2161.4779100000001</v>
      </c>
      <c r="I126" s="361">
        <v>10373.557769999999</v>
      </c>
      <c r="J126" s="362">
        <v>-210.19397594184699</v>
      </c>
      <c r="K126" s="365">
        <v>0.40839164043600001</v>
      </c>
    </row>
    <row r="127" spans="1:11" ht="14.4" customHeight="1" thickBot="1" x14ac:dyDescent="0.35">
      <c r="A127" s="381" t="s">
        <v>343</v>
      </c>
      <c r="B127" s="361">
        <v>21464.9378616416</v>
      </c>
      <c r="C127" s="361">
        <v>22479.493429999999</v>
      </c>
      <c r="D127" s="362">
        <v>1014.55556835845</v>
      </c>
      <c r="E127" s="363">
        <v>1.047265711873</v>
      </c>
      <c r="F127" s="361">
        <v>24002.774293791801</v>
      </c>
      <c r="G127" s="362">
        <v>10001.155955746601</v>
      </c>
      <c r="H127" s="364">
        <v>1954.0209199999999</v>
      </c>
      <c r="I127" s="361">
        <v>9473.5631300000005</v>
      </c>
      <c r="J127" s="362">
        <v>-527.592825746578</v>
      </c>
      <c r="K127" s="365">
        <v>0.39468617310800003</v>
      </c>
    </row>
    <row r="128" spans="1:11" ht="14.4" customHeight="1" thickBot="1" x14ac:dyDescent="0.35">
      <c r="A128" s="382" t="s">
        <v>344</v>
      </c>
      <c r="B128" s="366">
        <v>880.93786163617995</v>
      </c>
      <c r="C128" s="366">
        <v>961.44073000000003</v>
      </c>
      <c r="D128" s="367">
        <v>80.502868363819999</v>
      </c>
      <c r="E128" s="373">
        <v>1.091383140479</v>
      </c>
      <c r="F128" s="366">
        <v>889.874720365852</v>
      </c>
      <c r="G128" s="367">
        <v>370.78113348577199</v>
      </c>
      <c r="H128" s="369">
        <v>125.53555</v>
      </c>
      <c r="I128" s="366">
        <v>540.00621000000001</v>
      </c>
      <c r="J128" s="367">
        <v>169.22507651422899</v>
      </c>
      <c r="K128" s="374">
        <v>0.60683397071599998</v>
      </c>
    </row>
    <row r="129" spans="1:11" ht="14.4" customHeight="1" thickBot="1" x14ac:dyDescent="0.35">
      <c r="A129" s="383" t="s">
        <v>345</v>
      </c>
      <c r="B129" s="361">
        <v>103</v>
      </c>
      <c r="C129" s="361">
        <v>10.70581</v>
      </c>
      <c r="D129" s="362">
        <v>-92.29419</v>
      </c>
      <c r="E129" s="363">
        <v>0.103939902912</v>
      </c>
      <c r="F129" s="361">
        <v>11.795628231437</v>
      </c>
      <c r="G129" s="362">
        <v>4.9148450964319998</v>
      </c>
      <c r="H129" s="364">
        <v>16.138200000000001</v>
      </c>
      <c r="I129" s="361">
        <v>23.076000000000001</v>
      </c>
      <c r="J129" s="362">
        <v>18.161154903566999</v>
      </c>
      <c r="K129" s="365">
        <v>1.956318014372</v>
      </c>
    </row>
    <row r="130" spans="1:11" ht="14.4" customHeight="1" thickBot="1" x14ac:dyDescent="0.35">
      <c r="A130" s="383" t="s">
        <v>346</v>
      </c>
      <c r="B130" s="361">
        <v>168</v>
      </c>
      <c r="C130" s="361">
        <v>277.82222000000002</v>
      </c>
      <c r="D130" s="362">
        <v>109.82222</v>
      </c>
      <c r="E130" s="363">
        <v>1.6537036904760001</v>
      </c>
      <c r="F130" s="361">
        <v>229.00092275675499</v>
      </c>
      <c r="G130" s="362">
        <v>95.417051148647005</v>
      </c>
      <c r="H130" s="364">
        <v>34.703800000000001</v>
      </c>
      <c r="I130" s="361">
        <v>137.50976</v>
      </c>
      <c r="J130" s="362">
        <v>42.092708851352</v>
      </c>
      <c r="K130" s="365">
        <v>0.60047688168500002</v>
      </c>
    </row>
    <row r="131" spans="1:11" ht="14.4" customHeight="1" thickBot="1" x14ac:dyDescent="0.35">
      <c r="A131" s="383" t="s">
        <v>347</v>
      </c>
      <c r="B131" s="361">
        <v>58</v>
      </c>
      <c r="C131" s="361">
        <v>32.734299999999998</v>
      </c>
      <c r="D131" s="362">
        <v>-25.265699999999999</v>
      </c>
      <c r="E131" s="363">
        <v>0.56438448275800002</v>
      </c>
      <c r="F131" s="361">
        <v>27.127675222722999</v>
      </c>
      <c r="G131" s="362">
        <v>11.303198009468</v>
      </c>
      <c r="H131" s="364">
        <v>0.23139999999999999</v>
      </c>
      <c r="I131" s="361">
        <v>9.1110000000000007</v>
      </c>
      <c r="J131" s="362">
        <v>-2.192198009468</v>
      </c>
      <c r="K131" s="365">
        <v>0.33585627685300001</v>
      </c>
    </row>
    <row r="132" spans="1:11" ht="14.4" customHeight="1" thickBot="1" x14ac:dyDescent="0.35">
      <c r="A132" s="383" t="s">
        <v>348</v>
      </c>
      <c r="B132" s="361">
        <v>551.93786163617995</v>
      </c>
      <c r="C132" s="361">
        <v>640.17840000000001</v>
      </c>
      <c r="D132" s="362">
        <v>88.240538363819994</v>
      </c>
      <c r="E132" s="363">
        <v>1.1598740447010001</v>
      </c>
      <c r="F132" s="361">
        <v>621.95049415493497</v>
      </c>
      <c r="G132" s="362">
        <v>259.14603923122303</v>
      </c>
      <c r="H132" s="364">
        <v>74.462149999999994</v>
      </c>
      <c r="I132" s="361">
        <v>370.30945000000003</v>
      </c>
      <c r="J132" s="362">
        <v>111.163410768777</v>
      </c>
      <c r="K132" s="365">
        <v>0.59540020223400003</v>
      </c>
    </row>
    <row r="133" spans="1:11" ht="14.4" customHeight="1" thickBot="1" x14ac:dyDescent="0.35">
      <c r="A133" s="382" t="s">
        <v>349</v>
      </c>
      <c r="B133" s="366">
        <v>25.000000000006001</v>
      </c>
      <c r="C133" s="366">
        <v>83.084699999999998</v>
      </c>
      <c r="D133" s="367">
        <v>58.084699999992999</v>
      </c>
      <c r="E133" s="373">
        <v>3.3233879999989999</v>
      </c>
      <c r="F133" s="366">
        <v>64.000006417194001</v>
      </c>
      <c r="G133" s="367">
        <v>26.666669340496998</v>
      </c>
      <c r="H133" s="369">
        <v>5.6529999999999996</v>
      </c>
      <c r="I133" s="366">
        <v>22.738009999999999</v>
      </c>
      <c r="J133" s="367">
        <v>-3.9286593404970001</v>
      </c>
      <c r="K133" s="374">
        <v>0.35528137062600001</v>
      </c>
    </row>
    <row r="134" spans="1:11" ht="14.4" customHeight="1" thickBot="1" x14ac:dyDescent="0.35">
      <c r="A134" s="383" t="s">
        <v>350</v>
      </c>
      <c r="B134" s="361">
        <v>25.000000000006001</v>
      </c>
      <c r="C134" s="361">
        <v>83.084699999999998</v>
      </c>
      <c r="D134" s="362">
        <v>58.084699999992999</v>
      </c>
      <c r="E134" s="363">
        <v>3.3233879999989999</v>
      </c>
      <c r="F134" s="361">
        <v>64.000006417194001</v>
      </c>
      <c r="G134" s="362">
        <v>26.666669340496998</v>
      </c>
      <c r="H134" s="364">
        <v>5.6529999999999996</v>
      </c>
      <c r="I134" s="361">
        <v>22.738009999999999</v>
      </c>
      <c r="J134" s="362">
        <v>-3.9286593404970001</v>
      </c>
      <c r="K134" s="365">
        <v>0.35528137062600001</v>
      </c>
    </row>
    <row r="135" spans="1:11" ht="14.4" customHeight="1" thickBot="1" x14ac:dyDescent="0.35">
      <c r="A135" s="382" t="s">
        <v>351</v>
      </c>
      <c r="B135" s="366">
        <v>1327.0000000003499</v>
      </c>
      <c r="C135" s="366">
        <v>-133.27260000000001</v>
      </c>
      <c r="D135" s="367">
        <v>-1460.2726000003499</v>
      </c>
      <c r="E135" s="373">
        <v>-0.10043149962300001</v>
      </c>
      <c r="F135" s="366">
        <v>73.897263336343002</v>
      </c>
      <c r="G135" s="367">
        <v>30.790526390143</v>
      </c>
      <c r="H135" s="369">
        <v>3.36</v>
      </c>
      <c r="I135" s="366">
        <v>3.891</v>
      </c>
      <c r="J135" s="367">
        <v>-26.899526390142999</v>
      </c>
      <c r="K135" s="374">
        <v>5.2654182634999998E-2</v>
      </c>
    </row>
    <row r="136" spans="1:11" ht="14.4" customHeight="1" thickBot="1" x14ac:dyDescent="0.35">
      <c r="A136" s="383" t="s">
        <v>352</v>
      </c>
      <c r="B136" s="361">
        <v>1282.0000000003299</v>
      </c>
      <c r="C136" s="361">
        <v>-121.28959999999999</v>
      </c>
      <c r="D136" s="362">
        <v>-1403.28960000034</v>
      </c>
      <c r="E136" s="363">
        <v>-9.4609672386000002E-2</v>
      </c>
      <c r="F136" s="361">
        <v>73.897263336343002</v>
      </c>
      <c r="G136" s="362">
        <v>30.790526390143</v>
      </c>
      <c r="H136" s="364">
        <v>0</v>
      </c>
      <c r="I136" s="361">
        <v>0</v>
      </c>
      <c r="J136" s="362">
        <v>-30.790526390143</v>
      </c>
      <c r="K136" s="365">
        <v>0</v>
      </c>
    </row>
    <row r="137" spans="1:11" ht="14.4" customHeight="1" thickBot="1" x14ac:dyDescent="0.35">
      <c r="A137" s="383" t="s">
        <v>353</v>
      </c>
      <c r="B137" s="361">
        <v>45.000000000010999</v>
      </c>
      <c r="C137" s="361">
        <v>-11.983000000000001</v>
      </c>
      <c r="D137" s="362">
        <v>-56.983000000011003</v>
      </c>
      <c r="E137" s="363">
        <v>-0.26628888888800001</v>
      </c>
      <c r="F137" s="361">
        <v>0</v>
      </c>
      <c r="G137" s="362">
        <v>0</v>
      </c>
      <c r="H137" s="364">
        <v>3.36</v>
      </c>
      <c r="I137" s="361">
        <v>3.891</v>
      </c>
      <c r="J137" s="362">
        <v>3.891</v>
      </c>
      <c r="K137" s="372" t="s">
        <v>223</v>
      </c>
    </row>
    <row r="138" spans="1:11" ht="14.4" customHeight="1" thickBot="1" x14ac:dyDescent="0.35">
      <c r="A138" s="382" t="s">
        <v>354</v>
      </c>
      <c r="B138" s="366">
        <v>19232.000000004999</v>
      </c>
      <c r="C138" s="366">
        <v>20693.838940000001</v>
      </c>
      <c r="D138" s="367">
        <v>1461.8389399949799</v>
      </c>
      <c r="E138" s="373">
        <v>1.0760107601910001</v>
      </c>
      <c r="F138" s="366">
        <v>22975.002303672401</v>
      </c>
      <c r="G138" s="367">
        <v>9572.9176265301594</v>
      </c>
      <c r="H138" s="369">
        <v>1571.7012</v>
      </c>
      <c r="I138" s="366">
        <v>8552.2571399999997</v>
      </c>
      <c r="J138" s="367">
        <v>-1020.66048653017</v>
      </c>
      <c r="K138" s="374">
        <v>0.37224184036800001</v>
      </c>
    </row>
    <row r="139" spans="1:11" ht="14.4" customHeight="1" thickBot="1" x14ac:dyDescent="0.35">
      <c r="A139" s="383" t="s">
        <v>355</v>
      </c>
      <c r="B139" s="361">
        <v>12011.0000000031</v>
      </c>
      <c r="C139" s="361">
        <v>11675.92359</v>
      </c>
      <c r="D139" s="362">
        <v>-335.076410003136</v>
      </c>
      <c r="E139" s="363">
        <v>0.97210253850600004</v>
      </c>
      <c r="F139" s="361">
        <v>13945.001398246401</v>
      </c>
      <c r="G139" s="362">
        <v>5810.4172492693397</v>
      </c>
      <c r="H139" s="364">
        <v>921.59036000000003</v>
      </c>
      <c r="I139" s="361">
        <v>4775.5135700000001</v>
      </c>
      <c r="J139" s="362">
        <v>-1034.90367926934</v>
      </c>
      <c r="K139" s="365">
        <v>0.34245343070299999</v>
      </c>
    </row>
    <row r="140" spans="1:11" ht="14.4" customHeight="1" thickBot="1" x14ac:dyDescent="0.35">
      <c r="A140" s="383" t="s">
        <v>356</v>
      </c>
      <c r="B140" s="361">
        <v>7221.0000000018899</v>
      </c>
      <c r="C140" s="361">
        <v>9017.9153499999993</v>
      </c>
      <c r="D140" s="362">
        <v>1796.9153499981101</v>
      </c>
      <c r="E140" s="363">
        <v>1.248845776207</v>
      </c>
      <c r="F140" s="361">
        <v>9030.0009054259699</v>
      </c>
      <c r="G140" s="362">
        <v>3762.5003772608202</v>
      </c>
      <c r="H140" s="364">
        <v>650.11084000000005</v>
      </c>
      <c r="I140" s="361">
        <v>3776.7435700000001</v>
      </c>
      <c r="J140" s="362">
        <v>14.243192739177999</v>
      </c>
      <c r="K140" s="365">
        <v>0.41824398574799998</v>
      </c>
    </row>
    <row r="141" spans="1:11" ht="14.4" customHeight="1" thickBot="1" x14ac:dyDescent="0.35">
      <c r="A141" s="382" t="s">
        <v>357</v>
      </c>
      <c r="B141" s="366">
        <v>0</v>
      </c>
      <c r="C141" s="366">
        <v>874.40165999999999</v>
      </c>
      <c r="D141" s="367">
        <v>874.40165999999999</v>
      </c>
      <c r="E141" s="368" t="s">
        <v>223</v>
      </c>
      <c r="F141" s="366">
        <v>0</v>
      </c>
      <c r="G141" s="367">
        <v>0</v>
      </c>
      <c r="H141" s="369">
        <v>247.77117000000001</v>
      </c>
      <c r="I141" s="366">
        <v>354.67077</v>
      </c>
      <c r="J141" s="367">
        <v>354.67077</v>
      </c>
      <c r="K141" s="370" t="s">
        <v>223</v>
      </c>
    </row>
    <row r="142" spans="1:11" ht="14.4" customHeight="1" thickBot="1" x14ac:dyDescent="0.35">
      <c r="A142" s="383" t="s">
        <v>358</v>
      </c>
      <c r="B142" s="361">
        <v>0</v>
      </c>
      <c r="C142" s="361">
        <v>299.62392</v>
      </c>
      <c r="D142" s="362">
        <v>299.62392</v>
      </c>
      <c r="E142" s="371" t="s">
        <v>223</v>
      </c>
      <c r="F142" s="361">
        <v>0</v>
      </c>
      <c r="G142" s="362">
        <v>0</v>
      </c>
      <c r="H142" s="364">
        <v>224.72207</v>
      </c>
      <c r="I142" s="361">
        <v>224.72207</v>
      </c>
      <c r="J142" s="362">
        <v>224.72207</v>
      </c>
      <c r="K142" s="372" t="s">
        <v>223</v>
      </c>
    </row>
    <row r="143" spans="1:11" ht="14.4" customHeight="1" thickBot="1" x14ac:dyDescent="0.35">
      <c r="A143" s="383" t="s">
        <v>359</v>
      </c>
      <c r="B143" s="361">
        <v>0</v>
      </c>
      <c r="C143" s="361">
        <v>574.77773999999999</v>
      </c>
      <c r="D143" s="362">
        <v>574.77773999999999</v>
      </c>
      <c r="E143" s="371" t="s">
        <v>223</v>
      </c>
      <c r="F143" s="361">
        <v>0</v>
      </c>
      <c r="G143" s="362">
        <v>0</v>
      </c>
      <c r="H143" s="364">
        <v>23.049099999999999</v>
      </c>
      <c r="I143" s="361">
        <v>129.9487</v>
      </c>
      <c r="J143" s="362">
        <v>129.9487</v>
      </c>
      <c r="K143" s="372" t="s">
        <v>223</v>
      </c>
    </row>
    <row r="144" spans="1:11" ht="14.4" customHeight="1" thickBot="1" x14ac:dyDescent="0.35">
      <c r="A144" s="386" t="s">
        <v>360</v>
      </c>
      <c r="B144" s="366">
        <v>1749.4447559049599</v>
      </c>
      <c r="C144" s="366">
        <v>1951.48722</v>
      </c>
      <c r="D144" s="367">
        <v>202.042464095035</v>
      </c>
      <c r="E144" s="373">
        <v>1.1154894793979999</v>
      </c>
      <c r="F144" s="366">
        <v>1398.2298964686499</v>
      </c>
      <c r="G144" s="367">
        <v>582.59579019526996</v>
      </c>
      <c r="H144" s="369">
        <v>207.45698999999999</v>
      </c>
      <c r="I144" s="366">
        <v>899.99464</v>
      </c>
      <c r="J144" s="367">
        <v>317.39884980472999</v>
      </c>
      <c r="K144" s="374">
        <v>0.64366714105599998</v>
      </c>
    </row>
    <row r="145" spans="1:11" ht="14.4" customHeight="1" thickBot="1" x14ac:dyDescent="0.35">
      <c r="A145" s="382" t="s">
        <v>361</v>
      </c>
      <c r="B145" s="366">
        <v>1749.4447559049599</v>
      </c>
      <c r="C145" s="366">
        <v>1951.48722</v>
      </c>
      <c r="D145" s="367">
        <v>202.042464095035</v>
      </c>
      <c r="E145" s="373">
        <v>1.1154894793979999</v>
      </c>
      <c r="F145" s="366">
        <v>1398.2298964686499</v>
      </c>
      <c r="G145" s="367">
        <v>582.59579019526996</v>
      </c>
      <c r="H145" s="369">
        <v>207.45698999999999</v>
      </c>
      <c r="I145" s="366">
        <v>899.99464</v>
      </c>
      <c r="J145" s="367">
        <v>317.39884980472999</v>
      </c>
      <c r="K145" s="374">
        <v>0.64366714105599998</v>
      </c>
    </row>
    <row r="146" spans="1:11" ht="14.4" customHeight="1" thickBot="1" x14ac:dyDescent="0.35">
      <c r="A146" s="383" t="s">
        <v>362</v>
      </c>
      <c r="B146" s="361">
        <v>1749.4447559049599</v>
      </c>
      <c r="C146" s="361">
        <v>1951.48722</v>
      </c>
      <c r="D146" s="362">
        <v>202.042464095035</v>
      </c>
      <c r="E146" s="363">
        <v>1.1154894793979999</v>
      </c>
      <c r="F146" s="361">
        <v>1398.2298964686499</v>
      </c>
      <c r="G146" s="362">
        <v>582.59579019526996</v>
      </c>
      <c r="H146" s="364">
        <v>207.45698999999999</v>
      </c>
      <c r="I146" s="361">
        <v>899.99464</v>
      </c>
      <c r="J146" s="362">
        <v>317.39884980472999</v>
      </c>
      <c r="K146" s="365">
        <v>0.64366714105599998</v>
      </c>
    </row>
    <row r="147" spans="1:11" ht="14.4" customHeight="1" thickBot="1" x14ac:dyDescent="0.35">
      <c r="A147" s="380" t="s">
        <v>363</v>
      </c>
      <c r="B147" s="361">
        <v>61.499553692581998</v>
      </c>
      <c r="C147" s="361">
        <v>62.940429999999999</v>
      </c>
      <c r="D147" s="362">
        <v>1.4408763074169999</v>
      </c>
      <c r="E147" s="363">
        <v>1.0234290530720001</v>
      </c>
      <c r="F147" s="361">
        <v>68.350198083451005</v>
      </c>
      <c r="G147" s="362">
        <v>28.479249201437</v>
      </c>
      <c r="H147" s="364">
        <v>27.26435</v>
      </c>
      <c r="I147" s="361">
        <v>134.41945999999999</v>
      </c>
      <c r="J147" s="362">
        <v>105.94021079856201</v>
      </c>
      <c r="K147" s="365">
        <v>1.966628682419</v>
      </c>
    </row>
    <row r="148" spans="1:11" ht="14.4" customHeight="1" thickBot="1" x14ac:dyDescent="0.35">
      <c r="A148" s="381" t="s">
        <v>364</v>
      </c>
      <c r="B148" s="361">
        <v>0</v>
      </c>
      <c r="C148" s="361">
        <v>0</v>
      </c>
      <c r="D148" s="362">
        <v>0</v>
      </c>
      <c r="E148" s="371" t="s">
        <v>223</v>
      </c>
      <c r="F148" s="361">
        <v>0</v>
      </c>
      <c r="G148" s="362">
        <v>0</v>
      </c>
      <c r="H148" s="364">
        <v>0</v>
      </c>
      <c r="I148" s="361">
        <v>5.4257</v>
      </c>
      <c r="J148" s="362">
        <v>5.4257</v>
      </c>
      <c r="K148" s="372" t="s">
        <v>233</v>
      </c>
    </row>
    <row r="149" spans="1:11" ht="14.4" customHeight="1" thickBot="1" x14ac:dyDescent="0.35">
      <c r="A149" s="382" t="s">
        <v>365</v>
      </c>
      <c r="B149" s="366">
        <v>0</v>
      </c>
      <c r="C149" s="366">
        <v>0</v>
      </c>
      <c r="D149" s="367">
        <v>0</v>
      </c>
      <c r="E149" s="368" t="s">
        <v>223</v>
      </c>
      <c r="F149" s="366">
        <v>0</v>
      </c>
      <c r="G149" s="367">
        <v>0</v>
      </c>
      <c r="H149" s="369">
        <v>0</v>
      </c>
      <c r="I149" s="366">
        <v>5.4257</v>
      </c>
      <c r="J149" s="367">
        <v>5.4257</v>
      </c>
      <c r="K149" s="370" t="s">
        <v>233</v>
      </c>
    </row>
    <row r="150" spans="1:11" ht="14.4" customHeight="1" thickBot="1" x14ac:dyDescent="0.35">
      <c r="A150" s="383" t="s">
        <v>366</v>
      </c>
      <c r="B150" s="361">
        <v>0</v>
      </c>
      <c r="C150" s="361">
        <v>0</v>
      </c>
      <c r="D150" s="362">
        <v>0</v>
      </c>
      <c r="E150" s="371" t="s">
        <v>223</v>
      </c>
      <c r="F150" s="361">
        <v>0</v>
      </c>
      <c r="G150" s="362">
        <v>0</v>
      </c>
      <c r="H150" s="364">
        <v>0</v>
      </c>
      <c r="I150" s="361">
        <v>5.4257</v>
      </c>
      <c r="J150" s="362">
        <v>5.4257</v>
      </c>
      <c r="K150" s="372" t="s">
        <v>233</v>
      </c>
    </row>
    <row r="151" spans="1:11" ht="14.4" customHeight="1" thickBot="1" x14ac:dyDescent="0.35">
      <c r="A151" s="386" t="s">
        <v>367</v>
      </c>
      <c r="B151" s="366">
        <v>61.499553692581998</v>
      </c>
      <c r="C151" s="366">
        <v>62.940429999999999</v>
      </c>
      <c r="D151" s="367">
        <v>1.4408763074169999</v>
      </c>
      <c r="E151" s="373">
        <v>1.0234290530720001</v>
      </c>
      <c r="F151" s="366">
        <v>68.350198083451005</v>
      </c>
      <c r="G151" s="367">
        <v>28.479249201437</v>
      </c>
      <c r="H151" s="369">
        <v>27.26435</v>
      </c>
      <c r="I151" s="366">
        <v>128.99376000000001</v>
      </c>
      <c r="J151" s="367">
        <v>100.514510798562</v>
      </c>
      <c r="K151" s="374">
        <v>1.887247785917</v>
      </c>
    </row>
    <row r="152" spans="1:11" ht="14.4" customHeight="1" thickBot="1" x14ac:dyDescent="0.35">
      <c r="A152" s="382" t="s">
        <v>368</v>
      </c>
      <c r="B152" s="366">
        <v>0</v>
      </c>
      <c r="C152" s="366">
        <v>0.31641000000000002</v>
      </c>
      <c r="D152" s="367">
        <v>0.31641000000000002</v>
      </c>
      <c r="E152" s="368" t="s">
        <v>223</v>
      </c>
      <c r="F152" s="366">
        <v>0</v>
      </c>
      <c r="G152" s="367">
        <v>0</v>
      </c>
      <c r="H152" s="369">
        <v>5.4699999999999999E-2</v>
      </c>
      <c r="I152" s="366">
        <v>0.25790999999999997</v>
      </c>
      <c r="J152" s="367">
        <v>0.25790999999999997</v>
      </c>
      <c r="K152" s="370" t="s">
        <v>223</v>
      </c>
    </row>
    <row r="153" spans="1:11" ht="14.4" customHeight="1" thickBot="1" x14ac:dyDescent="0.35">
      <c r="A153" s="383" t="s">
        <v>369</v>
      </c>
      <c r="B153" s="361">
        <v>0</v>
      </c>
      <c r="C153" s="361">
        <v>0.31641000000000002</v>
      </c>
      <c r="D153" s="362">
        <v>0.31641000000000002</v>
      </c>
      <c r="E153" s="371" t="s">
        <v>223</v>
      </c>
      <c r="F153" s="361">
        <v>0</v>
      </c>
      <c r="G153" s="362">
        <v>0</v>
      </c>
      <c r="H153" s="364">
        <v>5.4699999999999999E-2</v>
      </c>
      <c r="I153" s="361">
        <v>0.25790999999999997</v>
      </c>
      <c r="J153" s="362">
        <v>0.25790999999999997</v>
      </c>
      <c r="K153" s="372" t="s">
        <v>223</v>
      </c>
    </row>
    <row r="154" spans="1:11" ht="14.4" customHeight="1" thickBot="1" x14ac:dyDescent="0.35">
      <c r="A154" s="382" t="s">
        <v>370</v>
      </c>
      <c r="B154" s="366">
        <v>61.499553692581998</v>
      </c>
      <c r="C154" s="366">
        <v>62.624020000000002</v>
      </c>
      <c r="D154" s="367">
        <v>1.124466307417</v>
      </c>
      <c r="E154" s="373">
        <v>1.018284137687</v>
      </c>
      <c r="F154" s="366">
        <v>68.350198083451005</v>
      </c>
      <c r="G154" s="367">
        <v>28.479249201437</v>
      </c>
      <c r="H154" s="369">
        <v>27.20965</v>
      </c>
      <c r="I154" s="366">
        <v>128.73585</v>
      </c>
      <c r="J154" s="367">
        <v>100.256600798562</v>
      </c>
      <c r="K154" s="374">
        <v>1.883474424504</v>
      </c>
    </row>
    <row r="155" spans="1:11" ht="14.4" customHeight="1" thickBot="1" x14ac:dyDescent="0.35">
      <c r="A155" s="383" t="s">
        <v>371</v>
      </c>
      <c r="B155" s="361">
        <v>19</v>
      </c>
      <c r="C155" s="361">
        <v>16.649999999999999</v>
      </c>
      <c r="D155" s="362">
        <v>-2.349999999999</v>
      </c>
      <c r="E155" s="363">
        <v>0.87631578947300004</v>
      </c>
      <c r="F155" s="361">
        <v>22.305418200798002</v>
      </c>
      <c r="G155" s="362">
        <v>9.2939242503319992</v>
      </c>
      <c r="H155" s="364">
        <v>24.45</v>
      </c>
      <c r="I155" s="361">
        <v>103.45</v>
      </c>
      <c r="J155" s="362">
        <v>94.156075749666996</v>
      </c>
      <c r="K155" s="365">
        <v>4.6378865918900001</v>
      </c>
    </row>
    <row r="156" spans="1:11" ht="14.4" customHeight="1" thickBot="1" x14ac:dyDescent="0.35">
      <c r="A156" s="383" t="s">
        <v>372</v>
      </c>
      <c r="B156" s="361">
        <v>5.4995536925820003</v>
      </c>
      <c r="C156" s="361">
        <v>2.71</v>
      </c>
      <c r="D156" s="362">
        <v>-2.7895536925819999</v>
      </c>
      <c r="E156" s="363">
        <v>0.49276725921499998</v>
      </c>
      <c r="F156" s="361">
        <v>2.189576340066</v>
      </c>
      <c r="G156" s="362">
        <v>0.91232347502699995</v>
      </c>
      <c r="H156" s="364">
        <v>1.52</v>
      </c>
      <c r="I156" s="361">
        <v>3.798</v>
      </c>
      <c r="J156" s="362">
        <v>2.8856765249719998</v>
      </c>
      <c r="K156" s="365">
        <v>1.7345821337680001</v>
      </c>
    </row>
    <row r="157" spans="1:11" ht="14.4" customHeight="1" thickBot="1" x14ac:dyDescent="0.35">
      <c r="A157" s="383" t="s">
        <v>373</v>
      </c>
      <c r="B157" s="361">
        <v>37</v>
      </c>
      <c r="C157" s="361">
        <v>43.264020000000002</v>
      </c>
      <c r="D157" s="362">
        <v>6.2640200000000004</v>
      </c>
      <c r="E157" s="363">
        <v>1.169297837837</v>
      </c>
      <c r="F157" s="361">
        <v>43.855203542585997</v>
      </c>
      <c r="G157" s="362">
        <v>18.273001476076999</v>
      </c>
      <c r="H157" s="364">
        <v>1.2396499999999999</v>
      </c>
      <c r="I157" s="361">
        <v>21.487850000000002</v>
      </c>
      <c r="J157" s="362">
        <v>3.2148485239219999</v>
      </c>
      <c r="K157" s="365">
        <v>0.48997264324899997</v>
      </c>
    </row>
    <row r="158" spans="1:11" ht="14.4" customHeight="1" thickBot="1" x14ac:dyDescent="0.35">
      <c r="A158" s="380" t="s">
        <v>374</v>
      </c>
      <c r="B158" s="361">
        <v>0</v>
      </c>
      <c r="C158" s="361">
        <v>5.8799999999999998E-3</v>
      </c>
      <c r="D158" s="362">
        <v>5.8799999999999998E-3</v>
      </c>
      <c r="E158" s="371" t="s">
        <v>233</v>
      </c>
      <c r="F158" s="361">
        <v>0</v>
      </c>
      <c r="G158" s="362">
        <v>0</v>
      </c>
      <c r="H158" s="364">
        <v>1.8500000000000001E-3</v>
      </c>
      <c r="I158" s="361">
        <v>-4.0000000000000001E-3</v>
      </c>
      <c r="J158" s="362">
        <v>-4.0000000000000001E-3</v>
      </c>
      <c r="K158" s="372" t="s">
        <v>223</v>
      </c>
    </row>
    <row r="159" spans="1:11" ht="14.4" customHeight="1" thickBot="1" x14ac:dyDescent="0.35">
      <c r="A159" s="386" t="s">
        <v>375</v>
      </c>
      <c r="B159" s="366">
        <v>0</v>
      </c>
      <c r="C159" s="366">
        <v>5.8799999999999998E-3</v>
      </c>
      <c r="D159" s="367">
        <v>5.8799999999999998E-3</v>
      </c>
      <c r="E159" s="368" t="s">
        <v>233</v>
      </c>
      <c r="F159" s="366">
        <v>0</v>
      </c>
      <c r="G159" s="367">
        <v>0</v>
      </c>
      <c r="H159" s="369">
        <v>1.8500000000000001E-3</v>
      </c>
      <c r="I159" s="366">
        <v>-4.0000000000000001E-3</v>
      </c>
      <c r="J159" s="367">
        <v>-4.0000000000000001E-3</v>
      </c>
      <c r="K159" s="370" t="s">
        <v>223</v>
      </c>
    </row>
    <row r="160" spans="1:11" ht="14.4" customHeight="1" thickBot="1" x14ac:dyDescent="0.35">
      <c r="A160" s="382" t="s">
        <v>376</v>
      </c>
      <c r="B160" s="366">
        <v>0</v>
      </c>
      <c r="C160" s="366">
        <v>5.8799999999999998E-3</v>
      </c>
      <c r="D160" s="367">
        <v>5.8799999999999998E-3</v>
      </c>
      <c r="E160" s="368" t="s">
        <v>233</v>
      </c>
      <c r="F160" s="366">
        <v>0</v>
      </c>
      <c r="G160" s="367">
        <v>0</v>
      </c>
      <c r="H160" s="369">
        <v>1.8500000000000001E-3</v>
      </c>
      <c r="I160" s="366">
        <v>-4.0000000000000001E-3</v>
      </c>
      <c r="J160" s="367">
        <v>-4.0000000000000001E-3</v>
      </c>
      <c r="K160" s="370" t="s">
        <v>223</v>
      </c>
    </row>
    <row r="161" spans="1:11" ht="14.4" customHeight="1" thickBot="1" x14ac:dyDescent="0.35">
      <c r="A161" s="383" t="s">
        <v>377</v>
      </c>
      <c r="B161" s="361">
        <v>0</v>
      </c>
      <c r="C161" s="361">
        <v>5.8799999999999998E-3</v>
      </c>
      <c r="D161" s="362">
        <v>5.8799999999999998E-3</v>
      </c>
      <c r="E161" s="371" t="s">
        <v>233</v>
      </c>
      <c r="F161" s="361">
        <v>0</v>
      </c>
      <c r="G161" s="362">
        <v>0</v>
      </c>
      <c r="H161" s="364">
        <v>1.8500000000000001E-3</v>
      </c>
      <c r="I161" s="361">
        <v>-4.0000000000000001E-3</v>
      </c>
      <c r="J161" s="362">
        <v>-4.0000000000000001E-3</v>
      </c>
      <c r="K161" s="372" t="s">
        <v>223</v>
      </c>
    </row>
    <row r="162" spans="1:11" ht="14.4" customHeight="1" thickBot="1" x14ac:dyDescent="0.35">
      <c r="A162" s="379" t="s">
        <v>378</v>
      </c>
      <c r="B162" s="361">
        <v>2787.9839981546502</v>
      </c>
      <c r="C162" s="361">
        <v>2704.4173999999998</v>
      </c>
      <c r="D162" s="362">
        <v>-83.566598154643998</v>
      </c>
      <c r="E162" s="363">
        <v>0.97002615574100004</v>
      </c>
      <c r="F162" s="361">
        <v>0</v>
      </c>
      <c r="G162" s="362">
        <v>0</v>
      </c>
      <c r="H162" s="364">
        <v>208.29578000000001</v>
      </c>
      <c r="I162" s="361">
        <v>1085.42948</v>
      </c>
      <c r="J162" s="362">
        <v>1085.42948</v>
      </c>
      <c r="K162" s="372" t="s">
        <v>233</v>
      </c>
    </row>
    <row r="163" spans="1:11" ht="14.4" customHeight="1" thickBot="1" x14ac:dyDescent="0.35">
      <c r="A163" s="384" t="s">
        <v>379</v>
      </c>
      <c r="B163" s="366">
        <v>2787.9839981546502</v>
      </c>
      <c r="C163" s="366">
        <v>2704.4173999999998</v>
      </c>
      <c r="D163" s="367">
        <v>-83.566598154643998</v>
      </c>
      <c r="E163" s="373">
        <v>0.97002615574100004</v>
      </c>
      <c r="F163" s="366">
        <v>0</v>
      </c>
      <c r="G163" s="367">
        <v>0</v>
      </c>
      <c r="H163" s="369">
        <v>208.29578000000001</v>
      </c>
      <c r="I163" s="366">
        <v>1085.42948</v>
      </c>
      <c r="J163" s="367">
        <v>1085.42948</v>
      </c>
      <c r="K163" s="370" t="s">
        <v>233</v>
      </c>
    </row>
    <row r="164" spans="1:11" ht="14.4" customHeight="1" thickBot="1" x14ac:dyDescent="0.35">
      <c r="A164" s="386" t="s">
        <v>40</v>
      </c>
      <c r="B164" s="366">
        <v>2787.9839981546502</v>
      </c>
      <c r="C164" s="366">
        <v>2704.4173999999998</v>
      </c>
      <c r="D164" s="367">
        <v>-83.566598154643998</v>
      </c>
      <c r="E164" s="373">
        <v>0.97002615574100004</v>
      </c>
      <c r="F164" s="366">
        <v>0</v>
      </c>
      <c r="G164" s="367">
        <v>0</v>
      </c>
      <c r="H164" s="369">
        <v>208.29578000000001</v>
      </c>
      <c r="I164" s="366">
        <v>1085.42948</v>
      </c>
      <c r="J164" s="367">
        <v>1085.42948</v>
      </c>
      <c r="K164" s="370" t="s">
        <v>233</v>
      </c>
    </row>
    <row r="165" spans="1:11" ht="14.4" customHeight="1" thickBot="1" x14ac:dyDescent="0.35">
      <c r="A165" s="382" t="s">
        <v>380</v>
      </c>
      <c r="B165" s="366">
        <v>7.7407824041959996</v>
      </c>
      <c r="C165" s="366">
        <v>8.3824000000000005</v>
      </c>
      <c r="D165" s="367">
        <v>0.64161759580300004</v>
      </c>
      <c r="E165" s="373">
        <v>1.0828879514109999</v>
      </c>
      <c r="F165" s="366">
        <v>0</v>
      </c>
      <c r="G165" s="367">
        <v>0</v>
      </c>
      <c r="H165" s="369">
        <v>0.72911999999999999</v>
      </c>
      <c r="I165" s="366">
        <v>2.3768199999999999</v>
      </c>
      <c r="J165" s="367">
        <v>2.3768199999999999</v>
      </c>
      <c r="K165" s="370" t="s">
        <v>233</v>
      </c>
    </row>
    <row r="166" spans="1:11" ht="14.4" customHeight="1" thickBot="1" x14ac:dyDescent="0.35">
      <c r="A166" s="383" t="s">
        <v>381</v>
      </c>
      <c r="B166" s="361">
        <v>2.4363767074039999</v>
      </c>
      <c r="C166" s="361">
        <v>0.26800000000000002</v>
      </c>
      <c r="D166" s="362">
        <v>-2.1683767074040001</v>
      </c>
      <c r="E166" s="363">
        <v>0.10999940985499999</v>
      </c>
      <c r="F166" s="361">
        <v>0</v>
      </c>
      <c r="G166" s="362">
        <v>0</v>
      </c>
      <c r="H166" s="364">
        <v>0</v>
      </c>
      <c r="I166" s="361">
        <v>8.9499999999999996E-2</v>
      </c>
      <c r="J166" s="362">
        <v>8.9499999999999996E-2</v>
      </c>
      <c r="K166" s="372" t="s">
        <v>233</v>
      </c>
    </row>
    <row r="167" spans="1:11" ht="14.4" customHeight="1" thickBot="1" x14ac:dyDescent="0.35">
      <c r="A167" s="383" t="s">
        <v>382</v>
      </c>
      <c r="B167" s="361">
        <v>5.3044056967920001</v>
      </c>
      <c r="C167" s="361">
        <v>8.1143999999999998</v>
      </c>
      <c r="D167" s="362">
        <v>2.8099943032070001</v>
      </c>
      <c r="E167" s="363">
        <v>1.529747244805</v>
      </c>
      <c r="F167" s="361">
        <v>0</v>
      </c>
      <c r="G167" s="362">
        <v>0</v>
      </c>
      <c r="H167" s="364">
        <v>0.72911999999999999</v>
      </c>
      <c r="I167" s="361">
        <v>2.2873199999999998</v>
      </c>
      <c r="J167" s="362">
        <v>2.2873199999999998</v>
      </c>
      <c r="K167" s="372" t="s">
        <v>233</v>
      </c>
    </row>
    <row r="168" spans="1:11" ht="14.4" customHeight="1" thickBot="1" x14ac:dyDescent="0.35">
      <c r="A168" s="382" t="s">
        <v>383</v>
      </c>
      <c r="B168" s="366">
        <v>68.970436841630999</v>
      </c>
      <c r="C168" s="366">
        <v>71.625569999999996</v>
      </c>
      <c r="D168" s="367">
        <v>2.6551331583679998</v>
      </c>
      <c r="E168" s="373">
        <v>1.038496684666</v>
      </c>
      <c r="F168" s="366">
        <v>0</v>
      </c>
      <c r="G168" s="367">
        <v>0</v>
      </c>
      <c r="H168" s="369">
        <v>6.0585500000000003</v>
      </c>
      <c r="I168" s="366">
        <v>30.948879999999999</v>
      </c>
      <c r="J168" s="367">
        <v>30.948879999999999</v>
      </c>
      <c r="K168" s="370" t="s">
        <v>233</v>
      </c>
    </row>
    <row r="169" spans="1:11" ht="14.4" customHeight="1" thickBot="1" x14ac:dyDescent="0.35">
      <c r="A169" s="383" t="s">
        <v>384</v>
      </c>
      <c r="B169" s="361">
        <v>68.970436841630999</v>
      </c>
      <c r="C169" s="361">
        <v>71.625569999999996</v>
      </c>
      <c r="D169" s="362">
        <v>2.6551331583679998</v>
      </c>
      <c r="E169" s="363">
        <v>1.038496684666</v>
      </c>
      <c r="F169" s="361">
        <v>0</v>
      </c>
      <c r="G169" s="362">
        <v>0</v>
      </c>
      <c r="H169" s="364">
        <v>6.0585500000000003</v>
      </c>
      <c r="I169" s="361">
        <v>30.948879999999999</v>
      </c>
      <c r="J169" s="362">
        <v>30.948879999999999</v>
      </c>
      <c r="K169" s="372" t="s">
        <v>233</v>
      </c>
    </row>
    <row r="170" spans="1:11" ht="14.4" customHeight="1" thickBot="1" x14ac:dyDescent="0.35">
      <c r="A170" s="382" t="s">
        <v>385</v>
      </c>
      <c r="B170" s="366">
        <v>0</v>
      </c>
      <c r="C170" s="366">
        <v>2.68</v>
      </c>
      <c r="D170" s="367">
        <v>2.68</v>
      </c>
      <c r="E170" s="368" t="s">
        <v>223</v>
      </c>
      <c r="F170" s="366">
        <v>0</v>
      </c>
      <c r="G170" s="367">
        <v>0</v>
      </c>
      <c r="H170" s="369">
        <v>0</v>
      </c>
      <c r="I170" s="366">
        <v>0</v>
      </c>
      <c r="J170" s="367">
        <v>0</v>
      </c>
      <c r="K170" s="374">
        <v>0</v>
      </c>
    </row>
    <row r="171" spans="1:11" ht="14.4" customHeight="1" thickBot="1" x14ac:dyDescent="0.35">
      <c r="A171" s="383" t="s">
        <v>386</v>
      </c>
      <c r="B171" s="361">
        <v>0</v>
      </c>
      <c r="C171" s="361">
        <v>2.68</v>
      </c>
      <c r="D171" s="362">
        <v>2.68</v>
      </c>
      <c r="E171" s="371" t="s">
        <v>223</v>
      </c>
      <c r="F171" s="361">
        <v>0</v>
      </c>
      <c r="G171" s="362">
        <v>0</v>
      </c>
      <c r="H171" s="364">
        <v>0</v>
      </c>
      <c r="I171" s="361">
        <v>0</v>
      </c>
      <c r="J171" s="362">
        <v>0</v>
      </c>
      <c r="K171" s="365">
        <v>0</v>
      </c>
    </row>
    <row r="172" spans="1:11" ht="14.4" customHeight="1" thickBot="1" x14ac:dyDescent="0.35">
      <c r="A172" s="382" t="s">
        <v>387</v>
      </c>
      <c r="B172" s="366">
        <v>813</v>
      </c>
      <c r="C172" s="366">
        <v>742.936520000001</v>
      </c>
      <c r="D172" s="367">
        <v>-70.063479999999004</v>
      </c>
      <c r="E172" s="373">
        <v>0.91382105781</v>
      </c>
      <c r="F172" s="366">
        <v>0</v>
      </c>
      <c r="G172" s="367">
        <v>0</v>
      </c>
      <c r="H172" s="369">
        <v>59.92465</v>
      </c>
      <c r="I172" s="366">
        <v>308.7996</v>
      </c>
      <c r="J172" s="367">
        <v>308.7996</v>
      </c>
      <c r="K172" s="370" t="s">
        <v>233</v>
      </c>
    </row>
    <row r="173" spans="1:11" ht="14.4" customHeight="1" thickBot="1" x14ac:dyDescent="0.35">
      <c r="A173" s="383" t="s">
        <v>388</v>
      </c>
      <c r="B173" s="361">
        <v>813</v>
      </c>
      <c r="C173" s="361">
        <v>742.936520000001</v>
      </c>
      <c r="D173" s="362">
        <v>-70.063479999999004</v>
      </c>
      <c r="E173" s="363">
        <v>0.91382105781</v>
      </c>
      <c r="F173" s="361">
        <v>0</v>
      </c>
      <c r="G173" s="362">
        <v>0</v>
      </c>
      <c r="H173" s="364">
        <v>59.92465</v>
      </c>
      <c r="I173" s="361">
        <v>308.7996</v>
      </c>
      <c r="J173" s="362">
        <v>308.7996</v>
      </c>
      <c r="K173" s="372" t="s">
        <v>233</v>
      </c>
    </row>
    <row r="174" spans="1:11" ht="14.4" customHeight="1" thickBot="1" x14ac:dyDescent="0.35">
      <c r="A174" s="382" t="s">
        <v>389</v>
      </c>
      <c r="B174" s="366">
        <v>0</v>
      </c>
      <c r="C174" s="366">
        <v>1.548</v>
      </c>
      <c r="D174" s="367">
        <v>1.548</v>
      </c>
      <c r="E174" s="368" t="s">
        <v>233</v>
      </c>
      <c r="F174" s="366">
        <v>0</v>
      </c>
      <c r="G174" s="367">
        <v>0</v>
      </c>
      <c r="H174" s="369">
        <v>0</v>
      </c>
      <c r="I174" s="366">
        <v>0</v>
      </c>
      <c r="J174" s="367">
        <v>0</v>
      </c>
      <c r="K174" s="374">
        <v>0</v>
      </c>
    </row>
    <row r="175" spans="1:11" ht="14.4" customHeight="1" thickBot="1" x14ac:dyDescent="0.35">
      <c r="A175" s="383" t="s">
        <v>390</v>
      </c>
      <c r="B175" s="361">
        <v>0</v>
      </c>
      <c r="C175" s="361">
        <v>1.548</v>
      </c>
      <c r="D175" s="362">
        <v>1.548</v>
      </c>
      <c r="E175" s="371" t="s">
        <v>233</v>
      </c>
      <c r="F175" s="361">
        <v>0</v>
      </c>
      <c r="G175" s="362">
        <v>0</v>
      </c>
      <c r="H175" s="364">
        <v>0</v>
      </c>
      <c r="I175" s="361">
        <v>0</v>
      </c>
      <c r="J175" s="362">
        <v>0</v>
      </c>
      <c r="K175" s="365">
        <v>0</v>
      </c>
    </row>
    <row r="176" spans="1:11" ht="14.4" customHeight="1" thickBot="1" x14ac:dyDescent="0.35">
      <c r="A176" s="382" t="s">
        <v>391</v>
      </c>
      <c r="B176" s="366">
        <v>1898.2727789088201</v>
      </c>
      <c r="C176" s="366">
        <v>1877.2449099999999</v>
      </c>
      <c r="D176" s="367">
        <v>-21.027868908816998</v>
      </c>
      <c r="E176" s="373">
        <v>0.98892263053899998</v>
      </c>
      <c r="F176" s="366">
        <v>0</v>
      </c>
      <c r="G176" s="367">
        <v>0</v>
      </c>
      <c r="H176" s="369">
        <v>141.58346</v>
      </c>
      <c r="I176" s="366">
        <v>743.30417999999997</v>
      </c>
      <c r="J176" s="367">
        <v>743.30417999999997</v>
      </c>
      <c r="K176" s="370" t="s">
        <v>233</v>
      </c>
    </row>
    <row r="177" spans="1:11" ht="14.4" customHeight="1" thickBot="1" x14ac:dyDescent="0.35">
      <c r="A177" s="383" t="s">
        <v>392</v>
      </c>
      <c r="B177" s="361">
        <v>1898.2727789088201</v>
      </c>
      <c r="C177" s="361">
        <v>1877.2449099999999</v>
      </c>
      <c r="D177" s="362">
        <v>-21.027868908816998</v>
      </c>
      <c r="E177" s="363">
        <v>0.98892263053899998</v>
      </c>
      <c r="F177" s="361">
        <v>0</v>
      </c>
      <c r="G177" s="362">
        <v>0</v>
      </c>
      <c r="H177" s="364">
        <v>141.58346</v>
      </c>
      <c r="I177" s="361">
        <v>743.30417999999997</v>
      </c>
      <c r="J177" s="362">
        <v>743.30417999999997</v>
      </c>
      <c r="K177" s="372" t="s">
        <v>233</v>
      </c>
    </row>
    <row r="178" spans="1:11" ht="14.4" customHeight="1" thickBot="1" x14ac:dyDescent="0.35">
      <c r="A178" s="387"/>
      <c r="B178" s="361">
        <v>-2435.2460828667399</v>
      </c>
      <c r="C178" s="361">
        <v>-207.92606999999799</v>
      </c>
      <c r="D178" s="362">
        <v>2227.3200128667399</v>
      </c>
      <c r="E178" s="363">
        <v>8.5381954398999996E-2</v>
      </c>
      <c r="F178" s="361">
        <v>4184.6046909754596</v>
      </c>
      <c r="G178" s="362">
        <v>1743.58528790644</v>
      </c>
      <c r="H178" s="364">
        <v>120.35663</v>
      </c>
      <c r="I178" s="361">
        <v>493.588449999999</v>
      </c>
      <c r="J178" s="362">
        <v>-1249.9968379064401</v>
      </c>
      <c r="K178" s="365">
        <v>0.117953423668</v>
      </c>
    </row>
    <row r="179" spans="1:11" ht="14.4" customHeight="1" thickBot="1" x14ac:dyDescent="0.35">
      <c r="A179" s="388" t="s">
        <v>52</v>
      </c>
      <c r="B179" s="375">
        <v>-2435.2460828667399</v>
      </c>
      <c r="C179" s="375">
        <v>-207.92606999999799</v>
      </c>
      <c r="D179" s="376">
        <v>2227.3200128667399</v>
      </c>
      <c r="E179" s="377">
        <v>-0.87731224420300002</v>
      </c>
      <c r="F179" s="375">
        <v>4184.6046909754596</v>
      </c>
      <c r="G179" s="376">
        <v>1743.58528790644</v>
      </c>
      <c r="H179" s="375">
        <v>120.35663</v>
      </c>
      <c r="I179" s="375">
        <v>493.58844999999701</v>
      </c>
      <c r="J179" s="376">
        <v>-1249.9968379064401</v>
      </c>
      <c r="K179" s="378">
        <v>0.117953423668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115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2" t="s">
        <v>222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60">
        <v>2014</v>
      </c>
      <c r="D3" s="261">
        <v>2015</v>
      </c>
      <c r="E3" s="7"/>
      <c r="F3" s="317">
        <v>2016</v>
      </c>
      <c r="G3" s="318"/>
      <c r="H3" s="318"/>
      <c r="I3" s="319"/>
    </row>
    <row r="4" spans="1:10" ht="14.4" customHeight="1" thickBot="1" x14ac:dyDescent="0.35">
      <c r="A4" s="265" t="s">
        <v>0</v>
      </c>
      <c r="B4" s="266" t="s">
        <v>178</v>
      </c>
      <c r="C4" s="320" t="s">
        <v>59</v>
      </c>
      <c r="D4" s="321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89" t="s">
        <v>393</v>
      </c>
      <c r="B5" s="390" t="s">
        <v>394</v>
      </c>
      <c r="C5" s="391" t="s">
        <v>395</v>
      </c>
      <c r="D5" s="391" t="s">
        <v>395</v>
      </c>
      <c r="E5" s="391"/>
      <c r="F5" s="391" t="s">
        <v>395</v>
      </c>
      <c r="G5" s="391" t="s">
        <v>395</v>
      </c>
      <c r="H5" s="391" t="s">
        <v>395</v>
      </c>
      <c r="I5" s="392" t="s">
        <v>395</v>
      </c>
      <c r="J5" s="393" t="s">
        <v>55</v>
      </c>
    </row>
    <row r="6" spans="1:10" ht="14.4" customHeight="1" x14ac:dyDescent="0.3">
      <c r="A6" s="389" t="s">
        <v>393</v>
      </c>
      <c r="B6" s="390" t="s">
        <v>231</v>
      </c>
      <c r="C6" s="391">
        <v>8.8171600000000012</v>
      </c>
      <c r="D6" s="391">
        <v>2.5921799999999999</v>
      </c>
      <c r="E6" s="391"/>
      <c r="F6" s="391">
        <v>1.7242500000000001</v>
      </c>
      <c r="G6" s="391">
        <v>12.083336664172499</v>
      </c>
      <c r="H6" s="391">
        <v>-10.3590866641725</v>
      </c>
      <c r="I6" s="392">
        <v>0.14269651238903733</v>
      </c>
      <c r="J6" s="393" t="s">
        <v>1</v>
      </c>
    </row>
    <row r="7" spans="1:10" ht="14.4" customHeight="1" x14ac:dyDescent="0.3">
      <c r="A7" s="389" t="s">
        <v>393</v>
      </c>
      <c r="B7" s="390" t="s">
        <v>396</v>
      </c>
      <c r="C7" s="391">
        <v>0</v>
      </c>
      <c r="D7" s="391" t="s">
        <v>395</v>
      </c>
      <c r="E7" s="391"/>
      <c r="F7" s="391" t="s">
        <v>395</v>
      </c>
      <c r="G7" s="391" t="s">
        <v>395</v>
      </c>
      <c r="H7" s="391" t="s">
        <v>395</v>
      </c>
      <c r="I7" s="392" t="s">
        <v>395</v>
      </c>
      <c r="J7" s="393" t="s">
        <v>1</v>
      </c>
    </row>
    <row r="8" spans="1:10" ht="14.4" customHeight="1" x14ac:dyDescent="0.3">
      <c r="A8" s="389" t="s">
        <v>393</v>
      </c>
      <c r="B8" s="390" t="s">
        <v>397</v>
      </c>
      <c r="C8" s="391">
        <v>0</v>
      </c>
      <c r="D8" s="391" t="s">
        <v>395</v>
      </c>
      <c r="E8" s="391"/>
      <c r="F8" s="391" t="s">
        <v>395</v>
      </c>
      <c r="G8" s="391" t="s">
        <v>395</v>
      </c>
      <c r="H8" s="391" t="s">
        <v>395</v>
      </c>
      <c r="I8" s="392" t="s">
        <v>395</v>
      </c>
      <c r="J8" s="393" t="s">
        <v>1</v>
      </c>
    </row>
    <row r="9" spans="1:10" ht="14.4" customHeight="1" x14ac:dyDescent="0.3">
      <c r="A9" s="389" t="s">
        <v>393</v>
      </c>
      <c r="B9" s="390" t="s">
        <v>232</v>
      </c>
      <c r="C9" s="391">
        <v>0</v>
      </c>
      <c r="D9" s="391">
        <v>0</v>
      </c>
      <c r="E9" s="391"/>
      <c r="F9" s="391" t="s">
        <v>395</v>
      </c>
      <c r="G9" s="391" t="s">
        <v>395</v>
      </c>
      <c r="H9" s="391" t="s">
        <v>395</v>
      </c>
      <c r="I9" s="392" t="s">
        <v>395</v>
      </c>
      <c r="J9" s="393" t="s">
        <v>1</v>
      </c>
    </row>
    <row r="10" spans="1:10" ht="14.4" customHeight="1" x14ac:dyDescent="0.3">
      <c r="A10" s="389" t="s">
        <v>393</v>
      </c>
      <c r="B10" s="390" t="s">
        <v>398</v>
      </c>
      <c r="C10" s="391">
        <v>8.8171600000000012</v>
      </c>
      <c r="D10" s="391">
        <v>2.5921799999999999</v>
      </c>
      <c r="E10" s="391"/>
      <c r="F10" s="391">
        <v>1.7242500000000001</v>
      </c>
      <c r="G10" s="391">
        <v>12.083336664172499</v>
      </c>
      <c r="H10" s="391">
        <v>-10.3590866641725</v>
      </c>
      <c r="I10" s="392">
        <v>0.14269651238903733</v>
      </c>
      <c r="J10" s="393" t="s">
        <v>399</v>
      </c>
    </row>
    <row r="12" spans="1:10" ht="14.4" customHeight="1" x14ac:dyDescent="0.3">
      <c r="A12" s="389" t="s">
        <v>393</v>
      </c>
      <c r="B12" s="390" t="s">
        <v>394</v>
      </c>
      <c r="C12" s="391" t="s">
        <v>395</v>
      </c>
      <c r="D12" s="391" t="s">
        <v>395</v>
      </c>
      <c r="E12" s="391"/>
      <c r="F12" s="391" t="s">
        <v>395</v>
      </c>
      <c r="G12" s="391" t="s">
        <v>395</v>
      </c>
      <c r="H12" s="391" t="s">
        <v>395</v>
      </c>
      <c r="I12" s="392" t="s">
        <v>395</v>
      </c>
      <c r="J12" s="393" t="s">
        <v>55</v>
      </c>
    </row>
    <row r="13" spans="1:10" ht="14.4" customHeight="1" x14ac:dyDescent="0.3">
      <c r="A13" s="389" t="s">
        <v>400</v>
      </c>
      <c r="B13" s="390" t="s">
        <v>401</v>
      </c>
      <c r="C13" s="391" t="s">
        <v>395</v>
      </c>
      <c r="D13" s="391" t="s">
        <v>395</v>
      </c>
      <c r="E13" s="391"/>
      <c r="F13" s="391" t="s">
        <v>395</v>
      </c>
      <c r="G13" s="391" t="s">
        <v>395</v>
      </c>
      <c r="H13" s="391" t="s">
        <v>395</v>
      </c>
      <c r="I13" s="392" t="s">
        <v>395</v>
      </c>
      <c r="J13" s="393" t="s">
        <v>0</v>
      </c>
    </row>
    <row r="14" spans="1:10" ht="14.4" customHeight="1" x14ac:dyDescent="0.3">
      <c r="A14" s="389" t="s">
        <v>400</v>
      </c>
      <c r="B14" s="390" t="s">
        <v>231</v>
      </c>
      <c r="C14" s="391">
        <v>8.8171600000000012</v>
      </c>
      <c r="D14" s="391">
        <v>2.5921799999999999</v>
      </c>
      <c r="E14" s="391"/>
      <c r="F14" s="391">
        <v>1.7242500000000001</v>
      </c>
      <c r="G14" s="391">
        <v>12.083336664172499</v>
      </c>
      <c r="H14" s="391">
        <v>-10.3590866641725</v>
      </c>
      <c r="I14" s="392">
        <v>0.14269651238903733</v>
      </c>
      <c r="J14" s="393" t="s">
        <v>1</v>
      </c>
    </row>
    <row r="15" spans="1:10" ht="14.4" customHeight="1" x14ac:dyDescent="0.3">
      <c r="A15" s="389" t="s">
        <v>400</v>
      </c>
      <c r="B15" s="390" t="s">
        <v>396</v>
      </c>
      <c r="C15" s="391">
        <v>0</v>
      </c>
      <c r="D15" s="391" t="s">
        <v>395</v>
      </c>
      <c r="E15" s="391"/>
      <c r="F15" s="391" t="s">
        <v>395</v>
      </c>
      <c r="G15" s="391" t="s">
        <v>395</v>
      </c>
      <c r="H15" s="391" t="s">
        <v>395</v>
      </c>
      <c r="I15" s="392" t="s">
        <v>395</v>
      </c>
      <c r="J15" s="393" t="s">
        <v>1</v>
      </c>
    </row>
    <row r="16" spans="1:10" ht="14.4" customHeight="1" x14ac:dyDescent="0.3">
      <c r="A16" s="389" t="s">
        <v>400</v>
      </c>
      <c r="B16" s="390" t="s">
        <v>397</v>
      </c>
      <c r="C16" s="391">
        <v>0</v>
      </c>
      <c r="D16" s="391" t="s">
        <v>395</v>
      </c>
      <c r="E16" s="391"/>
      <c r="F16" s="391" t="s">
        <v>395</v>
      </c>
      <c r="G16" s="391" t="s">
        <v>395</v>
      </c>
      <c r="H16" s="391" t="s">
        <v>395</v>
      </c>
      <c r="I16" s="392" t="s">
        <v>395</v>
      </c>
      <c r="J16" s="393" t="s">
        <v>1</v>
      </c>
    </row>
    <row r="17" spans="1:10" ht="14.4" customHeight="1" x14ac:dyDescent="0.3">
      <c r="A17" s="389" t="s">
        <v>400</v>
      </c>
      <c r="B17" s="390" t="s">
        <v>232</v>
      </c>
      <c r="C17" s="391">
        <v>0</v>
      </c>
      <c r="D17" s="391">
        <v>0</v>
      </c>
      <c r="E17" s="391"/>
      <c r="F17" s="391" t="s">
        <v>395</v>
      </c>
      <c r="G17" s="391" t="s">
        <v>395</v>
      </c>
      <c r="H17" s="391" t="s">
        <v>395</v>
      </c>
      <c r="I17" s="392" t="s">
        <v>395</v>
      </c>
      <c r="J17" s="393" t="s">
        <v>1</v>
      </c>
    </row>
    <row r="18" spans="1:10" ht="14.4" customHeight="1" x14ac:dyDescent="0.3">
      <c r="A18" s="389" t="s">
        <v>400</v>
      </c>
      <c r="B18" s="390" t="s">
        <v>402</v>
      </c>
      <c r="C18" s="391">
        <v>8.8171600000000012</v>
      </c>
      <c r="D18" s="391">
        <v>2.5921799999999999</v>
      </c>
      <c r="E18" s="391"/>
      <c r="F18" s="391">
        <v>1.7242500000000001</v>
      </c>
      <c r="G18" s="391">
        <v>12.083336664172499</v>
      </c>
      <c r="H18" s="391">
        <v>-10.3590866641725</v>
      </c>
      <c r="I18" s="392">
        <v>0.14269651238903733</v>
      </c>
      <c r="J18" s="393" t="s">
        <v>403</v>
      </c>
    </row>
    <row r="19" spans="1:10" ht="14.4" customHeight="1" x14ac:dyDescent="0.3">
      <c r="A19" s="389" t="s">
        <v>395</v>
      </c>
      <c r="B19" s="390" t="s">
        <v>395</v>
      </c>
      <c r="C19" s="391" t="s">
        <v>395</v>
      </c>
      <c r="D19" s="391" t="s">
        <v>395</v>
      </c>
      <c r="E19" s="391"/>
      <c r="F19" s="391" t="s">
        <v>395</v>
      </c>
      <c r="G19" s="391" t="s">
        <v>395</v>
      </c>
      <c r="H19" s="391" t="s">
        <v>395</v>
      </c>
      <c r="I19" s="392" t="s">
        <v>395</v>
      </c>
      <c r="J19" s="393" t="s">
        <v>404</v>
      </c>
    </row>
    <row r="20" spans="1:10" ht="14.4" customHeight="1" x14ac:dyDescent="0.3">
      <c r="A20" s="389" t="s">
        <v>393</v>
      </c>
      <c r="B20" s="390" t="s">
        <v>398</v>
      </c>
      <c r="C20" s="391">
        <v>8.8171600000000012</v>
      </c>
      <c r="D20" s="391">
        <v>2.5921799999999999</v>
      </c>
      <c r="E20" s="391"/>
      <c r="F20" s="391">
        <v>1.7242500000000001</v>
      </c>
      <c r="G20" s="391">
        <v>12.083336664172499</v>
      </c>
      <c r="H20" s="391">
        <v>-10.3590866641725</v>
      </c>
      <c r="I20" s="392">
        <v>0.14269651238903733</v>
      </c>
      <c r="J20" s="393" t="s">
        <v>399</v>
      </c>
    </row>
  </sheetData>
  <mergeCells count="3">
    <mergeCell ref="F3:I3"/>
    <mergeCell ref="C4:D4"/>
    <mergeCell ref="A1:I1"/>
  </mergeCells>
  <conditionalFormatting sqref="F11 F21:F65537">
    <cfRule type="cellIs" dxfId="41" priority="18" stopIfTrue="1" operator="greaterThan">
      <formula>1</formula>
    </cfRule>
  </conditionalFormatting>
  <conditionalFormatting sqref="H5:H10">
    <cfRule type="expression" dxfId="40" priority="14">
      <formula>$H5&gt;0</formula>
    </cfRule>
  </conditionalFormatting>
  <conditionalFormatting sqref="I5:I10">
    <cfRule type="expression" dxfId="39" priority="15">
      <formula>$I5&gt;1</formula>
    </cfRule>
  </conditionalFormatting>
  <conditionalFormatting sqref="B5:B10">
    <cfRule type="expression" dxfId="38" priority="11">
      <formula>OR($J5="NS",$J5="SumaNS",$J5="Účet")</formula>
    </cfRule>
  </conditionalFormatting>
  <conditionalFormatting sqref="B5:D10 F5:I10">
    <cfRule type="expression" dxfId="37" priority="17">
      <formula>AND($J5&lt;&gt;"",$J5&lt;&gt;"mezeraKL")</formula>
    </cfRule>
  </conditionalFormatting>
  <conditionalFormatting sqref="B5:D10 F5:I10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5" priority="13">
      <formula>OR($J5="SumaNS",$J5="NS")</formula>
    </cfRule>
  </conditionalFormatting>
  <conditionalFormatting sqref="A5:A10">
    <cfRule type="expression" dxfId="34" priority="9">
      <formula>AND($J5&lt;&gt;"mezeraKL",$J5&lt;&gt;"")</formula>
    </cfRule>
  </conditionalFormatting>
  <conditionalFormatting sqref="A5:A10">
    <cfRule type="expression" dxfId="33" priority="10">
      <formula>AND($J5&lt;&gt;"",$J5&lt;&gt;"mezeraKL")</formula>
    </cfRule>
  </conditionalFormatting>
  <conditionalFormatting sqref="H12:H20">
    <cfRule type="expression" dxfId="32" priority="5">
      <formula>$H12&gt;0</formula>
    </cfRule>
  </conditionalFormatting>
  <conditionalFormatting sqref="A12:A20">
    <cfRule type="expression" dxfId="31" priority="2">
      <formula>AND($J12&lt;&gt;"mezeraKL",$J12&lt;&gt;"")</formula>
    </cfRule>
  </conditionalFormatting>
  <conditionalFormatting sqref="I12:I20">
    <cfRule type="expression" dxfId="30" priority="6">
      <formula>$I12&gt;1</formula>
    </cfRule>
  </conditionalFormatting>
  <conditionalFormatting sqref="B12:B20">
    <cfRule type="expression" dxfId="29" priority="1">
      <formula>OR($J12="NS",$J12="SumaNS",$J12="Účet")</formula>
    </cfRule>
  </conditionalFormatting>
  <conditionalFormatting sqref="A12:D20 F12:I20">
    <cfRule type="expression" dxfId="28" priority="8">
      <formula>AND($J12&lt;&gt;"",$J12&lt;&gt;"mezeraKL")</formula>
    </cfRule>
  </conditionalFormatting>
  <conditionalFormatting sqref="B12:D20 F12:I20">
    <cfRule type="expression" dxfId="27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26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5" style="182" customWidth="1"/>
    <col min="8" max="8" width="12.44140625" style="182" hidden="1" customWidth="1" outlineLevel="1"/>
    <col min="9" max="9" width="8.5546875" style="182" hidden="1" customWidth="1" outlineLevel="1"/>
    <col min="10" max="10" width="25.77734375" style="182" customWidth="1" collapsed="1"/>
    <col min="11" max="11" width="8.77734375" style="182" customWidth="1"/>
    <col min="12" max="13" width="7.77734375" style="180" customWidth="1"/>
    <col min="14" max="14" width="11.109375" style="180" customWidth="1"/>
    <col min="15" max="16384" width="8.88671875" style="105"/>
  </cols>
  <sheetData>
    <row r="1" spans="1:14" ht="18.600000000000001" customHeight="1" thickBot="1" x14ac:dyDescent="0.4">
      <c r="A1" s="329" t="s">
        <v>131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</row>
    <row r="2" spans="1:14" ht="14.4" customHeight="1" thickBot="1" x14ac:dyDescent="0.35">
      <c r="A2" s="202" t="s">
        <v>222</v>
      </c>
      <c r="B2" s="57"/>
      <c r="C2" s="184"/>
      <c r="D2" s="184"/>
      <c r="E2" s="184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" customHeight="1" thickBot="1" x14ac:dyDescent="0.35">
      <c r="A3" s="57"/>
      <c r="B3" s="57"/>
      <c r="C3" s="325"/>
      <c r="D3" s="326"/>
      <c r="E3" s="326"/>
      <c r="F3" s="326"/>
      <c r="G3" s="326"/>
      <c r="H3" s="326"/>
      <c r="I3" s="326"/>
      <c r="J3" s="327" t="s">
        <v>112</v>
      </c>
      <c r="K3" s="328"/>
      <c r="L3" s="74">
        <f>IF(M3&lt;&gt;0,N3/M3,0)</f>
        <v>344.8496064185872</v>
      </c>
      <c r="M3" s="74">
        <f>SUBTOTAL(9,M5:M1048576)</f>
        <v>5</v>
      </c>
      <c r="N3" s="75">
        <f>SUBTOTAL(9,N5:N1048576)</f>
        <v>1724.248032092936</v>
      </c>
    </row>
    <row r="4" spans="1:14" s="181" customFormat="1" ht="14.4" customHeight="1" thickBot="1" x14ac:dyDescent="0.35">
      <c r="A4" s="394" t="s">
        <v>4</v>
      </c>
      <c r="B4" s="395" t="s">
        <v>5</v>
      </c>
      <c r="C4" s="395" t="s">
        <v>0</v>
      </c>
      <c r="D4" s="395" t="s">
        <v>6</v>
      </c>
      <c r="E4" s="395" t="s">
        <v>7</v>
      </c>
      <c r="F4" s="395" t="s">
        <v>1</v>
      </c>
      <c r="G4" s="395" t="s">
        <v>8</v>
      </c>
      <c r="H4" s="395" t="s">
        <v>9</v>
      </c>
      <c r="I4" s="395" t="s">
        <v>10</v>
      </c>
      <c r="J4" s="396" t="s">
        <v>11</v>
      </c>
      <c r="K4" s="396" t="s">
        <v>12</v>
      </c>
      <c r="L4" s="397" t="s">
        <v>119</v>
      </c>
      <c r="M4" s="397" t="s">
        <v>13</v>
      </c>
      <c r="N4" s="398" t="s">
        <v>127</v>
      </c>
    </row>
    <row r="5" spans="1:14" ht="14.4" customHeight="1" thickBot="1" x14ac:dyDescent="0.35">
      <c r="A5" s="399" t="s">
        <v>393</v>
      </c>
      <c r="B5" s="400" t="s">
        <v>394</v>
      </c>
      <c r="C5" s="401" t="s">
        <v>400</v>
      </c>
      <c r="D5" s="402" t="s">
        <v>411</v>
      </c>
      <c r="E5" s="401" t="s">
        <v>405</v>
      </c>
      <c r="F5" s="402" t="s">
        <v>412</v>
      </c>
      <c r="G5" s="401" t="s">
        <v>406</v>
      </c>
      <c r="H5" s="401" t="s">
        <v>407</v>
      </c>
      <c r="I5" s="401" t="s">
        <v>408</v>
      </c>
      <c r="J5" s="401" t="s">
        <v>409</v>
      </c>
      <c r="K5" s="401" t="s">
        <v>410</v>
      </c>
      <c r="L5" s="403">
        <v>344.8496064185872</v>
      </c>
      <c r="M5" s="403">
        <v>5</v>
      </c>
      <c r="N5" s="404">
        <v>1724.248032092936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0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5"/>
  </cols>
  <sheetData>
    <row r="1" spans="1:17" ht="18.600000000000001" customHeight="1" thickBot="1" x14ac:dyDescent="0.4">
      <c r="A1" s="330" t="s">
        <v>179</v>
      </c>
      <c r="B1" s="330"/>
      <c r="C1" s="330"/>
      <c r="D1" s="330"/>
      <c r="E1" s="330"/>
      <c r="F1" s="294"/>
      <c r="G1" s="294"/>
      <c r="H1" s="294"/>
      <c r="I1" s="294"/>
      <c r="J1" s="324"/>
      <c r="K1" s="324"/>
      <c r="L1" s="324"/>
      <c r="M1" s="324"/>
      <c r="N1" s="324"/>
      <c r="O1" s="324"/>
      <c r="P1" s="324"/>
      <c r="Q1" s="324"/>
    </row>
    <row r="2" spans="1:17" ht="14.4" customHeight="1" thickBot="1" x14ac:dyDescent="0.35">
      <c r="A2" s="202" t="s">
        <v>222</v>
      </c>
      <c r="B2" s="187"/>
      <c r="C2" s="187"/>
      <c r="D2" s="187"/>
      <c r="E2" s="187"/>
    </row>
    <row r="3" spans="1:17" ht="14.4" customHeight="1" thickBot="1" x14ac:dyDescent="0.35">
      <c r="A3" s="269" t="s">
        <v>3</v>
      </c>
      <c r="B3" s="273">
        <f>SUM(B6:B1048576)</f>
        <v>8</v>
      </c>
      <c r="C3" s="274">
        <f>SUM(C6:C1048576)</f>
        <v>0</v>
      </c>
      <c r="D3" s="274">
        <f>SUM(D6:D1048576)</f>
        <v>0</v>
      </c>
      <c r="E3" s="275">
        <f>SUM(E6:E1048576)</f>
        <v>0</v>
      </c>
      <c r="F3" s="272">
        <f>IF(SUM($B3:$E3)=0,"",B3/SUM($B3:$E3))</f>
        <v>1</v>
      </c>
      <c r="G3" s="270">
        <f t="shared" ref="G3:I3" si="0">IF(SUM($B3:$E3)=0,"",C3/SUM($B3:$E3))</f>
        <v>0</v>
      </c>
      <c r="H3" s="270">
        <f t="shared" si="0"/>
        <v>0</v>
      </c>
      <c r="I3" s="271">
        <f t="shared" si="0"/>
        <v>0</v>
      </c>
      <c r="J3" s="274">
        <f>SUM(J6:J1048576)</f>
        <v>4</v>
      </c>
      <c r="K3" s="274">
        <f>SUM(K6:K1048576)</f>
        <v>0</v>
      </c>
      <c r="L3" s="274">
        <f>SUM(L6:L1048576)</f>
        <v>0</v>
      </c>
      <c r="M3" s="275">
        <f>SUM(M6:M1048576)</f>
        <v>0</v>
      </c>
      <c r="N3" s="272">
        <f>IF(SUM($J3:$M3)=0,"",J3/SUM($J3:$M3))</f>
        <v>1</v>
      </c>
      <c r="O3" s="270">
        <f t="shared" ref="O3:Q3" si="1">IF(SUM($J3:$M3)=0,"",K3/SUM($J3:$M3))</f>
        <v>0</v>
      </c>
      <c r="P3" s="270">
        <f t="shared" si="1"/>
        <v>0</v>
      </c>
      <c r="Q3" s="271">
        <f t="shared" si="1"/>
        <v>0</v>
      </c>
    </row>
    <row r="4" spans="1:17" ht="14.4" customHeight="1" thickBot="1" x14ac:dyDescent="0.35">
      <c r="A4" s="268"/>
      <c r="B4" s="334" t="s">
        <v>181</v>
      </c>
      <c r="C4" s="335"/>
      <c r="D4" s="335"/>
      <c r="E4" s="336"/>
      <c r="F4" s="331" t="s">
        <v>186</v>
      </c>
      <c r="G4" s="332"/>
      <c r="H4" s="332"/>
      <c r="I4" s="333"/>
      <c r="J4" s="334" t="s">
        <v>187</v>
      </c>
      <c r="K4" s="335"/>
      <c r="L4" s="335"/>
      <c r="M4" s="336"/>
      <c r="N4" s="331" t="s">
        <v>188</v>
      </c>
      <c r="O4" s="332"/>
      <c r="P4" s="332"/>
      <c r="Q4" s="333"/>
    </row>
    <row r="5" spans="1:17" ht="14.4" customHeight="1" thickBot="1" x14ac:dyDescent="0.35">
      <c r="A5" s="405" t="s">
        <v>180</v>
      </c>
      <c r="B5" s="406" t="s">
        <v>182</v>
      </c>
      <c r="C5" s="406" t="s">
        <v>183</v>
      </c>
      <c r="D5" s="406" t="s">
        <v>184</v>
      </c>
      <c r="E5" s="407" t="s">
        <v>185</v>
      </c>
      <c r="F5" s="408" t="s">
        <v>182</v>
      </c>
      <c r="G5" s="409" t="s">
        <v>183</v>
      </c>
      <c r="H5" s="409" t="s">
        <v>184</v>
      </c>
      <c r="I5" s="410" t="s">
        <v>185</v>
      </c>
      <c r="J5" s="406" t="s">
        <v>182</v>
      </c>
      <c r="K5" s="406" t="s">
        <v>183</v>
      </c>
      <c r="L5" s="406" t="s">
        <v>184</v>
      </c>
      <c r="M5" s="407" t="s">
        <v>185</v>
      </c>
      <c r="N5" s="408" t="s">
        <v>182</v>
      </c>
      <c r="O5" s="409" t="s">
        <v>183</v>
      </c>
      <c r="P5" s="409" t="s">
        <v>184</v>
      </c>
      <c r="Q5" s="410" t="s">
        <v>185</v>
      </c>
    </row>
    <row r="6" spans="1:17" ht="14.4" customHeight="1" x14ac:dyDescent="0.3">
      <c r="A6" s="418" t="s">
        <v>413</v>
      </c>
      <c r="B6" s="422"/>
      <c r="C6" s="412"/>
      <c r="D6" s="412"/>
      <c r="E6" s="424"/>
      <c r="F6" s="420"/>
      <c r="G6" s="413"/>
      <c r="H6" s="413"/>
      <c r="I6" s="426"/>
      <c r="J6" s="422"/>
      <c r="K6" s="412"/>
      <c r="L6" s="412"/>
      <c r="M6" s="424"/>
      <c r="N6" s="420"/>
      <c r="O6" s="413"/>
      <c r="P6" s="413"/>
      <c r="Q6" s="414"/>
    </row>
    <row r="7" spans="1:17" ht="14.4" customHeight="1" thickBot="1" x14ac:dyDescent="0.35">
      <c r="A7" s="419" t="s">
        <v>414</v>
      </c>
      <c r="B7" s="423">
        <v>8</v>
      </c>
      <c r="C7" s="415"/>
      <c r="D7" s="415"/>
      <c r="E7" s="425"/>
      <c r="F7" s="421">
        <v>1</v>
      </c>
      <c r="G7" s="416">
        <v>0</v>
      </c>
      <c r="H7" s="416">
        <v>0</v>
      </c>
      <c r="I7" s="427">
        <v>0</v>
      </c>
      <c r="J7" s="423">
        <v>4</v>
      </c>
      <c r="K7" s="415"/>
      <c r="L7" s="415"/>
      <c r="M7" s="425"/>
      <c r="N7" s="421">
        <v>1</v>
      </c>
      <c r="O7" s="416">
        <v>0</v>
      </c>
      <c r="P7" s="416">
        <v>0</v>
      </c>
      <c r="Q7" s="417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5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2016-06-22T15:26:55Z</dcterms:modified>
</cp:coreProperties>
</file>