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Lékaři" sheetId="429" r:id="rId15"/>
    <sheet name="ZV Vykáz.-A Detail" sheetId="345" r:id="rId16"/>
    <sheet name="ZV Vykáz.-A Det.Lék." sheetId="430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6" hidden="1">'ZV Vykáz.-A Det.Lék.'!$A$5:$S$5</definedName>
    <definedName name="_xlnm._FilterDatabase" localSheetId="15" hidden="1">'ZV Vykáz.-A Detail'!$A$5:$R$5</definedName>
    <definedName name="_xlnm._FilterDatabase" localSheetId="14" hidden="1">'ZV Vykáz.-A Lékaři'!$A$4:$A$5</definedName>
    <definedName name="_xlnm._FilterDatabase" localSheetId="18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Q25" i="419" l="1"/>
  <c r="AQ26" i="419"/>
  <c r="AQ27" i="419" s="1"/>
  <c r="AQ28" i="419" l="1"/>
  <c r="F26" i="419"/>
  <c r="F25" i="419"/>
  <c r="C26" i="419" l="1"/>
  <c r="C27" i="419" s="1"/>
  <c r="C25" i="419"/>
  <c r="C28" i="419" l="1"/>
  <c r="AE3" i="418" l="1"/>
  <c r="I3" i="418"/>
  <c r="F28" i="419" l="1"/>
  <c r="F27" i="419"/>
  <c r="D19" i="414" l="1"/>
  <c r="E19" i="414" s="1"/>
  <c r="D18" i="414"/>
  <c r="A22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7" i="414" s="1"/>
  <c r="C11" i="339"/>
  <c r="E18" i="414"/>
  <c r="A19" i="414"/>
  <c r="A18" i="414"/>
  <c r="A17" i="414"/>
  <c r="L26" i="419" l="1"/>
  <c r="L25" i="419" l="1"/>
  <c r="AS20" i="419"/>
  <c r="AR20" i="419"/>
  <c r="AQ20" i="419"/>
  <c r="AP20" i="419"/>
  <c r="AO20" i="419"/>
  <c r="AN20" i="419"/>
  <c r="AM20" i="419"/>
  <c r="AL20" i="419"/>
  <c r="AS19" i="419"/>
  <c r="AR19" i="419"/>
  <c r="AQ19" i="419"/>
  <c r="AP19" i="419"/>
  <c r="AO19" i="419"/>
  <c r="AN19" i="419"/>
  <c r="AM19" i="419"/>
  <c r="AL19" i="419"/>
  <c r="AS17" i="419"/>
  <c r="AR17" i="419"/>
  <c r="AQ17" i="419"/>
  <c r="AP17" i="419"/>
  <c r="AO17" i="419"/>
  <c r="AN17" i="419"/>
  <c r="AM17" i="419"/>
  <c r="AL17" i="419"/>
  <c r="AS16" i="419"/>
  <c r="AR16" i="419"/>
  <c r="AQ16" i="419"/>
  <c r="AP16" i="419"/>
  <c r="AP18" i="419" s="1"/>
  <c r="AO16" i="419"/>
  <c r="AN16" i="419"/>
  <c r="AM16" i="419"/>
  <c r="AL16" i="419"/>
  <c r="AL18" i="419" s="1"/>
  <c r="AS14" i="419"/>
  <c r="AR14" i="419"/>
  <c r="AQ14" i="419"/>
  <c r="AP14" i="419"/>
  <c r="AO14" i="419"/>
  <c r="AN14" i="419"/>
  <c r="AM14" i="419"/>
  <c r="AL14" i="419"/>
  <c r="AS13" i="419"/>
  <c r="AR13" i="419"/>
  <c r="AQ13" i="419"/>
  <c r="AP13" i="419"/>
  <c r="AO13" i="419"/>
  <c r="AN13" i="419"/>
  <c r="AM13" i="419"/>
  <c r="AL13" i="419"/>
  <c r="AS12" i="419"/>
  <c r="AR12" i="419"/>
  <c r="AQ12" i="419"/>
  <c r="AP12" i="419"/>
  <c r="AO12" i="419"/>
  <c r="AN12" i="419"/>
  <c r="AM12" i="419"/>
  <c r="AL12" i="419"/>
  <c r="AS11" i="419"/>
  <c r="AR11" i="419"/>
  <c r="AQ11" i="419"/>
  <c r="AP11" i="419"/>
  <c r="AO11" i="419"/>
  <c r="AN11" i="419"/>
  <c r="AM11" i="419"/>
  <c r="AL11" i="419"/>
  <c r="AW3" i="418"/>
  <c r="AV3" i="418"/>
  <c r="AU3" i="418"/>
  <c r="AT3" i="418"/>
  <c r="AS3" i="418"/>
  <c r="AR3" i="418"/>
  <c r="AO18" i="419" l="1"/>
  <c r="AS18" i="419"/>
  <c r="AM18" i="419"/>
  <c r="AQ18" i="419"/>
  <c r="AN18" i="419"/>
  <c r="AR18" i="419"/>
  <c r="B25" i="419"/>
  <c r="L27" i="419" l="1"/>
  <c r="B26" i="419"/>
  <c r="B27" i="419" s="1"/>
  <c r="L28" i="419"/>
  <c r="A8" i="414"/>
  <c r="A7" i="414"/>
  <c r="AM21" i="419" l="1"/>
  <c r="AL21" i="419"/>
  <c r="AL22" i="419" s="1"/>
  <c r="AK21" i="419"/>
  <c r="AJ21" i="419"/>
  <c r="AJ22" i="419" s="1"/>
  <c r="AI21" i="419"/>
  <c r="AH21" i="419"/>
  <c r="AG21" i="419"/>
  <c r="AF21" i="419"/>
  <c r="AF22" i="419" s="1"/>
  <c r="AE21" i="419"/>
  <c r="AD21" i="419"/>
  <c r="AC21" i="419"/>
  <c r="AB21" i="419"/>
  <c r="AB22" i="419" s="1"/>
  <c r="Z21" i="419"/>
  <c r="Y21" i="419"/>
  <c r="Y22" i="419" s="1"/>
  <c r="X21" i="419"/>
  <c r="X22" i="419" s="1"/>
  <c r="W21" i="419"/>
  <c r="W22" i="419" s="1"/>
  <c r="V21" i="419"/>
  <c r="U21" i="419"/>
  <c r="T21" i="419"/>
  <c r="S21" i="419"/>
  <c r="S22" i="419" s="1"/>
  <c r="R21" i="419"/>
  <c r="Q21" i="419"/>
  <c r="Q22" i="419" s="1"/>
  <c r="P21" i="419"/>
  <c r="O21" i="419"/>
  <c r="O22" i="419" s="1"/>
  <c r="N21" i="419"/>
  <c r="M21" i="419"/>
  <c r="L21" i="419"/>
  <c r="K21" i="419"/>
  <c r="K22" i="419" s="1"/>
  <c r="J21" i="419"/>
  <c r="AK20" i="419"/>
  <c r="AJ20" i="419"/>
  <c r="AI20" i="419"/>
  <c r="AH20" i="419"/>
  <c r="AG20" i="419"/>
  <c r="AF20" i="419"/>
  <c r="AE20" i="419"/>
  <c r="AD20" i="419"/>
  <c r="AC20" i="419"/>
  <c r="AB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AK19" i="419"/>
  <c r="AJ19" i="419"/>
  <c r="AI19" i="419"/>
  <c r="AH19" i="419"/>
  <c r="AG19" i="419"/>
  <c r="AF19" i="419"/>
  <c r="AE19" i="419"/>
  <c r="AD19" i="419"/>
  <c r="AC19" i="419"/>
  <c r="AB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AK17" i="419"/>
  <c r="AJ17" i="419"/>
  <c r="AI17" i="419"/>
  <c r="AH17" i="419"/>
  <c r="AG17" i="419"/>
  <c r="AF17" i="419"/>
  <c r="AE17" i="419"/>
  <c r="AD17" i="419"/>
  <c r="AC17" i="419"/>
  <c r="AB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AK16" i="419"/>
  <c r="AJ16" i="419"/>
  <c r="AI16" i="419"/>
  <c r="AH16" i="419"/>
  <c r="AG16" i="419"/>
  <c r="AF16" i="419"/>
  <c r="AE16" i="419"/>
  <c r="AD16" i="419"/>
  <c r="AC16" i="419"/>
  <c r="AB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AK14" i="419"/>
  <c r="AJ14" i="419"/>
  <c r="AI14" i="419"/>
  <c r="AH14" i="419"/>
  <c r="AG14" i="419"/>
  <c r="AF14" i="419"/>
  <c r="AE14" i="419"/>
  <c r="AD14" i="419"/>
  <c r="AC14" i="419"/>
  <c r="AB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AK13" i="419"/>
  <c r="AJ13" i="419"/>
  <c r="AI13" i="419"/>
  <c r="AH13" i="419"/>
  <c r="AG13" i="419"/>
  <c r="AF13" i="419"/>
  <c r="AE13" i="419"/>
  <c r="AD13" i="419"/>
  <c r="AC13" i="419"/>
  <c r="AB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AK12" i="419"/>
  <c r="AJ12" i="419"/>
  <c r="AI12" i="419"/>
  <c r="AH12" i="419"/>
  <c r="AG12" i="419"/>
  <c r="AF12" i="419"/>
  <c r="AE12" i="419"/>
  <c r="AD12" i="419"/>
  <c r="AC12" i="419"/>
  <c r="AB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AK11" i="419"/>
  <c r="AJ11" i="419"/>
  <c r="AI11" i="419"/>
  <c r="AH11" i="419"/>
  <c r="AG11" i="419"/>
  <c r="AF11" i="419"/>
  <c r="AE11" i="419"/>
  <c r="AD11" i="419"/>
  <c r="AC11" i="419"/>
  <c r="AB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L18" i="419" l="1"/>
  <c r="P18" i="419"/>
  <c r="T18" i="419"/>
  <c r="AC18" i="419"/>
  <c r="AG18" i="419"/>
  <c r="AK18" i="419"/>
  <c r="L23" i="419"/>
  <c r="P23" i="419"/>
  <c r="T23" i="419"/>
  <c r="AC23" i="419"/>
  <c r="AG23" i="419"/>
  <c r="AK23" i="419"/>
  <c r="J18" i="419"/>
  <c r="N18" i="419"/>
  <c r="R18" i="419"/>
  <c r="V18" i="419"/>
  <c r="Z18" i="419"/>
  <c r="AE18" i="419"/>
  <c r="AI18" i="419"/>
  <c r="X18" i="419"/>
  <c r="P22" i="419"/>
  <c r="AG22" i="419"/>
  <c r="O23" i="419"/>
  <c r="W23" i="419"/>
  <c r="AF23" i="419"/>
  <c r="K18" i="419"/>
  <c r="O18" i="419"/>
  <c r="S18" i="419"/>
  <c r="W18" i="419"/>
  <c r="AB18" i="419"/>
  <c r="AF18" i="419"/>
  <c r="AJ18" i="419"/>
  <c r="M23" i="419"/>
  <c r="U23" i="419"/>
  <c r="AD23" i="419"/>
  <c r="AH23" i="419"/>
  <c r="T22" i="419"/>
  <c r="AK22" i="419"/>
  <c r="X23" i="419"/>
  <c r="J23" i="419"/>
  <c r="N23" i="419"/>
  <c r="R23" i="419"/>
  <c r="V23" i="419"/>
  <c r="Z23" i="419"/>
  <c r="AE23" i="419"/>
  <c r="AI23" i="419"/>
  <c r="AM23" i="419"/>
  <c r="K23" i="419"/>
  <c r="S23" i="419"/>
  <c r="AB23" i="419"/>
  <c r="AJ23" i="419"/>
  <c r="M18" i="419"/>
  <c r="Q18" i="419"/>
  <c r="U18" i="419"/>
  <c r="Y18" i="419"/>
  <c r="AD18" i="419"/>
  <c r="AH18" i="419"/>
  <c r="L22" i="419"/>
  <c r="AC22" i="419"/>
  <c r="M22" i="419"/>
  <c r="U22" i="419"/>
  <c r="AD22" i="419"/>
  <c r="AH22" i="419"/>
  <c r="J22" i="419"/>
  <c r="N22" i="419"/>
  <c r="R22" i="419"/>
  <c r="V22" i="419"/>
  <c r="Z22" i="419"/>
  <c r="AE22" i="419"/>
  <c r="AI22" i="419"/>
  <c r="AM22" i="419"/>
  <c r="Q23" i="419"/>
  <c r="Y23" i="419"/>
  <c r="AL23" i="419"/>
  <c r="N3" i="418"/>
  <c r="I21" i="419" l="1"/>
  <c r="I22" i="419" s="1"/>
  <c r="H21" i="419"/>
  <c r="H22" i="419" s="1"/>
  <c r="G21" i="419"/>
  <c r="G22" i="419" s="1"/>
  <c r="F21" i="419"/>
  <c r="D21" i="419"/>
  <c r="D22" i="419" s="1"/>
  <c r="C21" i="419"/>
  <c r="C22" i="419" s="1"/>
  <c r="I20" i="419"/>
  <c r="H20" i="419"/>
  <c r="G20" i="419"/>
  <c r="F20" i="419"/>
  <c r="D20" i="419"/>
  <c r="C20" i="419"/>
  <c r="I19" i="419"/>
  <c r="H19" i="419"/>
  <c r="G19" i="419"/>
  <c r="F19" i="419"/>
  <c r="D19" i="419"/>
  <c r="C19" i="419"/>
  <c r="I17" i="419"/>
  <c r="H17" i="419"/>
  <c r="G17" i="419"/>
  <c r="F17" i="419"/>
  <c r="D17" i="419"/>
  <c r="C17" i="419"/>
  <c r="I16" i="419"/>
  <c r="H16" i="419"/>
  <c r="G16" i="419"/>
  <c r="F16" i="419"/>
  <c r="D16" i="419"/>
  <c r="C16" i="419"/>
  <c r="I14" i="419"/>
  <c r="H14" i="419"/>
  <c r="G14" i="419"/>
  <c r="F14" i="419"/>
  <c r="D14" i="419"/>
  <c r="C14" i="419"/>
  <c r="I13" i="419"/>
  <c r="H13" i="419"/>
  <c r="G13" i="419"/>
  <c r="F13" i="419"/>
  <c r="D13" i="419"/>
  <c r="C13" i="419"/>
  <c r="I12" i="419"/>
  <c r="H12" i="419"/>
  <c r="G12" i="419"/>
  <c r="F12" i="419"/>
  <c r="D12" i="419"/>
  <c r="C12" i="419"/>
  <c r="I11" i="419"/>
  <c r="H11" i="419"/>
  <c r="G11" i="419"/>
  <c r="F11" i="419"/>
  <c r="D11" i="419"/>
  <c r="C11" i="419"/>
  <c r="F18" i="419" l="1"/>
  <c r="F23" i="419"/>
  <c r="G18" i="419"/>
  <c r="D18" i="419"/>
  <c r="I18" i="419"/>
  <c r="C18" i="419"/>
  <c r="H18" i="419"/>
  <c r="C23" i="419"/>
  <c r="H23" i="419"/>
  <c r="F22" i="419"/>
  <c r="G23" i="419"/>
  <c r="D23" i="419"/>
  <c r="I23" i="419"/>
  <c r="B21" i="419"/>
  <c r="B22" i="419" l="1"/>
  <c r="A20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AP6" i="419" l="1"/>
  <c r="AL6" i="419"/>
  <c r="AH6" i="419"/>
  <c r="AD6" i="419"/>
  <c r="Z6" i="419"/>
  <c r="V6" i="419"/>
  <c r="R6" i="419"/>
  <c r="N6" i="419"/>
  <c r="J6" i="419"/>
  <c r="F6" i="419"/>
  <c r="E6" i="419"/>
  <c r="AA6" i="419"/>
  <c r="O6" i="419"/>
  <c r="AS6" i="419"/>
  <c r="AO6" i="419"/>
  <c r="AK6" i="419"/>
  <c r="AG6" i="419"/>
  <c r="AC6" i="419"/>
  <c r="Y6" i="419"/>
  <c r="U6" i="419"/>
  <c r="Q6" i="419"/>
  <c r="M6" i="419"/>
  <c r="I6" i="419"/>
  <c r="AI6" i="419"/>
  <c r="W6" i="419"/>
  <c r="K6" i="419"/>
  <c r="AR6" i="419"/>
  <c r="AN6" i="419"/>
  <c r="AJ6" i="419"/>
  <c r="AF6" i="419"/>
  <c r="AB6" i="419"/>
  <c r="X6" i="419"/>
  <c r="T6" i="419"/>
  <c r="P6" i="419"/>
  <c r="L6" i="419"/>
  <c r="H6" i="419"/>
  <c r="AQ6" i="419"/>
  <c r="AM6" i="419"/>
  <c r="AE6" i="419"/>
  <c r="S6" i="419"/>
  <c r="G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0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C16" i="414"/>
  <c r="D4" i="414"/>
  <c r="C13" i="414"/>
  <c r="D13" i="414"/>
  <c r="D16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N3" i="220"/>
  <c r="L3" i="220" s="1"/>
  <c r="C21" i="414"/>
  <c r="D21" i="414"/>
  <c r="I12" i="339" l="1"/>
  <c r="I13" i="339" s="1"/>
  <c r="F13" i="339"/>
  <c r="E13" i="339"/>
  <c r="E15" i="339" s="1"/>
  <c r="H12" i="339"/>
  <c r="G12" i="339"/>
  <c r="A4" i="383"/>
  <c r="A24" i="383"/>
  <c r="A23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H13" i="339" l="1"/>
  <c r="F15" i="339"/>
  <c r="J13" i="339"/>
  <c r="B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<sst xmlns="http://schemas.openxmlformats.org/spreadsheetml/2006/main" count="2380" uniqueCount="673">
  <si>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</si>
  <si>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</si>
  <si>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</si>
  <si>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</si>
  <si>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</si>
  <si>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</si>
  <si>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</si>
  <si>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</si>
  <si>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</si>
  <si>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</si>
  <si>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</si>
  <si>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</si>
  <si>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</si>
  <si>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</si>
  <si>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</si>
  <si>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</si>
  <si>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</si>
  <si>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</si>
  <si>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</si>
  <si>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</si>
  <si>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</si>
  <si>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</si>
  <si>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</si>
  <si>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</si>
  <si>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</si>
  <si>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</si>
  <si>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</si>
  <si>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</si>
  <si>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</si>
  <si>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</si>
  <si>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</si>
  <si>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</si>
  <si>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</si>
  <si>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</si>
  <si>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</si>
  <si>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</si>
  <si>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</si>
  <si>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</si>
  <si>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</si>
  <si>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</si>
  <si>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</si>
  <si>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</si>
  <si>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</si>
  <si>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</si>
  <si>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</si>
  <si>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</si>
  <si>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</si>
  <si>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</si>
  <si>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</si>
  <si>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</si>
  <si>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</si>
  <si>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</si>
  <si>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</si>
  <si>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</si>
  <si>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</si>
  <si>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</si>
  <si>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</si>
  <si>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</si>
  <si>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</si>
  <si>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</si>
  <si>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</si>
  <si>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</si>
  <si>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</si>
  <si>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</si>
  <si>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</si>
  <si>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</si>
  <si>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</si>
  <si>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</si>
  <si>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</si>
  <si>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</si>
  <si>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</si>
  <si>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</si>
  <si>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</si>
  <si>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</si>
  <si>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</si>
  <si>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</si>
  <si>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</si>
  <si>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</si>
  <si>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</si>
  <si>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</si>
  <si>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</si>
  <si>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</si>
  <si>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</si>
  <si>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</si>
  <si>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</si>
  <si>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</si>
  <si>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</si>
  <si>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</si>
  <si>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</si>
  <si>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</si>
  <si>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</si>
  <si>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</si>
  <si>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</si>
  <si>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</si>
  <si>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</si>
  <si>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</si>
  <si>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</si>
  <si>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</si>
  <si>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</si>
  <si>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</si>
  <si>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</si>
  <si>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</si>
  <si>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</si>
  <si>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</si>
  <si>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</si>
  <si>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</si>
  <si>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</si>
  <si>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</si>
  <si>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</si>
  <si>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</si>
  <si>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</si>
  <si>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</si>
  <si>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</si>
  <si>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</si>
  <si>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</si>
  <si>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</si>
  <si>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</si>
  <si>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</si>
  <si>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</si>
  <si>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</si>
  <si>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</si>
  <si>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</si>
  <si>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</si>
  <si>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</si>
  <si>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</si>
  <si>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</si>
  <si>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</si>
  <si>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</si>
  <si>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</si>
  <si>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</si>
  <si>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</si>
  <si>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</si>
  <si>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</si>
  <si>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</si>
  <si>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</si>
  <si>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</si>
  <si>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</si>
  <si>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</si>
  <si>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</si>
  <si>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</si>
  <si>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</si>
  <si>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</si>
  <si>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</si>
  <si>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</si>
  <si>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</si>
  <si>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</si>
  <si>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</si>
  <si>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</si>
  <si>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</si>
  <si>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</si>
  <si>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farmaceuti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</si>
  <si>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</si>
  <si>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</si>
  <si>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</si>
  <si>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</si>
  <si>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</si>
  <si>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</si>
  <si>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</si>
  <si>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</si>
  <si>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</si>
  <si>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</si>
  <si>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</si>
  <si>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</si>
  <si>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</si>
  <si>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</si>
  <si>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</si>
  <si>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</si>
  <si>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</si>
  <si>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</si>
  <si>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</si>
  <si>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</si>
  <si>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</si>
  <si>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</si>
  <si>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</si>
  <si>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</si>
  <si>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</si>
  <si>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</si>
  <si>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</si>
  <si>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</si>
  <si>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</si>
  <si>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</si>
  <si>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</si>
  <si>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</si>
  <si>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</si>
  <si>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</si>
  <si>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</si>
  <si>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</si>
  <si>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</si>
  <si>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</si>
  <si>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</si>
  <si>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</si>
  <si>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</si>
  <si>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</si>
  <si>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</si>
  <si>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</si>
  <si>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</si>
  <si>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</si>
  <si>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</si>
  <si>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</si>
  <si>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</si>
  <si>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</si>
  <si>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</si>
  <si>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</si>
  <si>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</si>
  <si>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</si>
  <si>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</si>
  <si>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</si>
  <si>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</si>
  <si>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</si>
  <si>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</si>
  <si>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</si>
  <si>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</si>
  <si>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</si>
  <si>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</si>
  <si>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</si>
  <si>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ergoterapeuti</t>
  </si>
  <si>
    <t>Sml.odb./NS</t>
  </si>
  <si>
    <t>lékaři bez dohledu</t>
  </si>
  <si>
    <t>lékaři specialisti</t>
  </si>
  <si>
    <t>zubní lékaři specialisti</t>
  </si>
  <si>
    <t>všeobecné sestry pod dohl.</t>
  </si>
  <si>
    <t>všeobecné sestry bez dohl.</t>
  </si>
  <si>
    <t>všeobecné sestry bez dohl., spec.</t>
  </si>
  <si>
    <t>všeobecné sestry VŠ</t>
  </si>
  <si>
    <t>kliničtí psychologové</t>
  </si>
  <si>
    <t>kliničtí psychologové spec.</t>
  </si>
  <si>
    <t>kliničtí psychologové spec. a zvl.odb.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</si>
  <si>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</si>
  <si>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</si>
  <si>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</si>
  <si>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</si>
  <si>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</si>
  <si>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</si>
  <si>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</si>
  <si>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</si>
  <si>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</si>
  <si>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</si>
  <si>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</si>
  <si>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</si>
  <si>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</si>
  <si>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</si>
  <si>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</si>
  <si>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</si>
  <si>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</si>
  <si>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</si>
  <si>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</si>
  <si>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</si>
  <si>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</si>
  <si>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</si>
  <si>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</si>
  <si>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</si>
  <si>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</si>
  <si>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</si>
  <si>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</si>
  <si>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biotechničtí asistenti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</si>
  <si>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</si>
  <si>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</si>
  <si>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</si>
  <si>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</si>
  <si>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</si>
  <si>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</si>
  <si>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Ústav soudního lékařství a medicínského práva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</si>
  <si>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</si>
  <si>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</si>
  <si>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</si>
  <si>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</si>
  <si>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</si>
  <si>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</si>
  <si>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</si>
  <si>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</si>
  <si>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</si>
  <si>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</si>
  <si>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</si>
  <si>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</si>
  <si>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</si>
  <si>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</si>
  <si>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</si>
  <si>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</si>
  <si>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50115090     ZPr - zubolékařský materiál (Z509)</t>
  </si>
  <si>
    <t>--</t>
  </si>
  <si>
    <t>50117     Všeobecný materiál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</si>
  <si>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</si>
  <si>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</si>
  <si>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</si>
  <si>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</si>
  <si>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</si>
  <si>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</si>
  <si>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</si>
  <si>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</si>
  <si>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</si>
  <si>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</si>
  <si>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</si>
  <si>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</si>
  <si>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</si>
  <si>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</si>
  <si>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</si>
  <si>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</si>
  <si>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</si>
  <si>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</si>
  <si>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</si>
  <si>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</si>
  <si>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</si>
  <si>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</si>
  <si>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</si>
  <si>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</si>
  <si>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</si>
  <si>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</si>
  <si>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</si>
  <si>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</si>
  <si>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</si>
  <si>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</si>
  <si>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</si>
  <si>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</si>
  <si>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</si>
  <si>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</si>
  <si>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</si>
  <si>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</si>
  <si>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</si>
  <si>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</si>
  <si>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</si>
  <si>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</si>
  <si>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</si>
  <si>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51806004     popl. za DDD a ostatní služby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</si>
  <si>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</si>
  <si>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</si>
  <si>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</si>
  <si>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</si>
  <si>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</si>
  <si>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51874     Ostatní služby</t>
  </si>
  <si>
    <t>51874003     znalecké posudky, odměny z klinických hodnocení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</si>
  <si>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</si>
  <si>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</si>
  <si>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</si>
  <si>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</si>
  <si>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</si>
  <si>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</si>
  <si>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</si>
  <si>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</si>
  <si>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</si>
  <si>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</si>
  <si>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</si>
  <si>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</si>
  <si>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</si>
  <si>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</si>
  <si>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</si>
  <si>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</si>
  <si>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</si>
  <si>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</si>
  <si>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</si>
  <si>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531     Daň silniční</t>
  </si>
  <si>
    <t>53100     Daň silniční</t>
  </si>
  <si>
    <t>53100001     daň silniční</t>
  </si>
  <si>
    <t>54     Jiné provozní náklady</t>
  </si>
  <si>
    <t>549     Ostatní náklady z činnosti</t>
  </si>
  <si>
    <t>54910     Ostatní náklady z činnosti</t>
  </si>
  <si>
    <t>54910005     refundace věcných nákladů</t>
  </si>
  <si>
    <t>54910009     školení, kongresové poplatky tuzemské - ost.zdrav.pracov.</t>
  </si>
  <si>
    <t>54910010     školení - nezdrav.pracov.</t>
  </si>
  <si>
    <t>54920     Náklady účtované od UP</t>
  </si>
  <si>
    <t>54920000     náklady účtované od UP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</si>
  <si>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</si>
  <si>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</si>
  <si>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</si>
  <si>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</si>
  <si>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</si>
  <si>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</si>
  <si>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</si>
  <si>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</si>
  <si>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</si>
  <si>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</si>
  <si>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</si>
  <si>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</si>
  <si>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</si>
  <si>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</si>
  <si>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</si>
  <si>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</si>
  <si>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</si>
  <si>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</si>
  <si>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</si>
  <si>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</si>
  <si>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</si>
  <si>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</si>
  <si>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</si>
  <si>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</si>
  <si>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</si>
  <si>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</si>
  <si>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</si>
  <si>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</si>
  <si>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</si>
  <si>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</si>
  <si>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</si>
  <si>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</si>
  <si>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</si>
  <si>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</si>
  <si>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</si>
  <si>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</si>
  <si>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</si>
  <si>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</si>
  <si>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</si>
  <si>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</si>
  <si>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</si>
  <si>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</si>
  <si>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</si>
  <si>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603     Výnosy z pronájmu</t>
  </si>
  <si>
    <t>60325     Výnosy z pronájmu</t>
  </si>
  <si>
    <t>60325423     nájem nebytových prostor (99xx)</t>
  </si>
  <si>
    <t>60325424     nájem DM - použití vybavení FNOL (pitevny)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</si>
  <si>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</si>
  <si>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</si>
  <si>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</si>
  <si>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</si>
  <si>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</si>
  <si>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</si>
  <si>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</si>
  <si>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</si>
  <si>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</si>
  <si>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</si>
  <si>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</si>
  <si>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</si>
  <si>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</si>
  <si>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</si>
  <si>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</si>
  <si>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</si>
  <si>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</si>
  <si>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</si>
  <si>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</si>
  <si>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</si>
  <si>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</si>
  <si>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</si>
  <si>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</si>
  <si>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</si>
  <si>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</si>
  <si>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</si>
  <si>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</si>
  <si>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</si>
  <si>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</si>
  <si>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</si>
  <si>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</si>
  <si>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</si>
  <si>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</si>
  <si>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</si>
  <si>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</si>
  <si>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</si>
  <si>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</si>
  <si>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38</t>
  </si>
  <si>
    <t>Ústav soudního lékařství a medicínského práva</t>
  </si>
  <si>
    <t/>
  </si>
  <si>
    <t>50113190     léky - medicinální plyny (sklad SVM)</t>
  </si>
  <si>
    <t>Ústav soudního lékařství a medicínského práva Celkem</t>
  </si>
  <si>
    <t>SumaKL</t>
  </si>
  <si>
    <t>3841</t>
  </si>
  <si>
    <t>soudní lékařství - laboratoř</t>
  </si>
  <si>
    <t>soudní lékařství - laboratoř Celkem</t>
  </si>
  <si>
    <t>SumaNS</t>
  </si>
  <si>
    <t>mezeraNS</t>
  </si>
  <si>
    <t>50113001</t>
  </si>
  <si>
    <t>O</t>
  </si>
  <si>
    <t>849997</t>
  </si>
  <si>
    <t>500278</t>
  </si>
  <si>
    <t>OPRYMEA 0,7 MG</t>
  </si>
  <si>
    <t>POR TBL NOB 30X0.7MG</t>
  </si>
  <si>
    <t>920136</t>
  </si>
  <si>
    <t>0</t>
  </si>
  <si>
    <t>KL ETHANOLUM BENZINO DEN. 4 kg</t>
  </si>
  <si>
    <t>UN 1170</t>
  </si>
  <si>
    <t>194718</t>
  </si>
  <si>
    <t>BRINTELLIX 5 MG</t>
  </si>
  <si>
    <t>TBL FLM 28X5MG</t>
  </si>
  <si>
    <t>SOUD: soudní lékařství - laboratoř</t>
  </si>
  <si>
    <t>Lékárna - léčiva</t>
  </si>
  <si>
    <t>38 - Ústav soudního lékařství a medicínského práva</t>
  </si>
  <si>
    <t>3841 - soudní lékařství - laboratoř</t>
  </si>
  <si>
    <t>ZA090</t>
  </si>
  <si>
    <t>Vata buničitá přířezy 37 x 57 cm 2730152</t>
  </si>
  <si>
    <t>ZA751</t>
  </si>
  <si>
    <t>Papír filtrační archy 50 x 50 cm bal. 12,5 kg PPER2R/80G/50X50</t>
  </si>
  <si>
    <t>ZA817</t>
  </si>
  <si>
    <t>Zkumavka PS 10 ml sterilní modrá zátka bal. á 20 ks 400914</t>
  </si>
  <si>
    <t>ZC768</t>
  </si>
  <si>
    <t>Zkumavka 10 ml sterilní bal. á 1250 ks 1009/TE/SG/ES</t>
  </si>
  <si>
    <t>ZK679</t>
  </si>
  <si>
    <t>Nádoba na kontaminovaný odpad SC 60 l jednoduché víko,zámek 2021800411502(I005430006)</t>
  </si>
  <si>
    <t>ZK726</t>
  </si>
  <si>
    <t>Nádoba na kontaminovaný odpad PBS 12 l 2041300431302 (I003501400)</t>
  </si>
  <si>
    <t>ZH615</t>
  </si>
  <si>
    <t>Uzávěr krimplovací Al s otvorem 20 mm á 100 ks (548-3096) LAPH20010408</t>
  </si>
  <si>
    <t>ZH614</t>
  </si>
  <si>
    <t>Zátka butyl šedá 20 mm á 100 ks (548-3100) LAPH20100290</t>
  </si>
  <si>
    <t>ZF174</t>
  </si>
  <si>
    <t>Nádoba na histologický mat. 400 ml 333000041012</t>
  </si>
  <si>
    <t>ZF709</t>
  </si>
  <si>
    <t>Žiletka mikrotomová á 50 ks JP-BN35</t>
  </si>
  <si>
    <t>ZO932</t>
  </si>
  <si>
    <t>Zkumavka 13 ml PP 101/16,5 mm bílý uzávěr sterilní 60.540.012</t>
  </si>
  <si>
    <t>ZA796</t>
  </si>
  <si>
    <t>Tampon odběrový 1665</t>
  </si>
  <si>
    <t>ZC716</t>
  </si>
  <si>
    <t>Špička žlutá pipetovací dlouhá manžeta bal. á 1000 ks 1123</t>
  </si>
  <si>
    <t>ZB605</t>
  </si>
  <si>
    <t>Špička modrá krátká manžeta 1108</t>
  </si>
  <si>
    <t>ZC606</t>
  </si>
  <si>
    <t>Uzávěr PP pro šroub. vial. ND9 otvor 6 mm bal. 100 ks septa Silkon bílý / PTFE červený 2542.0124</t>
  </si>
  <si>
    <t>ZL971</t>
  </si>
  <si>
    <t>Vialka ND 9, HPLC/GC certifikovaný kit,1,5 ml čiré sklo+ultraclean uzávěr, septa silikon/červ.PTFE 2540.0130</t>
  </si>
  <si>
    <t>ZL968</t>
  </si>
  <si>
    <t>Špička Insert 0,1 ml 31 x 6 mm 15 mm bal. á 100 ks 2541.0105</t>
  </si>
  <si>
    <t>ZN647</t>
  </si>
  <si>
    <t>Zkumavka se šestihrannou zábrusovou zátkou NZ12/21, zátka 032 493 503 040S-68/2015</t>
  </si>
  <si>
    <t>ZL143</t>
  </si>
  <si>
    <t>Střička s PE lahví šroub.uzáv. a PE tryskou širokohrdlá 250 ml červená 2105.4103</t>
  </si>
  <si>
    <t>ZL142</t>
  </si>
  <si>
    <t>Střička s PE lahví šroub.uzáv. a PE tryskou širokohrdlá 250 ml modrá 2105.4101</t>
  </si>
  <si>
    <t>ZD437</t>
  </si>
  <si>
    <t>Nálevka dělící 250 ml s teflonovým kohoutem GLAS149.202.04</t>
  </si>
  <si>
    <t>ZK476</t>
  </si>
  <si>
    <t>Rukavice operační latexové s pudrem ansell, vasco surgical powderet vel. 7,5 6035534</t>
  </si>
  <si>
    <t>ZK477</t>
  </si>
  <si>
    <t>Rukavice operační latexové s pudrem ansell, vasco surgical powderet vel. 8 6035542 (303506EU)</t>
  </si>
  <si>
    <t>ZM292</t>
  </si>
  <si>
    <t>Rukavice nitril sempercare bez p. M bal. á 200 ks 30803</t>
  </si>
  <si>
    <t>ZM293</t>
  </si>
  <si>
    <t>Rukavice nitril sempercare bez p. L bal. á 200 ks 30804</t>
  </si>
  <si>
    <t>ZN125</t>
  </si>
  <si>
    <t>Rukavice operační gammex latex PF bez pudru 7,5 330048075</t>
  </si>
  <si>
    <t>ZK440</t>
  </si>
  <si>
    <t>Rukavice operační latexové s pudrem sempermed classic vel. 8,0 31284</t>
  </si>
  <si>
    <t>ZK439</t>
  </si>
  <si>
    <t>Rukavice operační latexové s pudrem sempermed classic vel. 7,5 31283</t>
  </si>
  <si>
    <t>DF571</t>
  </si>
  <si>
    <t>Formaldehyd 36-38% p.a., 5 L</t>
  </si>
  <si>
    <t>DG184</t>
  </si>
  <si>
    <t>SIRAN SODNY BEZV.,P.A.</t>
  </si>
  <si>
    <t>DB310</t>
  </si>
  <si>
    <t>Ethanolum benzino den. 4kg</t>
  </si>
  <si>
    <t>DC236</t>
  </si>
  <si>
    <t>DIETHYLETER P.A. NESTAB.</t>
  </si>
  <si>
    <t>DG229</t>
  </si>
  <si>
    <t>METHANOL P.A.</t>
  </si>
  <si>
    <t>DG226</t>
  </si>
  <si>
    <t>ETHYLESTER KYS.OCTOVE P.A.</t>
  </si>
  <si>
    <t>DG783</t>
  </si>
  <si>
    <t>DRI Acetaminophen Calibrator Kit</t>
  </si>
  <si>
    <t>DG770</t>
  </si>
  <si>
    <t>DRI Acetaminophen</t>
  </si>
  <si>
    <t>DG190</t>
  </si>
  <si>
    <t>UHLICITAN SOD.BEZV. P.A.</t>
  </si>
  <si>
    <t>DG765</t>
  </si>
  <si>
    <t>DRI Benzodiazepines</t>
  </si>
  <si>
    <t>DF907</t>
  </si>
  <si>
    <t>BUP (buprenorfin)  test na záchyt drog v moči</t>
  </si>
  <si>
    <t>DG771</t>
  </si>
  <si>
    <t>DRI Multi-Drug Negative Calibrator</t>
  </si>
  <si>
    <t>DG775</t>
  </si>
  <si>
    <t>DRI Multi-Drug Calibrator 3</t>
  </si>
  <si>
    <t>DF908</t>
  </si>
  <si>
    <t>MTD(methadone) test na záchyt drog v moči</t>
  </si>
  <si>
    <t>DC347</t>
  </si>
  <si>
    <t>PARAFIN UPRAVENY 56-58, 1 kg</t>
  </si>
  <si>
    <t>DH771</t>
  </si>
  <si>
    <t>Nifedipine 1g</t>
  </si>
  <si>
    <t>DD491</t>
  </si>
  <si>
    <t>CHLORID ZELEZITY HEXAHYDRAT P.A.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</si>
  <si>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</si>
  <si>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</si>
  <si>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</si>
  <si>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</si>
  <si>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</si>
  <si>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</si>
  <si>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</si>
  <si>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</si>
  <si>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</si>
  <si>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</si>
  <si>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</si>
  <si>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</si>
  <si>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Specializovaná ambulantní péče</t>
  </si>
  <si>
    <t>808 - Pracoviště soudního lékařství</t>
  </si>
  <si>
    <t>Ambulantní péče ve vyjmenovaných odbornostech (§9) *</t>
  </si>
  <si>
    <t>814 - Laboratoř toxikologická</t>
  </si>
  <si>
    <t>Zdravotní výkony vykázané na pracovišti v rámci ambulantní péče *</t>
  </si>
  <si>
    <t>beze jména</t>
  </si>
  <si>
    <t xml:space="preserve"> 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</si>
  <si>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</si>
  <si>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</si>
  <si>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</si>
  <si>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</si>
  <si>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</si>
  <si>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808</t>
  </si>
  <si>
    <t>V</t>
  </si>
  <si>
    <t>88101</t>
  </si>
  <si>
    <t>PROVEDENÍ PITVY NA SOUDNĚ LÉKAŘSKÉM PRACOVIŠTI ZDR</t>
  </si>
  <si>
    <t>814</t>
  </si>
  <si>
    <t>92111</t>
  </si>
  <si>
    <t>KONZULTACE OŠETŘUJÍCÍHO LÉKAŘE TOXIKOLOGEM</t>
  </si>
  <si>
    <t>92121</t>
  </si>
  <si>
    <t>STANOVENÍ EXTRAKTIVNÍCH LÁTEK PLYNOVOU CHROMATOGRA</t>
  </si>
  <si>
    <t>92127</t>
  </si>
  <si>
    <t>TĚKAVÉ LÁTKY - PRŮKAZ PLYNOVOU CHROMATOGRAFIÍ -  S</t>
  </si>
  <si>
    <t>92131</t>
  </si>
  <si>
    <t>EXTRAKTIVNÍ LÁTKY - CÍLENÝ PRŮKAZ PLYNOVOU CHROMAT</t>
  </si>
  <si>
    <t>92137</t>
  </si>
  <si>
    <t>IDENTIFIKACE NEZNÁMÉ LÁTKY POMOCÍ PLYNOVÉ CHROMATO</t>
  </si>
  <si>
    <t>92141</t>
  </si>
  <si>
    <t>ETHANOL - SPECIFICKÉ STANOVENÍ PLYNOVOU CHROMATOGR</t>
  </si>
  <si>
    <t>92147</t>
  </si>
  <si>
    <t>EXTRAKTIVNÍ LÁTKY - CÍLENÝ PRŮKAZ CHROMATOGRAFIÍ N</t>
  </si>
  <si>
    <t>92157</t>
  </si>
  <si>
    <t>EXTRAKTIVNÍ LÁTKY - STANOVENÍ POMOCÍ KAPALINOVÉ CH</t>
  </si>
  <si>
    <t>92181</t>
  </si>
  <si>
    <t>TĚKAVÉ LÁTKY - STANOVENÍ PLYNOVOU CHROMATOGRAFIÍ</t>
  </si>
  <si>
    <t>92187</t>
  </si>
  <si>
    <t>EXTRAKTIVNÍ LÁTKY - CÍLENÝ PRŮKAZ (KVALITATIVNÍ VY</t>
  </si>
  <si>
    <t>97111</t>
  </si>
  <si>
    <t>SEPARACE SÉRA NEBO PLAZMY</t>
  </si>
  <si>
    <t>92129</t>
  </si>
  <si>
    <t>92123</t>
  </si>
  <si>
    <t>92125</t>
  </si>
  <si>
    <t>EXTRAKTIVNÍ LÁTKY - PRŮKAZ CHROMATOGRAFIÍ NA TENKÉ</t>
  </si>
  <si>
    <t>92183</t>
  </si>
  <si>
    <t>STANOVENÍ TĚKAVÝCH REDUKUJÍCÍCH LÁTEK</t>
  </si>
  <si>
    <t>92185</t>
  </si>
  <si>
    <t>IZOLACE LÁTKY PRO CÍLENÝ PRŮKAZ PLYNOVOU CHROMATOG</t>
  </si>
  <si>
    <t>92153</t>
  </si>
  <si>
    <t>EXTRAKTIVNÍ LÁTKY - PRŮKAZ V TĚLNÍCH TEKUTINÁCH CH</t>
  </si>
  <si>
    <t>92133</t>
  </si>
  <si>
    <t>DROGY A LÉČIVA - CÍLENÝ IMUNOCHEMICKÝ ZÁCHYT - STA</t>
  </si>
  <si>
    <t>09123</t>
  </si>
  <si>
    <t>ANALÝZA MOČI CHEMICKY</t>
  </si>
  <si>
    <t>92173</t>
  </si>
  <si>
    <t xml:space="preserve">STANOVENÍ LÁTEK SPEKTROFOTOMETRICKY PO JEDNODUCHÉ </t>
  </si>
  <si>
    <t>92135</t>
  </si>
  <si>
    <t>DROGY A LÉČIVA - CÍLENÝ IMUNOCHEMICKÝ ZÁCHYT</t>
  </si>
  <si>
    <t>92155</t>
  </si>
  <si>
    <t>EXTRAKTIVNÍ LÁTKY - STANOVENÍ PLYNOVOU CHROMATOGRA</t>
  </si>
  <si>
    <t>92145</t>
  </si>
  <si>
    <t>92143</t>
  </si>
  <si>
    <t>EXTRAKTIVNÍ LÁTKY - CÍLENÝ PRŮKAZ KAPALINOVOU CHRO</t>
  </si>
  <si>
    <t>92119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</si>
  <si>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</si>
  <si>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lékaře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</si>
  <si>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</si>
  <si>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</si>
  <si>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</si>
  <si>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</si>
  <si>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</si>
  <si>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</si>
  <si>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</si>
  <si>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</si>
  <si>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</si>
  <si>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</si>
  <si>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</si>
  <si>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</si>
  <si>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</si>
  <si>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</si>
  <si>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</si>
  <si>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</si>
  <si>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</si>
  <si>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</si>
  <si>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</si>
  <si>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92177</t>
  </si>
  <si>
    <t>TĚKAVÉ LÁTKY - PRŮKAZ PLYNOVOU CHROMATOGRAFIÍ</t>
  </si>
  <si>
    <t>06</t>
  </si>
  <si>
    <t>07</t>
  </si>
  <si>
    <t>08</t>
  </si>
  <si>
    <t>10</t>
  </si>
  <si>
    <t>16</t>
  </si>
  <si>
    <t>17</t>
  </si>
  <si>
    <t>18</t>
  </si>
  <si>
    <t>20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</si>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</sst>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44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4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1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2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3" fontId="0" fillId="7" borderId="61" xfId="0" applyNumberFormat="1" applyFont="1" applyFill="1" applyBorder="1"/>
    <xf numFmtId="3" fontId="53" fillId="8" borderId="62" xfId="0" applyNumberFormat="1" applyFont="1" applyFill="1" applyBorder="1"/>
    <xf numFmtId="3" fontId="53" fillId="8" borderId="61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5" xfId="0" applyNumberFormat="1" applyFont="1" applyFill="1" applyBorder="1" applyAlignment="1">
      <alignment horizontal="center" vertical="center"/>
    </xf>
    <xf numFmtId="0" fontId="39" fillId="2" borderId="66" xfId="0" applyFont="1" applyFill="1" applyBorder="1" applyAlignment="1">
      <alignment horizontal="center" vertical="center"/>
    </xf>
    <xf numFmtId="3" fontId="55" fillId="2" borderId="68" xfId="0" applyNumberFormat="1" applyFont="1" applyFill="1" applyBorder="1" applyAlignment="1">
      <alignment horizontal="center" vertical="center" wrapText="1"/>
    </xf>
    <xf numFmtId="0" fontId="55" fillId="2" borderId="69" xfId="0" applyFont="1" applyFill="1" applyBorder="1" applyAlignment="1">
      <alignment horizontal="center" vertical="center" wrapText="1"/>
    </xf>
    <xf numFmtId="0" fontId="39" fillId="2" borderId="71" xfId="0" applyFont="1" applyFill="1" applyBorder="1" applyAlignment="1"/>
    <xf numFmtId="0" fontId="39" fillId="2" borderId="73" xfId="0" applyFont="1" applyFill="1" applyBorder="1" applyAlignment="1">
      <alignment horizontal="left" indent="1"/>
    </xf>
    <xf numFmtId="0" fontId="39" fillId="2" borderId="79" xfId="0" applyFont="1" applyFill="1" applyBorder="1" applyAlignment="1">
      <alignment horizontal="left" indent="1"/>
    </xf>
    <xf numFmtId="0" fontId="39" fillId="4" borderId="71" xfId="0" applyFont="1" applyFill="1" applyBorder="1" applyAlignment="1"/>
    <xf numFmtId="0" fontId="39" fillId="4" borderId="73" xfId="0" applyFont="1" applyFill="1" applyBorder="1" applyAlignment="1">
      <alignment horizontal="left" indent="1"/>
    </xf>
    <xf numFmtId="0" fontId="39" fillId="4" borderId="84" xfId="0" applyFont="1" applyFill="1" applyBorder="1" applyAlignment="1">
      <alignment horizontal="left" indent="1"/>
    </xf>
    <xf numFmtId="0" fontId="32" fillId="2" borderId="73" xfId="0" quotePrefix="1" applyFont="1" applyFill="1" applyBorder="1" applyAlignment="1">
      <alignment horizontal="left" indent="2"/>
    </xf>
    <xf numFmtId="0" fontId="32" fillId="2" borderId="79" xfId="0" quotePrefix="1" applyFont="1" applyFill="1" applyBorder="1" applyAlignment="1">
      <alignment horizontal="left" indent="2"/>
    </xf>
    <xf numFmtId="0" fontId="39" fillId="2" borderId="71" xfId="0" applyFont="1" applyFill="1" applyBorder="1" applyAlignment="1">
      <alignment horizontal="left" indent="1"/>
    </xf>
    <xf numFmtId="0" fontId="39" fillId="2" borderId="84" xfId="0" applyFont="1" applyFill="1" applyBorder="1" applyAlignment="1">
      <alignment horizontal="left" indent="1"/>
    </xf>
    <xf numFmtId="0" fontId="39" fillId="4" borderId="79" xfId="0" applyFont="1" applyFill="1" applyBorder="1" applyAlignment="1">
      <alignment horizontal="left" indent="1"/>
    </xf>
    <xf numFmtId="0" fontId="32" fillId="0" borderId="89" xfId="0" applyFont="1" applyBorder="1"/>
    <xf numFmtId="3" fontId="32" fillId="0" borderId="89" xfId="0" applyNumberFormat="1" applyFont="1" applyBorder="1"/>
    <xf numFmtId="0" fontId="39" fillId="4" borderId="63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8" xfId="0" applyNumberFormat="1" applyFont="1" applyFill="1" applyBorder="1" applyAlignment="1">
      <alignment horizontal="center" vertical="center"/>
    </xf>
    <xf numFmtId="3" fontId="55" fillId="2" borderId="86" xfId="0" applyNumberFormat="1" applyFont="1" applyFill="1" applyBorder="1" applyAlignment="1">
      <alignment horizontal="center" vertical="center" wrapText="1"/>
    </xf>
    <xf numFmtId="173" fontId="39" fillId="4" borderId="72" xfId="0" applyNumberFormat="1" applyFont="1" applyFill="1" applyBorder="1" applyAlignment="1"/>
    <xf numFmtId="173" fontId="39" fillId="4" borderId="65" xfId="0" applyNumberFormat="1" applyFont="1" applyFill="1" applyBorder="1" applyAlignment="1"/>
    <xf numFmtId="173" fontId="39" fillId="4" borderId="66" xfId="0" applyNumberFormat="1" applyFont="1" applyFill="1" applyBorder="1" applyAlignment="1"/>
    <xf numFmtId="173" fontId="39" fillId="0" borderId="74" xfId="0" applyNumberFormat="1" applyFont="1" applyBorder="1"/>
    <xf numFmtId="173" fontId="32" fillId="0" borderId="78" xfId="0" applyNumberFormat="1" applyFont="1" applyBorder="1"/>
    <xf numFmtId="173" fontId="32" fillId="0" borderId="76" xfId="0" applyNumberFormat="1" applyFont="1" applyBorder="1"/>
    <xf numFmtId="173" fontId="32" fillId="0" borderId="77" xfId="0" applyNumberFormat="1" applyFont="1" applyBorder="1"/>
    <xf numFmtId="173" fontId="39" fillId="0" borderId="85" xfId="0" applyNumberFormat="1" applyFont="1" applyBorder="1"/>
    <xf numFmtId="173" fontId="32" fillId="0" borderId="86" xfId="0" applyNumberFormat="1" applyFont="1" applyBorder="1"/>
    <xf numFmtId="173" fontId="32" fillId="0" borderId="69" xfId="0" applyNumberFormat="1" applyFont="1" applyBorder="1"/>
    <xf numFmtId="173" fontId="32" fillId="0" borderId="70" xfId="0" applyNumberFormat="1" applyFont="1" applyBorder="1"/>
    <xf numFmtId="173" fontId="39" fillId="2" borderId="87" xfId="0" applyNumberFormat="1" applyFont="1" applyFill="1" applyBorder="1" applyAlignment="1"/>
    <xf numFmtId="173" fontId="39" fillId="2" borderId="65" xfId="0" applyNumberFormat="1" applyFont="1" applyFill="1" applyBorder="1" applyAlignment="1"/>
    <xf numFmtId="173" fontId="39" fillId="2" borderId="66" xfId="0" applyNumberFormat="1" applyFont="1" applyFill="1" applyBorder="1" applyAlignment="1"/>
    <xf numFmtId="173" fontId="39" fillId="0" borderId="80" xfId="0" applyNumberFormat="1" applyFont="1" applyBorder="1"/>
    <xf numFmtId="173" fontId="32" fillId="0" borderId="81" xfId="0" applyNumberFormat="1" applyFont="1" applyBorder="1"/>
    <xf numFmtId="173" fontId="32" fillId="0" borderId="82" xfId="0" applyNumberFormat="1" applyFont="1" applyBorder="1"/>
    <xf numFmtId="173" fontId="39" fillId="0" borderId="72" xfId="0" applyNumberFormat="1" applyFont="1" applyBorder="1"/>
    <xf numFmtId="173" fontId="32" fillId="0" borderId="88" xfId="0" applyNumberFormat="1" applyFont="1" applyBorder="1"/>
    <xf numFmtId="173" fontId="32" fillId="0" borderId="66" xfId="0" applyNumberFormat="1" applyFont="1" applyBorder="1"/>
    <xf numFmtId="174" fontId="39" fillId="2" borderId="72" xfId="0" applyNumberFormat="1" applyFont="1" applyFill="1" applyBorder="1" applyAlignment="1"/>
    <xf numFmtId="174" fontId="32" fillId="2" borderId="65" xfId="0" applyNumberFormat="1" applyFont="1" applyFill="1" applyBorder="1" applyAlignment="1"/>
    <xf numFmtId="174" fontId="32" fillId="2" borderId="66" xfId="0" applyNumberFormat="1" applyFont="1" applyFill="1" applyBorder="1" applyAlignment="1"/>
    <xf numFmtId="174" fontId="39" fillId="0" borderId="74" xfId="0" applyNumberFormat="1" applyFont="1" applyBorder="1"/>
    <xf numFmtId="174" fontId="32" fillId="0" borderId="75" xfId="0" applyNumberFormat="1" applyFont="1" applyBorder="1"/>
    <xf numFmtId="174" fontId="32" fillId="0" borderId="76" xfId="0" applyNumberFormat="1" applyFont="1" applyBorder="1"/>
    <xf numFmtId="174" fontId="32" fillId="0" borderId="78" xfId="0" applyNumberFormat="1" applyFont="1" applyBorder="1"/>
    <xf numFmtId="174" fontId="39" fillId="0" borderId="80" xfId="0" applyNumberFormat="1" applyFont="1" applyBorder="1"/>
    <xf numFmtId="174" fontId="32" fillId="0" borderId="81" xfId="0" applyNumberFormat="1" applyFont="1" applyBorder="1"/>
    <xf numFmtId="174" fontId="32" fillId="0" borderId="82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2" xfId="0" applyNumberFormat="1" applyFont="1" applyFill="1" applyBorder="1" applyAlignment="1">
      <alignment horizontal="center"/>
    </xf>
    <xf numFmtId="175" fontId="39" fillId="0" borderId="80" xfId="0" applyNumberFormat="1" applyFont="1" applyBorder="1"/>
    <xf numFmtId="0" fontId="31" fillId="2" borderId="95" xfId="74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4" xfId="0" applyNumberFormat="1" applyFont="1" applyBorder="1"/>
    <xf numFmtId="9" fontId="32" fillId="0" borderId="78" xfId="0" applyNumberFormat="1" applyFont="1" applyBorder="1"/>
    <xf numFmtId="9" fontId="32" fillId="0" borderId="76" xfId="0" applyNumberFormat="1" applyFont="1" applyBorder="1"/>
    <xf numFmtId="9" fontId="32" fillId="0" borderId="77" xfId="0" applyNumberFormat="1" applyFont="1" applyBorder="1"/>
    <xf numFmtId="0" fontId="55" fillId="2" borderId="86" xfId="0" applyFont="1" applyFill="1" applyBorder="1" applyAlignment="1">
      <alignment horizontal="center" vertical="center" wrapText="1"/>
    </xf>
    <xf numFmtId="174" fontId="32" fillId="2" borderId="88" xfId="0" applyNumberFormat="1" applyFont="1" applyFill="1" applyBorder="1" applyAlignment="1"/>
    <xf numFmtId="173" fontId="39" fillId="4" borderId="88" xfId="0" applyNumberFormat="1" applyFont="1" applyFill="1" applyBorder="1" applyAlignment="1"/>
    <xf numFmtId="173" fontId="39" fillId="2" borderId="88" xfId="0" applyNumberFormat="1" applyFont="1" applyFill="1" applyBorder="1" applyAlignment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3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5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3" fontId="39" fillId="2" borderId="66" xfId="0" applyNumberFormat="1" applyFont="1" applyFill="1" applyBorder="1" applyAlignment="1">
      <alignment horizontal="center" vertical="center"/>
    </xf>
    <xf numFmtId="3" fontId="55" fillId="2" borderId="69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1" fillId="2" borderId="24" xfId="74" applyFont="1" applyFill="1" applyBorder="1" applyAlignment="1">
      <alignment horizontal="center"/>
    </xf>
    <xf numFmtId="0" fontId="6" fillId="0" borderId="2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2" xfId="81" applyFont="1" applyFill="1" applyBorder="1" applyAlignment="1">
      <alignment horizontal="center"/>
    </xf>
    <xf numFmtId="0" fontId="31" fillId="2" borderId="43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4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8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7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4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89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96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5" xfId="0" applyNumberFormat="1" applyFont="1" applyFill="1" applyBorder="1" applyAlignment="1">
      <alignment horizontal="center" vertical="top"/>
    </xf>
    <xf numFmtId="3" fontId="33" fillId="9" borderId="100" xfId="0" applyNumberFormat="1" applyFont="1" applyFill="1" applyBorder="1" applyAlignment="1">
      <alignment horizontal="right" vertical="top"/>
    </xf>
    <xf numFmtId="3" fontId="33" fillId="9" borderId="101" xfId="0" applyNumberFormat="1" applyFont="1" applyFill="1" applyBorder="1" applyAlignment="1">
      <alignment horizontal="right" vertical="top"/>
    </xf>
    <xf numFmtId="176" fontId="33" fillId="9" borderId="102" xfId="0" applyNumberFormat="1" applyFont="1" applyFill="1" applyBorder="1" applyAlignment="1">
      <alignment horizontal="right" vertical="top"/>
    </xf>
    <xf numFmtId="3" fontId="33" fillId="0" borderId="100" xfId="0" applyNumberFormat="1" applyFont="1" applyBorder="1" applyAlignment="1">
      <alignment horizontal="right" vertical="top"/>
    </xf>
    <xf numFmtId="176" fontId="33" fillId="9" borderId="103" xfId="0" applyNumberFormat="1" applyFont="1" applyFill="1" applyBorder="1" applyAlignment="1">
      <alignment horizontal="right" vertical="top"/>
    </xf>
    <xf numFmtId="3" fontId="35" fillId="9" borderId="105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0" fontId="35" fillId="9" borderId="107" xfId="0" applyFont="1" applyFill="1" applyBorder="1" applyAlignment="1">
      <alignment horizontal="right" vertical="top"/>
    </xf>
    <xf numFmtId="3" fontId="35" fillId="0" borderId="105" xfId="0" applyNumberFormat="1" applyFont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0" fontId="33" fillId="9" borderId="102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176" fontId="35" fillId="9" borderId="107" xfId="0" applyNumberFormat="1" applyFont="1" applyFill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3" fontId="35" fillId="0" borderId="109" xfId="0" applyNumberFormat="1" applyFont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0" fontId="35" fillId="0" borderId="111" xfId="0" applyFont="1" applyBorder="1" applyAlignment="1">
      <alignment horizontal="right" vertical="top"/>
    </xf>
    <xf numFmtId="176" fontId="35" fillId="9" borderId="112" xfId="0" applyNumberFormat="1" applyFont="1" applyFill="1" applyBorder="1" applyAlignment="1">
      <alignment horizontal="right" vertical="top"/>
    </xf>
    <xf numFmtId="0" fontId="37" fillId="10" borderId="99" xfId="0" applyFont="1" applyFill="1" applyBorder="1" applyAlignment="1">
      <alignment vertical="top"/>
    </xf>
    <xf numFmtId="0" fontId="37" fillId="10" borderId="99" xfId="0" applyFont="1" applyFill="1" applyBorder="1" applyAlignment="1">
      <alignment vertical="top" indent="2"/>
    </xf>
    <xf numFmtId="0" fontId="37" fillId="10" borderId="99" xfId="0" applyFont="1" applyFill="1" applyBorder="1" applyAlignment="1">
      <alignment vertical="top" indent="4"/>
    </xf>
    <xf numFmtId="0" fontId="38" fillId="10" borderId="104" xfId="0" applyFont="1" applyFill="1" applyBorder="1" applyAlignment="1">
      <alignment vertical="top" indent="6"/>
    </xf>
    <xf numFmtId="0" fontId="37" fillId="10" borderId="99" xfId="0" applyFont="1" applyFill="1" applyBorder="1" applyAlignment="1">
      <alignment vertical="top" indent="8"/>
    </xf>
    <xf numFmtId="0" fontId="38" fillId="10" borderId="104" xfId="0" applyFont="1" applyFill="1" applyBorder="1" applyAlignment="1">
      <alignment vertical="top" indent="2"/>
    </xf>
    <xf numFmtId="0" fontId="37" fillId="10" borderId="99" xfId="0" applyFont="1" applyFill="1" applyBorder="1" applyAlignment="1">
      <alignment vertical="top" indent="6"/>
    </xf>
    <xf numFmtId="0" fontId="38" fillId="10" borderId="104" xfId="0" applyFont="1" applyFill="1" applyBorder="1" applyAlignment="1">
      <alignment vertical="top" indent="4"/>
    </xf>
    <xf numFmtId="0" fontId="38" fillId="10" borderId="104" xfId="0" applyFont="1" applyFill="1" applyBorder="1" applyAlignment="1">
      <alignment vertical="top"/>
    </xf>
    <xf numFmtId="0" fontId="32" fillId="10" borderId="99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3" xfId="53" applyNumberFormat="1" applyFont="1" applyFill="1" applyBorder="1" applyAlignment="1">
      <alignment horizontal="left"/>
    </xf>
    <xf numFmtId="164" fontId="31" fillId="2" borderId="114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" fillId="2" borderId="113" xfId="79" applyFont="1" applyFill="1" applyBorder="1" applyAlignment="1">
      <alignment horizontal="left"/>
    </xf>
    <xf numFmtId="3" fontId="3" fillId="2" borderId="82" xfId="80" applyNumberFormat="1" applyFont="1" applyFill="1" applyBorder="1"/>
    <xf numFmtId="3" fontId="3" fillId="2" borderId="83" xfId="80" applyNumberFormat="1" applyFont="1" applyFill="1" applyBorder="1"/>
    <xf numFmtId="9" fontId="3" fillId="2" borderId="81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0" fontId="39" fillId="0" borderId="65" xfId="0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95" xfId="0" applyFont="1" applyFill="1" applyBorder="1"/>
    <xf numFmtId="0" fontId="39" fillId="0" borderId="94" xfId="0" applyFont="1" applyFill="1" applyBorder="1" applyAlignment="1">
      <alignment horizontal="left" indent="1"/>
    </xf>
    <xf numFmtId="9" fontId="32" fillId="0" borderId="88" xfId="0" applyNumberFormat="1" applyFont="1" applyFill="1" applyBorder="1"/>
    <xf numFmtId="9" fontId="32" fillId="0" borderId="86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9" fontId="32" fillId="0" borderId="92" xfId="0" applyNumberFormat="1" applyFont="1" applyFill="1" applyBorder="1"/>
    <xf numFmtId="9" fontId="32" fillId="0" borderId="91" xfId="0" applyNumberFormat="1" applyFont="1" applyFill="1" applyBorder="1"/>
    <xf numFmtId="0" fontId="0" fillId="0" borderId="115" xfId="0" applyBorder="1" applyAlignment="1">
      <alignment horizontal="center"/>
    </xf>
    <xf numFmtId="0" fontId="0" fillId="0" borderId="116" xfId="0" applyBorder="1" applyAlignment="1">
      <alignment horizontal="center"/>
    </xf>
    <xf numFmtId="173" fontId="39" fillId="4" borderId="116" xfId="0" applyNumberFormat="1" applyFont="1" applyFill="1" applyBorder="1" applyAlignment="1">
      <alignment horizontal="center"/>
    </xf>
    <xf numFmtId="0" fontId="0" fillId="0" borderId="116" xfId="0" applyBorder="1" applyAlignment="1"/>
    <xf numFmtId="0" fontId="0" fillId="0" borderId="117" xfId="0" applyBorder="1" applyAlignment="1">
      <alignment horizontal="right"/>
    </xf>
    <xf numFmtId="0" fontId="0" fillId="0" borderId="118" xfId="0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 wrapText="1"/>
    </xf>
    <xf numFmtId="0" fontId="0" fillId="0" borderId="118" xfId="0" applyBorder="1" applyAlignment="1">
      <alignment horizontal="right" wrapText="1"/>
    </xf>
    <xf numFmtId="175" fontId="32" fillId="0" borderId="118" xfId="0" applyNumberFormat="1" applyFont="1" applyBorder="1" applyAlignment="1">
      <alignment horizontal="right"/>
    </xf>
    <xf numFmtId="0" fontId="0" fillId="0" borderId="119" xfId="0" applyBorder="1" applyAlignment="1">
      <alignment horizontal="right"/>
    </xf>
    <xf numFmtId="0" fontId="0" fillId="0" borderId="120" xfId="0" applyBorder="1" applyAlignment="1">
      <alignment horizontal="right"/>
    </xf>
    <xf numFmtId="173" fontId="32" fillId="0" borderId="120" xfId="0" applyNumberFormat="1" applyFont="1" applyBorder="1" applyAlignment="1">
      <alignment horizontal="right"/>
    </xf>
    <xf numFmtId="0" fontId="39" fillId="2" borderId="92" xfId="0" applyFont="1" applyFill="1" applyBorder="1" applyAlignment="1">
      <alignment horizontal="center" vertical="center"/>
    </xf>
    <xf numFmtId="0" fontId="55" fillId="2" borderId="91" xfId="0" applyFont="1" applyFill="1" applyBorder="1" applyAlignment="1">
      <alignment horizontal="center" vertical="center" wrapText="1"/>
    </xf>
    <xf numFmtId="174" fontId="32" fillId="2" borderId="92" xfId="0" applyNumberFormat="1" applyFont="1" applyFill="1" applyBorder="1" applyAlignment="1"/>
    <xf numFmtId="174" fontId="32" fillId="0" borderId="90" xfId="0" applyNumberFormat="1" applyFont="1" applyBorder="1"/>
    <xf numFmtId="174" fontId="32" fillId="0" borderId="122" xfId="0" applyNumberFormat="1" applyFont="1" applyBorder="1"/>
    <xf numFmtId="173" fontId="39" fillId="4" borderId="92" xfId="0" applyNumberFormat="1" applyFont="1" applyFill="1" applyBorder="1" applyAlignment="1"/>
    <xf numFmtId="173" fontId="32" fillId="0" borderId="90" xfId="0" applyNumberFormat="1" applyFont="1" applyBorder="1"/>
    <xf numFmtId="173" fontId="32" fillId="0" borderId="91" xfId="0" applyNumberFormat="1" applyFont="1" applyBorder="1"/>
    <xf numFmtId="173" fontId="39" fillId="2" borderId="92" xfId="0" applyNumberFormat="1" applyFont="1" applyFill="1" applyBorder="1" applyAlignment="1"/>
    <xf numFmtId="173" fontId="32" fillId="0" borderId="122" xfId="0" applyNumberFormat="1" applyFont="1" applyBorder="1"/>
    <xf numFmtId="173" fontId="32" fillId="0" borderId="92" xfId="0" applyNumberFormat="1" applyFont="1" applyBorder="1"/>
    <xf numFmtId="0" fontId="0" fillId="0" borderId="123" xfId="0" applyBorder="1" applyAlignment="1">
      <alignment horizontal="center"/>
    </xf>
    <xf numFmtId="0" fontId="0" fillId="0" borderId="124" xfId="0" applyBorder="1" applyAlignment="1">
      <alignment horizontal="right"/>
    </xf>
    <xf numFmtId="0" fontId="0" fillId="0" borderId="124" xfId="0" applyBorder="1" applyAlignment="1">
      <alignment horizontal="right" wrapText="1"/>
    </xf>
    <xf numFmtId="0" fontId="0" fillId="0" borderId="125" xfId="0" applyBorder="1" applyAlignment="1">
      <alignment horizontal="right"/>
    </xf>
    <xf numFmtId="0" fontId="0" fillId="0" borderId="121" xfId="0" applyBorder="1"/>
    <xf numFmtId="173" fontId="39" fillId="4" borderId="71" xfId="0" applyNumberFormat="1" applyFont="1" applyFill="1" applyBorder="1" applyAlignment="1">
      <alignment horizontal="center"/>
    </xf>
    <xf numFmtId="173" fontId="32" fillId="0" borderId="73" xfId="0" applyNumberFormat="1" applyFont="1" applyBorder="1" applyAlignment="1">
      <alignment horizontal="right"/>
    </xf>
    <xf numFmtId="175" fontId="32" fillId="0" borderId="73" xfId="0" applyNumberFormat="1" applyFont="1" applyBorder="1" applyAlignment="1">
      <alignment horizontal="right"/>
    </xf>
    <xf numFmtId="173" fontId="32" fillId="0" borderId="84" xfId="0" applyNumberFormat="1" applyFont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9" fillId="4" borderId="65" xfId="0" applyFont="1" applyFill="1" applyBorder="1" applyAlignment="1">
      <alignment horizontal="left"/>
    </xf>
    <xf numFmtId="169" fontId="59" fillId="4" borderId="66" xfId="0" applyNumberFormat="1" applyFont="1" applyFill="1" applyBorder="1"/>
    <xf numFmtId="9" fontId="59" fillId="4" borderId="66" xfId="0" applyNumberFormat="1" applyFont="1" applyFill="1" applyBorder="1"/>
    <xf numFmtId="9" fontId="59" fillId="4" borderId="67" xfId="0" applyNumberFormat="1" applyFont="1" applyFill="1" applyBorder="1"/>
    <xf numFmtId="169" fontId="0" fillId="0" borderId="76" xfId="0" applyNumberFormat="1" applyBorder="1"/>
    <xf numFmtId="9" fontId="0" fillId="0" borderId="76" xfId="0" applyNumberFormat="1" applyBorder="1"/>
    <xf numFmtId="9" fontId="0" fillId="0" borderId="77" xfId="0" applyNumberFormat="1" applyBorder="1"/>
    <xf numFmtId="0" fontId="59" fillId="4" borderId="75" xfId="0" applyFont="1" applyFill="1" applyBorder="1" applyAlignment="1">
      <alignment horizontal="left"/>
    </xf>
    <xf numFmtId="169" fontId="59" fillId="4" borderId="76" xfId="0" applyNumberFormat="1" applyFont="1" applyFill="1" applyBorder="1"/>
    <xf numFmtId="9" fontId="59" fillId="4" borderId="76" xfId="0" applyNumberFormat="1" applyFont="1" applyFill="1" applyBorder="1"/>
    <xf numFmtId="9" fontId="59" fillId="4" borderId="77" xfId="0" applyNumberFormat="1" applyFont="1" applyFill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9" fillId="0" borderId="75" xfId="0" applyFont="1" applyBorder="1" applyAlignment="1">
      <alignment horizontal="left" indent="1"/>
    </xf>
    <xf numFmtId="0" fontId="59" fillId="0" borderId="68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6" xfId="26" applyNumberFormat="1" applyFont="1" applyFill="1" applyBorder="1"/>
    <xf numFmtId="3" fontId="32" fillId="0" borderId="27" xfId="0" applyNumberFormat="1" applyFont="1" applyFill="1" applyBorder="1"/>
    <xf numFmtId="169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9" fillId="0" borderId="1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76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169" fontId="32" fillId="0" borderId="66" xfId="0" applyNumberFormat="1" applyFont="1" applyFill="1" applyBorder="1"/>
    <xf numFmtId="169" fontId="32" fillId="0" borderId="76" xfId="0" applyNumberFormat="1" applyFont="1" applyFill="1" applyBorder="1"/>
    <xf numFmtId="9" fontId="32" fillId="0" borderId="77" xfId="0" applyNumberFormat="1" applyFont="1" applyFill="1" applyBorder="1"/>
    <xf numFmtId="169" fontId="32" fillId="0" borderId="69" xfId="0" applyNumberFormat="1" applyFont="1" applyFill="1" applyBorder="1"/>
    <xf numFmtId="0" fontId="39" fillId="0" borderId="75" xfId="0" applyFont="1" applyFill="1" applyBorder="1"/>
    <xf numFmtId="0" fontId="39" fillId="0" borderId="68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1.2825381551329083</c:v>
                </c:pt>
                <c:pt idx="1">
                  <c:v>1.0687574149683983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369376"/>
        <c:axId val="-13523623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0.81357336874388975</c:v>
                </c:pt>
                <c:pt idx="1">
                  <c:v>0.81357336874388975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52356320"/>
        <c:axId val="-1352359584"/>
      </c:scatterChart>
      <c:catAx>
        <c:axId val="-1352369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352362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523623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352369376"/>
        <c:crosses val="autoZero"/>
        <c:crossBetween val="between"/>
      </c:valAx>
      <c:valAx>
        <c:axId val="-135235632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352359584"/>
        <c:crosses val="max"/>
        <c:crossBetween val="midCat"/>
      </c:valAx>
      <c:valAx>
        <c:axId val="-135235958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35235632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4"/>
  <sheetViews>
    <sheetView showGridLines="0" tabSelected="1" zoomScaleNormal="100" workbookViewId="0">
      <selection sqref="A1:B1"/>
    </sheetView>
  </sheetViews>
  <sheetFormatPr defaultRowHeight="14.4" customHeight="1" x14ac:dyDescent="0.3"/>
  <cols>
    <col min="1" max="1" width="17.88671875" style="104" bestFit="1" customWidth="1"/>
    <col min="2" max="2" width="102.21875" style="104" bestFit="1" customWidth="1"/>
    <col min="3" max="3" width="16.109375" style="42" hidden="1" customWidth="1"/>
    <col min="4" max="16384" width="8.88671875" style="104"/>
  </cols>
  <sheetData>
    <row r="1" spans="1:3" ht="18.600000000000001" customHeight="1" thickBot="1" x14ac:dyDescent="0.4">
      <c r="A1" s="314" t="s">
        <v>94</v>
      </c>
      <c r="B1" s="314"/>
    </row>
    <row r="2" spans="1:3" ht="14.4" customHeight="1" thickBot="1" x14ac:dyDescent="0.35">
      <c r="A2" s="203" t="s">
        <v>261</v>
      </c>
      <c r="B2" s="41"/>
    </row>
    <row r="3" spans="1:3" ht="14.4" customHeight="1" thickBot="1" x14ac:dyDescent="0.35">
      <c r="A3" s="310" t="s">
        <v>117</v>
      </c>
      <c r="B3" s="311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105</v>
      </c>
      <c r="C4" s="42" t="s">
        <v>106</v>
      </c>
    </row>
    <row r="5" spans="1:3" ht="14.4" customHeight="1" x14ac:dyDescent="0.3">
      <c r="A5" s="118" t="str">
        <f t="shared" si="0"/>
        <v>HI</v>
      </c>
      <c r="B5" s="65" t="s">
        <v>114</v>
      </c>
      <c r="C5" s="42" t="s">
        <v>97</v>
      </c>
    </row>
    <row r="6" spans="1:3" ht="14.4" customHeight="1" x14ac:dyDescent="0.3">
      <c r="A6" s="119" t="str">
        <f t="shared" si="0"/>
        <v>HI Graf</v>
      </c>
      <c r="B6" s="66" t="s">
        <v>90</v>
      </c>
      <c r="C6" s="42" t="s">
        <v>98</v>
      </c>
    </row>
    <row r="7" spans="1:3" ht="14.4" customHeight="1" x14ac:dyDescent="0.3">
      <c r="A7" s="119" t="str">
        <f t="shared" si="0"/>
        <v>Man Tab</v>
      </c>
      <c r="B7" s="66" t="s">
        <v>263</v>
      </c>
      <c r="C7" s="42" t="s">
        <v>99</v>
      </c>
    </row>
    <row r="8" spans="1:3" ht="14.4" customHeight="1" thickBot="1" x14ac:dyDescent="0.35">
      <c r="A8" s="120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312" t="s">
        <v>95</v>
      </c>
      <c r="B10" s="311"/>
    </row>
    <row r="11" spans="1:3" ht="14.4" customHeight="1" x14ac:dyDescent="0.3">
      <c r="A11" s="121" t="str">
        <f t="shared" ref="A11" si="1">HYPERLINK("#'"&amp;C11&amp;"'!A1",C11)</f>
        <v>Léky Žádanky</v>
      </c>
      <c r="B11" s="65" t="s">
        <v>115</v>
      </c>
      <c r="C11" s="42" t="s">
        <v>100</v>
      </c>
    </row>
    <row r="12" spans="1:3" ht="14.4" customHeight="1" x14ac:dyDescent="0.3">
      <c r="A12" s="119" t="str">
        <f t="shared" ref="A12:A16" si="2">HYPERLINK("#'"&amp;C12&amp;"'!A1",C12)</f>
        <v>LŽ Detail</v>
      </c>
      <c r="B12" s="66" t="s">
        <v>131</v>
      </c>
      <c r="C12" s="42" t="s">
        <v>101</v>
      </c>
    </row>
    <row r="13" spans="1:3" ht="14.4" customHeight="1" x14ac:dyDescent="0.3">
      <c r="A13" s="119" t="str">
        <f t="shared" si="2"/>
        <v>LŽ Statim</v>
      </c>
      <c r="B13" s="279" t="s">
        <v>201</v>
      </c>
      <c r="C13" s="42" t="s">
        <v>211</v>
      </c>
    </row>
    <row r="14" spans="1:3" ht="14.4" customHeight="1" x14ac:dyDescent="0.3">
      <c r="A14" s="121" t="str">
        <f t="shared" ref="A14" si="3">HYPERLINK("#'"&amp;C14&amp;"'!A1",C14)</f>
        <v>Materiál Žádanky</v>
      </c>
      <c r="B14" s="66" t="s">
        <v>116</v>
      </c>
      <c r="C14" s="42" t="s">
        <v>102</v>
      </c>
    </row>
    <row r="15" spans="1:3" ht="14.4" customHeight="1" x14ac:dyDescent="0.3">
      <c r="A15" s="119" t="str">
        <f t="shared" si="2"/>
        <v>MŽ Detail</v>
      </c>
      <c r="B15" s="66" t="s">
        <v>572</v>
      </c>
      <c r="C15" s="42" t="s">
        <v>103</v>
      </c>
    </row>
    <row r="16" spans="1:3" ht="14.4" customHeight="1" thickBot="1" x14ac:dyDescent="0.35">
      <c r="A16" s="121" t="str">
        <f t="shared" si="2"/>
        <v>Osobní náklady</v>
      </c>
      <c r="B16" s="66" t="s">
        <v>92</v>
      </c>
      <c r="C16" s="42" t="s">
        <v>104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313" t="s">
        <v>96</v>
      </c>
      <c r="B18" s="311"/>
    </row>
    <row r="19" spans="1:3" ht="14.4" customHeight="1" x14ac:dyDescent="0.3">
      <c r="A19" s="122" t="str">
        <f t="shared" ref="A19:A24" si="4">HYPERLINK("#'"&amp;C19&amp;"'!A1",C19)</f>
        <v>ZV Vykáz.-A</v>
      </c>
      <c r="B19" s="65" t="s">
        <v>578</v>
      </c>
      <c r="C19" s="42" t="s">
        <v>107</v>
      </c>
    </row>
    <row r="20" spans="1:3" ht="14.4" customHeight="1" x14ac:dyDescent="0.3">
      <c r="A20" s="119" t="str">
        <f t="shared" ref="A20" si="5">HYPERLINK("#'"&amp;C20&amp;"'!A1",C20)</f>
        <v>ZV Vykáz.-A Lékaři</v>
      </c>
      <c r="B20" s="66" t="s">
        <v>584</v>
      </c>
      <c r="C20" s="42" t="s">
        <v>214</v>
      </c>
    </row>
    <row r="21" spans="1:3" ht="14.4" customHeight="1" x14ac:dyDescent="0.3">
      <c r="A21" s="119" t="str">
        <f t="shared" si="4"/>
        <v>ZV Vykáz.-A Detail</v>
      </c>
      <c r="B21" s="66" t="s">
        <v>637</v>
      </c>
      <c r="C21" s="42" t="s">
        <v>108</v>
      </c>
    </row>
    <row r="22" spans="1:3" ht="14.4" customHeight="1" x14ac:dyDescent="0.3">
      <c r="A22" s="300" t="str">
        <f>HYPERLINK("#'"&amp;C22&amp;"'!A1",C22)</f>
        <v>ZV Vykáz.-A Det.Lék.</v>
      </c>
      <c r="B22" s="66" t="s">
        <v>638</v>
      </c>
      <c r="C22" s="42" t="s">
        <v>250</v>
      </c>
    </row>
    <row r="23" spans="1:3" ht="14.4" customHeight="1" x14ac:dyDescent="0.3">
      <c r="A23" s="119" t="str">
        <f t="shared" si="4"/>
        <v>ZV Vykáz.-H</v>
      </c>
      <c r="B23" s="66" t="s">
        <v>111</v>
      </c>
      <c r="C23" s="42" t="s">
        <v>109</v>
      </c>
    </row>
    <row r="24" spans="1:3" ht="14.4" customHeight="1" x14ac:dyDescent="0.3">
      <c r="A24" s="119" t="str">
        <f t="shared" si="4"/>
        <v>ZV Vykáz.-H Detail</v>
      </c>
      <c r="B24" s="66" t="s">
        <v>672</v>
      </c>
      <c r="C24" s="42" t="s">
        <v>110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44" t="s">
        <v>116</v>
      </c>
      <c r="B1" s="345"/>
      <c r="C1" s="345"/>
      <c r="D1" s="345"/>
      <c r="E1" s="345"/>
      <c r="F1" s="345"/>
      <c r="G1" s="315"/>
      <c r="H1" s="346"/>
      <c r="I1" s="346"/>
    </row>
    <row r="2" spans="1:10" ht="14.4" customHeight="1" thickBot="1" x14ac:dyDescent="0.35">
      <c r="A2" s="203" t="s">
        <v>261</v>
      </c>
      <c r="B2" s="179"/>
      <c r="C2" s="179"/>
      <c r="D2" s="179"/>
      <c r="E2" s="179"/>
      <c r="F2" s="179"/>
    </row>
    <row r="3" spans="1:10" ht="14.4" customHeight="1" thickBot="1" x14ac:dyDescent="0.35">
      <c r="A3" s="203"/>
      <c r="B3" s="307"/>
      <c r="C3" s="263">
        <v>2015</v>
      </c>
      <c r="D3" s="264">
        <v>2016</v>
      </c>
      <c r="E3" s="7"/>
      <c r="F3" s="323">
        <v>2017</v>
      </c>
      <c r="G3" s="341"/>
      <c r="H3" s="341"/>
      <c r="I3" s="324"/>
    </row>
    <row r="4" spans="1:10" ht="14.4" customHeight="1" thickBot="1" x14ac:dyDescent="0.35">
      <c r="A4" s="268" t="s">
        <v>0</v>
      </c>
      <c r="B4" s="269" t="s">
        <v>200</v>
      </c>
      <c r="C4" s="342" t="s">
        <v>59</v>
      </c>
      <c r="D4" s="343"/>
      <c r="E4" s="270"/>
      <c r="F4" s="265" t="s">
        <v>59</v>
      </c>
      <c r="G4" s="266" t="s">
        <v>60</v>
      </c>
      <c r="H4" s="266" t="s">
        <v>54</v>
      </c>
      <c r="I4" s="267" t="s">
        <v>61</v>
      </c>
    </row>
    <row r="5" spans="1:10" ht="14.4" customHeight="1" x14ac:dyDescent="0.3">
      <c r="A5" s="412" t="s">
        <v>444</v>
      </c>
      <c r="B5" s="413" t="s">
        <v>445</v>
      </c>
      <c r="C5" s="414" t="s">
        <v>446</v>
      </c>
      <c r="D5" s="414" t="s">
        <v>446</v>
      </c>
      <c r="E5" s="414"/>
      <c r="F5" s="414" t="s">
        <v>446</v>
      </c>
      <c r="G5" s="414" t="s">
        <v>446</v>
      </c>
      <c r="H5" s="414" t="s">
        <v>446</v>
      </c>
      <c r="I5" s="415" t="s">
        <v>446</v>
      </c>
      <c r="J5" s="416" t="s">
        <v>55</v>
      </c>
    </row>
    <row r="6" spans="1:10" ht="14.4" customHeight="1" x14ac:dyDescent="0.3">
      <c r="A6" s="412" t="s">
        <v>444</v>
      </c>
      <c r="B6" s="413" t="s">
        <v>272</v>
      </c>
      <c r="C6" s="414">
        <v>73.795249999999996</v>
      </c>
      <c r="D6" s="414">
        <v>150.0891</v>
      </c>
      <c r="E6" s="414"/>
      <c r="F6" s="414">
        <v>60.964010000000002</v>
      </c>
      <c r="G6" s="414">
        <v>133.33333333333334</v>
      </c>
      <c r="H6" s="414">
        <v>-72.369323333333341</v>
      </c>
      <c r="I6" s="415">
        <v>0.45723007499999996</v>
      </c>
      <c r="J6" s="416" t="s">
        <v>1</v>
      </c>
    </row>
    <row r="7" spans="1:10" ht="14.4" customHeight="1" x14ac:dyDescent="0.3">
      <c r="A7" s="412" t="s">
        <v>444</v>
      </c>
      <c r="B7" s="413" t="s">
        <v>273</v>
      </c>
      <c r="C7" s="414">
        <v>5.4552800000000001</v>
      </c>
      <c r="D7" s="414">
        <v>15.25761</v>
      </c>
      <c r="E7" s="414"/>
      <c r="F7" s="414">
        <v>24.096339999999998</v>
      </c>
      <c r="G7" s="414">
        <v>25</v>
      </c>
      <c r="H7" s="414">
        <v>-0.90366000000000213</v>
      </c>
      <c r="I7" s="415">
        <v>0.96385359999999987</v>
      </c>
      <c r="J7" s="416" t="s">
        <v>1</v>
      </c>
    </row>
    <row r="8" spans="1:10" ht="14.4" customHeight="1" x14ac:dyDescent="0.3">
      <c r="A8" s="412" t="s">
        <v>444</v>
      </c>
      <c r="B8" s="413" t="s">
        <v>274</v>
      </c>
      <c r="C8" s="414">
        <v>3.9045000000000005</v>
      </c>
      <c r="D8" s="414">
        <v>5.3427600000000002</v>
      </c>
      <c r="E8" s="414"/>
      <c r="F8" s="414">
        <v>6.7678000000000003</v>
      </c>
      <c r="G8" s="414">
        <v>5</v>
      </c>
      <c r="H8" s="414">
        <v>1.7678000000000003</v>
      </c>
      <c r="I8" s="415">
        <v>1.3535600000000001</v>
      </c>
      <c r="J8" s="416" t="s">
        <v>1</v>
      </c>
    </row>
    <row r="9" spans="1:10" ht="14.4" customHeight="1" x14ac:dyDescent="0.3">
      <c r="A9" s="412" t="s">
        <v>444</v>
      </c>
      <c r="B9" s="413" t="s">
        <v>275</v>
      </c>
      <c r="C9" s="414">
        <v>19.341899999999999</v>
      </c>
      <c r="D9" s="414">
        <v>2.5812999999999997</v>
      </c>
      <c r="E9" s="414"/>
      <c r="F9" s="414">
        <v>16.223839999999999</v>
      </c>
      <c r="G9" s="414">
        <v>33.333333333333336</v>
      </c>
      <c r="H9" s="414">
        <v>-17.109493333333337</v>
      </c>
      <c r="I9" s="415">
        <v>0.48671519999999996</v>
      </c>
      <c r="J9" s="416" t="s">
        <v>1</v>
      </c>
    </row>
    <row r="10" spans="1:10" ht="14.4" customHeight="1" x14ac:dyDescent="0.3">
      <c r="A10" s="412" t="s">
        <v>444</v>
      </c>
      <c r="B10" s="413" t="s">
        <v>276</v>
      </c>
      <c r="C10" s="414">
        <v>0</v>
      </c>
      <c r="D10" s="414">
        <v>0</v>
      </c>
      <c r="E10" s="414"/>
      <c r="F10" s="414" t="s">
        <v>446</v>
      </c>
      <c r="G10" s="414" t="s">
        <v>446</v>
      </c>
      <c r="H10" s="414" t="s">
        <v>446</v>
      </c>
      <c r="I10" s="415" t="s">
        <v>446</v>
      </c>
      <c r="J10" s="416" t="s">
        <v>1</v>
      </c>
    </row>
    <row r="11" spans="1:10" ht="14.4" customHeight="1" x14ac:dyDescent="0.3">
      <c r="A11" s="412" t="s">
        <v>444</v>
      </c>
      <c r="B11" s="413" t="s">
        <v>277</v>
      </c>
      <c r="C11" s="414">
        <v>6.0839999999999996</v>
      </c>
      <c r="D11" s="414">
        <v>10.9452</v>
      </c>
      <c r="E11" s="414"/>
      <c r="F11" s="414">
        <v>7.51098</v>
      </c>
      <c r="G11" s="414">
        <v>8.3333333333333339</v>
      </c>
      <c r="H11" s="414">
        <v>-0.82235333333333394</v>
      </c>
      <c r="I11" s="415">
        <v>0.90131759999999994</v>
      </c>
      <c r="J11" s="416" t="s">
        <v>1</v>
      </c>
    </row>
    <row r="12" spans="1:10" ht="14.4" customHeight="1" x14ac:dyDescent="0.3">
      <c r="A12" s="412" t="s">
        <v>444</v>
      </c>
      <c r="B12" s="413" t="s">
        <v>278</v>
      </c>
      <c r="C12" s="414" t="s">
        <v>446</v>
      </c>
      <c r="D12" s="414">
        <v>0</v>
      </c>
      <c r="E12" s="414"/>
      <c r="F12" s="414" t="s">
        <v>446</v>
      </c>
      <c r="G12" s="414" t="s">
        <v>446</v>
      </c>
      <c r="H12" s="414" t="s">
        <v>446</v>
      </c>
      <c r="I12" s="415" t="s">
        <v>446</v>
      </c>
      <c r="J12" s="416" t="s">
        <v>1</v>
      </c>
    </row>
    <row r="13" spans="1:10" ht="14.4" customHeight="1" x14ac:dyDescent="0.3">
      <c r="A13" s="412" t="s">
        <v>444</v>
      </c>
      <c r="B13" s="413" t="s">
        <v>448</v>
      </c>
      <c r="C13" s="414">
        <v>108.58093</v>
      </c>
      <c r="D13" s="414">
        <v>184.21597</v>
      </c>
      <c r="E13" s="414"/>
      <c r="F13" s="414">
        <v>115.56296999999999</v>
      </c>
      <c r="G13" s="414">
        <v>205.00000000000003</v>
      </c>
      <c r="H13" s="414">
        <v>-89.437030000000036</v>
      </c>
      <c r="I13" s="415">
        <v>0.56372180487804868</v>
      </c>
      <c r="J13" s="416" t="s">
        <v>449</v>
      </c>
    </row>
    <row r="15" spans="1:10" ht="14.4" customHeight="1" x14ac:dyDescent="0.3">
      <c r="A15" s="412" t="s">
        <v>444</v>
      </c>
      <c r="B15" s="413" t="s">
        <v>445</v>
      </c>
      <c r="C15" s="414" t="s">
        <v>446</v>
      </c>
      <c r="D15" s="414" t="s">
        <v>446</v>
      </c>
      <c r="E15" s="414"/>
      <c r="F15" s="414" t="s">
        <v>446</v>
      </c>
      <c r="G15" s="414" t="s">
        <v>446</v>
      </c>
      <c r="H15" s="414" t="s">
        <v>446</v>
      </c>
      <c r="I15" s="415" t="s">
        <v>446</v>
      </c>
      <c r="J15" s="416" t="s">
        <v>55</v>
      </c>
    </row>
    <row r="16" spans="1:10" ht="14.4" customHeight="1" x14ac:dyDescent="0.3">
      <c r="A16" s="412" t="s">
        <v>450</v>
      </c>
      <c r="B16" s="413" t="s">
        <v>451</v>
      </c>
      <c r="C16" s="414" t="s">
        <v>446</v>
      </c>
      <c r="D16" s="414" t="s">
        <v>446</v>
      </c>
      <c r="E16" s="414"/>
      <c r="F16" s="414" t="s">
        <v>446</v>
      </c>
      <c r="G16" s="414" t="s">
        <v>446</v>
      </c>
      <c r="H16" s="414" t="s">
        <v>446</v>
      </c>
      <c r="I16" s="415" t="s">
        <v>446</v>
      </c>
      <c r="J16" s="416" t="s">
        <v>0</v>
      </c>
    </row>
    <row r="17" spans="1:10" ht="14.4" customHeight="1" x14ac:dyDescent="0.3">
      <c r="A17" s="412" t="s">
        <v>450</v>
      </c>
      <c r="B17" s="413" t="s">
        <v>272</v>
      </c>
      <c r="C17" s="414">
        <v>73.795249999999996</v>
      </c>
      <c r="D17" s="414">
        <v>150.0891</v>
      </c>
      <c r="E17" s="414"/>
      <c r="F17" s="414">
        <v>60.964010000000002</v>
      </c>
      <c r="G17" s="414">
        <v>133.33333333333334</v>
      </c>
      <c r="H17" s="414">
        <v>-72.369323333333341</v>
      </c>
      <c r="I17" s="415">
        <v>0.45723007499999996</v>
      </c>
      <c r="J17" s="416" t="s">
        <v>1</v>
      </c>
    </row>
    <row r="18" spans="1:10" ht="14.4" customHeight="1" x14ac:dyDescent="0.3">
      <c r="A18" s="412" t="s">
        <v>450</v>
      </c>
      <c r="B18" s="413" t="s">
        <v>273</v>
      </c>
      <c r="C18" s="414">
        <v>5.4552800000000001</v>
      </c>
      <c r="D18" s="414">
        <v>15.25761</v>
      </c>
      <c r="E18" s="414"/>
      <c r="F18" s="414">
        <v>24.096339999999998</v>
      </c>
      <c r="G18" s="414">
        <v>25</v>
      </c>
      <c r="H18" s="414">
        <v>-0.90366000000000213</v>
      </c>
      <c r="I18" s="415">
        <v>0.96385359999999987</v>
      </c>
      <c r="J18" s="416" t="s">
        <v>1</v>
      </c>
    </row>
    <row r="19" spans="1:10" ht="14.4" customHeight="1" x14ac:dyDescent="0.3">
      <c r="A19" s="412" t="s">
        <v>450</v>
      </c>
      <c r="B19" s="413" t="s">
        <v>274</v>
      </c>
      <c r="C19" s="414">
        <v>3.9045000000000005</v>
      </c>
      <c r="D19" s="414">
        <v>5.3427600000000002</v>
      </c>
      <c r="E19" s="414"/>
      <c r="F19" s="414">
        <v>6.7678000000000003</v>
      </c>
      <c r="G19" s="414">
        <v>5</v>
      </c>
      <c r="H19" s="414">
        <v>1.7678000000000003</v>
      </c>
      <c r="I19" s="415">
        <v>1.3535600000000001</v>
      </c>
      <c r="J19" s="416" t="s">
        <v>1</v>
      </c>
    </row>
    <row r="20" spans="1:10" ht="14.4" customHeight="1" x14ac:dyDescent="0.3">
      <c r="A20" s="412" t="s">
        <v>450</v>
      </c>
      <c r="B20" s="413" t="s">
        <v>275</v>
      </c>
      <c r="C20" s="414">
        <v>19.341899999999999</v>
      </c>
      <c r="D20" s="414">
        <v>2.5812999999999997</v>
      </c>
      <c r="E20" s="414"/>
      <c r="F20" s="414">
        <v>16.223839999999999</v>
      </c>
      <c r="G20" s="414">
        <v>33.333333333333336</v>
      </c>
      <c r="H20" s="414">
        <v>-17.109493333333337</v>
      </c>
      <c r="I20" s="415">
        <v>0.48671519999999996</v>
      </c>
      <c r="J20" s="416" t="s">
        <v>1</v>
      </c>
    </row>
    <row r="21" spans="1:10" ht="14.4" customHeight="1" x14ac:dyDescent="0.3">
      <c r="A21" s="412" t="s">
        <v>450</v>
      </c>
      <c r="B21" s="413" t="s">
        <v>276</v>
      </c>
      <c r="C21" s="414">
        <v>0</v>
      </c>
      <c r="D21" s="414">
        <v>0</v>
      </c>
      <c r="E21" s="414"/>
      <c r="F21" s="414" t="s">
        <v>446</v>
      </c>
      <c r="G21" s="414" t="s">
        <v>446</v>
      </c>
      <c r="H21" s="414" t="s">
        <v>446</v>
      </c>
      <c r="I21" s="415" t="s">
        <v>446</v>
      </c>
      <c r="J21" s="416" t="s">
        <v>1</v>
      </c>
    </row>
    <row r="22" spans="1:10" ht="14.4" customHeight="1" x14ac:dyDescent="0.3">
      <c r="A22" s="412" t="s">
        <v>450</v>
      </c>
      <c r="B22" s="413" t="s">
        <v>277</v>
      </c>
      <c r="C22" s="414">
        <v>6.0839999999999996</v>
      </c>
      <c r="D22" s="414">
        <v>10.9452</v>
      </c>
      <c r="E22" s="414"/>
      <c r="F22" s="414">
        <v>7.51098</v>
      </c>
      <c r="G22" s="414">
        <v>8.3333333333333339</v>
      </c>
      <c r="H22" s="414">
        <v>-0.82235333333333394</v>
      </c>
      <c r="I22" s="415">
        <v>0.90131759999999994</v>
      </c>
      <c r="J22" s="416" t="s">
        <v>1</v>
      </c>
    </row>
    <row r="23" spans="1:10" ht="14.4" customHeight="1" x14ac:dyDescent="0.3">
      <c r="A23" s="412" t="s">
        <v>450</v>
      </c>
      <c r="B23" s="413" t="s">
        <v>278</v>
      </c>
      <c r="C23" s="414" t="s">
        <v>446</v>
      </c>
      <c r="D23" s="414">
        <v>0</v>
      </c>
      <c r="E23" s="414"/>
      <c r="F23" s="414" t="s">
        <v>446</v>
      </c>
      <c r="G23" s="414" t="s">
        <v>446</v>
      </c>
      <c r="H23" s="414" t="s">
        <v>446</v>
      </c>
      <c r="I23" s="415" t="s">
        <v>446</v>
      </c>
      <c r="J23" s="416" t="s">
        <v>1</v>
      </c>
    </row>
    <row r="24" spans="1:10" ht="14.4" customHeight="1" x14ac:dyDescent="0.3">
      <c r="A24" s="412" t="s">
        <v>450</v>
      </c>
      <c r="B24" s="413" t="s">
        <v>452</v>
      </c>
      <c r="C24" s="414">
        <v>108.58093</v>
      </c>
      <c r="D24" s="414">
        <v>184.21597</v>
      </c>
      <c r="E24" s="414"/>
      <c r="F24" s="414">
        <v>115.56296999999999</v>
      </c>
      <c r="G24" s="414">
        <v>205.00000000000003</v>
      </c>
      <c r="H24" s="414">
        <v>-89.437030000000036</v>
      </c>
      <c r="I24" s="415">
        <v>0.56372180487804868</v>
      </c>
      <c r="J24" s="416" t="s">
        <v>453</v>
      </c>
    </row>
    <row r="25" spans="1:10" ht="14.4" customHeight="1" x14ac:dyDescent="0.3">
      <c r="A25" s="412" t="s">
        <v>446</v>
      </c>
      <c r="B25" s="413" t="s">
        <v>446</v>
      </c>
      <c r="C25" s="414" t="s">
        <v>446</v>
      </c>
      <c r="D25" s="414" t="s">
        <v>446</v>
      </c>
      <c r="E25" s="414"/>
      <c r="F25" s="414" t="s">
        <v>446</v>
      </c>
      <c r="G25" s="414" t="s">
        <v>446</v>
      </c>
      <c r="H25" s="414" t="s">
        <v>446</v>
      </c>
      <c r="I25" s="415" t="s">
        <v>446</v>
      </c>
      <c r="J25" s="416" t="s">
        <v>454</v>
      </c>
    </row>
    <row r="26" spans="1:10" ht="14.4" customHeight="1" x14ac:dyDescent="0.3">
      <c r="A26" s="412" t="s">
        <v>444</v>
      </c>
      <c r="B26" s="413" t="s">
        <v>448</v>
      </c>
      <c r="C26" s="414">
        <v>108.58093</v>
      </c>
      <c r="D26" s="414">
        <v>184.21597</v>
      </c>
      <c r="E26" s="414"/>
      <c r="F26" s="414">
        <v>115.56296999999999</v>
      </c>
      <c r="G26" s="414">
        <v>205.00000000000003</v>
      </c>
      <c r="H26" s="414">
        <v>-89.437030000000036</v>
      </c>
      <c r="I26" s="415">
        <v>0.56372180487804868</v>
      </c>
      <c r="J26" s="416" t="s">
        <v>449</v>
      </c>
    </row>
  </sheetData>
  <mergeCells count="3">
    <mergeCell ref="A1:I1"/>
    <mergeCell ref="F3:I3"/>
    <mergeCell ref="C4:D4"/>
  </mergeCells>
  <conditionalFormatting sqref="F14 F27:F65537">
    <cfRule type="cellIs" dxfId="26" priority="18" stopIfTrue="1" operator="greaterThan">
      <formula>1</formula>
    </cfRule>
  </conditionalFormatting>
  <conditionalFormatting sqref="H5:H13">
    <cfRule type="expression" dxfId="25" priority="14">
      <formula>$H5&gt;0</formula>
    </cfRule>
  </conditionalFormatting>
  <conditionalFormatting sqref="I5:I13">
    <cfRule type="expression" dxfId="24" priority="15">
      <formula>$I5&gt;1</formula>
    </cfRule>
  </conditionalFormatting>
  <conditionalFormatting sqref="B5:B13">
    <cfRule type="expression" dxfId="23" priority="11">
      <formula>OR($J5="NS",$J5="SumaNS",$J5="Účet")</formula>
    </cfRule>
  </conditionalFormatting>
  <conditionalFormatting sqref="F5:I13 B5:D13">
    <cfRule type="expression" dxfId="22" priority="17">
      <formula>AND($J5&lt;&gt;"",$J5&lt;&gt;"mezeraKL")</formula>
    </cfRule>
  </conditionalFormatting>
  <conditionalFormatting sqref="B5:D13 F5:I13">
    <cfRule type="expression" dxfId="2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20" priority="13">
      <formula>OR($J5="SumaNS",$J5="NS")</formula>
    </cfRule>
  </conditionalFormatting>
  <conditionalFormatting sqref="A5:A13">
    <cfRule type="expression" dxfId="19" priority="9">
      <formula>AND($J5&lt;&gt;"mezeraKL",$J5&lt;&gt;"")</formula>
    </cfRule>
  </conditionalFormatting>
  <conditionalFormatting sqref="A5:A13">
    <cfRule type="expression" dxfId="18" priority="10">
      <formula>AND($J5&lt;&gt;"",$J5&lt;&gt;"mezeraKL")</formula>
    </cfRule>
  </conditionalFormatting>
  <conditionalFormatting sqref="H15:H26">
    <cfRule type="expression" dxfId="17" priority="5">
      <formula>$H15&gt;0</formula>
    </cfRule>
  </conditionalFormatting>
  <conditionalFormatting sqref="A15:A26">
    <cfRule type="expression" dxfId="16" priority="2">
      <formula>AND($J15&lt;&gt;"mezeraKL",$J15&lt;&gt;"")</formula>
    </cfRule>
  </conditionalFormatting>
  <conditionalFormatting sqref="I15:I26">
    <cfRule type="expression" dxfId="15" priority="6">
      <formula>$I15&gt;1</formula>
    </cfRule>
  </conditionalFormatting>
  <conditionalFormatting sqref="B15:B26">
    <cfRule type="expression" dxfId="14" priority="1">
      <formula>OR($J15="NS",$J15="SumaNS",$J15="Účet")</formula>
    </cfRule>
  </conditionalFormatting>
  <conditionalFormatting sqref="A15:D26 F15:I26">
    <cfRule type="expression" dxfId="13" priority="8">
      <formula>AND($J15&lt;&gt;"",$J15&lt;&gt;"mezeraKL")</formula>
    </cfRule>
  </conditionalFormatting>
  <conditionalFormatting sqref="B15:D26 F15:I26">
    <cfRule type="expression" dxfId="12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26 F15:I26">
    <cfRule type="expression" dxfId="11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4"/>
  </cols>
  <sheetData>
    <row r="1" spans="1:11" ht="18.600000000000001" customHeight="1" thickBot="1" x14ac:dyDescent="0.4">
      <c r="A1" s="351" t="s">
        <v>572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pans="1:11" ht="14.4" customHeight="1" thickBot="1" x14ac:dyDescent="0.35">
      <c r="A2" s="203" t="s">
        <v>261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47"/>
      <c r="D3" s="348"/>
      <c r="E3" s="348"/>
      <c r="F3" s="348"/>
      <c r="G3" s="348"/>
      <c r="H3" s="116" t="s">
        <v>112</v>
      </c>
      <c r="I3" s="74">
        <f>IF(J3&lt;&gt;0,K3/J3,0)</f>
        <v>4.720323911445143</v>
      </c>
      <c r="J3" s="74">
        <f>SUBTOTAL(9,J5:J1048576)</f>
        <v>24482</v>
      </c>
      <c r="K3" s="75">
        <f>SUBTOTAL(9,K5:K1048576)</f>
        <v>115562.96999999999</v>
      </c>
    </row>
    <row r="4" spans="1:11" s="181" customFormat="1" ht="14.4" customHeight="1" thickBot="1" x14ac:dyDescent="0.35">
      <c r="A4" s="417" t="s">
        <v>4</v>
      </c>
      <c r="B4" s="418" t="s">
        <v>5</v>
      </c>
      <c r="C4" s="418" t="s">
        <v>0</v>
      </c>
      <c r="D4" s="418" t="s">
        <v>6</v>
      </c>
      <c r="E4" s="418" t="s">
        <v>7</v>
      </c>
      <c r="F4" s="418" t="s">
        <v>1</v>
      </c>
      <c r="G4" s="418" t="s">
        <v>57</v>
      </c>
      <c r="H4" s="419" t="s">
        <v>11</v>
      </c>
      <c r="I4" s="420" t="s">
        <v>119</v>
      </c>
      <c r="J4" s="420" t="s">
        <v>13</v>
      </c>
      <c r="K4" s="421" t="s">
        <v>127</v>
      </c>
    </row>
    <row r="5" spans="1:11" ht="14.4" customHeight="1" x14ac:dyDescent="0.3">
      <c r="A5" s="422" t="s">
        <v>444</v>
      </c>
      <c r="B5" s="423" t="s">
        <v>445</v>
      </c>
      <c r="C5" s="424" t="s">
        <v>450</v>
      </c>
      <c r="D5" s="425" t="s">
        <v>468</v>
      </c>
      <c r="E5" s="424" t="s">
        <v>562</v>
      </c>
      <c r="F5" s="425" t="s">
        <v>563</v>
      </c>
      <c r="G5" s="424" t="s">
        <v>472</v>
      </c>
      <c r="H5" s="424" t="s">
        <v>473</v>
      </c>
      <c r="I5" s="426">
        <v>260.3</v>
      </c>
      <c r="J5" s="426">
        <v>26</v>
      </c>
      <c r="K5" s="427">
        <v>6767.7999999999993</v>
      </c>
    </row>
    <row r="6" spans="1:11" ht="14.4" customHeight="1" x14ac:dyDescent="0.3">
      <c r="A6" s="428" t="s">
        <v>444</v>
      </c>
      <c r="B6" s="429" t="s">
        <v>445</v>
      </c>
      <c r="C6" s="430" t="s">
        <v>450</v>
      </c>
      <c r="D6" s="431" t="s">
        <v>468</v>
      </c>
      <c r="E6" s="430" t="s">
        <v>564</v>
      </c>
      <c r="F6" s="431" t="s">
        <v>565</v>
      </c>
      <c r="G6" s="430" t="s">
        <v>474</v>
      </c>
      <c r="H6" s="430" t="s">
        <v>475</v>
      </c>
      <c r="I6" s="432">
        <v>90.21</v>
      </c>
      <c r="J6" s="432">
        <v>25</v>
      </c>
      <c r="K6" s="433">
        <v>2255.1999999999998</v>
      </c>
    </row>
    <row r="7" spans="1:11" ht="14.4" customHeight="1" x14ac:dyDescent="0.3">
      <c r="A7" s="428" t="s">
        <v>444</v>
      </c>
      <c r="B7" s="429" t="s">
        <v>445</v>
      </c>
      <c r="C7" s="430" t="s">
        <v>450</v>
      </c>
      <c r="D7" s="431" t="s">
        <v>468</v>
      </c>
      <c r="E7" s="430" t="s">
        <v>564</v>
      </c>
      <c r="F7" s="431" t="s">
        <v>565</v>
      </c>
      <c r="G7" s="430" t="s">
        <v>476</v>
      </c>
      <c r="H7" s="430" t="s">
        <v>477</v>
      </c>
      <c r="I7" s="432">
        <v>1.96</v>
      </c>
      <c r="J7" s="432">
        <v>360</v>
      </c>
      <c r="K7" s="433">
        <v>704.3</v>
      </c>
    </row>
    <row r="8" spans="1:11" ht="14.4" customHeight="1" x14ac:dyDescent="0.3">
      <c r="A8" s="428" t="s">
        <v>444</v>
      </c>
      <c r="B8" s="429" t="s">
        <v>445</v>
      </c>
      <c r="C8" s="430" t="s">
        <v>450</v>
      </c>
      <c r="D8" s="431" t="s">
        <v>468</v>
      </c>
      <c r="E8" s="430" t="s">
        <v>564</v>
      </c>
      <c r="F8" s="431" t="s">
        <v>565</v>
      </c>
      <c r="G8" s="430" t="s">
        <v>478</v>
      </c>
      <c r="H8" s="430" t="s">
        <v>479</v>
      </c>
      <c r="I8" s="432">
        <v>2.06</v>
      </c>
      <c r="J8" s="432">
        <v>100</v>
      </c>
      <c r="K8" s="433">
        <v>206</v>
      </c>
    </row>
    <row r="9" spans="1:11" ht="14.4" customHeight="1" x14ac:dyDescent="0.3">
      <c r="A9" s="428" t="s">
        <v>444</v>
      </c>
      <c r="B9" s="429" t="s">
        <v>445</v>
      </c>
      <c r="C9" s="430" t="s">
        <v>450</v>
      </c>
      <c r="D9" s="431" t="s">
        <v>468</v>
      </c>
      <c r="E9" s="430" t="s">
        <v>564</v>
      </c>
      <c r="F9" s="431" t="s">
        <v>565</v>
      </c>
      <c r="G9" s="430" t="s">
        <v>480</v>
      </c>
      <c r="H9" s="430" t="s">
        <v>481</v>
      </c>
      <c r="I9" s="432">
        <v>198.44</v>
      </c>
      <c r="J9" s="432">
        <v>5</v>
      </c>
      <c r="K9" s="433">
        <v>992.2</v>
      </c>
    </row>
    <row r="10" spans="1:11" ht="14.4" customHeight="1" x14ac:dyDescent="0.3">
      <c r="A10" s="428" t="s">
        <v>444</v>
      </c>
      <c r="B10" s="429" t="s">
        <v>445</v>
      </c>
      <c r="C10" s="430" t="s">
        <v>450</v>
      </c>
      <c r="D10" s="431" t="s">
        <v>468</v>
      </c>
      <c r="E10" s="430" t="s">
        <v>564</v>
      </c>
      <c r="F10" s="431" t="s">
        <v>565</v>
      </c>
      <c r="G10" s="430" t="s">
        <v>482</v>
      </c>
      <c r="H10" s="430" t="s">
        <v>483</v>
      </c>
      <c r="I10" s="432">
        <v>70.180000000000007</v>
      </c>
      <c r="J10" s="432">
        <v>5</v>
      </c>
      <c r="K10" s="433">
        <v>350.9</v>
      </c>
    </row>
    <row r="11" spans="1:11" ht="14.4" customHeight="1" x14ac:dyDescent="0.3">
      <c r="A11" s="428" t="s">
        <v>444</v>
      </c>
      <c r="B11" s="429" t="s">
        <v>445</v>
      </c>
      <c r="C11" s="430" t="s">
        <v>450</v>
      </c>
      <c r="D11" s="431" t="s">
        <v>468</v>
      </c>
      <c r="E11" s="430" t="s">
        <v>564</v>
      </c>
      <c r="F11" s="431" t="s">
        <v>565</v>
      </c>
      <c r="G11" s="430" t="s">
        <v>484</v>
      </c>
      <c r="H11" s="430" t="s">
        <v>485</v>
      </c>
      <c r="I11" s="432">
        <v>1.43</v>
      </c>
      <c r="J11" s="432">
        <v>1000</v>
      </c>
      <c r="K11" s="433">
        <v>1427.8</v>
      </c>
    </row>
    <row r="12" spans="1:11" ht="14.4" customHeight="1" x14ac:dyDescent="0.3">
      <c r="A12" s="428" t="s">
        <v>444</v>
      </c>
      <c r="B12" s="429" t="s">
        <v>445</v>
      </c>
      <c r="C12" s="430" t="s">
        <v>450</v>
      </c>
      <c r="D12" s="431" t="s">
        <v>468</v>
      </c>
      <c r="E12" s="430" t="s">
        <v>564</v>
      </c>
      <c r="F12" s="431" t="s">
        <v>565</v>
      </c>
      <c r="G12" s="430" t="s">
        <v>486</v>
      </c>
      <c r="H12" s="430" t="s">
        <v>487</v>
      </c>
      <c r="I12" s="432">
        <v>1.87</v>
      </c>
      <c r="J12" s="432">
        <v>1000</v>
      </c>
      <c r="K12" s="433">
        <v>1869.45</v>
      </c>
    </row>
    <row r="13" spans="1:11" ht="14.4" customHeight="1" x14ac:dyDescent="0.3">
      <c r="A13" s="428" t="s">
        <v>444</v>
      </c>
      <c r="B13" s="429" t="s">
        <v>445</v>
      </c>
      <c r="C13" s="430" t="s">
        <v>450</v>
      </c>
      <c r="D13" s="431" t="s">
        <v>468</v>
      </c>
      <c r="E13" s="430" t="s">
        <v>564</v>
      </c>
      <c r="F13" s="431" t="s">
        <v>565</v>
      </c>
      <c r="G13" s="430" t="s">
        <v>488</v>
      </c>
      <c r="H13" s="430" t="s">
        <v>489</v>
      </c>
      <c r="I13" s="432">
        <v>8.35</v>
      </c>
      <c r="J13" s="432">
        <v>200</v>
      </c>
      <c r="K13" s="433">
        <v>1669.8</v>
      </c>
    </row>
    <row r="14" spans="1:11" ht="14.4" customHeight="1" x14ac:dyDescent="0.3">
      <c r="A14" s="428" t="s">
        <v>444</v>
      </c>
      <c r="B14" s="429" t="s">
        <v>445</v>
      </c>
      <c r="C14" s="430" t="s">
        <v>450</v>
      </c>
      <c r="D14" s="431" t="s">
        <v>468</v>
      </c>
      <c r="E14" s="430" t="s">
        <v>564</v>
      </c>
      <c r="F14" s="431" t="s">
        <v>565</v>
      </c>
      <c r="G14" s="430" t="s">
        <v>490</v>
      </c>
      <c r="H14" s="430" t="s">
        <v>491</v>
      </c>
      <c r="I14" s="432">
        <v>56.38</v>
      </c>
      <c r="J14" s="432">
        <v>100</v>
      </c>
      <c r="K14" s="433">
        <v>5637.87</v>
      </c>
    </row>
    <row r="15" spans="1:11" ht="14.4" customHeight="1" x14ac:dyDescent="0.3">
      <c r="A15" s="428" t="s">
        <v>444</v>
      </c>
      <c r="B15" s="429" t="s">
        <v>445</v>
      </c>
      <c r="C15" s="430" t="s">
        <v>450</v>
      </c>
      <c r="D15" s="431" t="s">
        <v>468</v>
      </c>
      <c r="E15" s="430" t="s">
        <v>564</v>
      </c>
      <c r="F15" s="431" t="s">
        <v>565</v>
      </c>
      <c r="G15" s="430" t="s">
        <v>492</v>
      </c>
      <c r="H15" s="430" t="s">
        <v>493</v>
      </c>
      <c r="I15" s="432">
        <v>2.09</v>
      </c>
      <c r="J15" s="432">
        <v>300</v>
      </c>
      <c r="K15" s="433">
        <v>627</v>
      </c>
    </row>
    <row r="16" spans="1:11" ht="14.4" customHeight="1" x14ac:dyDescent="0.3">
      <c r="A16" s="428" t="s">
        <v>444</v>
      </c>
      <c r="B16" s="429" t="s">
        <v>445</v>
      </c>
      <c r="C16" s="430" t="s">
        <v>450</v>
      </c>
      <c r="D16" s="431" t="s">
        <v>468</v>
      </c>
      <c r="E16" s="430" t="s">
        <v>564</v>
      </c>
      <c r="F16" s="431" t="s">
        <v>565</v>
      </c>
      <c r="G16" s="430" t="s">
        <v>494</v>
      </c>
      <c r="H16" s="430" t="s">
        <v>495</v>
      </c>
      <c r="I16" s="432">
        <v>4.83</v>
      </c>
      <c r="J16" s="432">
        <v>100</v>
      </c>
      <c r="K16" s="433">
        <v>483.32</v>
      </c>
    </row>
    <row r="17" spans="1:11" ht="14.4" customHeight="1" x14ac:dyDescent="0.3">
      <c r="A17" s="428" t="s">
        <v>444</v>
      </c>
      <c r="B17" s="429" t="s">
        <v>445</v>
      </c>
      <c r="C17" s="430" t="s">
        <v>450</v>
      </c>
      <c r="D17" s="431" t="s">
        <v>468</v>
      </c>
      <c r="E17" s="430" t="s">
        <v>566</v>
      </c>
      <c r="F17" s="431" t="s">
        <v>567</v>
      </c>
      <c r="G17" s="430" t="s">
        <v>496</v>
      </c>
      <c r="H17" s="430" t="s">
        <v>497</v>
      </c>
      <c r="I17" s="432">
        <v>0.27</v>
      </c>
      <c r="J17" s="432">
        <v>3000</v>
      </c>
      <c r="K17" s="433">
        <v>798.59999999999991</v>
      </c>
    </row>
    <row r="18" spans="1:11" ht="14.4" customHeight="1" x14ac:dyDescent="0.3">
      <c r="A18" s="428" t="s">
        <v>444</v>
      </c>
      <c r="B18" s="429" t="s">
        <v>445</v>
      </c>
      <c r="C18" s="430" t="s">
        <v>450</v>
      </c>
      <c r="D18" s="431" t="s">
        <v>468</v>
      </c>
      <c r="E18" s="430" t="s">
        <v>566</v>
      </c>
      <c r="F18" s="431" t="s">
        <v>567</v>
      </c>
      <c r="G18" s="430" t="s">
        <v>498</v>
      </c>
      <c r="H18" s="430" t="s">
        <v>499</v>
      </c>
      <c r="I18" s="432">
        <v>0.27500000000000002</v>
      </c>
      <c r="J18" s="432">
        <v>3000</v>
      </c>
      <c r="K18" s="433">
        <v>831.5</v>
      </c>
    </row>
    <row r="19" spans="1:11" ht="14.4" customHeight="1" x14ac:dyDescent="0.3">
      <c r="A19" s="428" t="s">
        <v>444</v>
      </c>
      <c r="B19" s="429" t="s">
        <v>445</v>
      </c>
      <c r="C19" s="430" t="s">
        <v>450</v>
      </c>
      <c r="D19" s="431" t="s">
        <v>468</v>
      </c>
      <c r="E19" s="430" t="s">
        <v>566</v>
      </c>
      <c r="F19" s="431" t="s">
        <v>567</v>
      </c>
      <c r="G19" s="430" t="s">
        <v>500</v>
      </c>
      <c r="H19" s="430" t="s">
        <v>501</v>
      </c>
      <c r="I19" s="432">
        <v>5.65</v>
      </c>
      <c r="J19" s="432">
        <v>500</v>
      </c>
      <c r="K19" s="433">
        <v>2825.35</v>
      </c>
    </row>
    <row r="20" spans="1:11" ht="14.4" customHeight="1" x14ac:dyDescent="0.3">
      <c r="A20" s="428" t="s">
        <v>444</v>
      </c>
      <c r="B20" s="429" t="s">
        <v>445</v>
      </c>
      <c r="C20" s="430" t="s">
        <v>450</v>
      </c>
      <c r="D20" s="431" t="s">
        <v>468</v>
      </c>
      <c r="E20" s="430" t="s">
        <v>566</v>
      </c>
      <c r="F20" s="431" t="s">
        <v>567</v>
      </c>
      <c r="G20" s="430" t="s">
        <v>502</v>
      </c>
      <c r="H20" s="430" t="s">
        <v>503</v>
      </c>
      <c r="I20" s="432">
        <v>13.14</v>
      </c>
      <c r="J20" s="432">
        <v>100</v>
      </c>
      <c r="K20" s="433">
        <v>1314.06</v>
      </c>
    </row>
    <row r="21" spans="1:11" ht="14.4" customHeight="1" x14ac:dyDescent="0.3">
      <c r="A21" s="428" t="s">
        <v>444</v>
      </c>
      <c r="B21" s="429" t="s">
        <v>445</v>
      </c>
      <c r="C21" s="430" t="s">
        <v>450</v>
      </c>
      <c r="D21" s="431" t="s">
        <v>468</v>
      </c>
      <c r="E21" s="430" t="s">
        <v>566</v>
      </c>
      <c r="F21" s="431" t="s">
        <v>567</v>
      </c>
      <c r="G21" s="430" t="s">
        <v>504</v>
      </c>
      <c r="H21" s="430" t="s">
        <v>505</v>
      </c>
      <c r="I21" s="432">
        <v>5.67</v>
      </c>
      <c r="J21" s="432">
        <v>500</v>
      </c>
      <c r="K21" s="433">
        <v>2837.45</v>
      </c>
    </row>
    <row r="22" spans="1:11" ht="14.4" customHeight="1" x14ac:dyDescent="0.3">
      <c r="A22" s="428" t="s">
        <v>444</v>
      </c>
      <c r="B22" s="429" t="s">
        <v>445</v>
      </c>
      <c r="C22" s="430" t="s">
        <v>450</v>
      </c>
      <c r="D22" s="431" t="s">
        <v>468</v>
      </c>
      <c r="E22" s="430" t="s">
        <v>566</v>
      </c>
      <c r="F22" s="431" t="s">
        <v>567</v>
      </c>
      <c r="G22" s="430" t="s">
        <v>506</v>
      </c>
      <c r="H22" s="430" t="s">
        <v>507</v>
      </c>
      <c r="I22" s="432">
        <v>254.1</v>
      </c>
      <c r="J22" s="432">
        <v>50</v>
      </c>
      <c r="K22" s="433">
        <v>12705</v>
      </c>
    </row>
    <row r="23" spans="1:11" ht="14.4" customHeight="1" x14ac:dyDescent="0.3">
      <c r="A23" s="428" t="s">
        <v>444</v>
      </c>
      <c r="B23" s="429" t="s">
        <v>445</v>
      </c>
      <c r="C23" s="430" t="s">
        <v>450</v>
      </c>
      <c r="D23" s="431" t="s">
        <v>468</v>
      </c>
      <c r="E23" s="430" t="s">
        <v>566</v>
      </c>
      <c r="F23" s="431" t="s">
        <v>567</v>
      </c>
      <c r="G23" s="430" t="s">
        <v>508</v>
      </c>
      <c r="H23" s="430" t="s">
        <v>509</v>
      </c>
      <c r="I23" s="432">
        <v>53.07</v>
      </c>
      <c r="J23" s="432">
        <v>3</v>
      </c>
      <c r="K23" s="433">
        <v>159.19999999999999</v>
      </c>
    </row>
    <row r="24" spans="1:11" ht="14.4" customHeight="1" x14ac:dyDescent="0.3">
      <c r="A24" s="428" t="s">
        <v>444</v>
      </c>
      <c r="B24" s="429" t="s">
        <v>445</v>
      </c>
      <c r="C24" s="430" t="s">
        <v>450</v>
      </c>
      <c r="D24" s="431" t="s">
        <v>468</v>
      </c>
      <c r="E24" s="430" t="s">
        <v>566</v>
      </c>
      <c r="F24" s="431" t="s">
        <v>567</v>
      </c>
      <c r="G24" s="430" t="s">
        <v>510</v>
      </c>
      <c r="H24" s="430" t="s">
        <v>511</v>
      </c>
      <c r="I24" s="432">
        <v>53.07</v>
      </c>
      <c r="J24" s="432">
        <v>3</v>
      </c>
      <c r="K24" s="433">
        <v>159.19999999999999</v>
      </c>
    </row>
    <row r="25" spans="1:11" ht="14.4" customHeight="1" x14ac:dyDescent="0.3">
      <c r="A25" s="428" t="s">
        <v>444</v>
      </c>
      <c r="B25" s="429" t="s">
        <v>445</v>
      </c>
      <c r="C25" s="430" t="s">
        <v>450</v>
      </c>
      <c r="D25" s="431" t="s">
        <v>468</v>
      </c>
      <c r="E25" s="430" t="s">
        <v>566</v>
      </c>
      <c r="F25" s="431" t="s">
        <v>567</v>
      </c>
      <c r="G25" s="430" t="s">
        <v>512</v>
      </c>
      <c r="H25" s="430" t="s">
        <v>513</v>
      </c>
      <c r="I25" s="432">
        <v>1232.99</v>
      </c>
      <c r="J25" s="432">
        <v>2</v>
      </c>
      <c r="K25" s="433">
        <v>2465.98</v>
      </c>
    </row>
    <row r="26" spans="1:11" ht="14.4" customHeight="1" x14ac:dyDescent="0.3">
      <c r="A26" s="428" t="s">
        <v>444</v>
      </c>
      <c r="B26" s="429" t="s">
        <v>445</v>
      </c>
      <c r="C26" s="430" t="s">
        <v>450</v>
      </c>
      <c r="D26" s="431" t="s">
        <v>468</v>
      </c>
      <c r="E26" s="430" t="s">
        <v>568</v>
      </c>
      <c r="F26" s="431" t="s">
        <v>569</v>
      </c>
      <c r="G26" s="430" t="s">
        <v>514</v>
      </c>
      <c r="H26" s="430" t="s">
        <v>515</v>
      </c>
      <c r="I26" s="432">
        <v>7.5</v>
      </c>
      <c r="J26" s="432">
        <v>0</v>
      </c>
      <c r="K26" s="433">
        <v>0</v>
      </c>
    </row>
    <row r="27" spans="1:11" ht="14.4" customHeight="1" x14ac:dyDescent="0.3">
      <c r="A27" s="428" t="s">
        <v>444</v>
      </c>
      <c r="B27" s="429" t="s">
        <v>445</v>
      </c>
      <c r="C27" s="430" t="s">
        <v>450</v>
      </c>
      <c r="D27" s="431" t="s">
        <v>468</v>
      </c>
      <c r="E27" s="430" t="s">
        <v>568</v>
      </c>
      <c r="F27" s="431" t="s">
        <v>569</v>
      </c>
      <c r="G27" s="430" t="s">
        <v>516</v>
      </c>
      <c r="H27" s="430" t="s">
        <v>517</v>
      </c>
      <c r="I27" s="432">
        <v>7.5</v>
      </c>
      <c r="J27" s="432">
        <v>150</v>
      </c>
      <c r="K27" s="433">
        <v>1125</v>
      </c>
    </row>
    <row r="28" spans="1:11" ht="14.4" customHeight="1" x14ac:dyDescent="0.3">
      <c r="A28" s="428" t="s">
        <v>444</v>
      </c>
      <c r="B28" s="429" t="s">
        <v>445</v>
      </c>
      <c r="C28" s="430" t="s">
        <v>450</v>
      </c>
      <c r="D28" s="431" t="s">
        <v>468</v>
      </c>
      <c r="E28" s="430" t="s">
        <v>568</v>
      </c>
      <c r="F28" s="431" t="s">
        <v>569</v>
      </c>
      <c r="G28" s="430" t="s">
        <v>518</v>
      </c>
      <c r="H28" s="430" t="s">
        <v>519</v>
      </c>
      <c r="I28" s="432">
        <v>0.69</v>
      </c>
      <c r="J28" s="432">
        <v>1200</v>
      </c>
      <c r="K28" s="433">
        <v>828</v>
      </c>
    </row>
    <row r="29" spans="1:11" ht="14.4" customHeight="1" x14ac:dyDescent="0.3">
      <c r="A29" s="428" t="s">
        <v>444</v>
      </c>
      <c r="B29" s="429" t="s">
        <v>445</v>
      </c>
      <c r="C29" s="430" t="s">
        <v>450</v>
      </c>
      <c r="D29" s="431" t="s">
        <v>468</v>
      </c>
      <c r="E29" s="430" t="s">
        <v>568</v>
      </c>
      <c r="F29" s="431" t="s">
        <v>569</v>
      </c>
      <c r="G29" s="430" t="s">
        <v>520</v>
      </c>
      <c r="H29" s="430" t="s">
        <v>521</v>
      </c>
      <c r="I29" s="432">
        <v>0.69</v>
      </c>
      <c r="J29" s="432">
        <v>4800</v>
      </c>
      <c r="K29" s="433">
        <v>3312</v>
      </c>
    </row>
    <row r="30" spans="1:11" ht="14.4" customHeight="1" x14ac:dyDescent="0.3">
      <c r="A30" s="428" t="s">
        <v>444</v>
      </c>
      <c r="B30" s="429" t="s">
        <v>445</v>
      </c>
      <c r="C30" s="430" t="s">
        <v>450</v>
      </c>
      <c r="D30" s="431" t="s">
        <v>468</v>
      </c>
      <c r="E30" s="430" t="s">
        <v>568</v>
      </c>
      <c r="F30" s="431" t="s">
        <v>569</v>
      </c>
      <c r="G30" s="430" t="s">
        <v>522</v>
      </c>
      <c r="H30" s="430" t="s">
        <v>523</v>
      </c>
      <c r="I30" s="432">
        <v>9.43</v>
      </c>
      <c r="J30" s="432">
        <v>100</v>
      </c>
      <c r="K30" s="433">
        <v>943</v>
      </c>
    </row>
    <row r="31" spans="1:11" ht="14.4" customHeight="1" x14ac:dyDescent="0.3">
      <c r="A31" s="428" t="s">
        <v>444</v>
      </c>
      <c r="B31" s="429" t="s">
        <v>445</v>
      </c>
      <c r="C31" s="430" t="s">
        <v>450</v>
      </c>
      <c r="D31" s="431" t="s">
        <v>468</v>
      </c>
      <c r="E31" s="430" t="s">
        <v>568</v>
      </c>
      <c r="F31" s="431" t="s">
        <v>569</v>
      </c>
      <c r="G31" s="430" t="s">
        <v>524</v>
      </c>
      <c r="H31" s="430" t="s">
        <v>525</v>
      </c>
      <c r="I31" s="432">
        <v>6.24</v>
      </c>
      <c r="J31" s="432">
        <v>69</v>
      </c>
      <c r="K31" s="433">
        <v>430.56</v>
      </c>
    </row>
    <row r="32" spans="1:11" ht="14.4" customHeight="1" x14ac:dyDescent="0.3">
      <c r="A32" s="428" t="s">
        <v>444</v>
      </c>
      <c r="B32" s="429" t="s">
        <v>445</v>
      </c>
      <c r="C32" s="430" t="s">
        <v>450</v>
      </c>
      <c r="D32" s="431" t="s">
        <v>468</v>
      </c>
      <c r="E32" s="430" t="s">
        <v>568</v>
      </c>
      <c r="F32" s="431" t="s">
        <v>569</v>
      </c>
      <c r="G32" s="430" t="s">
        <v>526</v>
      </c>
      <c r="H32" s="430" t="s">
        <v>527</v>
      </c>
      <c r="I32" s="432">
        <v>6.23</v>
      </c>
      <c r="J32" s="432">
        <v>140</v>
      </c>
      <c r="K32" s="433">
        <v>872.42</v>
      </c>
    </row>
    <row r="33" spans="1:11" ht="14.4" customHeight="1" x14ac:dyDescent="0.3">
      <c r="A33" s="428" t="s">
        <v>444</v>
      </c>
      <c r="B33" s="429" t="s">
        <v>445</v>
      </c>
      <c r="C33" s="430" t="s">
        <v>450</v>
      </c>
      <c r="D33" s="431" t="s">
        <v>468</v>
      </c>
      <c r="E33" s="430" t="s">
        <v>570</v>
      </c>
      <c r="F33" s="431" t="s">
        <v>571</v>
      </c>
      <c r="G33" s="430" t="s">
        <v>528</v>
      </c>
      <c r="H33" s="430" t="s">
        <v>529</v>
      </c>
      <c r="I33" s="432">
        <v>461</v>
      </c>
      <c r="J33" s="432">
        <v>15</v>
      </c>
      <c r="K33" s="433">
        <v>6915</v>
      </c>
    </row>
    <row r="34" spans="1:11" ht="14.4" customHeight="1" x14ac:dyDescent="0.3">
      <c r="A34" s="428" t="s">
        <v>444</v>
      </c>
      <c r="B34" s="429" t="s">
        <v>445</v>
      </c>
      <c r="C34" s="430" t="s">
        <v>450</v>
      </c>
      <c r="D34" s="431" t="s">
        <v>468</v>
      </c>
      <c r="E34" s="430" t="s">
        <v>570</v>
      </c>
      <c r="F34" s="431" t="s">
        <v>571</v>
      </c>
      <c r="G34" s="430" t="s">
        <v>530</v>
      </c>
      <c r="H34" s="430" t="s">
        <v>531</v>
      </c>
      <c r="I34" s="432">
        <v>0.06</v>
      </c>
      <c r="J34" s="432">
        <v>6000</v>
      </c>
      <c r="K34" s="433">
        <v>357.13</v>
      </c>
    </row>
    <row r="35" spans="1:11" ht="14.4" customHeight="1" x14ac:dyDescent="0.3">
      <c r="A35" s="428" t="s">
        <v>444</v>
      </c>
      <c r="B35" s="429" t="s">
        <v>445</v>
      </c>
      <c r="C35" s="430" t="s">
        <v>450</v>
      </c>
      <c r="D35" s="431" t="s">
        <v>468</v>
      </c>
      <c r="E35" s="430" t="s">
        <v>570</v>
      </c>
      <c r="F35" s="431" t="s">
        <v>571</v>
      </c>
      <c r="G35" s="430" t="s">
        <v>532</v>
      </c>
      <c r="H35" s="430" t="s">
        <v>533</v>
      </c>
      <c r="I35" s="432">
        <v>344.83</v>
      </c>
      <c r="J35" s="432">
        <v>6</v>
      </c>
      <c r="K35" s="433">
        <v>2069</v>
      </c>
    </row>
    <row r="36" spans="1:11" ht="14.4" customHeight="1" x14ac:dyDescent="0.3">
      <c r="A36" s="428" t="s">
        <v>444</v>
      </c>
      <c r="B36" s="429" t="s">
        <v>445</v>
      </c>
      <c r="C36" s="430" t="s">
        <v>450</v>
      </c>
      <c r="D36" s="431" t="s">
        <v>468</v>
      </c>
      <c r="E36" s="430" t="s">
        <v>570</v>
      </c>
      <c r="F36" s="431" t="s">
        <v>571</v>
      </c>
      <c r="G36" s="430" t="s">
        <v>534</v>
      </c>
      <c r="H36" s="430" t="s">
        <v>535</v>
      </c>
      <c r="I36" s="432">
        <v>261.60000000000002</v>
      </c>
      <c r="J36" s="432">
        <v>48</v>
      </c>
      <c r="K36" s="433">
        <v>12556.9</v>
      </c>
    </row>
    <row r="37" spans="1:11" ht="14.4" customHeight="1" x14ac:dyDescent="0.3">
      <c r="A37" s="428" t="s">
        <v>444</v>
      </c>
      <c r="B37" s="429" t="s">
        <v>445</v>
      </c>
      <c r="C37" s="430" t="s">
        <v>450</v>
      </c>
      <c r="D37" s="431" t="s">
        <v>468</v>
      </c>
      <c r="E37" s="430" t="s">
        <v>570</v>
      </c>
      <c r="F37" s="431" t="s">
        <v>571</v>
      </c>
      <c r="G37" s="430" t="s">
        <v>536</v>
      </c>
      <c r="H37" s="430" t="s">
        <v>537</v>
      </c>
      <c r="I37" s="432">
        <v>79.5</v>
      </c>
      <c r="J37" s="432">
        <v>6</v>
      </c>
      <c r="K37" s="433">
        <v>476.98</v>
      </c>
    </row>
    <row r="38" spans="1:11" ht="14.4" customHeight="1" x14ac:dyDescent="0.3">
      <c r="A38" s="428" t="s">
        <v>444</v>
      </c>
      <c r="B38" s="429" t="s">
        <v>445</v>
      </c>
      <c r="C38" s="430" t="s">
        <v>450</v>
      </c>
      <c r="D38" s="431" t="s">
        <v>468</v>
      </c>
      <c r="E38" s="430" t="s">
        <v>570</v>
      </c>
      <c r="F38" s="431" t="s">
        <v>571</v>
      </c>
      <c r="G38" s="430" t="s">
        <v>538</v>
      </c>
      <c r="H38" s="430" t="s">
        <v>539</v>
      </c>
      <c r="I38" s="432">
        <v>115.8</v>
      </c>
      <c r="J38" s="432">
        <v>3</v>
      </c>
      <c r="K38" s="433">
        <v>347.39</v>
      </c>
    </row>
    <row r="39" spans="1:11" ht="14.4" customHeight="1" x14ac:dyDescent="0.3">
      <c r="A39" s="428" t="s">
        <v>444</v>
      </c>
      <c r="B39" s="429" t="s">
        <v>445</v>
      </c>
      <c r="C39" s="430" t="s">
        <v>450</v>
      </c>
      <c r="D39" s="431" t="s">
        <v>468</v>
      </c>
      <c r="E39" s="430" t="s">
        <v>570</v>
      </c>
      <c r="F39" s="431" t="s">
        <v>571</v>
      </c>
      <c r="G39" s="430" t="s">
        <v>540</v>
      </c>
      <c r="H39" s="430" t="s">
        <v>541</v>
      </c>
      <c r="I39" s="432">
        <v>2662.01</v>
      </c>
      <c r="J39" s="432">
        <v>1</v>
      </c>
      <c r="K39" s="433">
        <v>2662.01</v>
      </c>
    </row>
    <row r="40" spans="1:11" ht="14.4" customHeight="1" x14ac:dyDescent="0.3">
      <c r="A40" s="428" t="s">
        <v>444</v>
      </c>
      <c r="B40" s="429" t="s">
        <v>445</v>
      </c>
      <c r="C40" s="430" t="s">
        <v>450</v>
      </c>
      <c r="D40" s="431" t="s">
        <v>468</v>
      </c>
      <c r="E40" s="430" t="s">
        <v>570</v>
      </c>
      <c r="F40" s="431" t="s">
        <v>571</v>
      </c>
      <c r="G40" s="430" t="s">
        <v>542</v>
      </c>
      <c r="H40" s="430" t="s">
        <v>543</v>
      </c>
      <c r="I40" s="432">
        <v>7336.22</v>
      </c>
      <c r="J40" s="432">
        <v>1</v>
      </c>
      <c r="K40" s="433">
        <v>7336.22</v>
      </c>
    </row>
    <row r="41" spans="1:11" ht="14.4" customHeight="1" x14ac:dyDescent="0.3">
      <c r="A41" s="428" t="s">
        <v>444</v>
      </c>
      <c r="B41" s="429" t="s">
        <v>445</v>
      </c>
      <c r="C41" s="430" t="s">
        <v>450</v>
      </c>
      <c r="D41" s="431" t="s">
        <v>468</v>
      </c>
      <c r="E41" s="430" t="s">
        <v>570</v>
      </c>
      <c r="F41" s="431" t="s">
        <v>571</v>
      </c>
      <c r="G41" s="430" t="s">
        <v>544</v>
      </c>
      <c r="H41" s="430" t="s">
        <v>545</v>
      </c>
      <c r="I41" s="432">
        <v>0.4</v>
      </c>
      <c r="J41" s="432">
        <v>1000</v>
      </c>
      <c r="K41" s="433">
        <v>395.67</v>
      </c>
    </row>
    <row r="42" spans="1:11" ht="14.4" customHeight="1" x14ac:dyDescent="0.3">
      <c r="A42" s="428" t="s">
        <v>444</v>
      </c>
      <c r="B42" s="429" t="s">
        <v>445</v>
      </c>
      <c r="C42" s="430" t="s">
        <v>450</v>
      </c>
      <c r="D42" s="431" t="s">
        <v>468</v>
      </c>
      <c r="E42" s="430" t="s">
        <v>570</v>
      </c>
      <c r="F42" s="431" t="s">
        <v>571</v>
      </c>
      <c r="G42" s="430" t="s">
        <v>546</v>
      </c>
      <c r="H42" s="430" t="s">
        <v>547</v>
      </c>
      <c r="I42" s="432">
        <v>15427.52</v>
      </c>
      <c r="J42" s="432">
        <v>1</v>
      </c>
      <c r="K42" s="433">
        <v>15427.52</v>
      </c>
    </row>
    <row r="43" spans="1:11" ht="14.4" customHeight="1" x14ac:dyDescent="0.3">
      <c r="A43" s="428" t="s">
        <v>444</v>
      </c>
      <c r="B43" s="429" t="s">
        <v>445</v>
      </c>
      <c r="C43" s="430" t="s">
        <v>450</v>
      </c>
      <c r="D43" s="431" t="s">
        <v>468</v>
      </c>
      <c r="E43" s="430" t="s">
        <v>570</v>
      </c>
      <c r="F43" s="431" t="s">
        <v>571</v>
      </c>
      <c r="G43" s="430" t="s">
        <v>548</v>
      </c>
      <c r="H43" s="430" t="s">
        <v>549</v>
      </c>
      <c r="I43" s="432">
        <v>30.25</v>
      </c>
      <c r="J43" s="432">
        <v>20</v>
      </c>
      <c r="K43" s="433">
        <v>605</v>
      </c>
    </row>
    <row r="44" spans="1:11" ht="14.4" customHeight="1" x14ac:dyDescent="0.3">
      <c r="A44" s="428" t="s">
        <v>444</v>
      </c>
      <c r="B44" s="429" t="s">
        <v>445</v>
      </c>
      <c r="C44" s="430" t="s">
        <v>450</v>
      </c>
      <c r="D44" s="431" t="s">
        <v>468</v>
      </c>
      <c r="E44" s="430" t="s">
        <v>570</v>
      </c>
      <c r="F44" s="431" t="s">
        <v>571</v>
      </c>
      <c r="G44" s="430" t="s">
        <v>550</v>
      </c>
      <c r="H44" s="430" t="s">
        <v>551</v>
      </c>
      <c r="I44" s="432">
        <v>3049.19</v>
      </c>
      <c r="J44" s="432">
        <v>1</v>
      </c>
      <c r="K44" s="433">
        <v>3049.19</v>
      </c>
    </row>
    <row r="45" spans="1:11" ht="14.4" customHeight="1" x14ac:dyDescent="0.3">
      <c r="A45" s="428" t="s">
        <v>444</v>
      </c>
      <c r="B45" s="429" t="s">
        <v>445</v>
      </c>
      <c r="C45" s="430" t="s">
        <v>450</v>
      </c>
      <c r="D45" s="431" t="s">
        <v>468</v>
      </c>
      <c r="E45" s="430" t="s">
        <v>570</v>
      </c>
      <c r="F45" s="431" t="s">
        <v>571</v>
      </c>
      <c r="G45" s="430" t="s">
        <v>552</v>
      </c>
      <c r="H45" s="430" t="s">
        <v>553</v>
      </c>
      <c r="I45" s="432">
        <v>2661.99</v>
      </c>
      <c r="J45" s="432">
        <v>1</v>
      </c>
      <c r="K45" s="433">
        <v>2661.99</v>
      </c>
    </row>
    <row r="46" spans="1:11" ht="14.4" customHeight="1" x14ac:dyDescent="0.3">
      <c r="A46" s="428" t="s">
        <v>444</v>
      </c>
      <c r="B46" s="429" t="s">
        <v>445</v>
      </c>
      <c r="C46" s="430" t="s">
        <v>450</v>
      </c>
      <c r="D46" s="431" t="s">
        <v>468</v>
      </c>
      <c r="E46" s="430" t="s">
        <v>570</v>
      </c>
      <c r="F46" s="431" t="s">
        <v>571</v>
      </c>
      <c r="G46" s="430" t="s">
        <v>554</v>
      </c>
      <c r="H46" s="430" t="s">
        <v>555</v>
      </c>
      <c r="I46" s="432">
        <v>30.25</v>
      </c>
      <c r="J46" s="432">
        <v>20</v>
      </c>
      <c r="K46" s="433">
        <v>605</v>
      </c>
    </row>
    <row r="47" spans="1:11" ht="14.4" customHeight="1" x14ac:dyDescent="0.3">
      <c r="A47" s="428" t="s">
        <v>444</v>
      </c>
      <c r="B47" s="429" t="s">
        <v>445</v>
      </c>
      <c r="C47" s="430" t="s">
        <v>450</v>
      </c>
      <c r="D47" s="431" t="s">
        <v>468</v>
      </c>
      <c r="E47" s="430" t="s">
        <v>570</v>
      </c>
      <c r="F47" s="431" t="s">
        <v>571</v>
      </c>
      <c r="G47" s="430" t="s">
        <v>556</v>
      </c>
      <c r="H47" s="430" t="s">
        <v>557</v>
      </c>
      <c r="I47" s="432">
        <v>108.9</v>
      </c>
      <c r="J47" s="432">
        <v>20</v>
      </c>
      <c r="K47" s="433">
        <v>2178</v>
      </c>
    </row>
    <row r="48" spans="1:11" ht="14.4" customHeight="1" x14ac:dyDescent="0.3">
      <c r="A48" s="428" t="s">
        <v>444</v>
      </c>
      <c r="B48" s="429" t="s">
        <v>445</v>
      </c>
      <c r="C48" s="430" t="s">
        <v>450</v>
      </c>
      <c r="D48" s="431" t="s">
        <v>468</v>
      </c>
      <c r="E48" s="430" t="s">
        <v>570</v>
      </c>
      <c r="F48" s="431" t="s">
        <v>571</v>
      </c>
      <c r="G48" s="430" t="s">
        <v>558</v>
      </c>
      <c r="H48" s="430" t="s">
        <v>559</v>
      </c>
      <c r="I48" s="432">
        <v>1643.95</v>
      </c>
      <c r="J48" s="432">
        <v>1</v>
      </c>
      <c r="K48" s="433">
        <v>1643.95</v>
      </c>
    </row>
    <row r="49" spans="1:11" ht="14.4" customHeight="1" thickBot="1" x14ac:dyDescent="0.35">
      <c r="A49" s="434" t="s">
        <v>444</v>
      </c>
      <c r="B49" s="435" t="s">
        <v>445</v>
      </c>
      <c r="C49" s="436" t="s">
        <v>450</v>
      </c>
      <c r="D49" s="437" t="s">
        <v>468</v>
      </c>
      <c r="E49" s="436" t="s">
        <v>570</v>
      </c>
      <c r="F49" s="437" t="s">
        <v>571</v>
      </c>
      <c r="G49" s="436" t="s">
        <v>560</v>
      </c>
      <c r="H49" s="436" t="s">
        <v>561</v>
      </c>
      <c r="I49" s="438">
        <v>3.35</v>
      </c>
      <c r="J49" s="438">
        <v>500</v>
      </c>
      <c r="K49" s="439">
        <v>1677.06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S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6" width="13.109375" customWidth="1"/>
    <col min="7" max="7" width="13.109375" hidden="1" customWidth="1"/>
    <col min="8" max="8" width="13.109375" customWidth="1"/>
    <col min="9" max="18" width="13.109375" hidden="1" customWidth="1"/>
    <col min="19" max="19" width="13.109375" customWidth="1"/>
    <col min="20" max="33" width="13.109375" hidden="1" customWidth="1"/>
    <col min="34" max="34" width="13.109375" customWidth="1"/>
    <col min="35" max="41" width="13.109375" hidden="1" customWidth="1"/>
    <col min="42" max="42" width="13.109375" customWidth="1"/>
    <col min="43" max="45" width="13.109375" hidden="1" customWidth="1"/>
  </cols>
  <sheetData>
    <row r="1" spans="1:46" ht="18.600000000000001" thickBot="1" x14ac:dyDescent="0.4">
      <c r="A1" s="359" t="s">
        <v>92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346"/>
      <c r="AC1" s="346"/>
      <c r="AD1" s="346"/>
      <c r="AE1" s="346"/>
      <c r="AF1" s="346"/>
      <c r="AG1" s="346"/>
      <c r="AH1" s="346"/>
      <c r="AI1" s="346"/>
      <c r="AJ1" s="346"/>
      <c r="AK1" s="346"/>
      <c r="AL1" s="346"/>
      <c r="AM1" s="346"/>
      <c r="AN1" s="346"/>
      <c r="AO1" s="346"/>
      <c r="AP1" s="346"/>
      <c r="AQ1" s="346"/>
      <c r="AR1" s="346"/>
      <c r="AS1" s="346"/>
    </row>
    <row r="2" spans="1:46" ht="15" thickBot="1" x14ac:dyDescent="0.35">
      <c r="A2" s="203" t="s">
        <v>261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</row>
    <row r="3" spans="1:46" x14ac:dyDescent="0.3">
      <c r="A3" s="222" t="s">
        <v>167</v>
      </c>
      <c r="B3" s="360" t="s">
        <v>146</v>
      </c>
      <c r="C3" s="205">
        <v>0</v>
      </c>
      <c r="D3" s="206">
        <v>25</v>
      </c>
      <c r="E3" s="206">
        <v>30</v>
      </c>
      <c r="F3" s="206">
        <v>99</v>
      </c>
      <c r="G3" s="225">
        <v>100</v>
      </c>
      <c r="H3" s="225">
        <v>101</v>
      </c>
      <c r="I3" s="225">
        <v>102</v>
      </c>
      <c r="J3" s="225">
        <v>103</v>
      </c>
      <c r="K3" s="225">
        <v>203</v>
      </c>
      <c r="L3" s="303">
        <v>302</v>
      </c>
      <c r="M3" s="225">
        <v>303</v>
      </c>
      <c r="N3" s="225">
        <v>304</v>
      </c>
      <c r="O3" s="225">
        <v>305</v>
      </c>
      <c r="P3" s="225">
        <v>306</v>
      </c>
      <c r="Q3" s="225">
        <v>407</v>
      </c>
      <c r="R3" s="225">
        <v>408</v>
      </c>
      <c r="S3" s="225">
        <v>409</v>
      </c>
      <c r="T3" s="225">
        <v>410</v>
      </c>
      <c r="U3" s="225">
        <v>415</v>
      </c>
      <c r="V3" s="225">
        <v>416</v>
      </c>
      <c r="W3" s="225">
        <v>418</v>
      </c>
      <c r="X3" s="225">
        <v>419</v>
      </c>
      <c r="Y3" s="225">
        <v>420</v>
      </c>
      <c r="Z3" s="225">
        <v>421</v>
      </c>
      <c r="AA3" s="225">
        <v>422</v>
      </c>
      <c r="AB3" s="225">
        <v>520</v>
      </c>
      <c r="AC3" s="225">
        <v>521</v>
      </c>
      <c r="AD3" s="225">
        <v>522</v>
      </c>
      <c r="AE3" s="225">
        <v>523</v>
      </c>
      <c r="AF3" s="225">
        <v>524</v>
      </c>
      <c r="AG3" s="225">
        <v>525</v>
      </c>
      <c r="AH3" s="225">
        <v>526</v>
      </c>
      <c r="AI3" s="206">
        <v>527</v>
      </c>
      <c r="AJ3" s="206">
        <v>528</v>
      </c>
      <c r="AK3" s="206">
        <v>629</v>
      </c>
      <c r="AL3" s="206">
        <v>630</v>
      </c>
      <c r="AM3" s="206">
        <v>636</v>
      </c>
      <c r="AN3" s="206">
        <v>637</v>
      </c>
      <c r="AO3" s="206">
        <v>640</v>
      </c>
      <c r="AP3" s="206">
        <v>642</v>
      </c>
      <c r="AQ3" s="206">
        <v>743</v>
      </c>
      <c r="AR3" s="206">
        <v>745</v>
      </c>
      <c r="AS3" s="472">
        <v>746</v>
      </c>
      <c r="AT3" s="487"/>
    </row>
    <row r="4" spans="1:46" ht="36.6" outlineLevel="1" thickBot="1" x14ac:dyDescent="0.35">
      <c r="A4" s="223">
        <v>2017</v>
      </c>
      <c r="B4" s="361"/>
      <c r="C4" s="207" t="s">
        <v>147</v>
      </c>
      <c r="D4" s="208" t="s">
        <v>151</v>
      </c>
      <c r="E4" s="208" t="s">
        <v>169</v>
      </c>
      <c r="F4" s="208" t="s">
        <v>148</v>
      </c>
      <c r="G4" s="226" t="s">
        <v>217</v>
      </c>
      <c r="H4" s="226" t="s">
        <v>218</v>
      </c>
      <c r="I4" s="226" t="s">
        <v>149</v>
      </c>
      <c r="J4" s="226" t="s">
        <v>219</v>
      </c>
      <c r="K4" s="226" t="s">
        <v>150</v>
      </c>
      <c r="L4" s="304" t="s">
        <v>220</v>
      </c>
      <c r="M4" s="226" t="s">
        <v>221</v>
      </c>
      <c r="N4" s="226" t="s">
        <v>222</v>
      </c>
      <c r="O4" s="226" t="s">
        <v>223</v>
      </c>
      <c r="P4" s="226" t="s">
        <v>175</v>
      </c>
      <c r="Q4" s="226" t="s">
        <v>215</v>
      </c>
      <c r="R4" s="226" t="s">
        <v>176</v>
      </c>
      <c r="S4" s="226" t="s">
        <v>177</v>
      </c>
      <c r="T4" s="226" t="s">
        <v>178</v>
      </c>
      <c r="U4" s="226" t="s">
        <v>179</v>
      </c>
      <c r="V4" s="226" t="s">
        <v>180</v>
      </c>
      <c r="W4" s="226" t="s">
        <v>181</v>
      </c>
      <c r="X4" s="226" t="s">
        <v>182</v>
      </c>
      <c r="Y4" s="226" t="s">
        <v>183</v>
      </c>
      <c r="Z4" s="226" t="s">
        <v>184</v>
      </c>
      <c r="AA4" s="226" t="s">
        <v>254</v>
      </c>
      <c r="AB4" s="226" t="s">
        <v>224</v>
      </c>
      <c r="AC4" s="226" t="s">
        <v>225</v>
      </c>
      <c r="AD4" s="226" t="s">
        <v>226</v>
      </c>
      <c r="AE4" s="226" t="s">
        <v>185</v>
      </c>
      <c r="AF4" s="226" t="s">
        <v>186</v>
      </c>
      <c r="AG4" s="226" t="s">
        <v>187</v>
      </c>
      <c r="AH4" s="226" t="s">
        <v>188</v>
      </c>
      <c r="AI4" s="208" t="s">
        <v>189</v>
      </c>
      <c r="AJ4" s="208" t="s">
        <v>198</v>
      </c>
      <c r="AK4" s="208" t="s">
        <v>190</v>
      </c>
      <c r="AL4" s="208" t="s">
        <v>199</v>
      </c>
      <c r="AM4" s="208" t="s">
        <v>191</v>
      </c>
      <c r="AN4" s="291" t="s">
        <v>192</v>
      </c>
      <c r="AO4" s="208" t="s">
        <v>193</v>
      </c>
      <c r="AP4" s="208" t="s">
        <v>194</v>
      </c>
      <c r="AQ4" s="208" t="s">
        <v>195</v>
      </c>
      <c r="AR4" s="208" t="s">
        <v>196</v>
      </c>
      <c r="AS4" s="473" t="s">
        <v>197</v>
      </c>
      <c r="AT4" s="487"/>
    </row>
    <row r="5" spans="1:46" x14ac:dyDescent="0.3">
      <c r="A5" s="209" t="s">
        <v>152</v>
      </c>
      <c r="B5" s="247"/>
      <c r="C5" s="248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92"/>
      <c r="AO5" s="249"/>
      <c r="AP5" s="249"/>
      <c r="AQ5" s="249"/>
      <c r="AR5" s="249"/>
      <c r="AS5" s="474"/>
      <c r="AT5" s="487"/>
    </row>
    <row r="6" spans="1:46" ht="15" collapsed="1" thickBot="1" x14ac:dyDescent="0.35">
      <c r="A6" s="210" t="s">
        <v>59</v>
      </c>
      <c r="B6" s="250">
        <f xml:space="preserve">
TRUNC(IF($A$4&lt;=12,SUMIFS('ON Data'!F:F,'ON Data'!$D:$D,$A$4,'ON Data'!$E:$E,1),SUMIFS('ON Data'!F:F,'ON Data'!$E:$E,1)/'ON Data'!$D$3),1)</f>
        <v>27.2</v>
      </c>
      <c r="C6" s="251">
        <f xml:space="preserve">
TRUNC(IF($A$4&lt;=12,SUMIFS('ON Data'!G:G,'ON Data'!$D:$D,$A$4,'ON Data'!$E:$E,1),SUMIFS('ON Data'!G:G,'ON Data'!$E:$E,1)/'ON Data'!$D$3),1)</f>
        <v>0</v>
      </c>
      <c r="D6" s="252">
        <f xml:space="preserve">
TRUNC(IF($A$4&lt;=12,SUMIFS('ON Data'!H:H,'ON Data'!$D:$D,$A$4,'ON Data'!$E:$E,1),SUMIFS('ON Data'!H:H,'ON Data'!$E:$E,1)/'ON Data'!$D$3),1)</f>
        <v>0.5</v>
      </c>
      <c r="E6" s="252">
        <f xml:space="preserve">
TRUNC(IF($A$4&lt;=12,SUMIFS('ON Data'!I:I,'ON Data'!$D:$D,$A$4,'ON Data'!$E:$E,1),SUMIFS('ON Data'!I:I,'ON Data'!$E:$E,1)/'ON Data'!$D$3),1)</f>
        <v>2.5</v>
      </c>
      <c r="F6" s="252">
        <f xml:space="preserve">
TRUNC(IF($A$4&lt;=12,SUMIFS('ON Data'!J:J,'ON Data'!$D:$D,$A$4,'ON Data'!$E:$E,1),SUMIFS('ON Data'!J:J,'ON Data'!$E:$E,1)/'ON Data'!$D$3),1)</f>
        <v>1</v>
      </c>
      <c r="G6" s="252">
        <f xml:space="preserve">
TRUNC(IF($A$4&lt;=12,SUMIFS('ON Data'!K:K,'ON Data'!$D:$D,$A$4,'ON Data'!$E:$E,1),SUMIFS('ON Data'!K:K,'ON Data'!$E:$E,1)/'ON Data'!$D$3),1)</f>
        <v>0</v>
      </c>
      <c r="H6" s="252">
        <f xml:space="preserve">
TRUNC(IF($A$4&lt;=12,SUMIFS('ON Data'!L:L,'ON Data'!$D:$D,$A$4,'ON Data'!$E:$E,1),SUMIFS('ON Data'!L:L,'ON Data'!$E:$E,1)/'ON Data'!$D$3),1)</f>
        <v>4.2</v>
      </c>
      <c r="I6" s="252">
        <f xml:space="preserve">
TRUNC(IF($A$4&lt;=12,SUMIFS('ON Data'!M:M,'ON Data'!$D:$D,$A$4,'ON Data'!$E:$E,1),SUMIFS('ON Data'!M:M,'ON Data'!$E:$E,1)/'ON Data'!$D$3),1)</f>
        <v>0</v>
      </c>
      <c r="J6" s="252">
        <f xml:space="preserve">
TRUNC(IF($A$4&lt;=12,SUMIFS('ON Data'!N:N,'ON Data'!$D:$D,$A$4,'ON Data'!$E:$E,1),SUMIFS('ON Data'!N:N,'ON Data'!$E:$E,1)/'ON Data'!$D$3),1)</f>
        <v>0</v>
      </c>
      <c r="K6" s="252">
        <f xml:space="preserve">
TRUNC(IF($A$4&lt;=12,SUMIFS('ON Data'!O:O,'ON Data'!$D:$D,$A$4,'ON Data'!$E:$E,1),SUMIFS('ON Data'!O:O,'ON Data'!$E:$E,1)/'ON Data'!$D$3),1)</f>
        <v>0</v>
      </c>
      <c r="L6" s="252">
        <f xml:space="preserve">
TRUNC(IF($A$4&lt;=12,SUMIFS('ON Data'!P:P,'ON Data'!$D:$D,$A$4,'ON Data'!$E:$E,1),SUMIFS('ON Data'!P:P,'ON Data'!$E:$E,1)/'ON Data'!$D$3),1)</f>
        <v>0</v>
      </c>
      <c r="M6" s="252">
        <f xml:space="preserve">
TRUNC(IF($A$4&lt;=12,SUMIFS('ON Data'!Q:Q,'ON Data'!$D:$D,$A$4,'ON Data'!$E:$E,1),SUMIFS('ON Data'!Q:Q,'ON Data'!$E:$E,1)/'ON Data'!$D$3),1)</f>
        <v>0</v>
      </c>
      <c r="N6" s="252">
        <f xml:space="preserve">
TRUNC(IF($A$4&lt;=12,SUMIFS('ON Data'!R:R,'ON Data'!$D:$D,$A$4,'ON Data'!$E:$E,1),SUMIFS('ON Data'!R:R,'ON Data'!$E:$E,1)/'ON Data'!$D$3),1)</f>
        <v>0</v>
      </c>
      <c r="O6" s="252">
        <f xml:space="preserve">
TRUNC(IF($A$4&lt;=12,SUMIFS('ON Data'!S:S,'ON Data'!$D:$D,$A$4,'ON Data'!$E:$E,1),SUMIFS('ON Data'!S:S,'ON Data'!$E:$E,1)/'ON Data'!$D$3),1)</f>
        <v>0</v>
      </c>
      <c r="P6" s="252">
        <f xml:space="preserve">
TRUNC(IF($A$4&lt;=12,SUMIFS('ON Data'!T:T,'ON Data'!$D:$D,$A$4,'ON Data'!$E:$E,1),SUMIFS('ON Data'!T:T,'ON Data'!$E:$E,1)/'ON Data'!$D$3),1)</f>
        <v>0</v>
      </c>
      <c r="Q6" s="252">
        <f xml:space="preserve">
TRUNC(IF($A$4&lt;=12,SUMIFS('ON Data'!U:U,'ON Data'!$D:$D,$A$4,'ON Data'!$E:$E,1),SUMIFS('ON Data'!U:U,'ON Data'!$E:$E,1)/'ON Data'!$D$3),1)</f>
        <v>0</v>
      </c>
      <c r="R6" s="252">
        <f xml:space="preserve">
TRUNC(IF($A$4&lt;=12,SUMIFS('ON Data'!V:V,'ON Data'!$D:$D,$A$4,'ON Data'!$E:$E,1),SUMIFS('ON Data'!V:V,'ON Data'!$E:$E,1)/'ON Data'!$D$3),1)</f>
        <v>0</v>
      </c>
      <c r="S6" s="252">
        <f xml:space="preserve">
TRUNC(IF($A$4&lt;=12,SUMIFS('ON Data'!W:W,'ON Data'!$D:$D,$A$4,'ON Data'!$E:$E,1),SUMIFS('ON Data'!W:W,'ON Data'!$E:$E,1)/'ON Data'!$D$3),1)</f>
        <v>10</v>
      </c>
      <c r="T6" s="252">
        <f xml:space="preserve">
TRUNC(IF($A$4&lt;=12,SUMIFS('ON Data'!X:X,'ON Data'!$D:$D,$A$4,'ON Data'!$E:$E,1),SUMIFS('ON Data'!X:X,'ON Data'!$E:$E,1)/'ON Data'!$D$3),1)</f>
        <v>0</v>
      </c>
      <c r="U6" s="252">
        <f xml:space="preserve">
TRUNC(IF($A$4&lt;=12,SUMIFS('ON Data'!Y:Y,'ON Data'!$D:$D,$A$4,'ON Data'!$E:$E,1),SUMIFS('ON Data'!Y:Y,'ON Data'!$E:$E,1)/'ON Data'!$D$3),1)</f>
        <v>0</v>
      </c>
      <c r="V6" s="252">
        <f xml:space="preserve">
TRUNC(IF($A$4&lt;=12,SUMIFS('ON Data'!Z:Z,'ON Data'!$D:$D,$A$4,'ON Data'!$E:$E,1),SUMIFS('ON Data'!Z:Z,'ON Data'!$E:$E,1)/'ON Data'!$D$3),1)</f>
        <v>0</v>
      </c>
      <c r="W6" s="252">
        <f xml:space="preserve">
TRUNC(IF($A$4&lt;=12,SUMIFS('ON Data'!AA:AA,'ON Data'!$D:$D,$A$4,'ON Data'!$E:$E,1),SUMIFS('ON Data'!AA:AA,'ON Data'!$E:$E,1)/'ON Data'!$D$3),1)</f>
        <v>0</v>
      </c>
      <c r="X6" s="252">
        <f xml:space="preserve">
TRUNC(IF($A$4&lt;=12,SUMIFS('ON Data'!AB:AB,'ON Data'!$D:$D,$A$4,'ON Data'!$E:$E,1),SUMIFS('ON Data'!AB:AB,'ON Data'!$E:$E,1)/'ON Data'!$D$3),1)</f>
        <v>0</v>
      </c>
      <c r="Y6" s="252">
        <f xml:space="preserve">
TRUNC(IF($A$4&lt;=12,SUMIFS('ON Data'!AC:AC,'ON Data'!$D:$D,$A$4,'ON Data'!$E:$E,1),SUMIFS('ON Data'!AC:AC,'ON Data'!$E:$E,1)/'ON Data'!$D$3),1)</f>
        <v>0</v>
      </c>
      <c r="Z6" s="252">
        <f xml:space="preserve">
TRUNC(IF($A$4&lt;=12,SUMIFS('ON Data'!AD:AD,'ON Data'!$D:$D,$A$4,'ON Data'!$E:$E,1),SUMIFS('ON Data'!AD:AD,'ON Data'!$E:$E,1)/'ON Data'!$D$3),1)</f>
        <v>0</v>
      </c>
      <c r="AA6" s="252">
        <f xml:space="preserve">
TRUNC(IF($A$4&lt;=12,SUMIFS('ON Data'!AE:AE,'ON Data'!$D:$D,$A$4,'ON Data'!$E:$E,1),SUMIFS('ON Data'!AE:AE,'ON Data'!$E:$E,1)/'ON Data'!$D$3),1)</f>
        <v>0</v>
      </c>
      <c r="AB6" s="252">
        <f xml:space="preserve">
TRUNC(IF($A$4&lt;=12,SUMIFS('ON Data'!AF:AF,'ON Data'!$D:$D,$A$4,'ON Data'!$E:$E,1),SUMIFS('ON Data'!AF:AF,'ON Data'!$E:$E,1)/'ON Data'!$D$3),1)</f>
        <v>0</v>
      </c>
      <c r="AC6" s="252">
        <f xml:space="preserve">
TRUNC(IF($A$4&lt;=12,SUMIFS('ON Data'!AG:AG,'ON Data'!$D:$D,$A$4,'ON Data'!$E:$E,1),SUMIFS('ON Data'!AG:AG,'ON Data'!$E:$E,1)/'ON Data'!$D$3),1)</f>
        <v>0</v>
      </c>
      <c r="AD6" s="252">
        <f xml:space="preserve">
TRUNC(IF($A$4&lt;=12,SUMIFS('ON Data'!AH:AH,'ON Data'!$D:$D,$A$4,'ON Data'!$E:$E,1),SUMIFS('ON Data'!AH:AH,'ON Data'!$E:$E,1)/'ON Data'!$D$3),1)</f>
        <v>0</v>
      </c>
      <c r="AE6" s="252">
        <f xml:space="preserve">
TRUNC(IF($A$4&lt;=12,SUMIFS('ON Data'!AI:AI,'ON Data'!$D:$D,$A$4,'ON Data'!$E:$E,1),SUMIFS('ON Data'!AI:AI,'ON Data'!$E:$E,1)/'ON Data'!$D$3),1)</f>
        <v>0</v>
      </c>
      <c r="AF6" s="252">
        <f xml:space="preserve">
TRUNC(IF($A$4&lt;=12,SUMIFS('ON Data'!AJ:AJ,'ON Data'!$D:$D,$A$4,'ON Data'!$E:$E,1),SUMIFS('ON Data'!AJ:AJ,'ON Data'!$E:$E,1)/'ON Data'!$D$3),1)</f>
        <v>0</v>
      </c>
      <c r="AG6" s="252">
        <f xml:space="preserve">
TRUNC(IF($A$4&lt;=12,SUMIFS('ON Data'!AK:AK,'ON Data'!$D:$D,$A$4,'ON Data'!$E:$E,1),SUMIFS('ON Data'!AK:AK,'ON Data'!$E:$E,1)/'ON Data'!$D$3),1)</f>
        <v>0</v>
      </c>
      <c r="AH6" s="252">
        <f xml:space="preserve">
TRUNC(IF($A$4&lt;=12,SUMIFS('ON Data'!AL:AL,'ON Data'!$D:$D,$A$4,'ON Data'!$E:$E,1),SUMIFS('ON Data'!AL:AL,'ON Data'!$E:$E,1)/'ON Data'!$D$3),1)</f>
        <v>4</v>
      </c>
      <c r="AI6" s="252">
        <f xml:space="preserve">
TRUNC(IF($A$4&lt;=12,SUMIFS('ON Data'!AM:AM,'ON Data'!$D:$D,$A$4,'ON Data'!$E:$E,1),SUMIFS('ON Data'!AM:AM,'ON Data'!$E:$E,1)/'ON Data'!$D$3),1)</f>
        <v>0</v>
      </c>
      <c r="AJ6" s="252">
        <f xml:space="preserve">
TRUNC(IF($A$4&lt;=12,SUMIFS('ON Data'!AN:AN,'ON Data'!$D:$D,$A$4,'ON Data'!$E:$E,1),SUMIFS('ON Data'!AN:AN,'ON Data'!$E:$E,1)/'ON Data'!$D$3),1)</f>
        <v>0</v>
      </c>
      <c r="AK6" s="252">
        <f xml:space="preserve">
TRUNC(IF($A$4&lt;=12,SUMIFS('ON Data'!AO:AO,'ON Data'!$D:$D,$A$4,'ON Data'!$E:$E,1),SUMIFS('ON Data'!AO:AO,'ON Data'!$E:$E,1)/'ON Data'!$D$3),1)</f>
        <v>0</v>
      </c>
      <c r="AL6" s="252">
        <f xml:space="preserve">
TRUNC(IF($A$4&lt;=12,SUMIFS('ON Data'!AP:AP,'ON Data'!$D:$D,$A$4,'ON Data'!$E:$E,1),SUMIFS('ON Data'!AP:AP,'ON Data'!$E:$E,1)/'ON Data'!$D$3),1)</f>
        <v>0</v>
      </c>
      <c r="AM6" s="252">
        <f xml:space="preserve">
TRUNC(IF($A$4&lt;=12,SUMIFS('ON Data'!AQ:AQ,'ON Data'!$D:$D,$A$4,'ON Data'!$E:$E,1),SUMIFS('ON Data'!AQ:AQ,'ON Data'!$E:$E,1)/'ON Data'!$D$3),1)</f>
        <v>0</v>
      </c>
      <c r="AN6" s="252">
        <f xml:space="preserve">
TRUNC(IF($A$4&lt;=12,SUMIFS('ON Data'!AR:AR,'ON Data'!$D:$D,$A$4,'ON Data'!$E:$E,1),SUMIFS('ON Data'!AR:AR,'ON Data'!$E:$E,1)/'ON Data'!$D$3),1)</f>
        <v>0</v>
      </c>
      <c r="AO6" s="252">
        <f xml:space="preserve">
TRUNC(IF($A$4&lt;=12,SUMIFS('ON Data'!AS:AS,'ON Data'!$D:$D,$A$4,'ON Data'!$E:$E,1),SUMIFS('ON Data'!AS:AS,'ON Data'!$E:$E,1)/'ON Data'!$D$3),1)</f>
        <v>0</v>
      </c>
      <c r="AP6" s="252">
        <f xml:space="preserve">
TRUNC(IF($A$4&lt;=12,SUMIFS('ON Data'!AT:AT,'ON Data'!$D:$D,$A$4,'ON Data'!$E:$E,1),SUMIFS('ON Data'!AT:AT,'ON Data'!$E:$E,1)/'ON Data'!$D$3),1)</f>
        <v>5</v>
      </c>
      <c r="AQ6" s="252">
        <f xml:space="preserve">
TRUNC(IF($A$4&lt;=12,SUMIFS('ON Data'!AU:AU,'ON Data'!$D:$D,$A$4,'ON Data'!$E:$E,1),SUMIFS('ON Data'!AU:AU,'ON Data'!$E:$E,1)/'ON Data'!$D$3),1)</f>
        <v>0</v>
      </c>
      <c r="AR6" s="252">
        <f xml:space="preserve">
TRUNC(IF($A$4&lt;=12,SUMIFS('ON Data'!AV:AV,'ON Data'!$D:$D,$A$4,'ON Data'!$E:$E,1),SUMIFS('ON Data'!AV:AV,'ON Data'!$E:$E,1)/'ON Data'!$D$3),1)</f>
        <v>0</v>
      </c>
      <c r="AS6" s="475">
        <f xml:space="preserve">
TRUNC(IF($A$4&lt;=12,SUMIFS('ON Data'!AW:AW,'ON Data'!$D:$D,$A$4,'ON Data'!$E:$E,1),SUMIFS('ON Data'!AW:AW,'ON Data'!$E:$E,1)/'ON Data'!$D$3),1)</f>
        <v>0</v>
      </c>
      <c r="AT6" s="487"/>
    </row>
    <row r="7" spans="1:46" ht="15" hidden="1" outlineLevel="1" thickBot="1" x14ac:dyDescent="0.35">
      <c r="A7" s="210" t="s">
        <v>93</v>
      </c>
      <c r="B7" s="250"/>
      <c r="C7" s="253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  <c r="AK7" s="252"/>
      <c r="AL7" s="252"/>
      <c r="AM7" s="252"/>
      <c r="AN7" s="253"/>
      <c r="AO7" s="252"/>
      <c r="AP7" s="252"/>
      <c r="AQ7" s="252"/>
      <c r="AR7" s="252"/>
      <c r="AS7" s="475"/>
      <c r="AT7" s="487"/>
    </row>
    <row r="8" spans="1:46" ht="15" hidden="1" outlineLevel="1" thickBot="1" x14ac:dyDescent="0.35">
      <c r="A8" s="210" t="s">
        <v>61</v>
      </c>
      <c r="B8" s="250"/>
      <c r="C8" s="253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252"/>
      <c r="AL8" s="252"/>
      <c r="AM8" s="252"/>
      <c r="AN8" s="253"/>
      <c r="AO8" s="252"/>
      <c r="AP8" s="252"/>
      <c r="AQ8" s="252"/>
      <c r="AR8" s="252"/>
      <c r="AS8" s="475"/>
      <c r="AT8" s="487"/>
    </row>
    <row r="9" spans="1:46" ht="15" hidden="1" outlineLevel="1" thickBot="1" x14ac:dyDescent="0.35">
      <c r="A9" s="211" t="s">
        <v>54</v>
      </c>
      <c r="B9" s="254"/>
      <c r="C9" s="255"/>
      <c r="D9" s="256"/>
      <c r="E9" s="256"/>
      <c r="F9" s="256"/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256"/>
      <c r="Z9" s="256"/>
      <c r="AA9" s="256"/>
      <c r="AB9" s="256"/>
      <c r="AC9" s="256"/>
      <c r="AD9" s="256"/>
      <c r="AE9" s="256"/>
      <c r="AF9" s="256"/>
      <c r="AG9" s="256"/>
      <c r="AH9" s="256"/>
      <c r="AI9" s="256"/>
      <c r="AJ9" s="256"/>
      <c r="AK9" s="256"/>
      <c r="AL9" s="256"/>
      <c r="AM9" s="256"/>
      <c r="AN9" s="255"/>
      <c r="AO9" s="256"/>
      <c r="AP9" s="256"/>
      <c r="AQ9" s="256"/>
      <c r="AR9" s="256"/>
      <c r="AS9" s="476"/>
      <c r="AT9" s="487"/>
    </row>
    <row r="10" spans="1:46" x14ac:dyDescent="0.3">
      <c r="A10" s="212" t="s">
        <v>153</v>
      </c>
      <c r="B10" s="227"/>
      <c r="C10" s="228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229"/>
      <c r="AJ10" s="229"/>
      <c r="AK10" s="229"/>
      <c r="AL10" s="229"/>
      <c r="AM10" s="229"/>
      <c r="AN10" s="293"/>
      <c r="AO10" s="229"/>
      <c r="AP10" s="229"/>
      <c r="AQ10" s="229"/>
      <c r="AR10" s="229"/>
      <c r="AS10" s="477"/>
      <c r="AT10" s="487"/>
    </row>
    <row r="11" spans="1:46" x14ac:dyDescent="0.3">
      <c r="A11" s="213" t="s">
        <v>154</v>
      </c>
      <c r="B11" s="230">
        <f xml:space="preserve">
IF($A$4&lt;=12,SUMIFS('ON Data'!F:F,'ON Data'!$D:$D,$A$4,'ON Data'!$E:$E,2),SUMIFS('ON Data'!F:F,'ON Data'!$E:$E,2))</f>
        <v>7671.6</v>
      </c>
      <c r="C11" s="231">
        <f xml:space="preserve">
IF($A$4&lt;=12,SUMIFS('ON Data'!G:G,'ON Data'!$D:$D,$A$4,'ON Data'!$E:$E,2),SUMIFS('ON Data'!G:G,'ON Data'!$E:$E,2))</f>
        <v>0</v>
      </c>
      <c r="D11" s="232">
        <f xml:space="preserve">
IF($A$4&lt;=12,SUMIFS('ON Data'!H:H,'ON Data'!$D:$D,$A$4,'ON Data'!$E:$E,2),SUMIFS('ON Data'!H:H,'ON Data'!$E:$E,2))</f>
        <v>128</v>
      </c>
      <c r="E11" s="232"/>
      <c r="F11" s="232">
        <f xml:space="preserve">
IF($A$4&lt;=12,SUMIFS('ON Data'!J:J,'ON Data'!$D:$D,$A$4,'ON Data'!$E:$E,2),SUMIFS('ON Data'!J:J,'ON Data'!$E:$E,2))</f>
        <v>328</v>
      </c>
      <c r="G11" s="232">
        <f xml:space="preserve">
IF($A$4&lt;=12,SUMIFS('ON Data'!K:K,'ON Data'!$D:$D,$A$4,'ON Data'!$E:$E,2),SUMIFS('ON Data'!K:K,'ON Data'!$E:$E,2))</f>
        <v>0</v>
      </c>
      <c r="H11" s="232">
        <f xml:space="preserve">
IF($A$4&lt;=12,SUMIFS('ON Data'!L:L,'ON Data'!$D:$D,$A$4,'ON Data'!$E:$E,2),SUMIFS('ON Data'!L:L,'ON Data'!$E:$E,2))</f>
        <v>1276</v>
      </c>
      <c r="I11" s="232">
        <f xml:space="preserve">
IF($A$4&lt;=12,SUMIFS('ON Data'!M:M,'ON Data'!$D:$D,$A$4,'ON Data'!$E:$E,2),SUMIFS('ON Data'!M:M,'ON Data'!$E:$E,2))</f>
        <v>0</v>
      </c>
      <c r="J11" s="232">
        <f xml:space="preserve">
IF($A$4&lt;=12,SUMIFS('ON Data'!N:N,'ON Data'!$D:$D,$A$4,'ON Data'!$E:$E,2),SUMIFS('ON Data'!N:N,'ON Data'!$E:$E,2))</f>
        <v>0</v>
      </c>
      <c r="K11" s="232">
        <f xml:space="preserve">
IF($A$4&lt;=12,SUMIFS('ON Data'!O:O,'ON Data'!$D:$D,$A$4,'ON Data'!$E:$E,2),SUMIFS('ON Data'!O:O,'ON Data'!$E:$E,2))</f>
        <v>0</v>
      </c>
      <c r="L11" s="232">
        <f xml:space="preserve">
IF($A$4&lt;=12,SUMIFS('ON Data'!P:P,'ON Data'!$D:$D,$A$4,'ON Data'!$E:$E,2),SUMIFS('ON Data'!P:P,'ON Data'!$E:$E,2))</f>
        <v>0</v>
      </c>
      <c r="M11" s="232">
        <f xml:space="preserve">
IF($A$4&lt;=12,SUMIFS('ON Data'!Q:Q,'ON Data'!$D:$D,$A$4,'ON Data'!$E:$E,2),SUMIFS('ON Data'!Q:Q,'ON Data'!$E:$E,2))</f>
        <v>0</v>
      </c>
      <c r="N11" s="232">
        <f xml:space="preserve">
IF($A$4&lt;=12,SUMIFS('ON Data'!R:R,'ON Data'!$D:$D,$A$4,'ON Data'!$E:$E,2),SUMIFS('ON Data'!R:R,'ON Data'!$E:$E,2))</f>
        <v>0</v>
      </c>
      <c r="O11" s="232">
        <f xml:space="preserve">
IF($A$4&lt;=12,SUMIFS('ON Data'!S:S,'ON Data'!$D:$D,$A$4,'ON Data'!$E:$E,2),SUMIFS('ON Data'!S:S,'ON Data'!$E:$E,2))</f>
        <v>0</v>
      </c>
      <c r="P11" s="232">
        <f xml:space="preserve">
IF($A$4&lt;=12,SUMIFS('ON Data'!T:T,'ON Data'!$D:$D,$A$4,'ON Data'!$E:$E,2),SUMIFS('ON Data'!T:T,'ON Data'!$E:$E,2))</f>
        <v>0</v>
      </c>
      <c r="Q11" s="232">
        <f xml:space="preserve">
IF($A$4&lt;=12,SUMIFS('ON Data'!U:U,'ON Data'!$D:$D,$A$4,'ON Data'!$E:$E,2),SUMIFS('ON Data'!U:U,'ON Data'!$E:$E,2))</f>
        <v>0</v>
      </c>
      <c r="R11" s="232">
        <f xml:space="preserve">
IF($A$4&lt;=12,SUMIFS('ON Data'!V:V,'ON Data'!$D:$D,$A$4,'ON Data'!$E:$E,2),SUMIFS('ON Data'!V:V,'ON Data'!$E:$E,2))</f>
        <v>0</v>
      </c>
      <c r="S11" s="232">
        <f xml:space="preserve">
IF($A$4&lt;=12,SUMIFS('ON Data'!W:W,'ON Data'!$D:$D,$A$4,'ON Data'!$E:$E,2),SUMIFS('ON Data'!W:W,'ON Data'!$E:$E,2))</f>
        <v>2504</v>
      </c>
      <c r="T11" s="232">
        <f xml:space="preserve">
IF($A$4&lt;=12,SUMIFS('ON Data'!X:X,'ON Data'!$D:$D,$A$4,'ON Data'!$E:$E,2),SUMIFS('ON Data'!X:X,'ON Data'!$E:$E,2))</f>
        <v>0</v>
      </c>
      <c r="U11" s="232">
        <f xml:space="preserve">
IF($A$4&lt;=12,SUMIFS('ON Data'!Y:Y,'ON Data'!$D:$D,$A$4,'ON Data'!$E:$E,2),SUMIFS('ON Data'!Y:Y,'ON Data'!$E:$E,2))</f>
        <v>0</v>
      </c>
      <c r="V11" s="232">
        <f xml:space="preserve">
IF($A$4&lt;=12,SUMIFS('ON Data'!Z:Z,'ON Data'!$D:$D,$A$4,'ON Data'!$E:$E,2),SUMIFS('ON Data'!Z:Z,'ON Data'!$E:$E,2))</f>
        <v>0</v>
      </c>
      <c r="W11" s="232">
        <f xml:space="preserve">
IF($A$4&lt;=12,SUMIFS('ON Data'!AA:AA,'ON Data'!$D:$D,$A$4,'ON Data'!$E:$E,2),SUMIFS('ON Data'!AA:AA,'ON Data'!$E:$E,2))</f>
        <v>0</v>
      </c>
      <c r="X11" s="232">
        <f xml:space="preserve">
IF($A$4&lt;=12,SUMIFS('ON Data'!AB:AB,'ON Data'!$D:$D,$A$4,'ON Data'!$E:$E,2),SUMIFS('ON Data'!AB:AB,'ON Data'!$E:$E,2))</f>
        <v>0</v>
      </c>
      <c r="Y11" s="232">
        <f xml:space="preserve">
IF($A$4&lt;=12,SUMIFS('ON Data'!AC:AC,'ON Data'!$D:$D,$A$4,'ON Data'!$E:$E,2),SUMIFS('ON Data'!AC:AC,'ON Data'!$E:$E,2))</f>
        <v>0</v>
      </c>
      <c r="Z11" s="232">
        <f xml:space="preserve">
IF($A$4&lt;=12,SUMIFS('ON Data'!AD:AD,'ON Data'!$D:$D,$A$4,'ON Data'!$E:$E,2),SUMIFS('ON Data'!AD:AD,'ON Data'!$E:$E,2))</f>
        <v>0</v>
      </c>
      <c r="AA11" s="232"/>
      <c r="AB11" s="232">
        <f xml:space="preserve">
IF($A$4&lt;=12,SUMIFS('ON Data'!AF:AF,'ON Data'!$D:$D,$A$4,'ON Data'!$E:$E,2),SUMIFS('ON Data'!AF:AF,'ON Data'!$E:$E,2))</f>
        <v>0</v>
      </c>
      <c r="AC11" s="232">
        <f xml:space="preserve">
IF($A$4&lt;=12,SUMIFS('ON Data'!AG:AG,'ON Data'!$D:$D,$A$4,'ON Data'!$E:$E,2),SUMIFS('ON Data'!AG:AG,'ON Data'!$E:$E,2))</f>
        <v>0</v>
      </c>
      <c r="AD11" s="232">
        <f xml:space="preserve">
IF($A$4&lt;=12,SUMIFS('ON Data'!AH:AH,'ON Data'!$D:$D,$A$4,'ON Data'!$E:$E,2),SUMIFS('ON Data'!AH:AH,'ON Data'!$E:$E,2))</f>
        <v>0</v>
      </c>
      <c r="AE11" s="232">
        <f xml:space="preserve">
IF($A$4&lt;=12,SUMIFS('ON Data'!AI:AI,'ON Data'!$D:$D,$A$4,'ON Data'!$E:$E,2),SUMIFS('ON Data'!AI:AI,'ON Data'!$E:$E,2))</f>
        <v>0</v>
      </c>
      <c r="AF11" s="232">
        <f xml:space="preserve">
IF($A$4&lt;=12,SUMIFS('ON Data'!AJ:AJ,'ON Data'!$D:$D,$A$4,'ON Data'!$E:$E,2),SUMIFS('ON Data'!AJ:AJ,'ON Data'!$E:$E,2))</f>
        <v>0</v>
      </c>
      <c r="AG11" s="232">
        <f xml:space="preserve">
IF($A$4&lt;=12,SUMIFS('ON Data'!AK:AK,'ON Data'!$D:$D,$A$4,'ON Data'!$E:$E,2),SUMIFS('ON Data'!AK:AK,'ON Data'!$E:$E,2))</f>
        <v>0</v>
      </c>
      <c r="AH11" s="232">
        <f xml:space="preserve">
IF($A$4&lt;=12,SUMIFS('ON Data'!AL:AL,'ON Data'!$D:$D,$A$4,'ON Data'!$E:$E,2),SUMIFS('ON Data'!AL:AL,'ON Data'!$E:$E,2))</f>
        <v>1241.5999999999999</v>
      </c>
      <c r="AI11" s="232">
        <f xml:space="preserve">
IF($A$4&lt;=12,SUMIFS('ON Data'!AM:AM,'ON Data'!$D:$D,$A$4,'ON Data'!$E:$E,2),SUMIFS('ON Data'!AM:AM,'ON Data'!$E:$E,2))</f>
        <v>0</v>
      </c>
      <c r="AJ11" s="232">
        <f xml:space="preserve">
IF($A$4&lt;=12,SUMIFS('ON Data'!AN:AN,'ON Data'!$D:$D,$A$4,'ON Data'!$E:$E,2),SUMIFS('ON Data'!AN:AN,'ON Data'!$E:$E,2))</f>
        <v>0</v>
      </c>
      <c r="AK11" s="232">
        <f xml:space="preserve">
IF($A$4&lt;=12,SUMIFS('ON Data'!AO:AO,'ON Data'!$D:$D,$A$4,'ON Data'!$E:$E,2),SUMIFS('ON Data'!AO:AO,'ON Data'!$E:$E,2))</f>
        <v>0</v>
      </c>
      <c r="AL11" s="232">
        <f xml:space="preserve">
IF($A$4&lt;=12,SUMIFS('ON Data'!AP:AP,'ON Data'!$D:$D,$A$4,'ON Data'!$E:$E,2),SUMIFS('ON Data'!AP:AP,'ON Data'!$E:$E,2))</f>
        <v>0</v>
      </c>
      <c r="AM11" s="232">
        <f xml:space="preserve">
IF($A$4&lt;=12,SUMIFS('ON Data'!AQ:AQ,'ON Data'!$D:$D,$A$4,'ON Data'!$E:$E,2),SUMIFS('ON Data'!AQ:AQ,'ON Data'!$E:$E,2))</f>
        <v>0</v>
      </c>
      <c r="AN11" s="231">
        <f xml:space="preserve">
IF($A$4&lt;=12,SUMIFS('ON Data'!AR:AR,'ON Data'!$D:$D,$A$4,'ON Data'!$E:$E,2),SUMIFS('ON Data'!AR:AR,'ON Data'!$E:$E,2))</f>
        <v>0</v>
      </c>
      <c r="AO11" s="232">
        <f xml:space="preserve">
IF($A$4&lt;=12,SUMIFS('ON Data'!AS:AS,'ON Data'!$D:$D,$A$4,'ON Data'!$E:$E,2),SUMIFS('ON Data'!AS:AS,'ON Data'!$E:$E,2))</f>
        <v>0</v>
      </c>
      <c r="AP11" s="232">
        <f xml:space="preserve">
IF($A$4&lt;=12,SUMIFS('ON Data'!AT:AT,'ON Data'!$D:$D,$A$4,'ON Data'!$E:$E,2),SUMIFS('ON Data'!AT:AT,'ON Data'!$E:$E,2))</f>
        <v>1388</v>
      </c>
      <c r="AQ11" s="232">
        <f xml:space="preserve">
IF($A$4&lt;=12,SUMIFS('ON Data'!AU:AU,'ON Data'!$D:$D,$A$4,'ON Data'!$E:$E,2),SUMIFS('ON Data'!AU:AU,'ON Data'!$E:$E,2))</f>
        <v>0</v>
      </c>
      <c r="AR11" s="232">
        <f xml:space="preserve">
IF($A$4&lt;=12,SUMIFS('ON Data'!AV:AV,'ON Data'!$D:$D,$A$4,'ON Data'!$E:$E,2),SUMIFS('ON Data'!AV:AV,'ON Data'!$E:$E,2))</f>
        <v>0</v>
      </c>
      <c r="AS11" s="478">
        <f xml:space="preserve">
IF($A$4&lt;=12,SUMIFS('ON Data'!AW:AW,'ON Data'!$D:$D,$A$4,'ON Data'!$E:$E,2),SUMIFS('ON Data'!AW:AW,'ON Data'!$E:$E,2))</f>
        <v>0</v>
      </c>
      <c r="AT11" s="487"/>
    </row>
    <row r="12" spans="1:46" x14ac:dyDescent="0.3">
      <c r="A12" s="213" t="s">
        <v>155</v>
      </c>
      <c r="B12" s="230">
        <f xml:space="preserve">
IF($A$4&lt;=12,SUMIFS('ON Data'!F:F,'ON Data'!$D:$D,$A$4,'ON Data'!$E:$E,3),SUMIFS('ON Data'!F:F,'ON Data'!$E:$E,3))</f>
        <v>118.39999999999999</v>
      </c>
      <c r="C12" s="231">
        <f xml:space="preserve">
IF($A$4&lt;=12,SUMIFS('ON Data'!G:G,'ON Data'!$D:$D,$A$4,'ON Data'!$E:$E,3),SUMIFS('ON Data'!G:G,'ON Data'!$E:$E,3))</f>
        <v>0</v>
      </c>
      <c r="D12" s="232">
        <f xml:space="preserve">
IF($A$4&lt;=12,SUMIFS('ON Data'!H:H,'ON Data'!$D:$D,$A$4,'ON Data'!$E:$E,3),SUMIFS('ON Data'!H:H,'ON Data'!$E:$E,3))</f>
        <v>0</v>
      </c>
      <c r="E12" s="232"/>
      <c r="F12" s="232">
        <f xml:space="preserve">
IF($A$4&lt;=12,SUMIFS('ON Data'!J:J,'ON Data'!$D:$D,$A$4,'ON Data'!$E:$E,3),SUMIFS('ON Data'!J:J,'ON Data'!$E:$E,3))</f>
        <v>0</v>
      </c>
      <c r="G12" s="232">
        <f xml:space="preserve">
IF($A$4&lt;=12,SUMIFS('ON Data'!K:K,'ON Data'!$D:$D,$A$4,'ON Data'!$E:$E,3),SUMIFS('ON Data'!K:K,'ON Data'!$E:$E,3))</f>
        <v>0</v>
      </c>
      <c r="H12" s="232">
        <f xml:space="preserve">
IF($A$4&lt;=12,SUMIFS('ON Data'!L:L,'ON Data'!$D:$D,$A$4,'ON Data'!$E:$E,3),SUMIFS('ON Data'!L:L,'ON Data'!$E:$E,3))</f>
        <v>0</v>
      </c>
      <c r="I12" s="232">
        <f xml:space="preserve">
IF($A$4&lt;=12,SUMIFS('ON Data'!M:M,'ON Data'!$D:$D,$A$4,'ON Data'!$E:$E,3),SUMIFS('ON Data'!M:M,'ON Data'!$E:$E,3))</f>
        <v>0</v>
      </c>
      <c r="J12" s="232">
        <f xml:space="preserve">
IF($A$4&lt;=12,SUMIFS('ON Data'!N:N,'ON Data'!$D:$D,$A$4,'ON Data'!$E:$E,3),SUMIFS('ON Data'!N:N,'ON Data'!$E:$E,3))</f>
        <v>0</v>
      </c>
      <c r="K12" s="232">
        <f xml:space="preserve">
IF($A$4&lt;=12,SUMIFS('ON Data'!O:O,'ON Data'!$D:$D,$A$4,'ON Data'!$E:$E,3),SUMIFS('ON Data'!O:O,'ON Data'!$E:$E,3))</f>
        <v>0</v>
      </c>
      <c r="L12" s="232">
        <f xml:space="preserve">
IF($A$4&lt;=12,SUMIFS('ON Data'!P:P,'ON Data'!$D:$D,$A$4,'ON Data'!$E:$E,3),SUMIFS('ON Data'!P:P,'ON Data'!$E:$E,3))</f>
        <v>0</v>
      </c>
      <c r="M12" s="232">
        <f xml:space="preserve">
IF($A$4&lt;=12,SUMIFS('ON Data'!Q:Q,'ON Data'!$D:$D,$A$4,'ON Data'!$E:$E,3),SUMIFS('ON Data'!Q:Q,'ON Data'!$E:$E,3))</f>
        <v>0</v>
      </c>
      <c r="N12" s="232">
        <f xml:space="preserve">
IF($A$4&lt;=12,SUMIFS('ON Data'!R:R,'ON Data'!$D:$D,$A$4,'ON Data'!$E:$E,3),SUMIFS('ON Data'!R:R,'ON Data'!$E:$E,3))</f>
        <v>0</v>
      </c>
      <c r="O12" s="232">
        <f xml:space="preserve">
IF($A$4&lt;=12,SUMIFS('ON Data'!S:S,'ON Data'!$D:$D,$A$4,'ON Data'!$E:$E,3),SUMIFS('ON Data'!S:S,'ON Data'!$E:$E,3))</f>
        <v>0</v>
      </c>
      <c r="P12" s="232">
        <f xml:space="preserve">
IF($A$4&lt;=12,SUMIFS('ON Data'!T:T,'ON Data'!$D:$D,$A$4,'ON Data'!$E:$E,3),SUMIFS('ON Data'!T:T,'ON Data'!$E:$E,3))</f>
        <v>0</v>
      </c>
      <c r="Q12" s="232">
        <f xml:space="preserve">
IF($A$4&lt;=12,SUMIFS('ON Data'!U:U,'ON Data'!$D:$D,$A$4,'ON Data'!$E:$E,3),SUMIFS('ON Data'!U:U,'ON Data'!$E:$E,3))</f>
        <v>0</v>
      </c>
      <c r="R12" s="232">
        <f xml:space="preserve">
IF($A$4&lt;=12,SUMIFS('ON Data'!V:V,'ON Data'!$D:$D,$A$4,'ON Data'!$E:$E,3),SUMIFS('ON Data'!V:V,'ON Data'!$E:$E,3))</f>
        <v>0</v>
      </c>
      <c r="S12" s="232">
        <f xml:space="preserve">
IF($A$4&lt;=12,SUMIFS('ON Data'!W:W,'ON Data'!$D:$D,$A$4,'ON Data'!$E:$E,3),SUMIFS('ON Data'!W:W,'ON Data'!$E:$E,3))</f>
        <v>0</v>
      </c>
      <c r="T12" s="232">
        <f xml:space="preserve">
IF($A$4&lt;=12,SUMIFS('ON Data'!X:X,'ON Data'!$D:$D,$A$4,'ON Data'!$E:$E,3),SUMIFS('ON Data'!X:X,'ON Data'!$E:$E,3))</f>
        <v>0</v>
      </c>
      <c r="U12" s="232">
        <f xml:space="preserve">
IF($A$4&lt;=12,SUMIFS('ON Data'!Y:Y,'ON Data'!$D:$D,$A$4,'ON Data'!$E:$E,3),SUMIFS('ON Data'!Y:Y,'ON Data'!$E:$E,3))</f>
        <v>0</v>
      </c>
      <c r="V12" s="232">
        <f xml:space="preserve">
IF($A$4&lt;=12,SUMIFS('ON Data'!Z:Z,'ON Data'!$D:$D,$A$4,'ON Data'!$E:$E,3),SUMIFS('ON Data'!Z:Z,'ON Data'!$E:$E,3))</f>
        <v>0</v>
      </c>
      <c r="W12" s="232">
        <f xml:space="preserve">
IF($A$4&lt;=12,SUMIFS('ON Data'!AA:AA,'ON Data'!$D:$D,$A$4,'ON Data'!$E:$E,3),SUMIFS('ON Data'!AA:AA,'ON Data'!$E:$E,3))</f>
        <v>0</v>
      </c>
      <c r="X12" s="232">
        <f xml:space="preserve">
IF($A$4&lt;=12,SUMIFS('ON Data'!AB:AB,'ON Data'!$D:$D,$A$4,'ON Data'!$E:$E,3),SUMIFS('ON Data'!AB:AB,'ON Data'!$E:$E,3))</f>
        <v>0</v>
      </c>
      <c r="Y12" s="232">
        <f xml:space="preserve">
IF($A$4&lt;=12,SUMIFS('ON Data'!AC:AC,'ON Data'!$D:$D,$A$4,'ON Data'!$E:$E,3),SUMIFS('ON Data'!AC:AC,'ON Data'!$E:$E,3))</f>
        <v>0</v>
      </c>
      <c r="Z12" s="232">
        <f xml:space="preserve">
IF($A$4&lt;=12,SUMIFS('ON Data'!AD:AD,'ON Data'!$D:$D,$A$4,'ON Data'!$E:$E,3),SUMIFS('ON Data'!AD:AD,'ON Data'!$E:$E,3))</f>
        <v>0</v>
      </c>
      <c r="AA12" s="232"/>
      <c r="AB12" s="232">
        <f xml:space="preserve">
IF($A$4&lt;=12,SUMIFS('ON Data'!AF:AF,'ON Data'!$D:$D,$A$4,'ON Data'!$E:$E,3),SUMIFS('ON Data'!AF:AF,'ON Data'!$E:$E,3))</f>
        <v>0</v>
      </c>
      <c r="AC12" s="232">
        <f xml:space="preserve">
IF($A$4&lt;=12,SUMIFS('ON Data'!AG:AG,'ON Data'!$D:$D,$A$4,'ON Data'!$E:$E,3),SUMIFS('ON Data'!AG:AG,'ON Data'!$E:$E,3))</f>
        <v>0</v>
      </c>
      <c r="AD12" s="232">
        <f xml:space="preserve">
IF($A$4&lt;=12,SUMIFS('ON Data'!AH:AH,'ON Data'!$D:$D,$A$4,'ON Data'!$E:$E,3),SUMIFS('ON Data'!AH:AH,'ON Data'!$E:$E,3))</f>
        <v>0</v>
      </c>
      <c r="AE12" s="232">
        <f xml:space="preserve">
IF($A$4&lt;=12,SUMIFS('ON Data'!AI:AI,'ON Data'!$D:$D,$A$4,'ON Data'!$E:$E,3),SUMIFS('ON Data'!AI:AI,'ON Data'!$E:$E,3))</f>
        <v>0</v>
      </c>
      <c r="AF12" s="232">
        <f xml:space="preserve">
IF($A$4&lt;=12,SUMIFS('ON Data'!AJ:AJ,'ON Data'!$D:$D,$A$4,'ON Data'!$E:$E,3),SUMIFS('ON Data'!AJ:AJ,'ON Data'!$E:$E,3))</f>
        <v>0</v>
      </c>
      <c r="AG12" s="232">
        <f xml:space="preserve">
IF($A$4&lt;=12,SUMIFS('ON Data'!AK:AK,'ON Data'!$D:$D,$A$4,'ON Data'!$E:$E,3),SUMIFS('ON Data'!AK:AK,'ON Data'!$E:$E,3))</f>
        <v>0</v>
      </c>
      <c r="AH12" s="232">
        <f xml:space="preserve">
IF($A$4&lt;=12,SUMIFS('ON Data'!AL:AL,'ON Data'!$D:$D,$A$4,'ON Data'!$E:$E,3),SUMIFS('ON Data'!AL:AL,'ON Data'!$E:$E,3))</f>
        <v>118.39999999999999</v>
      </c>
      <c r="AI12" s="232">
        <f xml:space="preserve">
IF($A$4&lt;=12,SUMIFS('ON Data'!AM:AM,'ON Data'!$D:$D,$A$4,'ON Data'!$E:$E,3),SUMIFS('ON Data'!AM:AM,'ON Data'!$E:$E,3))</f>
        <v>0</v>
      </c>
      <c r="AJ12" s="232">
        <f xml:space="preserve">
IF($A$4&lt;=12,SUMIFS('ON Data'!AN:AN,'ON Data'!$D:$D,$A$4,'ON Data'!$E:$E,3),SUMIFS('ON Data'!AN:AN,'ON Data'!$E:$E,3))</f>
        <v>0</v>
      </c>
      <c r="AK12" s="232">
        <f xml:space="preserve">
IF($A$4&lt;=12,SUMIFS('ON Data'!AO:AO,'ON Data'!$D:$D,$A$4,'ON Data'!$E:$E,3),SUMIFS('ON Data'!AO:AO,'ON Data'!$E:$E,3))</f>
        <v>0</v>
      </c>
      <c r="AL12" s="232">
        <f xml:space="preserve">
IF($A$4&lt;=12,SUMIFS('ON Data'!AP:AP,'ON Data'!$D:$D,$A$4,'ON Data'!$E:$E,3),SUMIFS('ON Data'!AP:AP,'ON Data'!$E:$E,3))</f>
        <v>0</v>
      </c>
      <c r="AM12" s="232">
        <f xml:space="preserve">
IF($A$4&lt;=12,SUMIFS('ON Data'!AQ:AQ,'ON Data'!$D:$D,$A$4,'ON Data'!$E:$E,3),SUMIFS('ON Data'!AQ:AQ,'ON Data'!$E:$E,3))</f>
        <v>0</v>
      </c>
      <c r="AN12" s="231">
        <f xml:space="preserve">
IF($A$4&lt;=12,SUMIFS('ON Data'!AR:AR,'ON Data'!$D:$D,$A$4,'ON Data'!$E:$E,3),SUMIFS('ON Data'!AR:AR,'ON Data'!$E:$E,3))</f>
        <v>0</v>
      </c>
      <c r="AO12" s="232">
        <f xml:space="preserve">
IF($A$4&lt;=12,SUMIFS('ON Data'!AS:AS,'ON Data'!$D:$D,$A$4,'ON Data'!$E:$E,3),SUMIFS('ON Data'!AS:AS,'ON Data'!$E:$E,3))</f>
        <v>0</v>
      </c>
      <c r="AP12" s="232">
        <f xml:space="preserve">
IF($A$4&lt;=12,SUMIFS('ON Data'!AT:AT,'ON Data'!$D:$D,$A$4,'ON Data'!$E:$E,3),SUMIFS('ON Data'!AT:AT,'ON Data'!$E:$E,3))</f>
        <v>0</v>
      </c>
      <c r="AQ12" s="232">
        <f xml:space="preserve">
IF($A$4&lt;=12,SUMIFS('ON Data'!AU:AU,'ON Data'!$D:$D,$A$4,'ON Data'!$E:$E,3),SUMIFS('ON Data'!AU:AU,'ON Data'!$E:$E,3))</f>
        <v>0</v>
      </c>
      <c r="AR12" s="232">
        <f xml:space="preserve">
IF($A$4&lt;=12,SUMIFS('ON Data'!AV:AV,'ON Data'!$D:$D,$A$4,'ON Data'!$E:$E,3),SUMIFS('ON Data'!AV:AV,'ON Data'!$E:$E,3))</f>
        <v>0</v>
      </c>
      <c r="AS12" s="478">
        <f xml:space="preserve">
IF($A$4&lt;=12,SUMIFS('ON Data'!AW:AW,'ON Data'!$D:$D,$A$4,'ON Data'!$E:$E,3),SUMIFS('ON Data'!AW:AW,'ON Data'!$E:$E,3))</f>
        <v>0</v>
      </c>
      <c r="AT12" s="487"/>
    </row>
    <row r="13" spans="1:46" x14ac:dyDescent="0.3">
      <c r="A13" s="213" t="s">
        <v>162</v>
      </c>
      <c r="B13" s="230">
        <f xml:space="preserve">
IF($A$4&lt;=12,SUMIFS('ON Data'!F:F,'ON Data'!$D:$D,$A$4,'ON Data'!$E:$E,4),SUMIFS('ON Data'!F:F,'ON Data'!$E:$E,4))</f>
        <v>213.10000000000002</v>
      </c>
      <c r="C13" s="231">
        <f xml:space="preserve">
IF($A$4&lt;=12,SUMIFS('ON Data'!G:G,'ON Data'!$D:$D,$A$4,'ON Data'!$E:$E,4),SUMIFS('ON Data'!G:G,'ON Data'!$E:$E,4))</f>
        <v>0</v>
      </c>
      <c r="D13" s="232">
        <f xml:space="preserve">
IF($A$4&lt;=12,SUMIFS('ON Data'!H:H,'ON Data'!$D:$D,$A$4,'ON Data'!$E:$E,4),SUMIFS('ON Data'!H:H,'ON Data'!$E:$E,4))</f>
        <v>0</v>
      </c>
      <c r="E13" s="232"/>
      <c r="F13" s="232">
        <f xml:space="preserve">
IF($A$4&lt;=12,SUMIFS('ON Data'!J:J,'ON Data'!$D:$D,$A$4,'ON Data'!$E:$E,4),SUMIFS('ON Data'!J:J,'ON Data'!$E:$E,4))</f>
        <v>0</v>
      </c>
      <c r="G13" s="232">
        <f xml:space="preserve">
IF($A$4&lt;=12,SUMIFS('ON Data'!K:K,'ON Data'!$D:$D,$A$4,'ON Data'!$E:$E,4),SUMIFS('ON Data'!K:K,'ON Data'!$E:$E,4))</f>
        <v>0</v>
      </c>
      <c r="H13" s="232">
        <f xml:space="preserve">
IF($A$4&lt;=12,SUMIFS('ON Data'!L:L,'ON Data'!$D:$D,$A$4,'ON Data'!$E:$E,4),SUMIFS('ON Data'!L:L,'ON Data'!$E:$E,4))</f>
        <v>0</v>
      </c>
      <c r="I13" s="232">
        <f xml:space="preserve">
IF($A$4&lt;=12,SUMIFS('ON Data'!M:M,'ON Data'!$D:$D,$A$4,'ON Data'!$E:$E,4),SUMIFS('ON Data'!M:M,'ON Data'!$E:$E,4))</f>
        <v>0</v>
      </c>
      <c r="J13" s="232">
        <f xml:space="preserve">
IF($A$4&lt;=12,SUMIFS('ON Data'!N:N,'ON Data'!$D:$D,$A$4,'ON Data'!$E:$E,4),SUMIFS('ON Data'!N:N,'ON Data'!$E:$E,4))</f>
        <v>0</v>
      </c>
      <c r="K13" s="232">
        <f xml:space="preserve">
IF($A$4&lt;=12,SUMIFS('ON Data'!O:O,'ON Data'!$D:$D,$A$4,'ON Data'!$E:$E,4),SUMIFS('ON Data'!O:O,'ON Data'!$E:$E,4))</f>
        <v>0</v>
      </c>
      <c r="L13" s="232">
        <f xml:space="preserve">
IF($A$4&lt;=12,SUMIFS('ON Data'!P:P,'ON Data'!$D:$D,$A$4,'ON Data'!$E:$E,4),SUMIFS('ON Data'!P:P,'ON Data'!$E:$E,4))</f>
        <v>0</v>
      </c>
      <c r="M13" s="232">
        <f xml:space="preserve">
IF($A$4&lt;=12,SUMIFS('ON Data'!Q:Q,'ON Data'!$D:$D,$A$4,'ON Data'!$E:$E,4),SUMIFS('ON Data'!Q:Q,'ON Data'!$E:$E,4))</f>
        <v>0</v>
      </c>
      <c r="N13" s="232">
        <f xml:space="preserve">
IF($A$4&lt;=12,SUMIFS('ON Data'!R:R,'ON Data'!$D:$D,$A$4,'ON Data'!$E:$E,4),SUMIFS('ON Data'!R:R,'ON Data'!$E:$E,4))</f>
        <v>0</v>
      </c>
      <c r="O13" s="232">
        <f xml:space="preserve">
IF($A$4&lt;=12,SUMIFS('ON Data'!S:S,'ON Data'!$D:$D,$A$4,'ON Data'!$E:$E,4),SUMIFS('ON Data'!S:S,'ON Data'!$E:$E,4))</f>
        <v>0</v>
      </c>
      <c r="P13" s="232">
        <f xml:space="preserve">
IF($A$4&lt;=12,SUMIFS('ON Data'!T:T,'ON Data'!$D:$D,$A$4,'ON Data'!$E:$E,4),SUMIFS('ON Data'!T:T,'ON Data'!$E:$E,4))</f>
        <v>0</v>
      </c>
      <c r="Q13" s="232">
        <f xml:space="preserve">
IF($A$4&lt;=12,SUMIFS('ON Data'!U:U,'ON Data'!$D:$D,$A$4,'ON Data'!$E:$E,4),SUMIFS('ON Data'!U:U,'ON Data'!$E:$E,4))</f>
        <v>0</v>
      </c>
      <c r="R13" s="232">
        <f xml:space="preserve">
IF($A$4&lt;=12,SUMIFS('ON Data'!V:V,'ON Data'!$D:$D,$A$4,'ON Data'!$E:$E,4),SUMIFS('ON Data'!V:V,'ON Data'!$E:$E,4))</f>
        <v>0</v>
      </c>
      <c r="S13" s="232">
        <f xml:space="preserve">
IF($A$4&lt;=12,SUMIFS('ON Data'!W:W,'ON Data'!$D:$D,$A$4,'ON Data'!$E:$E,4),SUMIFS('ON Data'!W:W,'ON Data'!$E:$E,4))</f>
        <v>0</v>
      </c>
      <c r="T13" s="232">
        <f xml:space="preserve">
IF($A$4&lt;=12,SUMIFS('ON Data'!X:X,'ON Data'!$D:$D,$A$4,'ON Data'!$E:$E,4),SUMIFS('ON Data'!X:X,'ON Data'!$E:$E,4))</f>
        <v>0</v>
      </c>
      <c r="U13" s="232">
        <f xml:space="preserve">
IF($A$4&lt;=12,SUMIFS('ON Data'!Y:Y,'ON Data'!$D:$D,$A$4,'ON Data'!$E:$E,4),SUMIFS('ON Data'!Y:Y,'ON Data'!$E:$E,4))</f>
        <v>0</v>
      </c>
      <c r="V13" s="232">
        <f xml:space="preserve">
IF($A$4&lt;=12,SUMIFS('ON Data'!Z:Z,'ON Data'!$D:$D,$A$4,'ON Data'!$E:$E,4),SUMIFS('ON Data'!Z:Z,'ON Data'!$E:$E,4))</f>
        <v>0</v>
      </c>
      <c r="W13" s="232">
        <f xml:space="preserve">
IF($A$4&lt;=12,SUMIFS('ON Data'!AA:AA,'ON Data'!$D:$D,$A$4,'ON Data'!$E:$E,4),SUMIFS('ON Data'!AA:AA,'ON Data'!$E:$E,4))</f>
        <v>0</v>
      </c>
      <c r="X13" s="232">
        <f xml:space="preserve">
IF($A$4&lt;=12,SUMIFS('ON Data'!AB:AB,'ON Data'!$D:$D,$A$4,'ON Data'!$E:$E,4),SUMIFS('ON Data'!AB:AB,'ON Data'!$E:$E,4))</f>
        <v>0</v>
      </c>
      <c r="Y13" s="232">
        <f xml:space="preserve">
IF($A$4&lt;=12,SUMIFS('ON Data'!AC:AC,'ON Data'!$D:$D,$A$4,'ON Data'!$E:$E,4),SUMIFS('ON Data'!AC:AC,'ON Data'!$E:$E,4))</f>
        <v>0</v>
      </c>
      <c r="Z13" s="232">
        <f xml:space="preserve">
IF($A$4&lt;=12,SUMIFS('ON Data'!AD:AD,'ON Data'!$D:$D,$A$4,'ON Data'!$E:$E,4),SUMIFS('ON Data'!AD:AD,'ON Data'!$E:$E,4))</f>
        <v>0</v>
      </c>
      <c r="AA13" s="232"/>
      <c r="AB13" s="232">
        <f xml:space="preserve">
IF($A$4&lt;=12,SUMIFS('ON Data'!AF:AF,'ON Data'!$D:$D,$A$4,'ON Data'!$E:$E,4),SUMIFS('ON Data'!AF:AF,'ON Data'!$E:$E,4))</f>
        <v>0</v>
      </c>
      <c r="AC13" s="232">
        <f xml:space="preserve">
IF($A$4&lt;=12,SUMIFS('ON Data'!AG:AG,'ON Data'!$D:$D,$A$4,'ON Data'!$E:$E,4),SUMIFS('ON Data'!AG:AG,'ON Data'!$E:$E,4))</f>
        <v>0</v>
      </c>
      <c r="AD13" s="232">
        <f xml:space="preserve">
IF($A$4&lt;=12,SUMIFS('ON Data'!AH:AH,'ON Data'!$D:$D,$A$4,'ON Data'!$E:$E,4),SUMIFS('ON Data'!AH:AH,'ON Data'!$E:$E,4))</f>
        <v>0</v>
      </c>
      <c r="AE13" s="232">
        <f xml:space="preserve">
IF($A$4&lt;=12,SUMIFS('ON Data'!AI:AI,'ON Data'!$D:$D,$A$4,'ON Data'!$E:$E,4),SUMIFS('ON Data'!AI:AI,'ON Data'!$E:$E,4))</f>
        <v>0</v>
      </c>
      <c r="AF13" s="232">
        <f xml:space="preserve">
IF($A$4&lt;=12,SUMIFS('ON Data'!AJ:AJ,'ON Data'!$D:$D,$A$4,'ON Data'!$E:$E,4),SUMIFS('ON Data'!AJ:AJ,'ON Data'!$E:$E,4))</f>
        <v>0</v>
      </c>
      <c r="AG13" s="232">
        <f xml:space="preserve">
IF($A$4&lt;=12,SUMIFS('ON Data'!AK:AK,'ON Data'!$D:$D,$A$4,'ON Data'!$E:$E,4),SUMIFS('ON Data'!AK:AK,'ON Data'!$E:$E,4))</f>
        <v>0</v>
      </c>
      <c r="AH13" s="232">
        <f xml:space="preserve">
IF($A$4&lt;=12,SUMIFS('ON Data'!AL:AL,'ON Data'!$D:$D,$A$4,'ON Data'!$E:$E,4),SUMIFS('ON Data'!AL:AL,'ON Data'!$E:$E,4))</f>
        <v>186.60000000000002</v>
      </c>
      <c r="AI13" s="232">
        <f xml:space="preserve">
IF($A$4&lt;=12,SUMIFS('ON Data'!AM:AM,'ON Data'!$D:$D,$A$4,'ON Data'!$E:$E,4),SUMIFS('ON Data'!AM:AM,'ON Data'!$E:$E,4))</f>
        <v>0</v>
      </c>
      <c r="AJ13" s="232">
        <f xml:space="preserve">
IF($A$4&lt;=12,SUMIFS('ON Data'!AN:AN,'ON Data'!$D:$D,$A$4,'ON Data'!$E:$E,4),SUMIFS('ON Data'!AN:AN,'ON Data'!$E:$E,4))</f>
        <v>0</v>
      </c>
      <c r="AK13" s="232">
        <f xml:space="preserve">
IF($A$4&lt;=12,SUMIFS('ON Data'!AO:AO,'ON Data'!$D:$D,$A$4,'ON Data'!$E:$E,4),SUMIFS('ON Data'!AO:AO,'ON Data'!$E:$E,4))</f>
        <v>0</v>
      </c>
      <c r="AL13" s="232">
        <f xml:space="preserve">
IF($A$4&lt;=12,SUMIFS('ON Data'!AP:AP,'ON Data'!$D:$D,$A$4,'ON Data'!$E:$E,4),SUMIFS('ON Data'!AP:AP,'ON Data'!$E:$E,4))</f>
        <v>0</v>
      </c>
      <c r="AM13" s="232">
        <f xml:space="preserve">
IF($A$4&lt;=12,SUMIFS('ON Data'!AQ:AQ,'ON Data'!$D:$D,$A$4,'ON Data'!$E:$E,4),SUMIFS('ON Data'!AQ:AQ,'ON Data'!$E:$E,4))</f>
        <v>0</v>
      </c>
      <c r="AN13" s="231">
        <f xml:space="preserve">
IF($A$4&lt;=12,SUMIFS('ON Data'!AR:AR,'ON Data'!$D:$D,$A$4,'ON Data'!$E:$E,4),SUMIFS('ON Data'!AR:AR,'ON Data'!$E:$E,4))</f>
        <v>0</v>
      </c>
      <c r="AO13" s="232">
        <f xml:space="preserve">
IF($A$4&lt;=12,SUMIFS('ON Data'!AS:AS,'ON Data'!$D:$D,$A$4,'ON Data'!$E:$E,4),SUMIFS('ON Data'!AS:AS,'ON Data'!$E:$E,4))</f>
        <v>0</v>
      </c>
      <c r="AP13" s="232">
        <f xml:space="preserve">
IF($A$4&lt;=12,SUMIFS('ON Data'!AT:AT,'ON Data'!$D:$D,$A$4,'ON Data'!$E:$E,4),SUMIFS('ON Data'!AT:AT,'ON Data'!$E:$E,4))</f>
        <v>26.5</v>
      </c>
      <c r="AQ13" s="232">
        <f xml:space="preserve">
IF($A$4&lt;=12,SUMIFS('ON Data'!AU:AU,'ON Data'!$D:$D,$A$4,'ON Data'!$E:$E,4),SUMIFS('ON Data'!AU:AU,'ON Data'!$E:$E,4))</f>
        <v>0</v>
      </c>
      <c r="AR13" s="232">
        <f xml:space="preserve">
IF($A$4&lt;=12,SUMIFS('ON Data'!AV:AV,'ON Data'!$D:$D,$A$4,'ON Data'!$E:$E,4),SUMIFS('ON Data'!AV:AV,'ON Data'!$E:$E,4))</f>
        <v>0</v>
      </c>
      <c r="AS13" s="478">
        <f xml:space="preserve">
IF($A$4&lt;=12,SUMIFS('ON Data'!AW:AW,'ON Data'!$D:$D,$A$4,'ON Data'!$E:$E,4),SUMIFS('ON Data'!AW:AW,'ON Data'!$E:$E,4))</f>
        <v>0</v>
      </c>
      <c r="AT13" s="487"/>
    </row>
    <row r="14" spans="1:46" ht="15" thickBot="1" x14ac:dyDescent="0.35">
      <c r="A14" s="214" t="s">
        <v>156</v>
      </c>
      <c r="B14" s="234">
        <f xml:space="preserve">
IF($A$4&lt;=12,SUMIFS('ON Data'!F:F,'ON Data'!$D:$D,$A$4,'ON Data'!$E:$E,5),SUMIFS('ON Data'!F:F,'ON Data'!$E:$E,5))</f>
        <v>1657</v>
      </c>
      <c r="C14" s="235">
        <f xml:space="preserve">
IF($A$4&lt;=12,SUMIFS('ON Data'!G:G,'ON Data'!$D:$D,$A$4,'ON Data'!$E:$E,5),SUMIFS('ON Data'!G:G,'ON Data'!$E:$E,5))</f>
        <v>0</v>
      </c>
      <c r="D14" s="236">
        <f xml:space="preserve">
IF($A$4&lt;=12,SUMIFS('ON Data'!H:H,'ON Data'!$D:$D,$A$4,'ON Data'!$E:$E,5),SUMIFS('ON Data'!H:H,'ON Data'!$E:$E,5))</f>
        <v>0</v>
      </c>
      <c r="E14" s="236"/>
      <c r="F14" s="236">
        <f xml:space="preserve">
IF($A$4&lt;=12,SUMIFS('ON Data'!J:J,'ON Data'!$D:$D,$A$4,'ON Data'!$E:$E,5),SUMIFS('ON Data'!J:J,'ON Data'!$E:$E,5))</f>
        <v>0</v>
      </c>
      <c r="G14" s="236">
        <f xml:space="preserve">
IF($A$4&lt;=12,SUMIFS('ON Data'!K:K,'ON Data'!$D:$D,$A$4,'ON Data'!$E:$E,5),SUMIFS('ON Data'!K:K,'ON Data'!$E:$E,5))</f>
        <v>0</v>
      </c>
      <c r="H14" s="236">
        <f xml:space="preserve">
IF($A$4&lt;=12,SUMIFS('ON Data'!L:L,'ON Data'!$D:$D,$A$4,'ON Data'!$E:$E,5),SUMIFS('ON Data'!L:L,'ON Data'!$E:$E,5))</f>
        <v>0</v>
      </c>
      <c r="I14" s="236">
        <f xml:space="preserve">
IF($A$4&lt;=12,SUMIFS('ON Data'!M:M,'ON Data'!$D:$D,$A$4,'ON Data'!$E:$E,5),SUMIFS('ON Data'!M:M,'ON Data'!$E:$E,5))</f>
        <v>0</v>
      </c>
      <c r="J14" s="236">
        <f xml:space="preserve">
IF($A$4&lt;=12,SUMIFS('ON Data'!N:N,'ON Data'!$D:$D,$A$4,'ON Data'!$E:$E,5),SUMIFS('ON Data'!N:N,'ON Data'!$E:$E,5))</f>
        <v>0</v>
      </c>
      <c r="K14" s="236">
        <f xml:space="preserve">
IF($A$4&lt;=12,SUMIFS('ON Data'!O:O,'ON Data'!$D:$D,$A$4,'ON Data'!$E:$E,5),SUMIFS('ON Data'!O:O,'ON Data'!$E:$E,5))</f>
        <v>0</v>
      </c>
      <c r="L14" s="236">
        <f xml:space="preserve">
IF($A$4&lt;=12,SUMIFS('ON Data'!P:P,'ON Data'!$D:$D,$A$4,'ON Data'!$E:$E,5),SUMIFS('ON Data'!P:P,'ON Data'!$E:$E,5))</f>
        <v>0</v>
      </c>
      <c r="M14" s="236">
        <f xml:space="preserve">
IF($A$4&lt;=12,SUMIFS('ON Data'!Q:Q,'ON Data'!$D:$D,$A$4,'ON Data'!$E:$E,5),SUMIFS('ON Data'!Q:Q,'ON Data'!$E:$E,5))</f>
        <v>0</v>
      </c>
      <c r="N14" s="236">
        <f xml:space="preserve">
IF($A$4&lt;=12,SUMIFS('ON Data'!R:R,'ON Data'!$D:$D,$A$4,'ON Data'!$E:$E,5),SUMIFS('ON Data'!R:R,'ON Data'!$E:$E,5))</f>
        <v>0</v>
      </c>
      <c r="O14" s="236">
        <f xml:space="preserve">
IF($A$4&lt;=12,SUMIFS('ON Data'!S:S,'ON Data'!$D:$D,$A$4,'ON Data'!$E:$E,5),SUMIFS('ON Data'!S:S,'ON Data'!$E:$E,5))</f>
        <v>0</v>
      </c>
      <c r="P14" s="236">
        <f xml:space="preserve">
IF($A$4&lt;=12,SUMIFS('ON Data'!T:T,'ON Data'!$D:$D,$A$4,'ON Data'!$E:$E,5),SUMIFS('ON Data'!T:T,'ON Data'!$E:$E,5))</f>
        <v>0</v>
      </c>
      <c r="Q14" s="236">
        <f xml:space="preserve">
IF($A$4&lt;=12,SUMIFS('ON Data'!U:U,'ON Data'!$D:$D,$A$4,'ON Data'!$E:$E,5),SUMIFS('ON Data'!U:U,'ON Data'!$E:$E,5))</f>
        <v>0</v>
      </c>
      <c r="R14" s="236">
        <f xml:space="preserve">
IF($A$4&lt;=12,SUMIFS('ON Data'!V:V,'ON Data'!$D:$D,$A$4,'ON Data'!$E:$E,5),SUMIFS('ON Data'!V:V,'ON Data'!$E:$E,5))</f>
        <v>0</v>
      </c>
      <c r="S14" s="236">
        <f xml:space="preserve">
IF($A$4&lt;=12,SUMIFS('ON Data'!W:W,'ON Data'!$D:$D,$A$4,'ON Data'!$E:$E,5),SUMIFS('ON Data'!W:W,'ON Data'!$E:$E,5))</f>
        <v>0</v>
      </c>
      <c r="T14" s="236">
        <f xml:space="preserve">
IF($A$4&lt;=12,SUMIFS('ON Data'!X:X,'ON Data'!$D:$D,$A$4,'ON Data'!$E:$E,5),SUMIFS('ON Data'!X:X,'ON Data'!$E:$E,5))</f>
        <v>0</v>
      </c>
      <c r="U14" s="236">
        <f xml:space="preserve">
IF($A$4&lt;=12,SUMIFS('ON Data'!Y:Y,'ON Data'!$D:$D,$A$4,'ON Data'!$E:$E,5),SUMIFS('ON Data'!Y:Y,'ON Data'!$E:$E,5))</f>
        <v>0</v>
      </c>
      <c r="V14" s="236">
        <f xml:space="preserve">
IF($A$4&lt;=12,SUMIFS('ON Data'!Z:Z,'ON Data'!$D:$D,$A$4,'ON Data'!$E:$E,5),SUMIFS('ON Data'!Z:Z,'ON Data'!$E:$E,5))</f>
        <v>0</v>
      </c>
      <c r="W14" s="236">
        <f xml:space="preserve">
IF($A$4&lt;=12,SUMIFS('ON Data'!AA:AA,'ON Data'!$D:$D,$A$4,'ON Data'!$E:$E,5),SUMIFS('ON Data'!AA:AA,'ON Data'!$E:$E,5))</f>
        <v>0</v>
      </c>
      <c r="X14" s="236">
        <f xml:space="preserve">
IF($A$4&lt;=12,SUMIFS('ON Data'!AB:AB,'ON Data'!$D:$D,$A$4,'ON Data'!$E:$E,5),SUMIFS('ON Data'!AB:AB,'ON Data'!$E:$E,5))</f>
        <v>0</v>
      </c>
      <c r="Y14" s="236">
        <f xml:space="preserve">
IF($A$4&lt;=12,SUMIFS('ON Data'!AC:AC,'ON Data'!$D:$D,$A$4,'ON Data'!$E:$E,5),SUMIFS('ON Data'!AC:AC,'ON Data'!$E:$E,5))</f>
        <v>0</v>
      </c>
      <c r="Z14" s="236">
        <f xml:space="preserve">
IF($A$4&lt;=12,SUMIFS('ON Data'!AD:AD,'ON Data'!$D:$D,$A$4,'ON Data'!$E:$E,5),SUMIFS('ON Data'!AD:AD,'ON Data'!$E:$E,5))</f>
        <v>0</v>
      </c>
      <c r="AA14" s="236"/>
      <c r="AB14" s="236">
        <f xml:space="preserve">
IF($A$4&lt;=12,SUMIFS('ON Data'!AF:AF,'ON Data'!$D:$D,$A$4,'ON Data'!$E:$E,5),SUMIFS('ON Data'!AF:AF,'ON Data'!$E:$E,5))</f>
        <v>0</v>
      </c>
      <c r="AC14" s="236">
        <f xml:space="preserve">
IF($A$4&lt;=12,SUMIFS('ON Data'!AG:AG,'ON Data'!$D:$D,$A$4,'ON Data'!$E:$E,5),SUMIFS('ON Data'!AG:AG,'ON Data'!$E:$E,5))</f>
        <v>0</v>
      </c>
      <c r="AD14" s="236">
        <f xml:space="preserve">
IF($A$4&lt;=12,SUMIFS('ON Data'!AH:AH,'ON Data'!$D:$D,$A$4,'ON Data'!$E:$E,5),SUMIFS('ON Data'!AH:AH,'ON Data'!$E:$E,5))</f>
        <v>0</v>
      </c>
      <c r="AE14" s="236">
        <f xml:space="preserve">
IF($A$4&lt;=12,SUMIFS('ON Data'!AI:AI,'ON Data'!$D:$D,$A$4,'ON Data'!$E:$E,5),SUMIFS('ON Data'!AI:AI,'ON Data'!$E:$E,5))</f>
        <v>0</v>
      </c>
      <c r="AF14" s="236">
        <f xml:space="preserve">
IF($A$4&lt;=12,SUMIFS('ON Data'!AJ:AJ,'ON Data'!$D:$D,$A$4,'ON Data'!$E:$E,5),SUMIFS('ON Data'!AJ:AJ,'ON Data'!$E:$E,5))</f>
        <v>0</v>
      </c>
      <c r="AG14" s="236">
        <f xml:space="preserve">
IF($A$4&lt;=12,SUMIFS('ON Data'!AK:AK,'ON Data'!$D:$D,$A$4,'ON Data'!$E:$E,5),SUMIFS('ON Data'!AK:AK,'ON Data'!$E:$E,5))</f>
        <v>0</v>
      </c>
      <c r="AH14" s="236">
        <f xml:space="preserve">
IF($A$4&lt;=12,SUMIFS('ON Data'!AL:AL,'ON Data'!$D:$D,$A$4,'ON Data'!$E:$E,5),SUMIFS('ON Data'!AL:AL,'ON Data'!$E:$E,5))</f>
        <v>750</v>
      </c>
      <c r="AI14" s="236">
        <f xml:space="preserve">
IF($A$4&lt;=12,SUMIFS('ON Data'!AM:AM,'ON Data'!$D:$D,$A$4,'ON Data'!$E:$E,5),SUMIFS('ON Data'!AM:AM,'ON Data'!$E:$E,5))</f>
        <v>0</v>
      </c>
      <c r="AJ14" s="236">
        <f xml:space="preserve">
IF($A$4&lt;=12,SUMIFS('ON Data'!AN:AN,'ON Data'!$D:$D,$A$4,'ON Data'!$E:$E,5),SUMIFS('ON Data'!AN:AN,'ON Data'!$E:$E,5))</f>
        <v>0</v>
      </c>
      <c r="AK14" s="236">
        <f xml:space="preserve">
IF($A$4&lt;=12,SUMIFS('ON Data'!AO:AO,'ON Data'!$D:$D,$A$4,'ON Data'!$E:$E,5),SUMIFS('ON Data'!AO:AO,'ON Data'!$E:$E,5))</f>
        <v>0</v>
      </c>
      <c r="AL14" s="236">
        <f xml:space="preserve">
IF($A$4&lt;=12,SUMIFS('ON Data'!AP:AP,'ON Data'!$D:$D,$A$4,'ON Data'!$E:$E,5),SUMIFS('ON Data'!AP:AP,'ON Data'!$E:$E,5))</f>
        <v>0</v>
      </c>
      <c r="AM14" s="236">
        <f xml:space="preserve">
IF($A$4&lt;=12,SUMIFS('ON Data'!AQ:AQ,'ON Data'!$D:$D,$A$4,'ON Data'!$E:$E,5),SUMIFS('ON Data'!AQ:AQ,'ON Data'!$E:$E,5))</f>
        <v>0</v>
      </c>
      <c r="AN14" s="235">
        <f xml:space="preserve">
IF($A$4&lt;=12,SUMIFS('ON Data'!AR:AR,'ON Data'!$D:$D,$A$4,'ON Data'!$E:$E,5),SUMIFS('ON Data'!AR:AR,'ON Data'!$E:$E,5))</f>
        <v>0</v>
      </c>
      <c r="AO14" s="236">
        <f xml:space="preserve">
IF($A$4&lt;=12,SUMIFS('ON Data'!AS:AS,'ON Data'!$D:$D,$A$4,'ON Data'!$E:$E,5),SUMIFS('ON Data'!AS:AS,'ON Data'!$E:$E,5))</f>
        <v>0</v>
      </c>
      <c r="AP14" s="236">
        <f xml:space="preserve">
IF($A$4&lt;=12,SUMIFS('ON Data'!AT:AT,'ON Data'!$D:$D,$A$4,'ON Data'!$E:$E,5),SUMIFS('ON Data'!AT:AT,'ON Data'!$E:$E,5))</f>
        <v>907</v>
      </c>
      <c r="AQ14" s="236">
        <f xml:space="preserve">
IF($A$4&lt;=12,SUMIFS('ON Data'!AU:AU,'ON Data'!$D:$D,$A$4,'ON Data'!$E:$E,5),SUMIFS('ON Data'!AU:AU,'ON Data'!$E:$E,5))</f>
        <v>0</v>
      </c>
      <c r="AR14" s="236">
        <f xml:space="preserve">
IF($A$4&lt;=12,SUMIFS('ON Data'!AV:AV,'ON Data'!$D:$D,$A$4,'ON Data'!$E:$E,5),SUMIFS('ON Data'!AV:AV,'ON Data'!$E:$E,5))</f>
        <v>0</v>
      </c>
      <c r="AS14" s="479">
        <f xml:space="preserve">
IF($A$4&lt;=12,SUMIFS('ON Data'!AW:AW,'ON Data'!$D:$D,$A$4,'ON Data'!$E:$E,5),SUMIFS('ON Data'!AW:AW,'ON Data'!$E:$E,5))</f>
        <v>0</v>
      </c>
      <c r="AT14" s="487"/>
    </row>
    <row r="15" spans="1:46" x14ac:dyDescent="0.3">
      <c r="A15" s="135" t="s">
        <v>166</v>
      </c>
      <c r="B15" s="238"/>
      <c r="C15" s="239"/>
      <c r="D15" s="240"/>
      <c r="E15" s="240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0"/>
      <c r="AC15" s="240"/>
      <c r="AD15" s="240"/>
      <c r="AE15" s="240"/>
      <c r="AF15" s="240"/>
      <c r="AG15" s="240"/>
      <c r="AH15" s="240"/>
      <c r="AI15" s="240"/>
      <c r="AJ15" s="240"/>
      <c r="AK15" s="240"/>
      <c r="AL15" s="240"/>
      <c r="AM15" s="240"/>
      <c r="AN15" s="294"/>
      <c r="AO15" s="240"/>
      <c r="AP15" s="240"/>
      <c r="AQ15" s="240"/>
      <c r="AR15" s="240"/>
      <c r="AS15" s="480"/>
      <c r="AT15" s="487"/>
    </row>
    <row r="16" spans="1:46" x14ac:dyDescent="0.3">
      <c r="A16" s="215" t="s">
        <v>157</v>
      </c>
      <c r="B16" s="230">
        <f xml:space="preserve">
IF($A$4&lt;=12,SUMIFS('ON Data'!F:F,'ON Data'!$D:$D,$A$4,'ON Data'!$E:$E,7),SUMIFS('ON Data'!F:F,'ON Data'!$E:$E,7))</f>
        <v>0</v>
      </c>
      <c r="C16" s="231">
        <f xml:space="preserve">
IF($A$4&lt;=12,SUMIFS('ON Data'!G:G,'ON Data'!$D:$D,$A$4,'ON Data'!$E:$E,7),SUMIFS('ON Data'!G:G,'ON Data'!$E:$E,7))</f>
        <v>0</v>
      </c>
      <c r="D16" s="232">
        <f xml:space="preserve">
IF($A$4&lt;=12,SUMIFS('ON Data'!H:H,'ON Data'!$D:$D,$A$4,'ON Data'!$E:$E,7),SUMIFS('ON Data'!H:H,'ON Data'!$E:$E,7))</f>
        <v>0</v>
      </c>
      <c r="E16" s="232"/>
      <c r="F16" s="232">
        <f xml:space="preserve">
IF($A$4&lt;=12,SUMIFS('ON Data'!J:J,'ON Data'!$D:$D,$A$4,'ON Data'!$E:$E,7),SUMIFS('ON Data'!J:J,'ON Data'!$E:$E,7))</f>
        <v>0</v>
      </c>
      <c r="G16" s="232">
        <f xml:space="preserve">
IF($A$4&lt;=12,SUMIFS('ON Data'!K:K,'ON Data'!$D:$D,$A$4,'ON Data'!$E:$E,7),SUMIFS('ON Data'!K:K,'ON Data'!$E:$E,7))</f>
        <v>0</v>
      </c>
      <c r="H16" s="232">
        <f xml:space="preserve">
IF($A$4&lt;=12,SUMIFS('ON Data'!L:L,'ON Data'!$D:$D,$A$4,'ON Data'!$E:$E,7),SUMIFS('ON Data'!L:L,'ON Data'!$E:$E,7))</f>
        <v>0</v>
      </c>
      <c r="I16" s="232">
        <f xml:space="preserve">
IF($A$4&lt;=12,SUMIFS('ON Data'!M:M,'ON Data'!$D:$D,$A$4,'ON Data'!$E:$E,7),SUMIFS('ON Data'!M:M,'ON Data'!$E:$E,7))</f>
        <v>0</v>
      </c>
      <c r="J16" s="232">
        <f xml:space="preserve">
IF($A$4&lt;=12,SUMIFS('ON Data'!N:N,'ON Data'!$D:$D,$A$4,'ON Data'!$E:$E,7),SUMIFS('ON Data'!N:N,'ON Data'!$E:$E,7))</f>
        <v>0</v>
      </c>
      <c r="K16" s="232">
        <f xml:space="preserve">
IF($A$4&lt;=12,SUMIFS('ON Data'!O:O,'ON Data'!$D:$D,$A$4,'ON Data'!$E:$E,7),SUMIFS('ON Data'!O:O,'ON Data'!$E:$E,7))</f>
        <v>0</v>
      </c>
      <c r="L16" s="232">
        <f xml:space="preserve">
IF($A$4&lt;=12,SUMIFS('ON Data'!P:P,'ON Data'!$D:$D,$A$4,'ON Data'!$E:$E,7),SUMIFS('ON Data'!P:P,'ON Data'!$E:$E,7))</f>
        <v>0</v>
      </c>
      <c r="M16" s="232">
        <f xml:space="preserve">
IF($A$4&lt;=12,SUMIFS('ON Data'!Q:Q,'ON Data'!$D:$D,$A$4,'ON Data'!$E:$E,7),SUMIFS('ON Data'!Q:Q,'ON Data'!$E:$E,7))</f>
        <v>0</v>
      </c>
      <c r="N16" s="232">
        <f xml:space="preserve">
IF($A$4&lt;=12,SUMIFS('ON Data'!R:R,'ON Data'!$D:$D,$A$4,'ON Data'!$E:$E,7),SUMIFS('ON Data'!R:R,'ON Data'!$E:$E,7))</f>
        <v>0</v>
      </c>
      <c r="O16" s="232">
        <f xml:space="preserve">
IF($A$4&lt;=12,SUMIFS('ON Data'!S:S,'ON Data'!$D:$D,$A$4,'ON Data'!$E:$E,7),SUMIFS('ON Data'!S:S,'ON Data'!$E:$E,7))</f>
        <v>0</v>
      </c>
      <c r="P16" s="232">
        <f xml:space="preserve">
IF($A$4&lt;=12,SUMIFS('ON Data'!T:T,'ON Data'!$D:$D,$A$4,'ON Data'!$E:$E,7),SUMIFS('ON Data'!T:T,'ON Data'!$E:$E,7))</f>
        <v>0</v>
      </c>
      <c r="Q16" s="232">
        <f xml:space="preserve">
IF($A$4&lt;=12,SUMIFS('ON Data'!U:U,'ON Data'!$D:$D,$A$4,'ON Data'!$E:$E,7),SUMIFS('ON Data'!U:U,'ON Data'!$E:$E,7))</f>
        <v>0</v>
      </c>
      <c r="R16" s="232">
        <f xml:space="preserve">
IF($A$4&lt;=12,SUMIFS('ON Data'!V:V,'ON Data'!$D:$D,$A$4,'ON Data'!$E:$E,7),SUMIFS('ON Data'!V:V,'ON Data'!$E:$E,7))</f>
        <v>0</v>
      </c>
      <c r="S16" s="232">
        <f xml:space="preserve">
IF($A$4&lt;=12,SUMIFS('ON Data'!W:W,'ON Data'!$D:$D,$A$4,'ON Data'!$E:$E,7),SUMIFS('ON Data'!W:W,'ON Data'!$E:$E,7))</f>
        <v>0</v>
      </c>
      <c r="T16" s="232">
        <f xml:space="preserve">
IF($A$4&lt;=12,SUMIFS('ON Data'!X:X,'ON Data'!$D:$D,$A$4,'ON Data'!$E:$E,7),SUMIFS('ON Data'!X:X,'ON Data'!$E:$E,7))</f>
        <v>0</v>
      </c>
      <c r="U16" s="232">
        <f xml:space="preserve">
IF($A$4&lt;=12,SUMIFS('ON Data'!Y:Y,'ON Data'!$D:$D,$A$4,'ON Data'!$E:$E,7),SUMIFS('ON Data'!Y:Y,'ON Data'!$E:$E,7))</f>
        <v>0</v>
      </c>
      <c r="V16" s="232">
        <f xml:space="preserve">
IF($A$4&lt;=12,SUMIFS('ON Data'!Z:Z,'ON Data'!$D:$D,$A$4,'ON Data'!$E:$E,7),SUMIFS('ON Data'!Z:Z,'ON Data'!$E:$E,7))</f>
        <v>0</v>
      </c>
      <c r="W16" s="232">
        <f xml:space="preserve">
IF($A$4&lt;=12,SUMIFS('ON Data'!AA:AA,'ON Data'!$D:$D,$A$4,'ON Data'!$E:$E,7),SUMIFS('ON Data'!AA:AA,'ON Data'!$E:$E,7))</f>
        <v>0</v>
      </c>
      <c r="X16" s="232">
        <f xml:space="preserve">
IF($A$4&lt;=12,SUMIFS('ON Data'!AB:AB,'ON Data'!$D:$D,$A$4,'ON Data'!$E:$E,7),SUMIFS('ON Data'!AB:AB,'ON Data'!$E:$E,7))</f>
        <v>0</v>
      </c>
      <c r="Y16" s="232">
        <f xml:space="preserve">
IF($A$4&lt;=12,SUMIFS('ON Data'!AC:AC,'ON Data'!$D:$D,$A$4,'ON Data'!$E:$E,7),SUMIFS('ON Data'!AC:AC,'ON Data'!$E:$E,7))</f>
        <v>0</v>
      </c>
      <c r="Z16" s="232">
        <f xml:space="preserve">
IF($A$4&lt;=12,SUMIFS('ON Data'!AD:AD,'ON Data'!$D:$D,$A$4,'ON Data'!$E:$E,7),SUMIFS('ON Data'!AD:AD,'ON Data'!$E:$E,7))</f>
        <v>0</v>
      </c>
      <c r="AA16" s="232"/>
      <c r="AB16" s="232">
        <f xml:space="preserve">
IF($A$4&lt;=12,SUMIFS('ON Data'!AF:AF,'ON Data'!$D:$D,$A$4,'ON Data'!$E:$E,7),SUMIFS('ON Data'!AF:AF,'ON Data'!$E:$E,7))</f>
        <v>0</v>
      </c>
      <c r="AC16" s="232">
        <f xml:space="preserve">
IF($A$4&lt;=12,SUMIFS('ON Data'!AG:AG,'ON Data'!$D:$D,$A$4,'ON Data'!$E:$E,7),SUMIFS('ON Data'!AG:AG,'ON Data'!$E:$E,7))</f>
        <v>0</v>
      </c>
      <c r="AD16" s="232">
        <f xml:space="preserve">
IF($A$4&lt;=12,SUMIFS('ON Data'!AH:AH,'ON Data'!$D:$D,$A$4,'ON Data'!$E:$E,7),SUMIFS('ON Data'!AH:AH,'ON Data'!$E:$E,7))</f>
        <v>0</v>
      </c>
      <c r="AE16" s="232">
        <f xml:space="preserve">
IF($A$4&lt;=12,SUMIFS('ON Data'!AI:AI,'ON Data'!$D:$D,$A$4,'ON Data'!$E:$E,7),SUMIFS('ON Data'!AI:AI,'ON Data'!$E:$E,7))</f>
        <v>0</v>
      </c>
      <c r="AF16" s="232">
        <f xml:space="preserve">
IF($A$4&lt;=12,SUMIFS('ON Data'!AJ:AJ,'ON Data'!$D:$D,$A$4,'ON Data'!$E:$E,7),SUMIFS('ON Data'!AJ:AJ,'ON Data'!$E:$E,7))</f>
        <v>0</v>
      </c>
      <c r="AG16" s="232">
        <f xml:space="preserve">
IF($A$4&lt;=12,SUMIFS('ON Data'!AK:AK,'ON Data'!$D:$D,$A$4,'ON Data'!$E:$E,7),SUMIFS('ON Data'!AK:AK,'ON Data'!$E:$E,7))</f>
        <v>0</v>
      </c>
      <c r="AH16" s="232">
        <f xml:space="preserve">
IF($A$4&lt;=12,SUMIFS('ON Data'!AL:AL,'ON Data'!$D:$D,$A$4,'ON Data'!$E:$E,7),SUMIFS('ON Data'!AL:AL,'ON Data'!$E:$E,7))</f>
        <v>0</v>
      </c>
      <c r="AI16" s="232">
        <f xml:space="preserve">
IF($A$4&lt;=12,SUMIFS('ON Data'!AM:AM,'ON Data'!$D:$D,$A$4,'ON Data'!$E:$E,7),SUMIFS('ON Data'!AM:AM,'ON Data'!$E:$E,7))</f>
        <v>0</v>
      </c>
      <c r="AJ16" s="232">
        <f xml:space="preserve">
IF($A$4&lt;=12,SUMIFS('ON Data'!AN:AN,'ON Data'!$D:$D,$A$4,'ON Data'!$E:$E,7),SUMIFS('ON Data'!AN:AN,'ON Data'!$E:$E,7))</f>
        <v>0</v>
      </c>
      <c r="AK16" s="232">
        <f xml:space="preserve">
IF($A$4&lt;=12,SUMIFS('ON Data'!AO:AO,'ON Data'!$D:$D,$A$4,'ON Data'!$E:$E,7),SUMIFS('ON Data'!AO:AO,'ON Data'!$E:$E,7))</f>
        <v>0</v>
      </c>
      <c r="AL16" s="232">
        <f xml:space="preserve">
IF($A$4&lt;=12,SUMIFS('ON Data'!AP:AP,'ON Data'!$D:$D,$A$4,'ON Data'!$E:$E,7),SUMIFS('ON Data'!AP:AP,'ON Data'!$E:$E,7))</f>
        <v>0</v>
      </c>
      <c r="AM16" s="232">
        <f xml:space="preserve">
IF($A$4&lt;=12,SUMIFS('ON Data'!AQ:AQ,'ON Data'!$D:$D,$A$4,'ON Data'!$E:$E,7),SUMIFS('ON Data'!AQ:AQ,'ON Data'!$E:$E,7))</f>
        <v>0</v>
      </c>
      <c r="AN16" s="231">
        <f xml:space="preserve">
IF($A$4&lt;=12,SUMIFS('ON Data'!AR:AR,'ON Data'!$D:$D,$A$4,'ON Data'!$E:$E,7),SUMIFS('ON Data'!AR:AR,'ON Data'!$E:$E,7))</f>
        <v>0</v>
      </c>
      <c r="AO16" s="232">
        <f xml:space="preserve">
IF($A$4&lt;=12,SUMIFS('ON Data'!AS:AS,'ON Data'!$D:$D,$A$4,'ON Data'!$E:$E,7),SUMIFS('ON Data'!AS:AS,'ON Data'!$E:$E,7))</f>
        <v>0</v>
      </c>
      <c r="AP16" s="232">
        <f xml:space="preserve">
IF($A$4&lt;=12,SUMIFS('ON Data'!AT:AT,'ON Data'!$D:$D,$A$4,'ON Data'!$E:$E,7),SUMIFS('ON Data'!AT:AT,'ON Data'!$E:$E,7))</f>
        <v>0</v>
      </c>
      <c r="AQ16" s="232">
        <f xml:space="preserve">
IF($A$4&lt;=12,SUMIFS('ON Data'!AU:AU,'ON Data'!$D:$D,$A$4,'ON Data'!$E:$E,7),SUMIFS('ON Data'!AU:AU,'ON Data'!$E:$E,7))</f>
        <v>0</v>
      </c>
      <c r="AR16" s="232">
        <f xml:space="preserve">
IF($A$4&lt;=12,SUMIFS('ON Data'!AV:AV,'ON Data'!$D:$D,$A$4,'ON Data'!$E:$E,7),SUMIFS('ON Data'!AV:AV,'ON Data'!$E:$E,7))</f>
        <v>0</v>
      </c>
      <c r="AS16" s="478">
        <f xml:space="preserve">
IF($A$4&lt;=12,SUMIFS('ON Data'!AW:AW,'ON Data'!$D:$D,$A$4,'ON Data'!$E:$E,7),SUMIFS('ON Data'!AW:AW,'ON Data'!$E:$E,7))</f>
        <v>0</v>
      </c>
      <c r="AT16" s="487"/>
    </row>
    <row r="17" spans="1:46" x14ac:dyDescent="0.3">
      <c r="A17" s="215" t="s">
        <v>158</v>
      </c>
      <c r="B17" s="230">
        <f xml:space="preserve">
IF($A$4&lt;=12,SUMIFS('ON Data'!F:F,'ON Data'!$D:$D,$A$4,'ON Data'!$E:$E,8),SUMIFS('ON Data'!F:F,'ON Data'!$E:$E,8))</f>
        <v>0</v>
      </c>
      <c r="C17" s="231">
        <f xml:space="preserve">
IF($A$4&lt;=12,SUMIFS('ON Data'!G:G,'ON Data'!$D:$D,$A$4,'ON Data'!$E:$E,8),SUMIFS('ON Data'!G:G,'ON Data'!$E:$E,8))</f>
        <v>0</v>
      </c>
      <c r="D17" s="232">
        <f xml:space="preserve">
IF($A$4&lt;=12,SUMIFS('ON Data'!H:H,'ON Data'!$D:$D,$A$4,'ON Data'!$E:$E,8),SUMIFS('ON Data'!H:H,'ON Data'!$E:$E,8))</f>
        <v>0</v>
      </c>
      <c r="E17" s="232"/>
      <c r="F17" s="232">
        <f xml:space="preserve">
IF($A$4&lt;=12,SUMIFS('ON Data'!J:J,'ON Data'!$D:$D,$A$4,'ON Data'!$E:$E,8),SUMIFS('ON Data'!J:J,'ON Data'!$E:$E,8))</f>
        <v>0</v>
      </c>
      <c r="G17" s="232">
        <f xml:space="preserve">
IF($A$4&lt;=12,SUMIFS('ON Data'!K:K,'ON Data'!$D:$D,$A$4,'ON Data'!$E:$E,8),SUMIFS('ON Data'!K:K,'ON Data'!$E:$E,8))</f>
        <v>0</v>
      </c>
      <c r="H17" s="232">
        <f xml:space="preserve">
IF($A$4&lt;=12,SUMIFS('ON Data'!L:L,'ON Data'!$D:$D,$A$4,'ON Data'!$E:$E,8),SUMIFS('ON Data'!L:L,'ON Data'!$E:$E,8))</f>
        <v>0</v>
      </c>
      <c r="I17" s="232">
        <f xml:space="preserve">
IF($A$4&lt;=12,SUMIFS('ON Data'!M:M,'ON Data'!$D:$D,$A$4,'ON Data'!$E:$E,8),SUMIFS('ON Data'!M:M,'ON Data'!$E:$E,8))</f>
        <v>0</v>
      </c>
      <c r="J17" s="232">
        <f xml:space="preserve">
IF($A$4&lt;=12,SUMIFS('ON Data'!N:N,'ON Data'!$D:$D,$A$4,'ON Data'!$E:$E,8),SUMIFS('ON Data'!N:N,'ON Data'!$E:$E,8))</f>
        <v>0</v>
      </c>
      <c r="K17" s="232">
        <f xml:space="preserve">
IF($A$4&lt;=12,SUMIFS('ON Data'!O:O,'ON Data'!$D:$D,$A$4,'ON Data'!$E:$E,8),SUMIFS('ON Data'!O:O,'ON Data'!$E:$E,8))</f>
        <v>0</v>
      </c>
      <c r="L17" s="232">
        <f xml:space="preserve">
IF($A$4&lt;=12,SUMIFS('ON Data'!P:P,'ON Data'!$D:$D,$A$4,'ON Data'!$E:$E,8),SUMIFS('ON Data'!P:P,'ON Data'!$E:$E,8))</f>
        <v>0</v>
      </c>
      <c r="M17" s="232">
        <f xml:space="preserve">
IF($A$4&lt;=12,SUMIFS('ON Data'!Q:Q,'ON Data'!$D:$D,$A$4,'ON Data'!$E:$E,8),SUMIFS('ON Data'!Q:Q,'ON Data'!$E:$E,8))</f>
        <v>0</v>
      </c>
      <c r="N17" s="232">
        <f xml:space="preserve">
IF($A$4&lt;=12,SUMIFS('ON Data'!R:R,'ON Data'!$D:$D,$A$4,'ON Data'!$E:$E,8),SUMIFS('ON Data'!R:R,'ON Data'!$E:$E,8))</f>
        <v>0</v>
      </c>
      <c r="O17" s="232">
        <f xml:space="preserve">
IF($A$4&lt;=12,SUMIFS('ON Data'!S:S,'ON Data'!$D:$D,$A$4,'ON Data'!$E:$E,8),SUMIFS('ON Data'!S:S,'ON Data'!$E:$E,8))</f>
        <v>0</v>
      </c>
      <c r="P17" s="232">
        <f xml:space="preserve">
IF($A$4&lt;=12,SUMIFS('ON Data'!T:T,'ON Data'!$D:$D,$A$4,'ON Data'!$E:$E,8),SUMIFS('ON Data'!T:T,'ON Data'!$E:$E,8))</f>
        <v>0</v>
      </c>
      <c r="Q17" s="232">
        <f xml:space="preserve">
IF($A$4&lt;=12,SUMIFS('ON Data'!U:U,'ON Data'!$D:$D,$A$4,'ON Data'!$E:$E,8),SUMIFS('ON Data'!U:U,'ON Data'!$E:$E,8))</f>
        <v>0</v>
      </c>
      <c r="R17" s="232">
        <f xml:space="preserve">
IF($A$4&lt;=12,SUMIFS('ON Data'!V:V,'ON Data'!$D:$D,$A$4,'ON Data'!$E:$E,8),SUMIFS('ON Data'!V:V,'ON Data'!$E:$E,8))</f>
        <v>0</v>
      </c>
      <c r="S17" s="232">
        <f xml:space="preserve">
IF($A$4&lt;=12,SUMIFS('ON Data'!W:W,'ON Data'!$D:$D,$A$4,'ON Data'!$E:$E,8),SUMIFS('ON Data'!W:W,'ON Data'!$E:$E,8))</f>
        <v>0</v>
      </c>
      <c r="T17" s="232">
        <f xml:space="preserve">
IF($A$4&lt;=12,SUMIFS('ON Data'!X:X,'ON Data'!$D:$D,$A$4,'ON Data'!$E:$E,8),SUMIFS('ON Data'!X:X,'ON Data'!$E:$E,8))</f>
        <v>0</v>
      </c>
      <c r="U17" s="232">
        <f xml:space="preserve">
IF($A$4&lt;=12,SUMIFS('ON Data'!Y:Y,'ON Data'!$D:$D,$A$4,'ON Data'!$E:$E,8),SUMIFS('ON Data'!Y:Y,'ON Data'!$E:$E,8))</f>
        <v>0</v>
      </c>
      <c r="V17" s="232">
        <f xml:space="preserve">
IF($A$4&lt;=12,SUMIFS('ON Data'!Z:Z,'ON Data'!$D:$D,$A$4,'ON Data'!$E:$E,8),SUMIFS('ON Data'!Z:Z,'ON Data'!$E:$E,8))</f>
        <v>0</v>
      </c>
      <c r="W17" s="232">
        <f xml:space="preserve">
IF($A$4&lt;=12,SUMIFS('ON Data'!AA:AA,'ON Data'!$D:$D,$A$4,'ON Data'!$E:$E,8),SUMIFS('ON Data'!AA:AA,'ON Data'!$E:$E,8))</f>
        <v>0</v>
      </c>
      <c r="X17" s="232">
        <f xml:space="preserve">
IF($A$4&lt;=12,SUMIFS('ON Data'!AB:AB,'ON Data'!$D:$D,$A$4,'ON Data'!$E:$E,8),SUMIFS('ON Data'!AB:AB,'ON Data'!$E:$E,8))</f>
        <v>0</v>
      </c>
      <c r="Y17" s="232">
        <f xml:space="preserve">
IF($A$4&lt;=12,SUMIFS('ON Data'!AC:AC,'ON Data'!$D:$D,$A$4,'ON Data'!$E:$E,8),SUMIFS('ON Data'!AC:AC,'ON Data'!$E:$E,8))</f>
        <v>0</v>
      </c>
      <c r="Z17" s="232">
        <f xml:space="preserve">
IF($A$4&lt;=12,SUMIFS('ON Data'!AD:AD,'ON Data'!$D:$D,$A$4,'ON Data'!$E:$E,8),SUMIFS('ON Data'!AD:AD,'ON Data'!$E:$E,8))</f>
        <v>0</v>
      </c>
      <c r="AA17" s="232"/>
      <c r="AB17" s="232">
        <f xml:space="preserve">
IF($A$4&lt;=12,SUMIFS('ON Data'!AF:AF,'ON Data'!$D:$D,$A$4,'ON Data'!$E:$E,8),SUMIFS('ON Data'!AF:AF,'ON Data'!$E:$E,8))</f>
        <v>0</v>
      </c>
      <c r="AC17" s="232">
        <f xml:space="preserve">
IF($A$4&lt;=12,SUMIFS('ON Data'!AG:AG,'ON Data'!$D:$D,$A$4,'ON Data'!$E:$E,8),SUMIFS('ON Data'!AG:AG,'ON Data'!$E:$E,8))</f>
        <v>0</v>
      </c>
      <c r="AD17" s="232">
        <f xml:space="preserve">
IF($A$4&lt;=12,SUMIFS('ON Data'!AH:AH,'ON Data'!$D:$D,$A$4,'ON Data'!$E:$E,8),SUMIFS('ON Data'!AH:AH,'ON Data'!$E:$E,8))</f>
        <v>0</v>
      </c>
      <c r="AE17" s="232">
        <f xml:space="preserve">
IF($A$4&lt;=12,SUMIFS('ON Data'!AI:AI,'ON Data'!$D:$D,$A$4,'ON Data'!$E:$E,8),SUMIFS('ON Data'!AI:AI,'ON Data'!$E:$E,8))</f>
        <v>0</v>
      </c>
      <c r="AF17" s="232">
        <f xml:space="preserve">
IF($A$4&lt;=12,SUMIFS('ON Data'!AJ:AJ,'ON Data'!$D:$D,$A$4,'ON Data'!$E:$E,8),SUMIFS('ON Data'!AJ:AJ,'ON Data'!$E:$E,8))</f>
        <v>0</v>
      </c>
      <c r="AG17" s="232">
        <f xml:space="preserve">
IF($A$4&lt;=12,SUMIFS('ON Data'!AK:AK,'ON Data'!$D:$D,$A$4,'ON Data'!$E:$E,8),SUMIFS('ON Data'!AK:AK,'ON Data'!$E:$E,8))</f>
        <v>0</v>
      </c>
      <c r="AH17" s="232">
        <f xml:space="preserve">
IF($A$4&lt;=12,SUMIFS('ON Data'!AL:AL,'ON Data'!$D:$D,$A$4,'ON Data'!$E:$E,8),SUMIFS('ON Data'!AL:AL,'ON Data'!$E:$E,8))</f>
        <v>0</v>
      </c>
      <c r="AI17" s="232">
        <f xml:space="preserve">
IF($A$4&lt;=12,SUMIFS('ON Data'!AM:AM,'ON Data'!$D:$D,$A$4,'ON Data'!$E:$E,8),SUMIFS('ON Data'!AM:AM,'ON Data'!$E:$E,8))</f>
        <v>0</v>
      </c>
      <c r="AJ17" s="232">
        <f xml:space="preserve">
IF($A$4&lt;=12,SUMIFS('ON Data'!AN:AN,'ON Data'!$D:$D,$A$4,'ON Data'!$E:$E,8),SUMIFS('ON Data'!AN:AN,'ON Data'!$E:$E,8))</f>
        <v>0</v>
      </c>
      <c r="AK17" s="232">
        <f xml:space="preserve">
IF($A$4&lt;=12,SUMIFS('ON Data'!AO:AO,'ON Data'!$D:$D,$A$4,'ON Data'!$E:$E,8),SUMIFS('ON Data'!AO:AO,'ON Data'!$E:$E,8))</f>
        <v>0</v>
      </c>
      <c r="AL17" s="232">
        <f xml:space="preserve">
IF($A$4&lt;=12,SUMIFS('ON Data'!AP:AP,'ON Data'!$D:$D,$A$4,'ON Data'!$E:$E,8),SUMIFS('ON Data'!AP:AP,'ON Data'!$E:$E,8))</f>
        <v>0</v>
      </c>
      <c r="AM17" s="232">
        <f xml:space="preserve">
IF($A$4&lt;=12,SUMIFS('ON Data'!AQ:AQ,'ON Data'!$D:$D,$A$4,'ON Data'!$E:$E,8),SUMIFS('ON Data'!AQ:AQ,'ON Data'!$E:$E,8))</f>
        <v>0</v>
      </c>
      <c r="AN17" s="231">
        <f xml:space="preserve">
IF($A$4&lt;=12,SUMIFS('ON Data'!AR:AR,'ON Data'!$D:$D,$A$4,'ON Data'!$E:$E,8),SUMIFS('ON Data'!AR:AR,'ON Data'!$E:$E,8))</f>
        <v>0</v>
      </c>
      <c r="AO17" s="232">
        <f xml:space="preserve">
IF($A$4&lt;=12,SUMIFS('ON Data'!AS:AS,'ON Data'!$D:$D,$A$4,'ON Data'!$E:$E,8),SUMIFS('ON Data'!AS:AS,'ON Data'!$E:$E,8))</f>
        <v>0</v>
      </c>
      <c r="AP17" s="232">
        <f xml:space="preserve">
IF($A$4&lt;=12,SUMIFS('ON Data'!AT:AT,'ON Data'!$D:$D,$A$4,'ON Data'!$E:$E,8),SUMIFS('ON Data'!AT:AT,'ON Data'!$E:$E,8))</f>
        <v>0</v>
      </c>
      <c r="AQ17" s="232">
        <f xml:space="preserve">
IF($A$4&lt;=12,SUMIFS('ON Data'!AU:AU,'ON Data'!$D:$D,$A$4,'ON Data'!$E:$E,8),SUMIFS('ON Data'!AU:AU,'ON Data'!$E:$E,8))</f>
        <v>0</v>
      </c>
      <c r="AR17" s="232">
        <f xml:space="preserve">
IF($A$4&lt;=12,SUMIFS('ON Data'!AV:AV,'ON Data'!$D:$D,$A$4,'ON Data'!$E:$E,8),SUMIFS('ON Data'!AV:AV,'ON Data'!$E:$E,8))</f>
        <v>0</v>
      </c>
      <c r="AS17" s="478">
        <f xml:space="preserve">
IF($A$4&lt;=12,SUMIFS('ON Data'!AW:AW,'ON Data'!$D:$D,$A$4,'ON Data'!$E:$E,8),SUMIFS('ON Data'!AW:AW,'ON Data'!$E:$E,8))</f>
        <v>0</v>
      </c>
      <c r="AT17" s="487"/>
    </row>
    <row r="18" spans="1:46" x14ac:dyDescent="0.3">
      <c r="A18" s="215" t="s">
        <v>159</v>
      </c>
      <c r="B18" s="230">
        <f xml:space="preserve">
B19-B16-B17</f>
        <v>38797</v>
      </c>
      <c r="C18" s="231">
        <f t="shared" ref="C18:I18" si="0" xml:space="preserve">
C19-C16-C17</f>
        <v>0</v>
      </c>
      <c r="D18" s="232">
        <f t="shared" si="0"/>
        <v>0</v>
      </c>
      <c r="E18" s="232"/>
      <c r="F18" s="232">
        <f t="shared" si="0"/>
        <v>0</v>
      </c>
      <c r="G18" s="232">
        <f t="shared" si="0"/>
        <v>0</v>
      </c>
      <c r="H18" s="232">
        <f t="shared" si="0"/>
        <v>16228</v>
      </c>
      <c r="I18" s="232">
        <f t="shared" si="0"/>
        <v>0</v>
      </c>
      <c r="J18" s="232">
        <f t="shared" ref="J18:AK18" si="1" xml:space="preserve">
J19-J16-J17</f>
        <v>0</v>
      </c>
      <c r="K18" s="232">
        <f t="shared" si="1"/>
        <v>0</v>
      </c>
      <c r="L18" s="232">
        <f t="shared" si="1"/>
        <v>0</v>
      </c>
      <c r="M18" s="232">
        <f t="shared" si="1"/>
        <v>0</v>
      </c>
      <c r="N18" s="232">
        <f t="shared" si="1"/>
        <v>0</v>
      </c>
      <c r="O18" s="232">
        <f t="shared" si="1"/>
        <v>0</v>
      </c>
      <c r="P18" s="232">
        <f t="shared" si="1"/>
        <v>0</v>
      </c>
      <c r="Q18" s="232">
        <f t="shared" si="1"/>
        <v>0</v>
      </c>
      <c r="R18" s="232">
        <f t="shared" si="1"/>
        <v>0</v>
      </c>
      <c r="S18" s="232">
        <f t="shared" si="1"/>
        <v>0</v>
      </c>
      <c r="T18" s="232">
        <f t="shared" si="1"/>
        <v>0</v>
      </c>
      <c r="U18" s="232">
        <f t="shared" si="1"/>
        <v>0</v>
      </c>
      <c r="V18" s="232">
        <f t="shared" si="1"/>
        <v>0</v>
      </c>
      <c r="W18" s="232">
        <f t="shared" si="1"/>
        <v>0</v>
      </c>
      <c r="X18" s="232">
        <f t="shared" si="1"/>
        <v>0</v>
      </c>
      <c r="Y18" s="232">
        <f t="shared" si="1"/>
        <v>0</v>
      </c>
      <c r="Z18" s="232">
        <f t="shared" si="1"/>
        <v>0</v>
      </c>
      <c r="AA18" s="232"/>
      <c r="AB18" s="232">
        <f t="shared" si="1"/>
        <v>0</v>
      </c>
      <c r="AC18" s="232">
        <f t="shared" si="1"/>
        <v>0</v>
      </c>
      <c r="AD18" s="232">
        <f t="shared" si="1"/>
        <v>0</v>
      </c>
      <c r="AE18" s="232">
        <f t="shared" si="1"/>
        <v>0</v>
      </c>
      <c r="AF18" s="232">
        <f t="shared" si="1"/>
        <v>0</v>
      </c>
      <c r="AG18" s="232">
        <f t="shared" si="1"/>
        <v>0</v>
      </c>
      <c r="AH18" s="232">
        <f t="shared" si="1"/>
        <v>15936</v>
      </c>
      <c r="AI18" s="232">
        <f t="shared" si="1"/>
        <v>0</v>
      </c>
      <c r="AJ18" s="232">
        <f t="shared" si="1"/>
        <v>0</v>
      </c>
      <c r="AK18" s="232">
        <f t="shared" si="1"/>
        <v>0</v>
      </c>
      <c r="AL18" s="232">
        <f t="shared" ref="AL18:AS18" si="2" xml:space="preserve">
AL19-AL16-AL17</f>
        <v>0</v>
      </c>
      <c r="AM18" s="232">
        <f t="shared" si="2"/>
        <v>0</v>
      </c>
      <c r="AN18" s="231">
        <f t="shared" si="2"/>
        <v>0</v>
      </c>
      <c r="AO18" s="232">
        <f t="shared" si="2"/>
        <v>0</v>
      </c>
      <c r="AP18" s="232">
        <f t="shared" si="2"/>
        <v>4346</v>
      </c>
      <c r="AQ18" s="232">
        <f t="shared" si="2"/>
        <v>0</v>
      </c>
      <c r="AR18" s="232">
        <f t="shared" si="2"/>
        <v>0</v>
      </c>
      <c r="AS18" s="478">
        <f t="shared" si="2"/>
        <v>0</v>
      </c>
      <c r="AT18" s="487"/>
    </row>
    <row r="19" spans="1:46" ht="15" thickBot="1" x14ac:dyDescent="0.35">
      <c r="A19" s="216" t="s">
        <v>160</v>
      </c>
      <c r="B19" s="241">
        <f xml:space="preserve">
IF($A$4&lt;=12,SUMIFS('ON Data'!F:F,'ON Data'!$D:$D,$A$4,'ON Data'!$E:$E,9),SUMIFS('ON Data'!F:F,'ON Data'!$E:$E,9))</f>
        <v>38797</v>
      </c>
      <c r="C19" s="242">
        <f xml:space="preserve">
IF($A$4&lt;=12,SUMIFS('ON Data'!G:G,'ON Data'!$D:$D,$A$4,'ON Data'!$E:$E,9),SUMIFS('ON Data'!G:G,'ON Data'!$E:$E,9))</f>
        <v>0</v>
      </c>
      <c r="D19" s="243">
        <f xml:space="preserve">
IF($A$4&lt;=12,SUMIFS('ON Data'!H:H,'ON Data'!$D:$D,$A$4,'ON Data'!$E:$E,9),SUMIFS('ON Data'!H:H,'ON Data'!$E:$E,9))</f>
        <v>0</v>
      </c>
      <c r="E19" s="243"/>
      <c r="F19" s="243">
        <f xml:space="preserve">
IF($A$4&lt;=12,SUMIFS('ON Data'!J:J,'ON Data'!$D:$D,$A$4,'ON Data'!$E:$E,9),SUMIFS('ON Data'!J:J,'ON Data'!$E:$E,9))</f>
        <v>0</v>
      </c>
      <c r="G19" s="243">
        <f xml:space="preserve">
IF($A$4&lt;=12,SUMIFS('ON Data'!K:K,'ON Data'!$D:$D,$A$4,'ON Data'!$E:$E,9),SUMIFS('ON Data'!K:K,'ON Data'!$E:$E,9))</f>
        <v>0</v>
      </c>
      <c r="H19" s="243">
        <f xml:space="preserve">
IF($A$4&lt;=12,SUMIFS('ON Data'!L:L,'ON Data'!$D:$D,$A$4,'ON Data'!$E:$E,9),SUMIFS('ON Data'!L:L,'ON Data'!$E:$E,9))</f>
        <v>16228</v>
      </c>
      <c r="I19" s="243">
        <f xml:space="preserve">
IF($A$4&lt;=12,SUMIFS('ON Data'!M:M,'ON Data'!$D:$D,$A$4,'ON Data'!$E:$E,9),SUMIFS('ON Data'!M:M,'ON Data'!$E:$E,9))</f>
        <v>0</v>
      </c>
      <c r="J19" s="243">
        <f xml:space="preserve">
IF($A$4&lt;=12,SUMIFS('ON Data'!N:N,'ON Data'!$D:$D,$A$4,'ON Data'!$E:$E,9),SUMIFS('ON Data'!N:N,'ON Data'!$E:$E,9))</f>
        <v>0</v>
      </c>
      <c r="K19" s="243">
        <f xml:space="preserve">
IF($A$4&lt;=12,SUMIFS('ON Data'!O:O,'ON Data'!$D:$D,$A$4,'ON Data'!$E:$E,9),SUMIFS('ON Data'!O:O,'ON Data'!$E:$E,9))</f>
        <v>0</v>
      </c>
      <c r="L19" s="243">
        <f xml:space="preserve">
IF($A$4&lt;=12,SUMIFS('ON Data'!P:P,'ON Data'!$D:$D,$A$4,'ON Data'!$E:$E,9),SUMIFS('ON Data'!P:P,'ON Data'!$E:$E,9))</f>
        <v>0</v>
      </c>
      <c r="M19" s="243">
        <f xml:space="preserve">
IF($A$4&lt;=12,SUMIFS('ON Data'!Q:Q,'ON Data'!$D:$D,$A$4,'ON Data'!$E:$E,9),SUMIFS('ON Data'!Q:Q,'ON Data'!$E:$E,9))</f>
        <v>0</v>
      </c>
      <c r="N19" s="243">
        <f xml:space="preserve">
IF($A$4&lt;=12,SUMIFS('ON Data'!R:R,'ON Data'!$D:$D,$A$4,'ON Data'!$E:$E,9),SUMIFS('ON Data'!R:R,'ON Data'!$E:$E,9))</f>
        <v>0</v>
      </c>
      <c r="O19" s="243">
        <f xml:space="preserve">
IF($A$4&lt;=12,SUMIFS('ON Data'!S:S,'ON Data'!$D:$D,$A$4,'ON Data'!$E:$E,9),SUMIFS('ON Data'!S:S,'ON Data'!$E:$E,9))</f>
        <v>0</v>
      </c>
      <c r="P19" s="243">
        <f xml:space="preserve">
IF($A$4&lt;=12,SUMIFS('ON Data'!T:T,'ON Data'!$D:$D,$A$4,'ON Data'!$E:$E,9),SUMIFS('ON Data'!T:T,'ON Data'!$E:$E,9))</f>
        <v>0</v>
      </c>
      <c r="Q19" s="243">
        <f xml:space="preserve">
IF($A$4&lt;=12,SUMIFS('ON Data'!U:U,'ON Data'!$D:$D,$A$4,'ON Data'!$E:$E,9),SUMIFS('ON Data'!U:U,'ON Data'!$E:$E,9))</f>
        <v>0</v>
      </c>
      <c r="R19" s="243">
        <f xml:space="preserve">
IF($A$4&lt;=12,SUMIFS('ON Data'!V:V,'ON Data'!$D:$D,$A$4,'ON Data'!$E:$E,9),SUMIFS('ON Data'!V:V,'ON Data'!$E:$E,9))</f>
        <v>0</v>
      </c>
      <c r="S19" s="243">
        <f xml:space="preserve">
IF($A$4&lt;=12,SUMIFS('ON Data'!W:W,'ON Data'!$D:$D,$A$4,'ON Data'!$E:$E,9),SUMIFS('ON Data'!W:W,'ON Data'!$E:$E,9))</f>
        <v>0</v>
      </c>
      <c r="T19" s="243">
        <f xml:space="preserve">
IF($A$4&lt;=12,SUMIFS('ON Data'!X:X,'ON Data'!$D:$D,$A$4,'ON Data'!$E:$E,9),SUMIFS('ON Data'!X:X,'ON Data'!$E:$E,9))</f>
        <v>0</v>
      </c>
      <c r="U19" s="243">
        <f xml:space="preserve">
IF($A$4&lt;=12,SUMIFS('ON Data'!Y:Y,'ON Data'!$D:$D,$A$4,'ON Data'!$E:$E,9),SUMIFS('ON Data'!Y:Y,'ON Data'!$E:$E,9))</f>
        <v>0</v>
      </c>
      <c r="V19" s="243">
        <f xml:space="preserve">
IF($A$4&lt;=12,SUMIFS('ON Data'!Z:Z,'ON Data'!$D:$D,$A$4,'ON Data'!$E:$E,9),SUMIFS('ON Data'!Z:Z,'ON Data'!$E:$E,9))</f>
        <v>0</v>
      </c>
      <c r="W19" s="243">
        <f xml:space="preserve">
IF($A$4&lt;=12,SUMIFS('ON Data'!AA:AA,'ON Data'!$D:$D,$A$4,'ON Data'!$E:$E,9),SUMIFS('ON Data'!AA:AA,'ON Data'!$E:$E,9))</f>
        <v>0</v>
      </c>
      <c r="X19" s="243">
        <f xml:space="preserve">
IF($A$4&lt;=12,SUMIFS('ON Data'!AB:AB,'ON Data'!$D:$D,$A$4,'ON Data'!$E:$E,9),SUMIFS('ON Data'!AB:AB,'ON Data'!$E:$E,9))</f>
        <v>0</v>
      </c>
      <c r="Y19" s="243">
        <f xml:space="preserve">
IF($A$4&lt;=12,SUMIFS('ON Data'!AC:AC,'ON Data'!$D:$D,$A$4,'ON Data'!$E:$E,9),SUMIFS('ON Data'!AC:AC,'ON Data'!$E:$E,9))</f>
        <v>0</v>
      </c>
      <c r="Z19" s="243">
        <f xml:space="preserve">
IF($A$4&lt;=12,SUMIFS('ON Data'!AD:AD,'ON Data'!$D:$D,$A$4,'ON Data'!$E:$E,9),SUMIFS('ON Data'!AD:AD,'ON Data'!$E:$E,9))</f>
        <v>0</v>
      </c>
      <c r="AA19" s="243"/>
      <c r="AB19" s="243">
        <f xml:space="preserve">
IF($A$4&lt;=12,SUMIFS('ON Data'!AF:AF,'ON Data'!$D:$D,$A$4,'ON Data'!$E:$E,9),SUMIFS('ON Data'!AF:AF,'ON Data'!$E:$E,9))</f>
        <v>0</v>
      </c>
      <c r="AC19" s="243">
        <f xml:space="preserve">
IF($A$4&lt;=12,SUMIFS('ON Data'!AG:AG,'ON Data'!$D:$D,$A$4,'ON Data'!$E:$E,9),SUMIFS('ON Data'!AG:AG,'ON Data'!$E:$E,9))</f>
        <v>0</v>
      </c>
      <c r="AD19" s="243">
        <f xml:space="preserve">
IF($A$4&lt;=12,SUMIFS('ON Data'!AH:AH,'ON Data'!$D:$D,$A$4,'ON Data'!$E:$E,9),SUMIFS('ON Data'!AH:AH,'ON Data'!$E:$E,9))</f>
        <v>0</v>
      </c>
      <c r="AE19" s="243">
        <f xml:space="preserve">
IF($A$4&lt;=12,SUMIFS('ON Data'!AI:AI,'ON Data'!$D:$D,$A$4,'ON Data'!$E:$E,9),SUMIFS('ON Data'!AI:AI,'ON Data'!$E:$E,9))</f>
        <v>0</v>
      </c>
      <c r="AF19" s="243">
        <f xml:space="preserve">
IF($A$4&lt;=12,SUMIFS('ON Data'!AJ:AJ,'ON Data'!$D:$D,$A$4,'ON Data'!$E:$E,9),SUMIFS('ON Data'!AJ:AJ,'ON Data'!$E:$E,9))</f>
        <v>0</v>
      </c>
      <c r="AG19" s="243">
        <f xml:space="preserve">
IF($A$4&lt;=12,SUMIFS('ON Data'!AK:AK,'ON Data'!$D:$D,$A$4,'ON Data'!$E:$E,9),SUMIFS('ON Data'!AK:AK,'ON Data'!$E:$E,9))</f>
        <v>0</v>
      </c>
      <c r="AH19" s="243">
        <f xml:space="preserve">
IF($A$4&lt;=12,SUMIFS('ON Data'!AL:AL,'ON Data'!$D:$D,$A$4,'ON Data'!$E:$E,9),SUMIFS('ON Data'!AL:AL,'ON Data'!$E:$E,9))</f>
        <v>15936</v>
      </c>
      <c r="AI19" s="243">
        <f xml:space="preserve">
IF($A$4&lt;=12,SUMIFS('ON Data'!AM:AM,'ON Data'!$D:$D,$A$4,'ON Data'!$E:$E,9),SUMIFS('ON Data'!AM:AM,'ON Data'!$E:$E,9))</f>
        <v>0</v>
      </c>
      <c r="AJ19" s="243">
        <f xml:space="preserve">
IF($A$4&lt;=12,SUMIFS('ON Data'!AN:AN,'ON Data'!$D:$D,$A$4,'ON Data'!$E:$E,9),SUMIFS('ON Data'!AN:AN,'ON Data'!$E:$E,9))</f>
        <v>0</v>
      </c>
      <c r="AK19" s="243">
        <f xml:space="preserve">
IF($A$4&lt;=12,SUMIFS('ON Data'!AO:AO,'ON Data'!$D:$D,$A$4,'ON Data'!$E:$E,9),SUMIFS('ON Data'!AO:AO,'ON Data'!$E:$E,9))</f>
        <v>0</v>
      </c>
      <c r="AL19" s="243">
        <f xml:space="preserve">
IF($A$4&lt;=12,SUMIFS('ON Data'!AP:AP,'ON Data'!$D:$D,$A$4,'ON Data'!$E:$E,9),SUMIFS('ON Data'!AP:AP,'ON Data'!$E:$E,9))</f>
        <v>0</v>
      </c>
      <c r="AM19" s="243">
        <f xml:space="preserve">
IF($A$4&lt;=12,SUMIFS('ON Data'!AQ:AQ,'ON Data'!$D:$D,$A$4,'ON Data'!$E:$E,9),SUMIFS('ON Data'!AQ:AQ,'ON Data'!$E:$E,9))</f>
        <v>0</v>
      </c>
      <c r="AN19" s="242">
        <f xml:space="preserve">
IF($A$4&lt;=12,SUMIFS('ON Data'!AR:AR,'ON Data'!$D:$D,$A$4,'ON Data'!$E:$E,9),SUMIFS('ON Data'!AR:AR,'ON Data'!$E:$E,9))</f>
        <v>0</v>
      </c>
      <c r="AO19" s="243">
        <f xml:space="preserve">
IF($A$4&lt;=12,SUMIFS('ON Data'!AS:AS,'ON Data'!$D:$D,$A$4,'ON Data'!$E:$E,9),SUMIFS('ON Data'!AS:AS,'ON Data'!$E:$E,9))</f>
        <v>0</v>
      </c>
      <c r="AP19" s="243">
        <f xml:space="preserve">
IF($A$4&lt;=12,SUMIFS('ON Data'!AT:AT,'ON Data'!$D:$D,$A$4,'ON Data'!$E:$E,9),SUMIFS('ON Data'!AT:AT,'ON Data'!$E:$E,9))</f>
        <v>4346</v>
      </c>
      <c r="AQ19" s="243">
        <f xml:space="preserve">
IF($A$4&lt;=12,SUMIFS('ON Data'!AU:AU,'ON Data'!$D:$D,$A$4,'ON Data'!$E:$E,9),SUMIFS('ON Data'!AU:AU,'ON Data'!$E:$E,9))</f>
        <v>0</v>
      </c>
      <c r="AR19" s="243">
        <f xml:space="preserve">
IF($A$4&lt;=12,SUMIFS('ON Data'!AV:AV,'ON Data'!$D:$D,$A$4,'ON Data'!$E:$E,9),SUMIFS('ON Data'!AV:AV,'ON Data'!$E:$E,9))</f>
        <v>0</v>
      </c>
      <c r="AS19" s="481">
        <f xml:space="preserve">
IF($A$4&lt;=12,SUMIFS('ON Data'!AW:AW,'ON Data'!$D:$D,$A$4,'ON Data'!$E:$E,9),SUMIFS('ON Data'!AW:AW,'ON Data'!$E:$E,9))</f>
        <v>0</v>
      </c>
      <c r="AT19" s="487"/>
    </row>
    <row r="20" spans="1:46" ht="15" collapsed="1" thickBot="1" x14ac:dyDescent="0.35">
      <c r="A20" s="217" t="s">
        <v>59</v>
      </c>
      <c r="B20" s="244">
        <f xml:space="preserve">
IF($A$4&lt;=12,SUMIFS('ON Data'!F:F,'ON Data'!$D:$D,$A$4,'ON Data'!$E:$E,6),SUMIFS('ON Data'!F:F,'ON Data'!$E:$E,6))</f>
        <v>2238999</v>
      </c>
      <c r="C20" s="245">
        <f xml:space="preserve">
IF($A$4&lt;=12,SUMIFS('ON Data'!G:G,'ON Data'!$D:$D,$A$4,'ON Data'!$E:$E,6),SUMIFS('ON Data'!G:G,'ON Data'!$E:$E,6))</f>
        <v>0</v>
      </c>
      <c r="D20" s="246">
        <f xml:space="preserve">
IF($A$4&lt;=12,SUMIFS('ON Data'!H:H,'ON Data'!$D:$D,$A$4,'ON Data'!$E:$E,6),SUMIFS('ON Data'!H:H,'ON Data'!$E:$E,6))</f>
        <v>21957</v>
      </c>
      <c r="E20" s="246"/>
      <c r="F20" s="246">
        <f xml:space="preserve">
IF($A$4&lt;=12,SUMIFS('ON Data'!J:J,'ON Data'!$D:$D,$A$4,'ON Data'!$E:$E,6),SUMIFS('ON Data'!J:J,'ON Data'!$E:$E,6))</f>
        <v>70003</v>
      </c>
      <c r="G20" s="246">
        <f xml:space="preserve">
IF($A$4&lt;=12,SUMIFS('ON Data'!K:K,'ON Data'!$D:$D,$A$4,'ON Data'!$E:$E,6),SUMIFS('ON Data'!K:K,'ON Data'!$E:$E,6))</f>
        <v>0</v>
      </c>
      <c r="H20" s="246">
        <f xml:space="preserve">
IF($A$4&lt;=12,SUMIFS('ON Data'!L:L,'ON Data'!$D:$D,$A$4,'ON Data'!$E:$E,6),SUMIFS('ON Data'!L:L,'ON Data'!$E:$E,6))</f>
        <v>504567</v>
      </c>
      <c r="I20" s="246">
        <f xml:space="preserve">
IF($A$4&lt;=12,SUMIFS('ON Data'!M:M,'ON Data'!$D:$D,$A$4,'ON Data'!$E:$E,6),SUMIFS('ON Data'!M:M,'ON Data'!$E:$E,6))</f>
        <v>0</v>
      </c>
      <c r="J20" s="246">
        <f xml:space="preserve">
IF($A$4&lt;=12,SUMIFS('ON Data'!N:N,'ON Data'!$D:$D,$A$4,'ON Data'!$E:$E,6),SUMIFS('ON Data'!N:N,'ON Data'!$E:$E,6))</f>
        <v>0</v>
      </c>
      <c r="K20" s="246">
        <f xml:space="preserve">
IF($A$4&lt;=12,SUMIFS('ON Data'!O:O,'ON Data'!$D:$D,$A$4,'ON Data'!$E:$E,6),SUMIFS('ON Data'!O:O,'ON Data'!$E:$E,6))</f>
        <v>0</v>
      </c>
      <c r="L20" s="246">
        <f xml:space="preserve">
IF($A$4&lt;=12,SUMIFS('ON Data'!P:P,'ON Data'!$D:$D,$A$4,'ON Data'!$E:$E,6),SUMIFS('ON Data'!P:P,'ON Data'!$E:$E,6))</f>
        <v>0</v>
      </c>
      <c r="M20" s="246">
        <f xml:space="preserve">
IF($A$4&lt;=12,SUMIFS('ON Data'!Q:Q,'ON Data'!$D:$D,$A$4,'ON Data'!$E:$E,6),SUMIFS('ON Data'!Q:Q,'ON Data'!$E:$E,6))</f>
        <v>0</v>
      </c>
      <c r="N20" s="246">
        <f xml:space="preserve">
IF($A$4&lt;=12,SUMIFS('ON Data'!R:R,'ON Data'!$D:$D,$A$4,'ON Data'!$E:$E,6),SUMIFS('ON Data'!R:R,'ON Data'!$E:$E,6))</f>
        <v>0</v>
      </c>
      <c r="O20" s="246">
        <f xml:space="preserve">
IF($A$4&lt;=12,SUMIFS('ON Data'!S:S,'ON Data'!$D:$D,$A$4,'ON Data'!$E:$E,6),SUMIFS('ON Data'!S:S,'ON Data'!$E:$E,6))</f>
        <v>0</v>
      </c>
      <c r="P20" s="246">
        <f xml:space="preserve">
IF($A$4&lt;=12,SUMIFS('ON Data'!T:T,'ON Data'!$D:$D,$A$4,'ON Data'!$E:$E,6),SUMIFS('ON Data'!T:T,'ON Data'!$E:$E,6))</f>
        <v>0</v>
      </c>
      <c r="Q20" s="246">
        <f xml:space="preserve">
IF($A$4&lt;=12,SUMIFS('ON Data'!U:U,'ON Data'!$D:$D,$A$4,'ON Data'!$E:$E,6),SUMIFS('ON Data'!U:U,'ON Data'!$E:$E,6))</f>
        <v>0</v>
      </c>
      <c r="R20" s="246">
        <f xml:space="preserve">
IF($A$4&lt;=12,SUMIFS('ON Data'!V:V,'ON Data'!$D:$D,$A$4,'ON Data'!$E:$E,6),SUMIFS('ON Data'!V:V,'ON Data'!$E:$E,6))</f>
        <v>0</v>
      </c>
      <c r="S20" s="246">
        <f xml:space="preserve">
IF($A$4&lt;=12,SUMIFS('ON Data'!W:W,'ON Data'!$D:$D,$A$4,'ON Data'!$E:$E,6),SUMIFS('ON Data'!W:W,'ON Data'!$E:$E,6))</f>
        <v>555640</v>
      </c>
      <c r="T20" s="246">
        <f xml:space="preserve">
IF($A$4&lt;=12,SUMIFS('ON Data'!X:X,'ON Data'!$D:$D,$A$4,'ON Data'!$E:$E,6),SUMIFS('ON Data'!X:X,'ON Data'!$E:$E,6))</f>
        <v>0</v>
      </c>
      <c r="U20" s="246">
        <f xml:space="preserve">
IF($A$4&lt;=12,SUMIFS('ON Data'!Y:Y,'ON Data'!$D:$D,$A$4,'ON Data'!$E:$E,6),SUMIFS('ON Data'!Y:Y,'ON Data'!$E:$E,6))</f>
        <v>0</v>
      </c>
      <c r="V20" s="246">
        <f xml:space="preserve">
IF($A$4&lt;=12,SUMIFS('ON Data'!Z:Z,'ON Data'!$D:$D,$A$4,'ON Data'!$E:$E,6),SUMIFS('ON Data'!Z:Z,'ON Data'!$E:$E,6))</f>
        <v>0</v>
      </c>
      <c r="W20" s="246">
        <f xml:space="preserve">
IF($A$4&lt;=12,SUMIFS('ON Data'!AA:AA,'ON Data'!$D:$D,$A$4,'ON Data'!$E:$E,6),SUMIFS('ON Data'!AA:AA,'ON Data'!$E:$E,6))</f>
        <v>0</v>
      </c>
      <c r="X20" s="246">
        <f xml:space="preserve">
IF($A$4&lt;=12,SUMIFS('ON Data'!AB:AB,'ON Data'!$D:$D,$A$4,'ON Data'!$E:$E,6),SUMIFS('ON Data'!AB:AB,'ON Data'!$E:$E,6))</f>
        <v>0</v>
      </c>
      <c r="Y20" s="246">
        <f xml:space="preserve">
IF($A$4&lt;=12,SUMIFS('ON Data'!AC:AC,'ON Data'!$D:$D,$A$4,'ON Data'!$E:$E,6),SUMIFS('ON Data'!AC:AC,'ON Data'!$E:$E,6))</f>
        <v>0</v>
      </c>
      <c r="Z20" s="246">
        <f xml:space="preserve">
IF($A$4&lt;=12,SUMIFS('ON Data'!AD:AD,'ON Data'!$D:$D,$A$4,'ON Data'!$E:$E,6),SUMIFS('ON Data'!AD:AD,'ON Data'!$E:$E,6))</f>
        <v>0</v>
      </c>
      <c r="AA20" s="246"/>
      <c r="AB20" s="246">
        <f xml:space="preserve">
IF($A$4&lt;=12,SUMIFS('ON Data'!AF:AF,'ON Data'!$D:$D,$A$4,'ON Data'!$E:$E,6),SUMIFS('ON Data'!AF:AF,'ON Data'!$E:$E,6))</f>
        <v>0</v>
      </c>
      <c r="AC20" s="246">
        <f xml:space="preserve">
IF($A$4&lt;=12,SUMIFS('ON Data'!AG:AG,'ON Data'!$D:$D,$A$4,'ON Data'!$E:$E,6),SUMIFS('ON Data'!AG:AG,'ON Data'!$E:$E,6))</f>
        <v>0</v>
      </c>
      <c r="AD20" s="246">
        <f xml:space="preserve">
IF($A$4&lt;=12,SUMIFS('ON Data'!AH:AH,'ON Data'!$D:$D,$A$4,'ON Data'!$E:$E,6),SUMIFS('ON Data'!AH:AH,'ON Data'!$E:$E,6))</f>
        <v>0</v>
      </c>
      <c r="AE20" s="246">
        <f xml:space="preserve">
IF($A$4&lt;=12,SUMIFS('ON Data'!AI:AI,'ON Data'!$D:$D,$A$4,'ON Data'!$E:$E,6),SUMIFS('ON Data'!AI:AI,'ON Data'!$E:$E,6))</f>
        <v>0</v>
      </c>
      <c r="AF20" s="246">
        <f xml:space="preserve">
IF($A$4&lt;=12,SUMIFS('ON Data'!AJ:AJ,'ON Data'!$D:$D,$A$4,'ON Data'!$E:$E,6),SUMIFS('ON Data'!AJ:AJ,'ON Data'!$E:$E,6))</f>
        <v>0</v>
      </c>
      <c r="AG20" s="246">
        <f xml:space="preserve">
IF($A$4&lt;=12,SUMIFS('ON Data'!AK:AK,'ON Data'!$D:$D,$A$4,'ON Data'!$E:$E,6),SUMIFS('ON Data'!AK:AK,'ON Data'!$E:$E,6))</f>
        <v>0</v>
      </c>
      <c r="AH20" s="246">
        <f xml:space="preserve">
IF($A$4&lt;=12,SUMIFS('ON Data'!AL:AL,'ON Data'!$D:$D,$A$4,'ON Data'!$E:$E,6),SUMIFS('ON Data'!AL:AL,'ON Data'!$E:$E,6))</f>
        <v>649354</v>
      </c>
      <c r="AI20" s="246">
        <f xml:space="preserve">
IF($A$4&lt;=12,SUMIFS('ON Data'!AM:AM,'ON Data'!$D:$D,$A$4,'ON Data'!$E:$E,6),SUMIFS('ON Data'!AM:AM,'ON Data'!$E:$E,6))</f>
        <v>0</v>
      </c>
      <c r="AJ20" s="246">
        <f xml:space="preserve">
IF($A$4&lt;=12,SUMIFS('ON Data'!AN:AN,'ON Data'!$D:$D,$A$4,'ON Data'!$E:$E,6),SUMIFS('ON Data'!AN:AN,'ON Data'!$E:$E,6))</f>
        <v>0</v>
      </c>
      <c r="AK20" s="246">
        <f xml:space="preserve">
IF($A$4&lt;=12,SUMIFS('ON Data'!AO:AO,'ON Data'!$D:$D,$A$4,'ON Data'!$E:$E,6),SUMIFS('ON Data'!AO:AO,'ON Data'!$E:$E,6))</f>
        <v>0</v>
      </c>
      <c r="AL20" s="246">
        <f xml:space="preserve">
IF($A$4&lt;=12,SUMIFS('ON Data'!AP:AP,'ON Data'!$D:$D,$A$4,'ON Data'!$E:$E,6),SUMIFS('ON Data'!AP:AP,'ON Data'!$E:$E,6))</f>
        <v>0</v>
      </c>
      <c r="AM20" s="246">
        <f xml:space="preserve">
IF($A$4&lt;=12,SUMIFS('ON Data'!AQ:AQ,'ON Data'!$D:$D,$A$4,'ON Data'!$E:$E,6),SUMIFS('ON Data'!AQ:AQ,'ON Data'!$E:$E,6))</f>
        <v>0</v>
      </c>
      <c r="AN20" s="245">
        <f xml:space="preserve">
IF($A$4&lt;=12,SUMIFS('ON Data'!AR:AR,'ON Data'!$D:$D,$A$4,'ON Data'!$E:$E,6),SUMIFS('ON Data'!AR:AR,'ON Data'!$E:$E,6))</f>
        <v>0</v>
      </c>
      <c r="AO20" s="246">
        <f xml:space="preserve">
IF($A$4&lt;=12,SUMIFS('ON Data'!AS:AS,'ON Data'!$D:$D,$A$4,'ON Data'!$E:$E,6),SUMIFS('ON Data'!AS:AS,'ON Data'!$E:$E,6))</f>
        <v>0</v>
      </c>
      <c r="AP20" s="246">
        <f xml:space="preserve">
IF($A$4&lt;=12,SUMIFS('ON Data'!AT:AT,'ON Data'!$D:$D,$A$4,'ON Data'!$E:$E,6),SUMIFS('ON Data'!AT:AT,'ON Data'!$E:$E,6))</f>
        <v>301246</v>
      </c>
      <c r="AQ20" s="246">
        <f xml:space="preserve">
IF($A$4&lt;=12,SUMIFS('ON Data'!AU:AU,'ON Data'!$D:$D,$A$4,'ON Data'!$E:$E,6),SUMIFS('ON Data'!AU:AU,'ON Data'!$E:$E,6))</f>
        <v>0</v>
      </c>
      <c r="AR20" s="246">
        <f xml:space="preserve">
IF($A$4&lt;=12,SUMIFS('ON Data'!AV:AV,'ON Data'!$D:$D,$A$4,'ON Data'!$E:$E,6),SUMIFS('ON Data'!AV:AV,'ON Data'!$E:$E,6))</f>
        <v>0</v>
      </c>
      <c r="AS20" s="482">
        <f xml:space="preserve">
IF($A$4&lt;=12,SUMIFS('ON Data'!AW:AW,'ON Data'!$D:$D,$A$4,'ON Data'!$E:$E,6),SUMIFS('ON Data'!AW:AW,'ON Data'!$E:$E,6))</f>
        <v>0</v>
      </c>
      <c r="AT20" s="487"/>
    </row>
    <row r="21" spans="1:46" ht="15" hidden="1" outlineLevel="1" thickBot="1" x14ac:dyDescent="0.35">
      <c r="A21" s="210" t="s">
        <v>93</v>
      </c>
      <c r="B21" s="230">
        <f xml:space="preserve">
IF($A$4&lt;=12,SUMIFS('ON Data'!F:F,'ON Data'!$D:$D,$A$4,'ON Data'!$E:$E,12),SUMIFS('ON Data'!F:F,'ON Data'!$E:$E,12))</f>
        <v>0</v>
      </c>
      <c r="C21" s="231">
        <f xml:space="preserve">
IF($A$4&lt;=12,SUMIFS('ON Data'!G:G,'ON Data'!$D:$D,$A$4,'ON Data'!$E:$E,12),SUMIFS('ON Data'!G:G,'ON Data'!$E:$E,12))</f>
        <v>0</v>
      </c>
      <c r="D21" s="232">
        <f xml:space="preserve">
IF($A$4&lt;=12,SUMIFS('ON Data'!H:H,'ON Data'!$D:$D,$A$4,'ON Data'!$E:$E,12),SUMIFS('ON Data'!H:H,'ON Data'!$E:$E,12))</f>
        <v>0</v>
      </c>
      <c r="E21" s="232"/>
      <c r="F21" s="232">
        <f xml:space="preserve">
IF($A$4&lt;=12,SUMIFS('ON Data'!J:J,'ON Data'!$D:$D,$A$4,'ON Data'!$E:$E,12),SUMIFS('ON Data'!J:J,'ON Data'!$E:$E,12))</f>
        <v>0</v>
      </c>
      <c r="G21" s="232">
        <f xml:space="preserve">
IF($A$4&lt;=12,SUMIFS('ON Data'!K:K,'ON Data'!$D:$D,$A$4,'ON Data'!$E:$E,12),SUMIFS('ON Data'!K:K,'ON Data'!$E:$E,12))</f>
        <v>0</v>
      </c>
      <c r="H21" s="232">
        <f xml:space="preserve">
IF($A$4&lt;=12,SUMIFS('ON Data'!L:L,'ON Data'!$D:$D,$A$4,'ON Data'!$E:$E,12),SUMIFS('ON Data'!L:L,'ON Data'!$E:$E,12))</f>
        <v>0</v>
      </c>
      <c r="I21" s="232">
        <f xml:space="preserve">
IF($A$4&lt;=12,SUMIFS('ON Data'!M:M,'ON Data'!$D:$D,$A$4,'ON Data'!$E:$E,12),SUMIFS('ON Data'!M:M,'ON Data'!$E:$E,12))</f>
        <v>0</v>
      </c>
      <c r="J21" s="232">
        <f xml:space="preserve">
IF($A$4&lt;=12,SUMIFS('ON Data'!N:N,'ON Data'!$D:$D,$A$4,'ON Data'!$E:$E,12),SUMIFS('ON Data'!N:N,'ON Data'!$E:$E,12))</f>
        <v>0</v>
      </c>
      <c r="K21" s="232">
        <f xml:space="preserve">
IF($A$4&lt;=12,SUMIFS('ON Data'!O:O,'ON Data'!$D:$D,$A$4,'ON Data'!$E:$E,12),SUMIFS('ON Data'!O:O,'ON Data'!$E:$E,12))</f>
        <v>0</v>
      </c>
      <c r="L21" s="232">
        <f xml:space="preserve">
IF($A$4&lt;=12,SUMIFS('ON Data'!P:P,'ON Data'!$D:$D,$A$4,'ON Data'!$E:$E,12),SUMIFS('ON Data'!P:P,'ON Data'!$E:$E,12))</f>
        <v>0</v>
      </c>
      <c r="M21" s="232">
        <f xml:space="preserve">
IF($A$4&lt;=12,SUMIFS('ON Data'!Q:Q,'ON Data'!$D:$D,$A$4,'ON Data'!$E:$E,12),SUMIFS('ON Data'!Q:Q,'ON Data'!$E:$E,12))</f>
        <v>0</v>
      </c>
      <c r="N21" s="232">
        <f xml:space="preserve">
IF($A$4&lt;=12,SUMIFS('ON Data'!R:R,'ON Data'!$D:$D,$A$4,'ON Data'!$E:$E,12),SUMIFS('ON Data'!R:R,'ON Data'!$E:$E,12))</f>
        <v>0</v>
      </c>
      <c r="O21" s="232">
        <f xml:space="preserve">
IF($A$4&lt;=12,SUMIFS('ON Data'!S:S,'ON Data'!$D:$D,$A$4,'ON Data'!$E:$E,12),SUMIFS('ON Data'!S:S,'ON Data'!$E:$E,12))</f>
        <v>0</v>
      </c>
      <c r="P21" s="232">
        <f xml:space="preserve">
IF($A$4&lt;=12,SUMIFS('ON Data'!T:T,'ON Data'!$D:$D,$A$4,'ON Data'!$E:$E,12),SUMIFS('ON Data'!T:T,'ON Data'!$E:$E,12))</f>
        <v>0</v>
      </c>
      <c r="Q21" s="232">
        <f xml:space="preserve">
IF($A$4&lt;=12,SUMIFS('ON Data'!U:U,'ON Data'!$D:$D,$A$4,'ON Data'!$E:$E,12),SUMIFS('ON Data'!U:U,'ON Data'!$E:$E,12))</f>
        <v>0</v>
      </c>
      <c r="R21" s="232">
        <f xml:space="preserve">
IF($A$4&lt;=12,SUMIFS('ON Data'!V:V,'ON Data'!$D:$D,$A$4,'ON Data'!$E:$E,12),SUMIFS('ON Data'!V:V,'ON Data'!$E:$E,12))</f>
        <v>0</v>
      </c>
      <c r="S21" s="232">
        <f xml:space="preserve">
IF($A$4&lt;=12,SUMIFS('ON Data'!W:W,'ON Data'!$D:$D,$A$4,'ON Data'!$E:$E,12),SUMIFS('ON Data'!W:W,'ON Data'!$E:$E,12))</f>
        <v>0</v>
      </c>
      <c r="T21" s="232">
        <f xml:space="preserve">
IF($A$4&lt;=12,SUMIFS('ON Data'!X:X,'ON Data'!$D:$D,$A$4,'ON Data'!$E:$E,12),SUMIFS('ON Data'!X:X,'ON Data'!$E:$E,12))</f>
        <v>0</v>
      </c>
      <c r="U21" s="232">
        <f xml:space="preserve">
IF($A$4&lt;=12,SUMIFS('ON Data'!Y:Y,'ON Data'!$D:$D,$A$4,'ON Data'!$E:$E,12),SUMIFS('ON Data'!Y:Y,'ON Data'!$E:$E,12))</f>
        <v>0</v>
      </c>
      <c r="V21" s="232">
        <f xml:space="preserve">
IF($A$4&lt;=12,SUMIFS('ON Data'!Z:Z,'ON Data'!$D:$D,$A$4,'ON Data'!$E:$E,12),SUMIFS('ON Data'!Z:Z,'ON Data'!$E:$E,12))</f>
        <v>0</v>
      </c>
      <c r="W21" s="232">
        <f xml:space="preserve">
IF($A$4&lt;=12,SUMIFS('ON Data'!AA:AA,'ON Data'!$D:$D,$A$4,'ON Data'!$E:$E,12),SUMIFS('ON Data'!AA:AA,'ON Data'!$E:$E,12))</f>
        <v>0</v>
      </c>
      <c r="X21" s="232">
        <f xml:space="preserve">
IF($A$4&lt;=12,SUMIFS('ON Data'!AB:AB,'ON Data'!$D:$D,$A$4,'ON Data'!$E:$E,12),SUMIFS('ON Data'!AB:AB,'ON Data'!$E:$E,12))</f>
        <v>0</v>
      </c>
      <c r="Y21" s="232">
        <f xml:space="preserve">
IF($A$4&lt;=12,SUMIFS('ON Data'!AC:AC,'ON Data'!$D:$D,$A$4,'ON Data'!$E:$E,12),SUMIFS('ON Data'!AC:AC,'ON Data'!$E:$E,12))</f>
        <v>0</v>
      </c>
      <c r="Z21" s="232">
        <f xml:space="preserve">
IF($A$4&lt;=12,SUMIFS('ON Data'!AD:AD,'ON Data'!$D:$D,$A$4,'ON Data'!$E:$E,12),SUMIFS('ON Data'!AD:AD,'ON Data'!$E:$E,12))</f>
        <v>0</v>
      </c>
      <c r="AA21" s="232"/>
      <c r="AB21" s="232">
        <f xml:space="preserve">
IF($A$4&lt;=12,SUMIFS('ON Data'!AF:AF,'ON Data'!$D:$D,$A$4,'ON Data'!$E:$E,12),SUMIFS('ON Data'!AF:AF,'ON Data'!$E:$E,12))</f>
        <v>0</v>
      </c>
      <c r="AC21" s="232">
        <f xml:space="preserve">
IF($A$4&lt;=12,SUMIFS('ON Data'!AG:AG,'ON Data'!$D:$D,$A$4,'ON Data'!$E:$E,12),SUMIFS('ON Data'!AG:AG,'ON Data'!$E:$E,12))</f>
        <v>0</v>
      </c>
      <c r="AD21" s="232">
        <f xml:space="preserve">
IF($A$4&lt;=12,SUMIFS('ON Data'!AH:AH,'ON Data'!$D:$D,$A$4,'ON Data'!$E:$E,12),SUMIFS('ON Data'!AH:AH,'ON Data'!$E:$E,12))</f>
        <v>0</v>
      </c>
      <c r="AE21" s="232">
        <f xml:space="preserve">
IF($A$4&lt;=12,SUMIFS('ON Data'!AI:AI,'ON Data'!$D:$D,$A$4,'ON Data'!$E:$E,12),SUMIFS('ON Data'!AI:AI,'ON Data'!$E:$E,12))</f>
        <v>0</v>
      </c>
      <c r="AF21" s="232">
        <f xml:space="preserve">
IF($A$4&lt;=12,SUMIFS('ON Data'!AJ:AJ,'ON Data'!$D:$D,$A$4,'ON Data'!$E:$E,12),SUMIFS('ON Data'!AJ:AJ,'ON Data'!$E:$E,12))</f>
        <v>0</v>
      </c>
      <c r="AG21" s="232">
        <f xml:space="preserve">
IF($A$4&lt;=12,SUMIFS('ON Data'!AK:AK,'ON Data'!$D:$D,$A$4,'ON Data'!$E:$E,12),SUMIFS('ON Data'!AK:AK,'ON Data'!$E:$E,12))</f>
        <v>0</v>
      </c>
      <c r="AH21" s="232">
        <f xml:space="preserve">
IF($A$4&lt;=12,SUMIFS('ON Data'!AL:AL,'ON Data'!$D:$D,$A$4,'ON Data'!$E:$E,12),SUMIFS('ON Data'!AL:AL,'ON Data'!$E:$E,12))</f>
        <v>0</v>
      </c>
      <c r="AI21" s="232">
        <f xml:space="preserve">
IF($A$4&lt;=12,SUMIFS('ON Data'!AM:AM,'ON Data'!$D:$D,$A$4,'ON Data'!$E:$E,12),SUMIFS('ON Data'!AM:AM,'ON Data'!$E:$E,12))</f>
        <v>0</v>
      </c>
      <c r="AJ21" s="232">
        <f xml:space="preserve">
IF($A$4&lt;=12,SUMIFS('ON Data'!AN:AN,'ON Data'!$D:$D,$A$4,'ON Data'!$E:$E,12),SUMIFS('ON Data'!AN:AN,'ON Data'!$E:$E,12))</f>
        <v>0</v>
      </c>
      <c r="AK21" s="232">
        <f xml:space="preserve">
IF($A$4&lt;=12,SUMIFS('ON Data'!AO:AO,'ON Data'!$D:$D,$A$4,'ON Data'!$E:$E,12),SUMIFS('ON Data'!AO:AO,'ON Data'!$E:$E,12))</f>
        <v>0</v>
      </c>
      <c r="AL21" s="232">
        <f xml:space="preserve">
IF($A$4&lt;=12,SUMIFS('ON Data'!AP:AP,'ON Data'!$D:$D,$A$4,'ON Data'!$E:$E,12),SUMIFS('ON Data'!AP:AP,'ON Data'!$E:$E,12))</f>
        <v>0</v>
      </c>
      <c r="AM21" s="233">
        <f xml:space="preserve">
IF($A$4&lt;=12,SUMIFS('ON Data'!AQ:AQ,'ON Data'!$D:$D,$A$4,'ON Data'!$E:$E,12),SUMIFS('ON Data'!AQ:AQ,'ON Data'!$E:$E,12))</f>
        <v>0</v>
      </c>
      <c r="AN21" s="305"/>
      <c r="AO21" s="305"/>
      <c r="AP21" s="305"/>
      <c r="AQ21" s="305"/>
      <c r="AR21" s="305"/>
      <c r="AS21" s="305"/>
      <c r="AT21" s="487"/>
    </row>
    <row r="22" spans="1:46" ht="15" hidden="1" outlineLevel="1" thickBot="1" x14ac:dyDescent="0.35">
      <c r="A22" s="210" t="s">
        <v>61</v>
      </c>
      <c r="B22" s="287" t="str">
        <f xml:space="preserve">
IF(OR(B21="",B21=0),"",B20/B21)</f>
        <v/>
      </c>
      <c r="C22" s="288" t="str">
        <f t="shared" ref="C22:I22" si="3" xml:space="preserve">
IF(OR(C21="",C21=0),"",C20/C21)</f>
        <v/>
      </c>
      <c r="D22" s="289" t="str">
        <f t="shared" si="3"/>
        <v/>
      </c>
      <c r="E22" s="289"/>
      <c r="F22" s="289" t="str">
        <f t="shared" si="3"/>
        <v/>
      </c>
      <c r="G22" s="289" t="str">
        <f t="shared" si="3"/>
        <v/>
      </c>
      <c r="H22" s="289" t="str">
        <f t="shared" si="3"/>
        <v/>
      </c>
      <c r="I22" s="289" t="str">
        <f t="shared" si="3"/>
        <v/>
      </c>
      <c r="J22" s="289" t="str">
        <f t="shared" ref="J22:AM22" si="4" xml:space="preserve">
IF(OR(J21="",J21=0),"",J20/J21)</f>
        <v/>
      </c>
      <c r="K22" s="289" t="str">
        <f t="shared" si="4"/>
        <v/>
      </c>
      <c r="L22" s="289" t="str">
        <f t="shared" si="4"/>
        <v/>
      </c>
      <c r="M22" s="289" t="str">
        <f t="shared" si="4"/>
        <v/>
      </c>
      <c r="N22" s="289" t="str">
        <f t="shared" si="4"/>
        <v/>
      </c>
      <c r="O22" s="289" t="str">
        <f t="shared" si="4"/>
        <v/>
      </c>
      <c r="P22" s="289" t="str">
        <f t="shared" si="4"/>
        <v/>
      </c>
      <c r="Q22" s="289" t="str">
        <f t="shared" si="4"/>
        <v/>
      </c>
      <c r="R22" s="289" t="str">
        <f t="shared" si="4"/>
        <v/>
      </c>
      <c r="S22" s="289" t="str">
        <f t="shared" si="4"/>
        <v/>
      </c>
      <c r="T22" s="289" t="str">
        <f t="shared" si="4"/>
        <v/>
      </c>
      <c r="U22" s="289" t="str">
        <f t="shared" si="4"/>
        <v/>
      </c>
      <c r="V22" s="289" t="str">
        <f t="shared" si="4"/>
        <v/>
      </c>
      <c r="W22" s="289" t="str">
        <f t="shared" si="4"/>
        <v/>
      </c>
      <c r="X22" s="289" t="str">
        <f t="shared" si="4"/>
        <v/>
      </c>
      <c r="Y22" s="289" t="str">
        <f t="shared" si="4"/>
        <v/>
      </c>
      <c r="Z22" s="289" t="str">
        <f t="shared" si="4"/>
        <v/>
      </c>
      <c r="AA22" s="289"/>
      <c r="AB22" s="289" t="str">
        <f t="shared" si="4"/>
        <v/>
      </c>
      <c r="AC22" s="289" t="str">
        <f t="shared" si="4"/>
        <v/>
      </c>
      <c r="AD22" s="289" t="str">
        <f t="shared" si="4"/>
        <v/>
      </c>
      <c r="AE22" s="289" t="str">
        <f t="shared" si="4"/>
        <v/>
      </c>
      <c r="AF22" s="289" t="str">
        <f t="shared" si="4"/>
        <v/>
      </c>
      <c r="AG22" s="289" t="str">
        <f t="shared" si="4"/>
        <v/>
      </c>
      <c r="AH22" s="289" t="str">
        <f t="shared" si="4"/>
        <v/>
      </c>
      <c r="AI22" s="289" t="str">
        <f t="shared" si="4"/>
        <v/>
      </c>
      <c r="AJ22" s="289" t="str">
        <f t="shared" si="4"/>
        <v/>
      </c>
      <c r="AK22" s="289" t="str">
        <f t="shared" si="4"/>
        <v/>
      </c>
      <c r="AL22" s="289" t="str">
        <f t="shared" si="4"/>
        <v/>
      </c>
      <c r="AM22" s="290" t="str">
        <f t="shared" si="4"/>
        <v/>
      </c>
      <c r="AN22" s="305"/>
      <c r="AO22" s="305"/>
      <c r="AP22" s="305"/>
      <c r="AQ22" s="305"/>
      <c r="AR22" s="305"/>
      <c r="AS22" s="305"/>
      <c r="AT22" s="487"/>
    </row>
    <row r="23" spans="1:46" ht="15" hidden="1" outlineLevel="1" thickBot="1" x14ac:dyDescent="0.35">
      <c r="A23" s="218" t="s">
        <v>54</v>
      </c>
      <c r="B23" s="234">
        <f xml:space="preserve">
IF(B21="","",B20-B21)</f>
        <v>2238999</v>
      </c>
      <c r="C23" s="235">
        <f t="shared" ref="C23:I23" si="5" xml:space="preserve">
IF(C21="","",C20-C21)</f>
        <v>0</v>
      </c>
      <c r="D23" s="236">
        <f t="shared" si="5"/>
        <v>21957</v>
      </c>
      <c r="E23" s="236"/>
      <c r="F23" s="236">
        <f t="shared" si="5"/>
        <v>70003</v>
      </c>
      <c r="G23" s="236">
        <f t="shared" si="5"/>
        <v>0</v>
      </c>
      <c r="H23" s="236">
        <f t="shared" si="5"/>
        <v>504567</v>
      </c>
      <c r="I23" s="236">
        <f t="shared" si="5"/>
        <v>0</v>
      </c>
      <c r="J23" s="236">
        <f t="shared" ref="J23:AM23" si="6" xml:space="preserve">
IF(J21="","",J20-J21)</f>
        <v>0</v>
      </c>
      <c r="K23" s="236">
        <f t="shared" si="6"/>
        <v>0</v>
      </c>
      <c r="L23" s="236">
        <f t="shared" si="6"/>
        <v>0</v>
      </c>
      <c r="M23" s="236">
        <f t="shared" si="6"/>
        <v>0</v>
      </c>
      <c r="N23" s="236">
        <f t="shared" si="6"/>
        <v>0</v>
      </c>
      <c r="O23" s="236">
        <f t="shared" si="6"/>
        <v>0</v>
      </c>
      <c r="P23" s="236">
        <f t="shared" si="6"/>
        <v>0</v>
      </c>
      <c r="Q23" s="236">
        <f t="shared" si="6"/>
        <v>0</v>
      </c>
      <c r="R23" s="236">
        <f t="shared" si="6"/>
        <v>0</v>
      </c>
      <c r="S23" s="236">
        <f t="shared" si="6"/>
        <v>555640</v>
      </c>
      <c r="T23" s="236">
        <f t="shared" si="6"/>
        <v>0</v>
      </c>
      <c r="U23" s="236">
        <f t="shared" si="6"/>
        <v>0</v>
      </c>
      <c r="V23" s="236">
        <f t="shared" si="6"/>
        <v>0</v>
      </c>
      <c r="W23" s="236">
        <f t="shared" si="6"/>
        <v>0</v>
      </c>
      <c r="X23" s="236">
        <f t="shared" si="6"/>
        <v>0</v>
      </c>
      <c r="Y23" s="236">
        <f t="shared" si="6"/>
        <v>0</v>
      </c>
      <c r="Z23" s="236">
        <f t="shared" si="6"/>
        <v>0</v>
      </c>
      <c r="AA23" s="236"/>
      <c r="AB23" s="236">
        <f t="shared" si="6"/>
        <v>0</v>
      </c>
      <c r="AC23" s="236">
        <f t="shared" si="6"/>
        <v>0</v>
      </c>
      <c r="AD23" s="236">
        <f t="shared" si="6"/>
        <v>0</v>
      </c>
      <c r="AE23" s="236">
        <f t="shared" si="6"/>
        <v>0</v>
      </c>
      <c r="AF23" s="236">
        <f t="shared" si="6"/>
        <v>0</v>
      </c>
      <c r="AG23" s="236">
        <f t="shared" si="6"/>
        <v>0</v>
      </c>
      <c r="AH23" s="236">
        <f t="shared" si="6"/>
        <v>649354</v>
      </c>
      <c r="AI23" s="236">
        <f t="shared" si="6"/>
        <v>0</v>
      </c>
      <c r="AJ23" s="236">
        <f t="shared" si="6"/>
        <v>0</v>
      </c>
      <c r="AK23" s="236">
        <f t="shared" si="6"/>
        <v>0</v>
      </c>
      <c r="AL23" s="236">
        <f t="shared" si="6"/>
        <v>0</v>
      </c>
      <c r="AM23" s="237">
        <f t="shared" si="6"/>
        <v>0</v>
      </c>
      <c r="AN23" s="305"/>
      <c r="AO23" s="305"/>
      <c r="AP23" s="305"/>
      <c r="AQ23" s="305"/>
      <c r="AR23" s="305"/>
      <c r="AS23" s="305"/>
      <c r="AT23" s="487"/>
    </row>
    <row r="24" spans="1:46" x14ac:dyDescent="0.3">
      <c r="A24" s="212" t="s">
        <v>161</v>
      </c>
      <c r="B24" s="261" t="s">
        <v>3</v>
      </c>
      <c r="C24" s="488" t="s">
        <v>173</v>
      </c>
      <c r="D24" s="459"/>
      <c r="E24" s="460"/>
      <c r="F24" s="461" t="s">
        <v>259</v>
      </c>
      <c r="G24" s="462"/>
      <c r="H24" s="462"/>
      <c r="I24" s="462"/>
      <c r="J24" s="462"/>
      <c r="K24" s="462"/>
      <c r="L24" s="461" t="s">
        <v>172</v>
      </c>
      <c r="M24" s="460"/>
      <c r="N24" s="460"/>
      <c r="O24" s="460"/>
      <c r="P24" s="460"/>
      <c r="Q24" s="460"/>
      <c r="R24" s="460"/>
      <c r="S24" s="460"/>
      <c r="T24" s="460"/>
      <c r="U24" s="460"/>
      <c r="V24" s="460"/>
      <c r="W24" s="460"/>
      <c r="X24" s="460"/>
      <c r="Y24" s="460"/>
      <c r="Z24" s="460"/>
      <c r="AA24" s="460"/>
      <c r="AB24" s="460"/>
      <c r="AC24" s="460"/>
      <c r="AD24" s="460"/>
      <c r="AE24" s="460"/>
      <c r="AF24" s="460"/>
      <c r="AG24" s="460"/>
      <c r="AH24" s="460"/>
      <c r="AI24" s="460"/>
      <c r="AJ24" s="460"/>
      <c r="AK24" s="460"/>
      <c r="AL24" s="460"/>
      <c r="AM24" s="460"/>
      <c r="AN24" s="460"/>
      <c r="AO24" s="460"/>
      <c r="AP24" s="460"/>
      <c r="AQ24" s="461" t="s">
        <v>260</v>
      </c>
      <c r="AR24" s="460"/>
      <c r="AS24" s="483"/>
      <c r="AT24" s="487"/>
    </row>
    <row r="25" spans="1:46" x14ac:dyDescent="0.3">
      <c r="A25" s="213" t="s">
        <v>59</v>
      </c>
      <c r="B25" s="230">
        <f xml:space="preserve">
SUM(C25:AS25)</f>
        <v>14500</v>
      </c>
      <c r="C25" s="489">
        <f xml:space="preserve">
IF($A$4&lt;=12,SUMIFS('ON Data'!$I:$I,'ON Data'!$D:$D,$A$4,'ON Data'!$E:$E,10),SUMIFS('ON Data'!$I:$I,'ON Data'!$E:$E,10))</f>
        <v>0</v>
      </c>
      <c r="D25" s="463"/>
      <c r="E25" s="464"/>
      <c r="F25" s="465">
        <f xml:space="preserve">
IF($A$4&lt;=12,SUMIFS('ON Data'!K:K,'ON Data'!$D:$D,$A$4,'ON Data'!$E:$E,10),SUMIFS('ON Data'!K:K,'ON Data'!$E:$E,10))</f>
        <v>0</v>
      </c>
      <c r="G25" s="464"/>
      <c r="H25" s="464"/>
      <c r="I25" s="464"/>
      <c r="J25" s="464"/>
      <c r="K25" s="464"/>
      <c r="L25" s="465">
        <f xml:space="preserve">
IF($A$4&lt;=12,SUMIFS('ON Data'!P:P,'ON Data'!$D:$D,$A$4,'ON Data'!$E:$E,10),SUMIFS('ON Data'!P:P,'ON Data'!$E:$E,10))</f>
        <v>0</v>
      </c>
      <c r="M25" s="464"/>
      <c r="N25" s="464"/>
      <c r="O25" s="464"/>
      <c r="P25" s="464"/>
      <c r="Q25" s="464"/>
      <c r="R25" s="464"/>
      <c r="S25" s="464"/>
      <c r="T25" s="464"/>
      <c r="U25" s="464"/>
      <c r="V25" s="464"/>
      <c r="W25" s="464"/>
      <c r="X25" s="464"/>
      <c r="Y25" s="464"/>
      <c r="Z25" s="464"/>
      <c r="AA25" s="464"/>
      <c r="AB25" s="464"/>
      <c r="AC25" s="464"/>
      <c r="AD25" s="464"/>
      <c r="AE25" s="464"/>
      <c r="AF25" s="464"/>
      <c r="AG25" s="464"/>
      <c r="AH25" s="464"/>
      <c r="AI25" s="464"/>
      <c r="AJ25" s="464"/>
      <c r="AK25" s="464"/>
      <c r="AL25" s="464"/>
      <c r="AM25" s="464"/>
      <c r="AN25" s="464"/>
      <c r="AO25" s="464"/>
      <c r="AP25" s="464"/>
      <c r="AQ25" s="465">
        <f xml:space="preserve">
IF($A$4&lt;=12,SUMIFS('ON Data'!AW:AW,'ON Data'!$D:$D,$A$4,'ON Data'!$E:$E,10),SUMIFS('ON Data'!AW:AW,'ON Data'!$E:$E,10))</f>
        <v>14500</v>
      </c>
      <c r="AR25" s="464"/>
      <c r="AS25" s="484"/>
      <c r="AT25" s="487"/>
    </row>
    <row r="26" spans="1:46" x14ac:dyDescent="0.3">
      <c r="A26" s="219" t="s">
        <v>171</v>
      </c>
      <c r="B26" s="241">
        <f xml:space="preserve">
SUM(C26:AS26)</f>
        <v>7928.0241057892927</v>
      </c>
      <c r="C26" s="489">
        <f xml:space="preserve">
IF($A$4&lt;=12,SUMIFS('ON Data'!$I:$I,'ON Data'!$D:$D,$A$4,'ON Data'!$E:$E,11),SUMIFS('ON Data'!$I:$I,'ON Data'!$E:$E,11))</f>
        <v>0</v>
      </c>
      <c r="D26" s="463"/>
      <c r="E26" s="464"/>
      <c r="F26" s="465">
        <f xml:space="preserve">
IF($A$4&lt;=12,SUMIFS('ON Data'!K:K,'ON Data'!$D:$D,$A$4,'ON Data'!$E:$E,11),SUMIFS('ON Data'!K:K,'ON Data'!$E:$E,11))</f>
        <v>3344.6907724559583</v>
      </c>
      <c r="G26" s="464"/>
      <c r="H26" s="464"/>
      <c r="I26" s="464"/>
      <c r="J26" s="464"/>
      <c r="K26" s="464"/>
      <c r="L26" s="466">
        <f xml:space="preserve">
IF($A$4&lt;=12,SUMIFS('ON Data'!P:P,'ON Data'!$D:$D,$A$4,'ON Data'!$E:$E,11),SUMIFS('ON Data'!P:P,'ON Data'!$E:$E,11))</f>
        <v>2500</v>
      </c>
      <c r="M26" s="467"/>
      <c r="N26" s="467"/>
      <c r="O26" s="467"/>
      <c r="P26" s="467"/>
      <c r="Q26" s="467"/>
      <c r="R26" s="467"/>
      <c r="S26" s="467"/>
      <c r="T26" s="467"/>
      <c r="U26" s="467"/>
      <c r="V26" s="467"/>
      <c r="W26" s="467"/>
      <c r="X26" s="467"/>
      <c r="Y26" s="467"/>
      <c r="Z26" s="467"/>
      <c r="AA26" s="467"/>
      <c r="AB26" s="467"/>
      <c r="AC26" s="467"/>
      <c r="AD26" s="467"/>
      <c r="AE26" s="467"/>
      <c r="AF26" s="467"/>
      <c r="AG26" s="467"/>
      <c r="AH26" s="467"/>
      <c r="AI26" s="467"/>
      <c r="AJ26" s="467"/>
      <c r="AK26" s="467"/>
      <c r="AL26" s="467"/>
      <c r="AM26" s="467"/>
      <c r="AN26" s="467"/>
      <c r="AO26" s="467"/>
      <c r="AP26" s="467"/>
      <c r="AQ26" s="466">
        <f xml:space="preserve">
IF($A$4&lt;=12,SUMIFS('ON Data'!AW:AW,'ON Data'!$D:$D,$A$4,'ON Data'!$E:$E,11),SUMIFS('ON Data'!AW:AW,'ON Data'!$E:$E,11))</f>
        <v>2083.3333333333335</v>
      </c>
      <c r="AR26" s="467"/>
      <c r="AS26" s="485"/>
      <c r="AT26" s="487"/>
    </row>
    <row r="27" spans="1:46" x14ac:dyDescent="0.3">
      <c r="A27" s="219" t="s">
        <v>61</v>
      </c>
      <c r="B27" s="262">
        <f xml:space="preserve">
IF(B26=0,0,B25/B26)</f>
        <v>1.8289550847116678</v>
      </c>
      <c r="C27" s="490">
        <f xml:space="preserve">
IF(C26=0,0,C25/C26)</f>
        <v>0</v>
      </c>
      <c r="D27" s="463"/>
      <c r="E27" s="464"/>
      <c r="F27" s="468">
        <f xml:space="preserve">
IF(F26=0,0,F25/F26)</f>
        <v>0</v>
      </c>
      <c r="G27" s="464"/>
      <c r="H27" s="464"/>
      <c r="I27" s="464"/>
      <c r="J27" s="464"/>
      <c r="K27" s="464"/>
      <c r="L27" s="468">
        <f xml:space="preserve">
IF(L26=0,0,L25/L26)</f>
        <v>0</v>
      </c>
      <c r="M27" s="464"/>
      <c r="N27" s="464"/>
      <c r="O27" s="464"/>
      <c r="P27" s="464"/>
      <c r="Q27" s="464"/>
      <c r="R27" s="464"/>
      <c r="S27" s="464"/>
      <c r="T27" s="464"/>
      <c r="U27" s="464"/>
      <c r="V27" s="464"/>
      <c r="W27" s="464"/>
      <c r="X27" s="464"/>
      <c r="Y27" s="464"/>
      <c r="Z27" s="464"/>
      <c r="AA27" s="464"/>
      <c r="AB27" s="464"/>
      <c r="AC27" s="464"/>
      <c r="AD27" s="464"/>
      <c r="AE27" s="464"/>
      <c r="AF27" s="464"/>
      <c r="AG27" s="464"/>
      <c r="AH27" s="464"/>
      <c r="AI27" s="464"/>
      <c r="AJ27" s="464"/>
      <c r="AK27" s="464"/>
      <c r="AL27" s="464"/>
      <c r="AM27" s="464"/>
      <c r="AN27" s="464"/>
      <c r="AO27" s="464"/>
      <c r="AP27" s="464"/>
      <c r="AQ27" s="468">
        <f xml:space="preserve">
IF(AQ26=0,0,AQ25/AQ26)</f>
        <v>6.9599999999999991</v>
      </c>
      <c r="AR27" s="464"/>
      <c r="AS27" s="484"/>
      <c r="AT27" s="487"/>
    </row>
    <row r="28" spans="1:46" ht="15" thickBot="1" x14ac:dyDescent="0.35">
      <c r="A28" s="219" t="s">
        <v>170</v>
      </c>
      <c r="B28" s="241">
        <f xml:space="preserve">
SUM(C28:AS28)</f>
        <v>-6571.9758942107073</v>
      </c>
      <c r="C28" s="491">
        <f xml:space="preserve">
C26-C25</f>
        <v>0</v>
      </c>
      <c r="D28" s="469"/>
      <c r="E28" s="470"/>
      <c r="F28" s="471">
        <f xml:space="preserve">
F26-F25</f>
        <v>3344.6907724559583</v>
      </c>
      <c r="G28" s="470"/>
      <c r="H28" s="470"/>
      <c r="I28" s="470"/>
      <c r="J28" s="470"/>
      <c r="K28" s="470"/>
      <c r="L28" s="471">
        <f xml:space="preserve">
L26-L25</f>
        <v>2500</v>
      </c>
      <c r="M28" s="470"/>
      <c r="N28" s="470"/>
      <c r="O28" s="470"/>
      <c r="P28" s="470"/>
      <c r="Q28" s="470"/>
      <c r="R28" s="470"/>
      <c r="S28" s="470"/>
      <c r="T28" s="470"/>
      <c r="U28" s="470"/>
      <c r="V28" s="470"/>
      <c r="W28" s="470"/>
      <c r="X28" s="470"/>
      <c r="Y28" s="470"/>
      <c r="Z28" s="470"/>
      <c r="AA28" s="470"/>
      <c r="AB28" s="470"/>
      <c r="AC28" s="470"/>
      <c r="AD28" s="470"/>
      <c r="AE28" s="470"/>
      <c r="AF28" s="470"/>
      <c r="AG28" s="470"/>
      <c r="AH28" s="470"/>
      <c r="AI28" s="470"/>
      <c r="AJ28" s="470"/>
      <c r="AK28" s="470"/>
      <c r="AL28" s="470"/>
      <c r="AM28" s="470"/>
      <c r="AN28" s="470"/>
      <c r="AO28" s="470"/>
      <c r="AP28" s="470"/>
      <c r="AQ28" s="471">
        <f xml:space="preserve">
AQ26-AQ25</f>
        <v>-12416.666666666666</v>
      </c>
      <c r="AR28" s="470"/>
      <c r="AS28" s="486"/>
      <c r="AT28" s="487"/>
    </row>
    <row r="29" spans="1:46" x14ac:dyDescent="0.3">
      <c r="A29" s="220"/>
      <c r="B29" s="220"/>
      <c r="C29" s="221"/>
      <c r="D29" s="220"/>
      <c r="E29" s="220"/>
      <c r="F29" s="220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  <c r="AA29" s="221"/>
      <c r="AB29" s="221"/>
      <c r="AC29" s="221"/>
      <c r="AD29" s="221"/>
      <c r="AE29" s="221"/>
      <c r="AF29" s="221"/>
      <c r="AG29" s="221"/>
      <c r="AH29" s="221"/>
      <c r="AI29" s="220"/>
      <c r="AJ29" s="220"/>
      <c r="AK29" s="220"/>
      <c r="AL29" s="220"/>
      <c r="AM29" s="220"/>
    </row>
    <row r="30" spans="1:46" x14ac:dyDescent="0.3">
      <c r="A30" s="88" t="s">
        <v>128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23"/>
      <c r="AL30" s="123"/>
      <c r="AM30" s="123"/>
    </row>
    <row r="31" spans="1:46" x14ac:dyDescent="0.3">
      <c r="A31" s="89" t="s">
        <v>168</v>
      </c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23"/>
      <c r="AL31" s="123"/>
      <c r="AM31" s="123"/>
    </row>
    <row r="32" spans="1:46" ht="14.4" customHeight="1" x14ac:dyDescent="0.3">
      <c r="A32" s="258" t="s">
        <v>165</v>
      </c>
      <c r="B32" s="259"/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59"/>
      <c r="W32" s="259"/>
      <c r="X32" s="259"/>
      <c r="Y32" s="259"/>
      <c r="Z32" s="259"/>
      <c r="AA32" s="259"/>
      <c r="AB32" s="259"/>
      <c r="AC32" s="259"/>
      <c r="AD32" s="259"/>
      <c r="AE32" s="259"/>
      <c r="AF32" s="259"/>
      <c r="AG32" s="259"/>
      <c r="AH32" s="259"/>
      <c r="AI32" s="259"/>
      <c r="AJ32" s="259"/>
    </row>
    <row r="33" spans="1:1" x14ac:dyDescent="0.3">
      <c r="A33" s="260" t="s">
        <v>255</v>
      </c>
    </row>
    <row r="34" spans="1:1" x14ac:dyDescent="0.3">
      <c r="A34" s="260" t="s">
        <v>256</v>
      </c>
    </row>
    <row r="35" spans="1:1" x14ac:dyDescent="0.3">
      <c r="A35" s="260" t="s">
        <v>257</v>
      </c>
    </row>
    <row r="36" spans="1:1" x14ac:dyDescent="0.3">
      <c r="A36" s="260" t="s">
        <v>258</v>
      </c>
    </row>
    <row r="37" spans="1:1" x14ac:dyDescent="0.3">
      <c r="A37" s="260" t="s">
        <v>174</v>
      </c>
    </row>
  </sheetData>
  <mergeCells count="22">
    <mergeCell ref="AQ28:AS28"/>
    <mergeCell ref="L24:AP24"/>
    <mergeCell ref="L25:AP25"/>
    <mergeCell ref="L26:AP26"/>
    <mergeCell ref="L27:AP27"/>
    <mergeCell ref="L28:AP28"/>
    <mergeCell ref="A1:AS1"/>
    <mergeCell ref="F24:K24"/>
    <mergeCell ref="F25:K25"/>
    <mergeCell ref="F26:K26"/>
    <mergeCell ref="F27:K27"/>
    <mergeCell ref="B3:B4"/>
    <mergeCell ref="AQ24:AS24"/>
    <mergeCell ref="AQ25:AS25"/>
    <mergeCell ref="AQ26:AS26"/>
    <mergeCell ref="AQ27:AS27"/>
    <mergeCell ref="F28:K28"/>
    <mergeCell ref="C24:E24"/>
    <mergeCell ref="C25:E25"/>
    <mergeCell ref="C26:E26"/>
    <mergeCell ref="C27:E27"/>
    <mergeCell ref="C28:E28"/>
  </mergeCells>
  <conditionalFormatting sqref="C27">
    <cfRule type="cellIs" dxfId="10" priority="12" operator="greaterThan">
      <formula>1</formula>
    </cfRule>
  </conditionalFormatting>
  <conditionalFormatting sqref="C28">
    <cfRule type="cellIs" dxfId="9" priority="11" operator="lessThan">
      <formula>0</formula>
    </cfRule>
  </conditionalFormatting>
  <conditionalFormatting sqref="B22:AM22">
    <cfRule type="cellIs" dxfId="8" priority="10" operator="greaterThan">
      <formula>1</formula>
    </cfRule>
  </conditionalFormatting>
  <conditionalFormatting sqref="B23:AM23">
    <cfRule type="cellIs" dxfId="7" priority="9" operator="greaterThan">
      <formula>0</formula>
    </cfRule>
  </conditionalFormatting>
  <conditionalFormatting sqref="L28">
    <cfRule type="cellIs" dxfId="6" priority="5" operator="lessThan">
      <formula>0</formula>
    </cfRule>
  </conditionalFormatting>
  <conditionalFormatting sqref="L27">
    <cfRule type="cellIs" dxfId="5" priority="6" operator="greaterThan">
      <formula>1</formula>
    </cfRule>
  </conditionalFormatting>
  <conditionalFormatting sqref="F27">
    <cfRule type="cellIs" dxfId="4" priority="4" operator="greaterThan">
      <formula>1</formula>
    </cfRule>
  </conditionalFormatting>
  <conditionalFormatting sqref="F28">
    <cfRule type="cellIs" dxfId="3" priority="3" operator="lessThan">
      <formula>0</formula>
    </cfRule>
  </conditionalFormatting>
  <conditionalFormatting sqref="AQ28">
    <cfRule type="cellIs" dxfId="2" priority="1" operator="lessThan">
      <formula>0</formula>
    </cfRule>
  </conditionalFormatting>
  <conditionalFormatting sqref="AQ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21"/>
  <sheetViews>
    <sheetView showGridLines="0" showRowColHeaders="0" workbookViewId="0"/>
  </sheetViews>
  <sheetFormatPr defaultRowHeight="14.4" x14ac:dyDescent="0.3"/>
  <cols>
    <col min="1" max="16384" width="8.88671875" style="199"/>
  </cols>
  <sheetData>
    <row r="1" spans="1:49" x14ac:dyDescent="0.3">
      <c r="A1" s="199" t="s">
        <v>573</v>
      </c>
    </row>
    <row r="2" spans="1:49" x14ac:dyDescent="0.3">
      <c r="A2" s="203" t="s">
        <v>261</v>
      </c>
    </row>
    <row r="3" spans="1:49" x14ac:dyDescent="0.3">
      <c r="A3" s="199" t="s">
        <v>133</v>
      </c>
      <c r="B3" s="224">
        <v>2017</v>
      </c>
      <c r="D3" s="200">
        <f>MAX(D5:D1048576)</f>
        <v>2</v>
      </c>
      <c r="F3" s="200">
        <f>SUMIF($E5:$E1048576,"&lt;10",F5:F1048576)</f>
        <v>2287510.5</v>
      </c>
      <c r="G3" s="200">
        <f t="shared" ref="G3:AW3" si="0">SUMIF($E5:$E1048576,"&lt;10",G5:G1048576)</f>
        <v>0</v>
      </c>
      <c r="H3" s="200">
        <f t="shared" si="0"/>
        <v>22086</v>
      </c>
      <c r="I3" s="200">
        <f t="shared" si="0"/>
        <v>139330</v>
      </c>
      <c r="J3" s="200">
        <f t="shared" si="0"/>
        <v>70333</v>
      </c>
      <c r="K3" s="200">
        <f t="shared" si="0"/>
        <v>0</v>
      </c>
      <c r="L3" s="200">
        <f t="shared" si="0"/>
        <v>522079.4</v>
      </c>
      <c r="M3" s="200">
        <f t="shared" si="0"/>
        <v>0</v>
      </c>
      <c r="N3" s="200">
        <f t="shared" si="0"/>
        <v>0</v>
      </c>
      <c r="O3" s="200">
        <f t="shared" si="0"/>
        <v>0</v>
      </c>
      <c r="P3" s="200">
        <f t="shared" si="0"/>
        <v>0</v>
      </c>
      <c r="Q3" s="200">
        <f t="shared" si="0"/>
        <v>0</v>
      </c>
      <c r="R3" s="200">
        <f t="shared" si="0"/>
        <v>0</v>
      </c>
      <c r="S3" s="200">
        <f t="shared" si="0"/>
        <v>0</v>
      </c>
      <c r="T3" s="200">
        <f t="shared" si="0"/>
        <v>0</v>
      </c>
      <c r="U3" s="200">
        <f t="shared" si="0"/>
        <v>0</v>
      </c>
      <c r="V3" s="200">
        <f t="shared" si="0"/>
        <v>0</v>
      </c>
      <c r="W3" s="200">
        <f t="shared" si="0"/>
        <v>558164</v>
      </c>
      <c r="X3" s="200">
        <f t="shared" si="0"/>
        <v>0</v>
      </c>
      <c r="Y3" s="200">
        <f t="shared" si="0"/>
        <v>0</v>
      </c>
      <c r="Z3" s="200">
        <f t="shared" si="0"/>
        <v>0</v>
      </c>
      <c r="AA3" s="200">
        <f t="shared" si="0"/>
        <v>0</v>
      </c>
      <c r="AB3" s="200">
        <f t="shared" si="0"/>
        <v>0</v>
      </c>
      <c r="AC3" s="200">
        <f t="shared" si="0"/>
        <v>0</v>
      </c>
      <c r="AD3" s="200">
        <f t="shared" si="0"/>
        <v>0</v>
      </c>
      <c r="AE3" s="200">
        <f t="shared" si="0"/>
        <v>0</v>
      </c>
      <c r="AF3" s="200">
        <f t="shared" si="0"/>
        <v>0</v>
      </c>
      <c r="AG3" s="200">
        <f t="shared" si="0"/>
        <v>0</v>
      </c>
      <c r="AH3" s="200">
        <f t="shared" si="0"/>
        <v>0</v>
      </c>
      <c r="AI3" s="200">
        <f t="shared" si="0"/>
        <v>0</v>
      </c>
      <c r="AJ3" s="200">
        <f t="shared" si="0"/>
        <v>0</v>
      </c>
      <c r="AK3" s="200">
        <f t="shared" si="0"/>
        <v>0</v>
      </c>
      <c r="AL3" s="200">
        <f t="shared" si="0"/>
        <v>667594.60000000009</v>
      </c>
      <c r="AM3" s="200">
        <f t="shared" si="0"/>
        <v>0</v>
      </c>
      <c r="AN3" s="200">
        <f t="shared" si="0"/>
        <v>0</v>
      </c>
      <c r="AO3" s="200">
        <f t="shared" si="0"/>
        <v>0</v>
      </c>
      <c r="AP3" s="200">
        <f t="shared" si="0"/>
        <v>0</v>
      </c>
      <c r="AQ3" s="200">
        <f t="shared" si="0"/>
        <v>0</v>
      </c>
      <c r="AR3" s="200">
        <f t="shared" si="0"/>
        <v>0</v>
      </c>
      <c r="AS3" s="200">
        <f t="shared" si="0"/>
        <v>0</v>
      </c>
      <c r="AT3" s="200">
        <f t="shared" si="0"/>
        <v>307923.5</v>
      </c>
      <c r="AU3" s="200">
        <f t="shared" si="0"/>
        <v>0</v>
      </c>
      <c r="AV3" s="200">
        <f t="shared" si="0"/>
        <v>0</v>
      </c>
      <c r="AW3" s="200">
        <f t="shared" si="0"/>
        <v>0</v>
      </c>
    </row>
    <row r="4" spans="1:49" x14ac:dyDescent="0.3">
      <c r="A4" s="199" t="s">
        <v>134</v>
      </c>
      <c r="B4" s="224">
        <v>1</v>
      </c>
      <c r="C4" s="201" t="s">
        <v>5</v>
      </c>
      <c r="D4" s="202" t="s">
        <v>53</v>
      </c>
      <c r="E4" s="202" t="s">
        <v>132</v>
      </c>
      <c r="F4" s="202" t="s">
        <v>3</v>
      </c>
      <c r="G4" s="202">
        <v>0</v>
      </c>
      <c r="H4" s="202">
        <v>25</v>
      </c>
      <c r="I4" s="202">
        <v>30</v>
      </c>
      <c r="J4" s="202">
        <v>99</v>
      </c>
      <c r="K4" s="202">
        <v>100</v>
      </c>
      <c r="L4" s="202">
        <v>101</v>
      </c>
      <c r="M4" s="202">
        <v>102</v>
      </c>
      <c r="N4" s="202">
        <v>103</v>
      </c>
      <c r="O4" s="202">
        <v>203</v>
      </c>
      <c r="P4" s="202">
        <v>302</v>
      </c>
      <c r="Q4" s="202">
        <v>303</v>
      </c>
      <c r="R4" s="202">
        <v>304</v>
      </c>
      <c r="S4" s="202">
        <v>305</v>
      </c>
      <c r="T4" s="202">
        <v>306</v>
      </c>
      <c r="U4" s="202">
        <v>407</v>
      </c>
      <c r="V4" s="202">
        <v>408</v>
      </c>
      <c r="W4" s="202">
        <v>409</v>
      </c>
      <c r="X4" s="202">
        <v>410</v>
      </c>
      <c r="Y4" s="202">
        <v>415</v>
      </c>
      <c r="Z4" s="202">
        <v>416</v>
      </c>
      <c r="AA4" s="202">
        <v>418</v>
      </c>
      <c r="AB4" s="202">
        <v>419</v>
      </c>
      <c r="AC4" s="202">
        <v>420</v>
      </c>
      <c r="AD4" s="202">
        <v>421</v>
      </c>
      <c r="AE4" s="202">
        <v>422</v>
      </c>
      <c r="AF4" s="202">
        <v>520</v>
      </c>
      <c r="AG4" s="202">
        <v>521</v>
      </c>
      <c r="AH4" s="202">
        <v>522</v>
      </c>
      <c r="AI4" s="202">
        <v>523</v>
      </c>
      <c r="AJ4" s="202">
        <v>524</v>
      </c>
      <c r="AK4" s="202">
        <v>525</v>
      </c>
      <c r="AL4" s="202">
        <v>526</v>
      </c>
      <c r="AM4" s="202">
        <v>527</v>
      </c>
      <c r="AN4" s="202">
        <v>528</v>
      </c>
      <c r="AO4" s="202">
        <v>629</v>
      </c>
      <c r="AP4" s="202">
        <v>630</v>
      </c>
      <c r="AQ4" s="202">
        <v>636</v>
      </c>
      <c r="AR4" s="202">
        <v>637</v>
      </c>
      <c r="AS4" s="202">
        <v>640</v>
      </c>
      <c r="AT4" s="202">
        <v>642</v>
      </c>
      <c r="AU4" s="202">
        <v>743</v>
      </c>
      <c r="AV4" s="202">
        <v>745</v>
      </c>
      <c r="AW4" s="202">
        <v>746</v>
      </c>
    </row>
    <row r="5" spans="1:49" x14ac:dyDescent="0.3">
      <c r="A5" s="199" t="s">
        <v>135</v>
      </c>
      <c r="B5" s="224">
        <v>2</v>
      </c>
      <c r="C5" s="199">
        <v>38</v>
      </c>
      <c r="D5" s="199">
        <v>1</v>
      </c>
      <c r="E5" s="199">
        <v>1</v>
      </c>
      <c r="F5" s="199">
        <v>27.2</v>
      </c>
      <c r="G5" s="199">
        <v>0</v>
      </c>
      <c r="H5" s="199">
        <v>0.5</v>
      </c>
      <c r="I5" s="199">
        <v>2.5</v>
      </c>
      <c r="J5" s="199">
        <v>1</v>
      </c>
      <c r="K5" s="199">
        <v>0</v>
      </c>
      <c r="L5" s="199">
        <v>4.2</v>
      </c>
      <c r="M5" s="199">
        <v>0</v>
      </c>
      <c r="N5" s="199">
        <v>0</v>
      </c>
      <c r="O5" s="199">
        <v>0</v>
      </c>
      <c r="P5" s="199">
        <v>0</v>
      </c>
      <c r="Q5" s="199">
        <v>0</v>
      </c>
      <c r="R5" s="199">
        <v>0</v>
      </c>
      <c r="S5" s="199">
        <v>0</v>
      </c>
      <c r="T5" s="199">
        <v>0</v>
      </c>
      <c r="U5" s="199">
        <v>0</v>
      </c>
      <c r="V5" s="199">
        <v>0</v>
      </c>
      <c r="W5" s="199">
        <v>10</v>
      </c>
      <c r="X5" s="199">
        <v>0</v>
      </c>
      <c r="Y5" s="199">
        <v>0</v>
      </c>
      <c r="Z5" s="199">
        <v>0</v>
      </c>
      <c r="AA5" s="199">
        <v>0</v>
      </c>
      <c r="AB5" s="199">
        <v>0</v>
      </c>
      <c r="AC5" s="199">
        <v>0</v>
      </c>
      <c r="AD5" s="199">
        <v>0</v>
      </c>
      <c r="AE5" s="199">
        <v>0</v>
      </c>
      <c r="AF5" s="199">
        <v>0</v>
      </c>
      <c r="AG5" s="199">
        <v>0</v>
      </c>
      <c r="AH5" s="199">
        <v>0</v>
      </c>
      <c r="AI5" s="199">
        <v>0</v>
      </c>
      <c r="AJ5" s="199">
        <v>0</v>
      </c>
      <c r="AK5" s="199">
        <v>0</v>
      </c>
      <c r="AL5" s="199">
        <v>4</v>
      </c>
      <c r="AM5" s="199">
        <v>0</v>
      </c>
      <c r="AN5" s="199">
        <v>0</v>
      </c>
      <c r="AO5" s="199">
        <v>0</v>
      </c>
      <c r="AP5" s="199">
        <v>0</v>
      </c>
      <c r="AQ5" s="199">
        <v>0</v>
      </c>
      <c r="AR5" s="199">
        <v>0</v>
      </c>
      <c r="AS5" s="199">
        <v>0</v>
      </c>
      <c r="AT5" s="199">
        <v>5</v>
      </c>
      <c r="AU5" s="199">
        <v>0</v>
      </c>
      <c r="AV5" s="199">
        <v>0</v>
      </c>
      <c r="AW5" s="199">
        <v>0</v>
      </c>
    </row>
    <row r="6" spans="1:49" x14ac:dyDescent="0.3">
      <c r="A6" s="199" t="s">
        <v>136</v>
      </c>
      <c r="B6" s="224">
        <v>3</v>
      </c>
      <c r="C6" s="199">
        <v>38</v>
      </c>
      <c r="D6" s="199">
        <v>1</v>
      </c>
      <c r="E6" s="199">
        <v>2</v>
      </c>
      <c r="F6" s="199">
        <v>3970.4</v>
      </c>
      <c r="G6" s="199">
        <v>0</v>
      </c>
      <c r="H6" s="199">
        <v>48</v>
      </c>
      <c r="I6" s="199">
        <v>440</v>
      </c>
      <c r="J6" s="199">
        <v>176</v>
      </c>
      <c r="K6" s="199">
        <v>0</v>
      </c>
      <c r="L6" s="199">
        <v>644</v>
      </c>
      <c r="M6" s="199">
        <v>0</v>
      </c>
      <c r="N6" s="199">
        <v>0</v>
      </c>
      <c r="O6" s="199">
        <v>0</v>
      </c>
      <c r="P6" s="199">
        <v>0</v>
      </c>
      <c r="Q6" s="199">
        <v>0</v>
      </c>
      <c r="R6" s="199">
        <v>0</v>
      </c>
      <c r="S6" s="199">
        <v>0</v>
      </c>
      <c r="T6" s="199">
        <v>0</v>
      </c>
      <c r="U6" s="199">
        <v>0</v>
      </c>
      <c r="V6" s="199">
        <v>0</v>
      </c>
      <c r="W6" s="199">
        <v>1260</v>
      </c>
      <c r="X6" s="199">
        <v>0</v>
      </c>
      <c r="Y6" s="199">
        <v>0</v>
      </c>
      <c r="Z6" s="199">
        <v>0</v>
      </c>
      <c r="AA6" s="199">
        <v>0</v>
      </c>
      <c r="AB6" s="199">
        <v>0</v>
      </c>
      <c r="AC6" s="199">
        <v>0</v>
      </c>
      <c r="AD6" s="199">
        <v>0</v>
      </c>
      <c r="AE6" s="199">
        <v>0</v>
      </c>
      <c r="AF6" s="199">
        <v>0</v>
      </c>
      <c r="AG6" s="199">
        <v>0</v>
      </c>
      <c r="AH6" s="199">
        <v>0</v>
      </c>
      <c r="AI6" s="199">
        <v>0</v>
      </c>
      <c r="AJ6" s="199">
        <v>0</v>
      </c>
      <c r="AK6" s="199">
        <v>0</v>
      </c>
      <c r="AL6" s="199">
        <v>654.4</v>
      </c>
      <c r="AM6" s="199">
        <v>0</v>
      </c>
      <c r="AN6" s="199">
        <v>0</v>
      </c>
      <c r="AO6" s="199">
        <v>0</v>
      </c>
      <c r="AP6" s="199">
        <v>0</v>
      </c>
      <c r="AQ6" s="199">
        <v>0</v>
      </c>
      <c r="AR6" s="199">
        <v>0</v>
      </c>
      <c r="AS6" s="199">
        <v>0</v>
      </c>
      <c r="AT6" s="199">
        <v>748</v>
      </c>
      <c r="AU6" s="199">
        <v>0</v>
      </c>
      <c r="AV6" s="199">
        <v>0</v>
      </c>
      <c r="AW6" s="199">
        <v>0</v>
      </c>
    </row>
    <row r="7" spans="1:49" x14ac:dyDescent="0.3">
      <c r="A7" s="199" t="s">
        <v>137</v>
      </c>
      <c r="B7" s="224">
        <v>4</v>
      </c>
      <c r="C7" s="199">
        <v>38</v>
      </c>
      <c r="D7" s="199">
        <v>1</v>
      </c>
      <c r="E7" s="199">
        <v>3</v>
      </c>
      <c r="F7" s="199">
        <v>65.599999999999994</v>
      </c>
      <c r="G7" s="199">
        <v>0</v>
      </c>
      <c r="H7" s="199">
        <v>0</v>
      </c>
      <c r="I7" s="199">
        <v>0</v>
      </c>
      <c r="J7" s="199">
        <v>0</v>
      </c>
      <c r="K7" s="199">
        <v>0</v>
      </c>
      <c r="L7" s="199">
        <v>0</v>
      </c>
      <c r="M7" s="199">
        <v>0</v>
      </c>
      <c r="N7" s="199">
        <v>0</v>
      </c>
      <c r="O7" s="199">
        <v>0</v>
      </c>
      <c r="P7" s="199">
        <v>0</v>
      </c>
      <c r="Q7" s="199">
        <v>0</v>
      </c>
      <c r="R7" s="199">
        <v>0</v>
      </c>
      <c r="S7" s="199">
        <v>0</v>
      </c>
      <c r="T7" s="199">
        <v>0</v>
      </c>
      <c r="U7" s="199">
        <v>0</v>
      </c>
      <c r="V7" s="199">
        <v>0</v>
      </c>
      <c r="W7" s="199">
        <v>0</v>
      </c>
      <c r="X7" s="199">
        <v>0</v>
      </c>
      <c r="Y7" s="199">
        <v>0</v>
      </c>
      <c r="Z7" s="199">
        <v>0</v>
      </c>
      <c r="AA7" s="199">
        <v>0</v>
      </c>
      <c r="AB7" s="199">
        <v>0</v>
      </c>
      <c r="AC7" s="199">
        <v>0</v>
      </c>
      <c r="AD7" s="199">
        <v>0</v>
      </c>
      <c r="AE7" s="199">
        <v>0</v>
      </c>
      <c r="AF7" s="199">
        <v>0</v>
      </c>
      <c r="AG7" s="199">
        <v>0</v>
      </c>
      <c r="AH7" s="199">
        <v>0</v>
      </c>
      <c r="AI7" s="199">
        <v>0</v>
      </c>
      <c r="AJ7" s="199">
        <v>0</v>
      </c>
      <c r="AK7" s="199">
        <v>0</v>
      </c>
      <c r="AL7" s="199">
        <v>65.599999999999994</v>
      </c>
      <c r="AM7" s="199">
        <v>0</v>
      </c>
      <c r="AN7" s="199">
        <v>0</v>
      </c>
      <c r="AO7" s="199">
        <v>0</v>
      </c>
      <c r="AP7" s="199">
        <v>0</v>
      </c>
      <c r="AQ7" s="199">
        <v>0</v>
      </c>
      <c r="AR7" s="199">
        <v>0</v>
      </c>
      <c r="AS7" s="199">
        <v>0</v>
      </c>
      <c r="AT7" s="199">
        <v>0</v>
      </c>
      <c r="AU7" s="199">
        <v>0</v>
      </c>
      <c r="AV7" s="199">
        <v>0</v>
      </c>
      <c r="AW7" s="199">
        <v>0</v>
      </c>
    </row>
    <row r="8" spans="1:49" x14ac:dyDescent="0.3">
      <c r="A8" s="199" t="s">
        <v>138</v>
      </c>
      <c r="B8" s="224">
        <v>5</v>
      </c>
      <c r="C8" s="199">
        <v>38</v>
      </c>
      <c r="D8" s="199">
        <v>1</v>
      </c>
      <c r="E8" s="199">
        <v>4</v>
      </c>
      <c r="F8" s="199">
        <v>105.9</v>
      </c>
      <c r="G8" s="199">
        <v>0</v>
      </c>
      <c r="H8" s="199">
        <v>0</v>
      </c>
      <c r="I8" s="199">
        <v>0</v>
      </c>
      <c r="J8" s="199">
        <v>0</v>
      </c>
      <c r="K8" s="199">
        <v>0</v>
      </c>
      <c r="L8" s="199">
        <v>0</v>
      </c>
      <c r="M8" s="199">
        <v>0</v>
      </c>
      <c r="N8" s="199">
        <v>0</v>
      </c>
      <c r="O8" s="199">
        <v>0</v>
      </c>
      <c r="P8" s="199">
        <v>0</v>
      </c>
      <c r="Q8" s="199">
        <v>0</v>
      </c>
      <c r="R8" s="199">
        <v>0</v>
      </c>
      <c r="S8" s="199">
        <v>0</v>
      </c>
      <c r="T8" s="199">
        <v>0</v>
      </c>
      <c r="U8" s="199">
        <v>0</v>
      </c>
      <c r="V8" s="199">
        <v>0</v>
      </c>
      <c r="W8" s="199">
        <v>0</v>
      </c>
      <c r="X8" s="199">
        <v>0</v>
      </c>
      <c r="Y8" s="199">
        <v>0</v>
      </c>
      <c r="Z8" s="199">
        <v>0</v>
      </c>
      <c r="AA8" s="199">
        <v>0</v>
      </c>
      <c r="AB8" s="199">
        <v>0</v>
      </c>
      <c r="AC8" s="199">
        <v>0</v>
      </c>
      <c r="AD8" s="199">
        <v>0</v>
      </c>
      <c r="AE8" s="199">
        <v>0</v>
      </c>
      <c r="AF8" s="199">
        <v>0</v>
      </c>
      <c r="AG8" s="199">
        <v>0</v>
      </c>
      <c r="AH8" s="199">
        <v>0</v>
      </c>
      <c r="AI8" s="199">
        <v>0</v>
      </c>
      <c r="AJ8" s="199">
        <v>0</v>
      </c>
      <c r="AK8" s="199">
        <v>0</v>
      </c>
      <c r="AL8" s="199">
        <v>92.4</v>
      </c>
      <c r="AM8" s="199">
        <v>0</v>
      </c>
      <c r="AN8" s="199">
        <v>0</v>
      </c>
      <c r="AO8" s="199">
        <v>0</v>
      </c>
      <c r="AP8" s="199">
        <v>0</v>
      </c>
      <c r="AQ8" s="199">
        <v>0</v>
      </c>
      <c r="AR8" s="199">
        <v>0</v>
      </c>
      <c r="AS8" s="199">
        <v>0</v>
      </c>
      <c r="AT8" s="199">
        <v>13.5</v>
      </c>
      <c r="AU8" s="199">
        <v>0</v>
      </c>
      <c r="AV8" s="199">
        <v>0</v>
      </c>
      <c r="AW8" s="199">
        <v>0</v>
      </c>
    </row>
    <row r="9" spans="1:49" x14ac:dyDescent="0.3">
      <c r="A9" s="199" t="s">
        <v>139</v>
      </c>
      <c r="B9" s="224">
        <v>6</v>
      </c>
      <c r="C9" s="199">
        <v>38</v>
      </c>
      <c r="D9" s="199">
        <v>1</v>
      </c>
      <c r="E9" s="199">
        <v>5</v>
      </c>
      <c r="F9" s="199">
        <v>814</v>
      </c>
      <c r="G9" s="199">
        <v>0</v>
      </c>
      <c r="H9" s="199">
        <v>0</v>
      </c>
      <c r="I9" s="199">
        <v>0</v>
      </c>
      <c r="J9" s="199">
        <v>0</v>
      </c>
      <c r="K9" s="199">
        <v>0</v>
      </c>
      <c r="L9" s="199">
        <v>0</v>
      </c>
      <c r="M9" s="199">
        <v>0</v>
      </c>
      <c r="N9" s="199">
        <v>0</v>
      </c>
      <c r="O9" s="199">
        <v>0</v>
      </c>
      <c r="P9" s="199">
        <v>0</v>
      </c>
      <c r="Q9" s="199">
        <v>0</v>
      </c>
      <c r="R9" s="199">
        <v>0</v>
      </c>
      <c r="S9" s="199">
        <v>0</v>
      </c>
      <c r="T9" s="199">
        <v>0</v>
      </c>
      <c r="U9" s="199">
        <v>0</v>
      </c>
      <c r="V9" s="199">
        <v>0</v>
      </c>
      <c r="W9" s="199">
        <v>0</v>
      </c>
      <c r="X9" s="199">
        <v>0</v>
      </c>
      <c r="Y9" s="199">
        <v>0</v>
      </c>
      <c r="Z9" s="199">
        <v>0</v>
      </c>
      <c r="AA9" s="199">
        <v>0</v>
      </c>
      <c r="AB9" s="199">
        <v>0</v>
      </c>
      <c r="AC9" s="199">
        <v>0</v>
      </c>
      <c r="AD9" s="199">
        <v>0</v>
      </c>
      <c r="AE9" s="199">
        <v>0</v>
      </c>
      <c r="AF9" s="199">
        <v>0</v>
      </c>
      <c r="AG9" s="199">
        <v>0</v>
      </c>
      <c r="AH9" s="199">
        <v>0</v>
      </c>
      <c r="AI9" s="199">
        <v>0</v>
      </c>
      <c r="AJ9" s="199">
        <v>0</v>
      </c>
      <c r="AK9" s="199">
        <v>0</v>
      </c>
      <c r="AL9" s="199">
        <v>335</v>
      </c>
      <c r="AM9" s="199">
        <v>0</v>
      </c>
      <c r="AN9" s="199">
        <v>0</v>
      </c>
      <c r="AO9" s="199">
        <v>0</v>
      </c>
      <c r="AP9" s="199">
        <v>0</v>
      </c>
      <c r="AQ9" s="199">
        <v>0</v>
      </c>
      <c r="AR9" s="199">
        <v>0</v>
      </c>
      <c r="AS9" s="199">
        <v>0</v>
      </c>
      <c r="AT9" s="199">
        <v>479</v>
      </c>
      <c r="AU9" s="199">
        <v>0</v>
      </c>
      <c r="AV9" s="199">
        <v>0</v>
      </c>
      <c r="AW9" s="199">
        <v>0</v>
      </c>
    </row>
    <row r="10" spans="1:49" x14ac:dyDescent="0.3">
      <c r="A10" s="199" t="s">
        <v>140</v>
      </c>
      <c r="B10" s="224">
        <v>7</v>
      </c>
      <c r="C10" s="199">
        <v>38</v>
      </c>
      <c r="D10" s="199">
        <v>1</v>
      </c>
      <c r="E10" s="199">
        <v>6</v>
      </c>
      <c r="F10" s="199">
        <v>1119612</v>
      </c>
      <c r="G10" s="199">
        <v>0</v>
      </c>
      <c r="H10" s="199">
        <v>11092</v>
      </c>
      <c r="I10" s="199">
        <v>68379</v>
      </c>
      <c r="J10" s="199">
        <v>35073</v>
      </c>
      <c r="K10" s="199">
        <v>0</v>
      </c>
      <c r="L10" s="199">
        <v>244990</v>
      </c>
      <c r="M10" s="199">
        <v>0</v>
      </c>
      <c r="N10" s="199">
        <v>0</v>
      </c>
      <c r="O10" s="199">
        <v>0</v>
      </c>
      <c r="P10" s="199">
        <v>0</v>
      </c>
      <c r="Q10" s="199">
        <v>0</v>
      </c>
      <c r="R10" s="199">
        <v>0</v>
      </c>
      <c r="S10" s="199">
        <v>0</v>
      </c>
      <c r="T10" s="199">
        <v>0</v>
      </c>
      <c r="U10" s="199">
        <v>0</v>
      </c>
      <c r="V10" s="199">
        <v>0</v>
      </c>
      <c r="W10" s="199">
        <v>284764</v>
      </c>
      <c r="X10" s="199">
        <v>0</v>
      </c>
      <c r="Y10" s="199">
        <v>0</v>
      </c>
      <c r="Z10" s="199">
        <v>0</v>
      </c>
      <c r="AA10" s="199">
        <v>0</v>
      </c>
      <c r="AB10" s="199">
        <v>0</v>
      </c>
      <c r="AC10" s="199">
        <v>0</v>
      </c>
      <c r="AD10" s="199">
        <v>0</v>
      </c>
      <c r="AE10" s="199">
        <v>0</v>
      </c>
      <c r="AF10" s="199">
        <v>0</v>
      </c>
      <c r="AG10" s="199">
        <v>0</v>
      </c>
      <c r="AH10" s="199">
        <v>0</v>
      </c>
      <c r="AI10" s="199">
        <v>0</v>
      </c>
      <c r="AJ10" s="199">
        <v>0</v>
      </c>
      <c r="AK10" s="199">
        <v>0</v>
      </c>
      <c r="AL10" s="199">
        <v>324119</v>
      </c>
      <c r="AM10" s="199">
        <v>0</v>
      </c>
      <c r="AN10" s="199">
        <v>0</v>
      </c>
      <c r="AO10" s="199">
        <v>0</v>
      </c>
      <c r="AP10" s="199">
        <v>0</v>
      </c>
      <c r="AQ10" s="199">
        <v>0</v>
      </c>
      <c r="AR10" s="199">
        <v>0</v>
      </c>
      <c r="AS10" s="199">
        <v>0</v>
      </c>
      <c r="AT10" s="199">
        <v>151195</v>
      </c>
      <c r="AU10" s="199">
        <v>0</v>
      </c>
      <c r="AV10" s="199">
        <v>0</v>
      </c>
      <c r="AW10" s="199">
        <v>0</v>
      </c>
    </row>
    <row r="11" spans="1:49" x14ac:dyDescent="0.3">
      <c r="A11" s="199" t="s">
        <v>141</v>
      </c>
      <c r="B11" s="224">
        <v>8</v>
      </c>
      <c r="C11" s="199">
        <v>38</v>
      </c>
      <c r="D11" s="199">
        <v>1</v>
      </c>
      <c r="E11" s="199">
        <v>9</v>
      </c>
      <c r="F11" s="199">
        <v>17698</v>
      </c>
      <c r="G11" s="199">
        <v>0</v>
      </c>
      <c r="H11" s="199">
        <v>0</v>
      </c>
      <c r="I11" s="199">
        <v>1294</v>
      </c>
      <c r="J11" s="199">
        <v>0</v>
      </c>
      <c r="K11" s="199">
        <v>0</v>
      </c>
      <c r="L11" s="199">
        <v>5805</v>
      </c>
      <c r="M11" s="199">
        <v>0</v>
      </c>
      <c r="N11" s="199">
        <v>0</v>
      </c>
      <c r="O11" s="199">
        <v>0</v>
      </c>
      <c r="P11" s="199">
        <v>0</v>
      </c>
      <c r="Q11" s="199">
        <v>0</v>
      </c>
      <c r="R11" s="199">
        <v>0</v>
      </c>
      <c r="S11" s="199">
        <v>0</v>
      </c>
      <c r="T11" s="199">
        <v>0</v>
      </c>
      <c r="U11" s="199">
        <v>0</v>
      </c>
      <c r="V11" s="199">
        <v>0</v>
      </c>
      <c r="W11" s="199">
        <v>0</v>
      </c>
      <c r="X11" s="199">
        <v>0</v>
      </c>
      <c r="Y11" s="199">
        <v>0</v>
      </c>
      <c r="Z11" s="199">
        <v>0</v>
      </c>
      <c r="AA11" s="199">
        <v>0</v>
      </c>
      <c r="AB11" s="199">
        <v>0</v>
      </c>
      <c r="AC11" s="199">
        <v>0</v>
      </c>
      <c r="AD11" s="199">
        <v>0</v>
      </c>
      <c r="AE11" s="199">
        <v>0</v>
      </c>
      <c r="AF11" s="199">
        <v>0</v>
      </c>
      <c r="AG11" s="199">
        <v>0</v>
      </c>
      <c r="AH11" s="199">
        <v>0</v>
      </c>
      <c r="AI11" s="199">
        <v>0</v>
      </c>
      <c r="AJ11" s="199">
        <v>0</v>
      </c>
      <c r="AK11" s="199">
        <v>0</v>
      </c>
      <c r="AL11" s="199">
        <v>8448</v>
      </c>
      <c r="AM11" s="199">
        <v>0</v>
      </c>
      <c r="AN11" s="199">
        <v>0</v>
      </c>
      <c r="AO11" s="199">
        <v>0</v>
      </c>
      <c r="AP11" s="199">
        <v>0</v>
      </c>
      <c r="AQ11" s="199">
        <v>0</v>
      </c>
      <c r="AR11" s="199">
        <v>0</v>
      </c>
      <c r="AS11" s="199">
        <v>0</v>
      </c>
      <c r="AT11" s="199">
        <v>2151</v>
      </c>
      <c r="AU11" s="199">
        <v>0</v>
      </c>
      <c r="AV11" s="199">
        <v>0</v>
      </c>
      <c r="AW11" s="199">
        <v>0</v>
      </c>
    </row>
    <row r="12" spans="1:49" x14ac:dyDescent="0.3">
      <c r="A12" s="199" t="s">
        <v>142</v>
      </c>
      <c r="B12" s="224">
        <v>9</v>
      </c>
      <c r="C12" s="199">
        <v>38</v>
      </c>
      <c r="D12" s="199">
        <v>1</v>
      </c>
      <c r="E12" s="199">
        <v>10</v>
      </c>
      <c r="F12" s="199">
        <v>14500</v>
      </c>
      <c r="G12" s="199">
        <v>0</v>
      </c>
      <c r="H12" s="199">
        <v>0</v>
      </c>
      <c r="I12" s="199">
        <v>0</v>
      </c>
      <c r="J12" s="199">
        <v>0</v>
      </c>
      <c r="K12" s="199">
        <v>0</v>
      </c>
      <c r="L12" s="199">
        <v>0</v>
      </c>
      <c r="M12" s="199">
        <v>0</v>
      </c>
      <c r="N12" s="199">
        <v>0</v>
      </c>
      <c r="O12" s="199">
        <v>0</v>
      </c>
      <c r="P12" s="199">
        <v>0</v>
      </c>
      <c r="Q12" s="199">
        <v>0</v>
      </c>
      <c r="R12" s="199">
        <v>0</v>
      </c>
      <c r="S12" s="199">
        <v>0</v>
      </c>
      <c r="T12" s="199">
        <v>0</v>
      </c>
      <c r="U12" s="199">
        <v>0</v>
      </c>
      <c r="V12" s="199">
        <v>0</v>
      </c>
      <c r="W12" s="199">
        <v>0</v>
      </c>
      <c r="X12" s="199">
        <v>0</v>
      </c>
      <c r="Y12" s="199">
        <v>0</v>
      </c>
      <c r="Z12" s="199">
        <v>0</v>
      </c>
      <c r="AA12" s="199">
        <v>0</v>
      </c>
      <c r="AB12" s="199">
        <v>0</v>
      </c>
      <c r="AC12" s="199">
        <v>0</v>
      </c>
      <c r="AD12" s="199">
        <v>0</v>
      </c>
      <c r="AE12" s="199">
        <v>0</v>
      </c>
      <c r="AF12" s="199">
        <v>0</v>
      </c>
      <c r="AG12" s="199">
        <v>0</v>
      </c>
      <c r="AH12" s="199">
        <v>0</v>
      </c>
      <c r="AI12" s="199">
        <v>0</v>
      </c>
      <c r="AJ12" s="199">
        <v>0</v>
      </c>
      <c r="AK12" s="199">
        <v>0</v>
      </c>
      <c r="AL12" s="199">
        <v>0</v>
      </c>
      <c r="AM12" s="199">
        <v>0</v>
      </c>
      <c r="AN12" s="199">
        <v>0</v>
      </c>
      <c r="AO12" s="199">
        <v>0</v>
      </c>
      <c r="AP12" s="199">
        <v>0</v>
      </c>
      <c r="AQ12" s="199">
        <v>0</v>
      </c>
      <c r="AR12" s="199">
        <v>0</v>
      </c>
      <c r="AS12" s="199">
        <v>0</v>
      </c>
      <c r="AT12" s="199">
        <v>0</v>
      </c>
      <c r="AU12" s="199">
        <v>0</v>
      </c>
      <c r="AV12" s="199">
        <v>0</v>
      </c>
      <c r="AW12" s="199">
        <v>14500</v>
      </c>
    </row>
    <row r="13" spans="1:49" x14ac:dyDescent="0.3">
      <c r="A13" s="199" t="s">
        <v>143</v>
      </c>
      <c r="B13" s="224">
        <v>10</v>
      </c>
      <c r="C13" s="199">
        <v>38</v>
      </c>
      <c r="D13" s="199">
        <v>1</v>
      </c>
      <c r="E13" s="199">
        <v>11</v>
      </c>
      <c r="F13" s="199">
        <v>3964.0120528946463</v>
      </c>
      <c r="G13" s="199">
        <v>0</v>
      </c>
      <c r="H13" s="199">
        <v>0</v>
      </c>
      <c r="I13" s="199">
        <v>0</v>
      </c>
      <c r="J13" s="199">
        <v>0</v>
      </c>
      <c r="K13" s="199">
        <v>1672.3453862279791</v>
      </c>
      <c r="L13" s="199">
        <v>0</v>
      </c>
      <c r="M13" s="199">
        <v>0</v>
      </c>
      <c r="N13" s="199">
        <v>0</v>
      </c>
      <c r="O13" s="199">
        <v>0</v>
      </c>
      <c r="P13" s="199">
        <v>1250</v>
      </c>
      <c r="Q13" s="199">
        <v>0</v>
      </c>
      <c r="R13" s="199">
        <v>0</v>
      </c>
      <c r="S13" s="199">
        <v>0</v>
      </c>
      <c r="T13" s="199">
        <v>0</v>
      </c>
      <c r="U13" s="199">
        <v>0</v>
      </c>
      <c r="V13" s="199">
        <v>0</v>
      </c>
      <c r="W13" s="199">
        <v>0</v>
      </c>
      <c r="X13" s="199">
        <v>0</v>
      </c>
      <c r="Y13" s="199">
        <v>0</v>
      </c>
      <c r="Z13" s="199">
        <v>0</v>
      </c>
      <c r="AA13" s="199">
        <v>0</v>
      </c>
      <c r="AB13" s="199">
        <v>0</v>
      </c>
      <c r="AC13" s="199">
        <v>0</v>
      </c>
      <c r="AD13" s="199">
        <v>0</v>
      </c>
      <c r="AE13" s="199">
        <v>0</v>
      </c>
      <c r="AF13" s="199">
        <v>0</v>
      </c>
      <c r="AG13" s="199">
        <v>0</v>
      </c>
      <c r="AH13" s="199">
        <v>0</v>
      </c>
      <c r="AI13" s="199">
        <v>0</v>
      </c>
      <c r="AJ13" s="199">
        <v>0</v>
      </c>
      <c r="AK13" s="199">
        <v>0</v>
      </c>
      <c r="AL13" s="199">
        <v>0</v>
      </c>
      <c r="AM13" s="199">
        <v>0</v>
      </c>
      <c r="AN13" s="199">
        <v>0</v>
      </c>
      <c r="AO13" s="199">
        <v>0</v>
      </c>
      <c r="AP13" s="199">
        <v>0</v>
      </c>
      <c r="AQ13" s="199">
        <v>0</v>
      </c>
      <c r="AR13" s="199">
        <v>0</v>
      </c>
      <c r="AS13" s="199">
        <v>0</v>
      </c>
      <c r="AT13" s="199">
        <v>0</v>
      </c>
      <c r="AU13" s="199">
        <v>0</v>
      </c>
      <c r="AV13" s="199">
        <v>0</v>
      </c>
      <c r="AW13" s="199">
        <v>1041.6666666666667</v>
      </c>
    </row>
    <row r="14" spans="1:49" x14ac:dyDescent="0.3">
      <c r="A14" s="199" t="s">
        <v>144</v>
      </c>
      <c r="B14" s="224">
        <v>11</v>
      </c>
      <c r="C14" s="199">
        <v>38</v>
      </c>
      <c r="D14" s="199">
        <v>2</v>
      </c>
      <c r="E14" s="199">
        <v>1</v>
      </c>
      <c r="F14" s="199">
        <v>27.2</v>
      </c>
      <c r="G14" s="199">
        <v>0</v>
      </c>
      <c r="H14" s="199">
        <v>0.5</v>
      </c>
      <c r="I14" s="199">
        <v>2.5</v>
      </c>
      <c r="J14" s="199">
        <v>1</v>
      </c>
      <c r="K14" s="199">
        <v>0</v>
      </c>
      <c r="L14" s="199">
        <v>4.2</v>
      </c>
      <c r="M14" s="199">
        <v>0</v>
      </c>
      <c r="N14" s="199">
        <v>0</v>
      </c>
      <c r="O14" s="199">
        <v>0</v>
      </c>
      <c r="P14" s="199">
        <v>0</v>
      </c>
      <c r="Q14" s="199">
        <v>0</v>
      </c>
      <c r="R14" s="199">
        <v>0</v>
      </c>
      <c r="S14" s="199">
        <v>0</v>
      </c>
      <c r="T14" s="199">
        <v>0</v>
      </c>
      <c r="U14" s="199">
        <v>0</v>
      </c>
      <c r="V14" s="199">
        <v>0</v>
      </c>
      <c r="W14" s="199">
        <v>10</v>
      </c>
      <c r="X14" s="199">
        <v>0</v>
      </c>
      <c r="Y14" s="199">
        <v>0</v>
      </c>
      <c r="Z14" s="199">
        <v>0</v>
      </c>
      <c r="AA14" s="199">
        <v>0</v>
      </c>
      <c r="AB14" s="199">
        <v>0</v>
      </c>
      <c r="AC14" s="199">
        <v>0</v>
      </c>
      <c r="AD14" s="199">
        <v>0</v>
      </c>
      <c r="AE14" s="199">
        <v>0</v>
      </c>
      <c r="AF14" s="199">
        <v>0</v>
      </c>
      <c r="AG14" s="199">
        <v>0</v>
      </c>
      <c r="AH14" s="199">
        <v>0</v>
      </c>
      <c r="AI14" s="199">
        <v>0</v>
      </c>
      <c r="AJ14" s="199">
        <v>0</v>
      </c>
      <c r="AK14" s="199">
        <v>0</v>
      </c>
      <c r="AL14" s="199">
        <v>4</v>
      </c>
      <c r="AM14" s="199">
        <v>0</v>
      </c>
      <c r="AN14" s="199">
        <v>0</v>
      </c>
      <c r="AO14" s="199">
        <v>0</v>
      </c>
      <c r="AP14" s="199">
        <v>0</v>
      </c>
      <c r="AQ14" s="199">
        <v>0</v>
      </c>
      <c r="AR14" s="199">
        <v>0</v>
      </c>
      <c r="AS14" s="199">
        <v>0</v>
      </c>
      <c r="AT14" s="199">
        <v>5</v>
      </c>
      <c r="AU14" s="199">
        <v>0</v>
      </c>
      <c r="AV14" s="199">
        <v>0</v>
      </c>
      <c r="AW14" s="199">
        <v>0</v>
      </c>
    </row>
    <row r="15" spans="1:49" x14ac:dyDescent="0.3">
      <c r="A15" s="199" t="s">
        <v>145</v>
      </c>
      <c r="B15" s="224">
        <v>12</v>
      </c>
      <c r="C15" s="199">
        <v>38</v>
      </c>
      <c r="D15" s="199">
        <v>2</v>
      </c>
      <c r="E15" s="199">
        <v>2</v>
      </c>
      <c r="F15" s="199">
        <v>3701.2</v>
      </c>
      <c r="G15" s="199">
        <v>0</v>
      </c>
      <c r="H15" s="199">
        <v>80</v>
      </c>
      <c r="I15" s="199">
        <v>366</v>
      </c>
      <c r="J15" s="199">
        <v>152</v>
      </c>
      <c r="K15" s="199">
        <v>0</v>
      </c>
      <c r="L15" s="199">
        <v>632</v>
      </c>
      <c r="M15" s="199">
        <v>0</v>
      </c>
      <c r="N15" s="199">
        <v>0</v>
      </c>
      <c r="O15" s="199">
        <v>0</v>
      </c>
      <c r="P15" s="199">
        <v>0</v>
      </c>
      <c r="Q15" s="199">
        <v>0</v>
      </c>
      <c r="R15" s="199">
        <v>0</v>
      </c>
      <c r="S15" s="199">
        <v>0</v>
      </c>
      <c r="T15" s="199">
        <v>0</v>
      </c>
      <c r="U15" s="199">
        <v>0</v>
      </c>
      <c r="V15" s="199">
        <v>0</v>
      </c>
      <c r="W15" s="199">
        <v>1244</v>
      </c>
      <c r="X15" s="199">
        <v>0</v>
      </c>
      <c r="Y15" s="199">
        <v>0</v>
      </c>
      <c r="Z15" s="199">
        <v>0</v>
      </c>
      <c r="AA15" s="199">
        <v>0</v>
      </c>
      <c r="AB15" s="199">
        <v>0</v>
      </c>
      <c r="AC15" s="199">
        <v>0</v>
      </c>
      <c r="AD15" s="199">
        <v>0</v>
      </c>
      <c r="AE15" s="199">
        <v>0</v>
      </c>
      <c r="AF15" s="199">
        <v>0</v>
      </c>
      <c r="AG15" s="199">
        <v>0</v>
      </c>
      <c r="AH15" s="199">
        <v>0</v>
      </c>
      <c r="AI15" s="199">
        <v>0</v>
      </c>
      <c r="AJ15" s="199">
        <v>0</v>
      </c>
      <c r="AK15" s="199">
        <v>0</v>
      </c>
      <c r="AL15" s="199">
        <v>587.20000000000005</v>
      </c>
      <c r="AM15" s="199">
        <v>0</v>
      </c>
      <c r="AN15" s="199">
        <v>0</v>
      </c>
      <c r="AO15" s="199">
        <v>0</v>
      </c>
      <c r="AP15" s="199">
        <v>0</v>
      </c>
      <c r="AQ15" s="199">
        <v>0</v>
      </c>
      <c r="AR15" s="199">
        <v>0</v>
      </c>
      <c r="AS15" s="199">
        <v>0</v>
      </c>
      <c r="AT15" s="199">
        <v>640</v>
      </c>
      <c r="AU15" s="199">
        <v>0</v>
      </c>
      <c r="AV15" s="199">
        <v>0</v>
      </c>
      <c r="AW15" s="199">
        <v>0</v>
      </c>
    </row>
    <row r="16" spans="1:49" x14ac:dyDescent="0.3">
      <c r="A16" s="199" t="s">
        <v>133</v>
      </c>
      <c r="B16" s="224">
        <v>2017</v>
      </c>
      <c r="C16" s="199">
        <v>38</v>
      </c>
      <c r="D16" s="199">
        <v>2</v>
      </c>
      <c r="E16" s="199">
        <v>3</v>
      </c>
      <c r="F16" s="199">
        <v>52.8</v>
      </c>
      <c r="G16" s="199">
        <v>0</v>
      </c>
      <c r="H16" s="199">
        <v>0</v>
      </c>
      <c r="I16" s="199">
        <v>0</v>
      </c>
      <c r="J16" s="199">
        <v>0</v>
      </c>
      <c r="K16" s="199">
        <v>0</v>
      </c>
      <c r="L16" s="199">
        <v>0</v>
      </c>
      <c r="M16" s="199">
        <v>0</v>
      </c>
      <c r="N16" s="199">
        <v>0</v>
      </c>
      <c r="O16" s="199">
        <v>0</v>
      </c>
      <c r="P16" s="199">
        <v>0</v>
      </c>
      <c r="Q16" s="199">
        <v>0</v>
      </c>
      <c r="R16" s="199">
        <v>0</v>
      </c>
      <c r="S16" s="199">
        <v>0</v>
      </c>
      <c r="T16" s="199">
        <v>0</v>
      </c>
      <c r="U16" s="199">
        <v>0</v>
      </c>
      <c r="V16" s="199">
        <v>0</v>
      </c>
      <c r="W16" s="199">
        <v>0</v>
      </c>
      <c r="X16" s="199">
        <v>0</v>
      </c>
      <c r="Y16" s="199">
        <v>0</v>
      </c>
      <c r="Z16" s="199">
        <v>0</v>
      </c>
      <c r="AA16" s="199">
        <v>0</v>
      </c>
      <c r="AB16" s="199">
        <v>0</v>
      </c>
      <c r="AC16" s="199">
        <v>0</v>
      </c>
      <c r="AD16" s="199">
        <v>0</v>
      </c>
      <c r="AE16" s="199">
        <v>0</v>
      </c>
      <c r="AF16" s="199">
        <v>0</v>
      </c>
      <c r="AG16" s="199">
        <v>0</v>
      </c>
      <c r="AH16" s="199">
        <v>0</v>
      </c>
      <c r="AI16" s="199">
        <v>0</v>
      </c>
      <c r="AJ16" s="199">
        <v>0</v>
      </c>
      <c r="AK16" s="199">
        <v>0</v>
      </c>
      <c r="AL16" s="199">
        <v>52.8</v>
      </c>
      <c r="AM16" s="199">
        <v>0</v>
      </c>
      <c r="AN16" s="199">
        <v>0</v>
      </c>
      <c r="AO16" s="199">
        <v>0</v>
      </c>
      <c r="AP16" s="199">
        <v>0</v>
      </c>
      <c r="AQ16" s="199">
        <v>0</v>
      </c>
      <c r="AR16" s="199">
        <v>0</v>
      </c>
      <c r="AS16" s="199">
        <v>0</v>
      </c>
      <c r="AT16" s="199">
        <v>0</v>
      </c>
      <c r="AU16" s="199">
        <v>0</v>
      </c>
      <c r="AV16" s="199">
        <v>0</v>
      </c>
      <c r="AW16" s="199">
        <v>0</v>
      </c>
    </row>
    <row r="17" spans="3:49" x14ac:dyDescent="0.3">
      <c r="C17" s="199">
        <v>38</v>
      </c>
      <c r="D17" s="199">
        <v>2</v>
      </c>
      <c r="E17" s="199">
        <v>4</v>
      </c>
      <c r="F17" s="199">
        <v>107.2</v>
      </c>
      <c r="G17" s="199">
        <v>0</v>
      </c>
      <c r="H17" s="199">
        <v>0</v>
      </c>
      <c r="I17" s="199">
        <v>0</v>
      </c>
      <c r="J17" s="199">
        <v>0</v>
      </c>
      <c r="K17" s="199">
        <v>0</v>
      </c>
      <c r="L17" s="199">
        <v>0</v>
      </c>
      <c r="M17" s="199">
        <v>0</v>
      </c>
      <c r="N17" s="199">
        <v>0</v>
      </c>
      <c r="O17" s="199">
        <v>0</v>
      </c>
      <c r="P17" s="199">
        <v>0</v>
      </c>
      <c r="Q17" s="199">
        <v>0</v>
      </c>
      <c r="R17" s="199">
        <v>0</v>
      </c>
      <c r="S17" s="199">
        <v>0</v>
      </c>
      <c r="T17" s="199">
        <v>0</v>
      </c>
      <c r="U17" s="199">
        <v>0</v>
      </c>
      <c r="V17" s="199">
        <v>0</v>
      </c>
      <c r="W17" s="199">
        <v>0</v>
      </c>
      <c r="X17" s="199">
        <v>0</v>
      </c>
      <c r="Y17" s="199">
        <v>0</v>
      </c>
      <c r="Z17" s="199">
        <v>0</v>
      </c>
      <c r="AA17" s="199">
        <v>0</v>
      </c>
      <c r="AB17" s="199">
        <v>0</v>
      </c>
      <c r="AC17" s="199">
        <v>0</v>
      </c>
      <c r="AD17" s="199">
        <v>0</v>
      </c>
      <c r="AE17" s="199">
        <v>0</v>
      </c>
      <c r="AF17" s="199">
        <v>0</v>
      </c>
      <c r="AG17" s="199">
        <v>0</v>
      </c>
      <c r="AH17" s="199">
        <v>0</v>
      </c>
      <c r="AI17" s="199">
        <v>0</v>
      </c>
      <c r="AJ17" s="199">
        <v>0</v>
      </c>
      <c r="AK17" s="199">
        <v>0</v>
      </c>
      <c r="AL17" s="199">
        <v>94.2</v>
      </c>
      <c r="AM17" s="199">
        <v>0</v>
      </c>
      <c r="AN17" s="199">
        <v>0</v>
      </c>
      <c r="AO17" s="199">
        <v>0</v>
      </c>
      <c r="AP17" s="199">
        <v>0</v>
      </c>
      <c r="AQ17" s="199">
        <v>0</v>
      </c>
      <c r="AR17" s="199">
        <v>0</v>
      </c>
      <c r="AS17" s="199">
        <v>0</v>
      </c>
      <c r="AT17" s="199">
        <v>13</v>
      </c>
      <c r="AU17" s="199">
        <v>0</v>
      </c>
      <c r="AV17" s="199">
        <v>0</v>
      </c>
      <c r="AW17" s="199">
        <v>0</v>
      </c>
    </row>
    <row r="18" spans="3:49" x14ac:dyDescent="0.3">
      <c r="C18" s="199">
        <v>38</v>
      </c>
      <c r="D18" s="199">
        <v>2</v>
      </c>
      <c r="E18" s="199">
        <v>5</v>
      </c>
      <c r="F18" s="199">
        <v>843</v>
      </c>
      <c r="G18" s="199">
        <v>0</v>
      </c>
      <c r="H18" s="199">
        <v>0</v>
      </c>
      <c r="I18" s="199">
        <v>0</v>
      </c>
      <c r="J18" s="199">
        <v>0</v>
      </c>
      <c r="K18" s="199">
        <v>0</v>
      </c>
      <c r="L18" s="199">
        <v>0</v>
      </c>
      <c r="M18" s="199">
        <v>0</v>
      </c>
      <c r="N18" s="199">
        <v>0</v>
      </c>
      <c r="O18" s="199">
        <v>0</v>
      </c>
      <c r="P18" s="199">
        <v>0</v>
      </c>
      <c r="Q18" s="199">
        <v>0</v>
      </c>
      <c r="R18" s="199">
        <v>0</v>
      </c>
      <c r="S18" s="199">
        <v>0</v>
      </c>
      <c r="T18" s="199">
        <v>0</v>
      </c>
      <c r="U18" s="199">
        <v>0</v>
      </c>
      <c r="V18" s="199">
        <v>0</v>
      </c>
      <c r="W18" s="199">
        <v>0</v>
      </c>
      <c r="X18" s="199">
        <v>0</v>
      </c>
      <c r="Y18" s="199">
        <v>0</v>
      </c>
      <c r="Z18" s="199">
        <v>0</v>
      </c>
      <c r="AA18" s="199">
        <v>0</v>
      </c>
      <c r="AB18" s="199">
        <v>0</v>
      </c>
      <c r="AC18" s="199">
        <v>0</v>
      </c>
      <c r="AD18" s="199">
        <v>0</v>
      </c>
      <c r="AE18" s="199">
        <v>0</v>
      </c>
      <c r="AF18" s="199">
        <v>0</v>
      </c>
      <c r="AG18" s="199">
        <v>0</v>
      </c>
      <c r="AH18" s="199">
        <v>0</v>
      </c>
      <c r="AI18" s="199">
        <v>0</v>
      </c>
      <c r="AJ18" s="199">
        <v>0</v>
      </c>
      <c r="AK18" s="199">
        <v>0</v>
      </c>
      <c r="AL18" s="199">
        <v>415</v>
      </c>
      <c r="AM18" s="199">
        <v>0</v>
      </c>
      <c r="AN18" s="199">
        <v>0</v>
      </c>
      <c r="AO18" s="199">
        <v>0</v>
      </c>
      <c r="AP18" s="199">
        <v>0</v>
      </c>
      <c r="AQ18" s="199">
        <v>0</v>
      </c>
      <c r="AR18" s="199">
        <v>0</v>
      </c>
      <c r="AS18" s="199">
        <v>0</v>
      </c>
      <c r="AT18" s="199">
        <v>428</v>
      </c>
      <c r="AU18" s="199">
        <v>0</v>
      </c>
      <c r="AV18" s="199">
        <v>0</v>
      </c>
      <c r="AW18" s="199">
        <v>0</v>
      </c>
    </row>
    <row r="19" spans="3:49" x14ac:dyDescent="0.3">
      <c r="C19" s="199">
        <v>38</v>
      </c>
      <c r="D19" s="199">
        <v>2</v>
      </c>
      <c r="E19" s="199">
        <v>6</v>
      </c>
      <c r="F19" s="199">
        <v>1119387</v>
      </c>
      <c r="G19" s="199">
        <v>0</v>
      </c>
      <c r="H19" s="199">
        <v>10865</v>
      </c>
      <c r="I19" s="199">
        <v>67853</v>
      </c>
      <c r="J19" s="199">
        <v>34930</v>
      </c>
      <c r="K19" s="199">
        <v>0</v>
      </c>
      <c r="L19" s="199">
        <v>259577</v>
      </c>
      <c r="M19" s="199">
        <v>0</v>
      </c>
      <c r="N19" s="199">
        <v>0</v>
      </c>
      <c r="O19" s="199">
        <v>0</v>
      </c>
      <c r="P19" s="199">
        <v>0</v>
      </c>
      <c r="Q19" s="199">
        <v>0</v>
      </c>
      <c r="R19" s="199">
        <v>0</v>
      </c>
      <c r="S19" s="199">
        <v>0</v>
      </c>
      <c r="T19" s="199">
        <v>0</v>
      </c>
      <c r="U19" s="199">
        <v>0</v>
      </c>
      <c r="V19" s="199">
        <v>0</v>
      </c>
      <c r="W19" s="199">
        <v>270876</v>
      </c>
      <c r="X19" s="199">
        <v>0</v>
      </c>
      <c r="Y19" s="199">
        <v>0</v>
      </c>
      <c r="Z19" s="199">
        <v>0</v>
      </c>
      <c r="AA19" s="199">
        <v>0</v>
      </c>
      <c r="AB19" s="199">
        <v>0</v>
      </c>
      <c r="AC19" s="199">
        <v>0</v>
      </c>
      <c r="AD19" s="199">
        <v>0</v>
      </c>
      <c r="AE19" s="199">
        <v>0</v>
      </c>
      <c r="AF19" s="199">
        <v>0</v>
      </c>
      <c r="AG19" s="199">
        <v>0</v>
      </c>
      <c r="AH19" s="199">
        <v>0</v>
      </c>
      <c r="AI19" s="199">
        <v>0</v>
      </c>
      <c r="AJ19" s="199">
        <v>0</v>
      </c>
      <c r="AK19" s="199">
        <v>0</v>
      </c>
      <c r="AL19" s="199">
        <v>325235</v>
      </c>
      <c r="AM19" s="199">
        <v>0</v>
      </c>
      <c r="AN19" s="199">
        <v>0</v>
      </c>
      <c r="AO19" s="199">
        <v>0</v>
      </c>
      <c r="AP19" s="199">
        <v>0</v>
      </c>
      <c r="AQ19" s="199">
        <v>0</v>
      </c>
      <c r="AR19" s="199">
        <v>0</v>
      </c>
      <c r="AS19" s="199">
        <v>0</v>
      </c>
      <c r="AT19" s="199">
        <v>150051</v>
      </c>
      <c r="AU19" s="199">
        <v>0</v>
      </c>
      <c r="AV19" s="199">
        <v>0</v>
      </c>
      <c r="AW19" s="199">
        <v>0</v>
      </c>
    </row>
    <row r="20" spans="3:49" x14ac:dyDescent="0.3">
      <c r="C20" s="199">
        <v>38</v>
      </c>
      <c r="D20" s="199">
        <v>2</v>
      </c>
      <c r="E20" s="199">
        <v>9</v>
      </c>
      <c r="F20" s="199">
        <v>21099</v>
      </c>
      <c r="G20" s="199">
        <v>0</v>
      </c>
      <c r="H20" s="199">
        <v>0</v>
      </c>
      <c r="I20" s="199">
        <v>993</v>
      </c>
      <c r="J20" s="199">
        <v>0</v>
      </c>
      <c r="K20" s="199">
        <v>0</v>
      </c>
      <c r="L20" s="199">
        <v>10423</v>
      </c>
      <c r="M20" s="199">
        <v>0</v>
      </c>
      <c r="N20" s="199">
        <v>0</v>
      </c>
      <c r="O20" s="199">
        <v>0</v>
      </c>
      <c r="P20" s="199">
        <v>0</v>
      </c>
      <c r="Q20" s="199">
        <v>0</v>
      </c>
      <c r="R20" s="199">
        <v>0</v>
      </c>
      <c r="S20" s="199">
        <v>0</v>
      </c>
      <c r="T20" s="199">
        <v>0</v>
      </c>
      <c r="U20" s="199">
        <v>0</v>
      </c>
      <c r="V20" s="199">
        <v>0</v>
      </c>
      <c r="W20" s="199">
        <v>0</v>
      </c>
      <c r="X20" s="199">
        <v>0</v>
      </c>
      <c r="Y20" s="199">
        <v>0</v>
      </c>
      <c r="Z20" s="199">
        <v>0</v>
      </c>
      <c r="AA20" s="199">
        <v>0</v>
      </c>
      <c r="AB20" s="199">
        <v>0</v>
      </c>
      <c r="AC20" s="199">
        <v>0</v>
      </c>
      <c r="AD20" s="199">
        <v>0</v>
      </c>
      <c r="AE20" s="199">
        <v>0</v>
      </c>
      <c r="AF20" s="199">
        <v>0</v>
      </c>
      <c r="AG20" s="199">
        <v>0</v>
      </c>
      <c r="AH20" s="199">
        <v>0</v>
      </c>
      <c r="AI20" s="199">
        <v>0</v>
      </c>
      <c r="AJ20" s="199">
        <v>0</v>
      </c>
      <c r="AK20" s="199">
        <v>0</v>
      </c>
      <c r="AL20" s="199">
        <v>7488</v>
      </c>
      <c r="AM20" s="199">
        <v>0</v>
      </c>
      <c r="AN20" s="199">
        <v>0</v>
      </c>
      <c r="AO20" s="199">
        <v>0</v>
      </c>
      <c r="AP20" s="199">
        <v>0</v>
      </c>
      <c r="AQ20" s="199">
        <v>0</v>
      </c>
      <c r="AR20" s="199">
        <v>0</v>
      </c>
      <c r="AS20" s="199">
        <v>0</v>
      </c>
      <c r="AT20" s="199">
        <v>2195</v>
      </c>
      <c r="AU20" s="199">
        <v>0</v>
      </c>
      <c r="AV20" s="199">
        <v>0</v>
      </c>
      <c r="AW20" s="199">
        <v>0</v>
      </c>
    </row>
    <row r="21" spans="3:49" x14ac:dyDescent="0.3">
      <c r="C21" s="199">
        <v>38</v>
      </c>
      <c r="D21" s="199">
        <v>2</v>
      </c>
      <c r="E21" s="199">
        <v>11</v>
      </c>
      <c r="F21" s="199">
        <v>3964.0120528946463</v>
      </c>
      <c r="G21" s="199">
        <v>0</v>
      </c>
      <c r="H21" s="199">
        <v>0</v>
      </c>
      <c r="I21" s="199">
        <v>0</v>
      </c>
      <c r="J21" s="199">
        <v>0</v>
      </c>
      <c r="K21" s="199">
        <v>1672.3453862279791</v>
      </c>
      <c r="L21" s="199">
        <v>0</v>
      </c>
      <c r="M21" s="199">
        <v>0</v>
      </c>
      <c r="N21" s="199">
        <v>0</v>
      </c>
      <c r="O21" s="199">
        <v>0</v>
      </c>
      <c r="P21" s="199">
        <v>1250</v>
      </c>
      <c r="Q21" s="199">
        <v>0</v>
      </c>
      <c r="R21" s="199">
        <v>0</v>
      </c>
      <c r="S21" s="199">
        <v>0</v>
      </c>
      <c r="T21" s="199">
        <v>0</v>
      </c>
      <c r="U21" s="199">
        <v>0</v>
      </c>
      <c r="V21" s="199">
        <v>0</v>
      </c>
      <c r="W21" s="199">
        <v>0</v>
      </c>
      <c r="X21" s="199">
        <v>0</v>
      </c>
      <c r="Y21" s="199">
        <v>0</v>
      </c>
      <c r="Z21" s="199">
        <v>0</v>
      </c>
      <c r="AA21" s="199">
        <v>0</v>
      </c>
      <c r="AB21" s="199">
        <v>0</v>
      </c>
      <c r="AC21" s="199">
        <v>0</v>
      </c>
      <c r="AD21" s="199">
        <v>0</v>
      </c>
      <c r="AE21" s="199">
        <v>0</v>
      </c>
      <c r="AF21" s="199">
        <v>0</v>
      </c>
      <c r="AG21" s="199">
        <v>0</v>
      </c>
      <c r="AH21" s="199">
        <v>0</v>
      </c>
      <c r="AI21" s="199">
        <v>0</v>
      </c>
      <c r="AJ21" s="199">
        <v>0</v>
      </c>
      <c r="AK21" s="199">
        <v>0</v>
      </c>
      <c r="AL21" s="199">
        <v>0</v>
      </c>
      <c r="AM21" s="199">
        <v>0</v>
      </c>
      <c r="AN21" s="199">
        <v>0</v>
      </c>
      <c r="AO21" s="199">
        <v>0</v>
      </c>
      <c r="AP21" s="199">
        <v>0</v>
      </c>
      <c r="AQ21" s="199">
        <v>0</v>
      </c>
      <c r="AR21" s="199">
        <v>0</v>
      </c>
      <c r="AS21" s="199">
        <v>0</v>
      </c>
      <c r="AT21" s="199">
        <v>0</v>
      </c>
      <c r="AU21" s="199">
        <v>0</v>
      </c>
      <c r="AV21" s="199">
        <v>0</v>
      </c>
      <c r="AW21" s="199">
        <v>1041.6666666666667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6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4" customWidth="1" collapsed="1"/>
    <col min="2" max="2" width="7.77734375" style="81" hidden="1" customWidth="1" outlineLevel="1"/>
    <col min="3" max="4" width="5.44140625" style="104" hidden="1" customWidth="1"/>
    <col min="5" max="5" width="7.77734375" style="81" customWidth="1"/>
    <col min="6" max="6" width="7.77734375" style="81" hidden="1" customWidth="1"/>
    <col min="7" max="7" width="5.44140625" style="104" hidden="1" customWidth="1"/>
    <col min="8" max="8" width="7.77734375" style="81" customWidth="1" collapsed="1"/>
    <col min="9" max="9" width="7.77734375" style="183" hidden="1" customWidth="1" outlineLevel="1"/>
    <col min="10" max="10" width="7.77734375" style="183" customWidth="1" collapsed="1"/>
    <col min="11" max="12" width="7.77734375" style="81" hidden="1" customWidth="1"/>
    <col min="13" max="13" width="5.44140625" style="104" hidden="1" customWidth="1"/>
    <col min="14" max="14" width="7.77734375" style="81" customWidth="1"/>
    <col min="15" max="15" width="7.77734375" style="81" hidden="1" customWidth="1"/>
    <col min="16" max="16" width="5.44140625" style="104" hidden="1" customWidth="1"/>
    <col min="17" max="17" width="7.77734375" style="81" customWidth="1" collapsed="1"/>
    <col min="18" max="18" width="7.77734375" style="183" hidden="1" customWidth="1" outlineLevel="1"/>
    <col min="19" max="19" width="7.77734375" style="183" customWidth="1" collapsed="1"/>
    <col min="20" max="21" width="7.77734375" style="81" hidden="1" customWidth="1"/>
    <col min="22" max="22" width="5" style="104" hidden="1" customWidth="1"/>
    <col min="23" max="23" width="7.77734375" style="81" customWidth="1"/>
    <col min="24" max="24" width="7.77734375" style="81" hidden="1" customWidth="1"/>
    <col min="25" max="25" width="5" style="104" hidden="1" customWidth="1"/>
    <col min="26" max="26" width="7.77734375" style="81" customWidth="1" collapsed="1"/>
    <col min="27" max="27" width="7.77734375" style="183" hidden="1" customWidth="1" outlineLevel="1"/>
    <col min="28" max="28" width="7.77734375" style="183" customWidth="1" collapsed="1"/>
    <col min="29" max="16384" width="8.88671875" style="104"/>
  </cols>
  <sheetData>
    <row r="1" spans="1:28" ht="18.600000000000001" customHeight="1" thickBot="1" x14ac:dyDescent="0.4">
      <c r="A1" s="362" t="s">
        <v>578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314"/>
      <c r="AB1" s="314"/>
    </row>
    <row r="2" spans="1:28" ht="14.4" customHeight="1" thickBot="1" x14ac:dyDescent="0.35">
      <c r="A2" s="203" t="s">
        <v>261</v>
      </c>
      <c r="B2" s="86"/>
      <c r="C2" s="86"/>
      <c r="D2" s="86"/>
      <c r="E2" s="86"/>
      <c r="F2" s="86"/>
      <c r="G2" s="86"/>
      <c r="H2" s="86"/>
      <c r="I2" s="195"/>
      <c r="J2" s="195"/>
      <c r="K2" s="86"/>
      <c r="L2" s="86"/>
      <c r="M2" s="86"/>
      <c r="N2" s="86"/>
      <c r="O2" s="86"/>
      <c r="P2" s="86"/>
      <c r="Q2" s="86"/>
      <c r="R2" s="195"/>
      <c r="S2" s="195"/>
      <c r="T2" s="86"/>
      <c r="U2" s="86"/>
      <c r="V2" s="86"/>
      <c r="W2" s="86"/>
      <c r="X2" s="86"/>
      <c r="Y2" s="86"/>
      <c r="Z2" s="86"/>
      <c r="AA2" s="195"/>
      <c r="AB2" s="195"/>
    </row>
    <row r="3" spans="1:28" ht="14.4" customHeight="1" thickBot="1" x14ac:dyDescent="0.35">
      <c r="A3" s="188" t="s">
        <v>112</v>
      </c>
      <c r="B3" s="189">
        <f>SUBTOTAL(9,B6:B1048576)/4</f>
        <v>3265805</v>
      </c>
      <c r="C3" s="190">
        <f t="shared" ref="C3:Z3" si="0">SUBTOTAL(9,C6:C1048576)</f>
        <v>6</v>
      </c>
      <c r="D3" s="190"/>
      <c r="E3" s="190">
        <f>SUBTOTAL(9,E6:E1048576)/4</f>
        <v>3136328</v>
      </c>
      <c r="F3" s="190"/>
      <c r="G3" s="190">
        <f t="shared" si="0"/>
        <v>6</v>
      </c>
      <c r="H3" s="190">
        <f>SUBTOTAL(9,H6:H1048576)/4</f>
        <v>3854912</v>
      </c>
      <c r="I3" s="193">
        <f>IF(B3&lt;&gt;0,H3/B3,"")</f>
        <v>1.1803864590812985</v>
      </c>
      <c r="J3" s="191">
        <f>IF(E3&lt;&gt;0,H3/E3,"")</f>
        <v>1.2291163424233691</v>
      </c>
      <c r="K3" s="192">
        <f t="shared" si="0"/>
        <v>0</v>
      </c>
      <c r="L3" s="192"/>
      <c r="M3" s="190">
        <f t="shared" si="0"/>
        <v>0</v>
      </c>
      <c r="N3" s="190">
        <f t="shared" si="0"/>
        <v>0</v>
      </c>
      <c r="O3" s="190"/>
      <c r="P3" s="190">
        <f t="shared" si="0"/>
        <v>0</v>
      </c>
      <c r="Q3" s="190">
        <f t="shared" si="0"/>
        <v>0</v>
      </c>
      <c r="R3" s="193" t="str">
        <f>IF(K3&lt;&gt;0,Q3/K3,"")</f>
        <v/>
      </c>
      <c r="S3" s="193" t="str">
        <f>IF(N3&lt;&gt;0,Q3/N3,"")</f>
        <v/>
      </c>
      <c r="T3" s="189">
        <f t="shared" si="0"/>
        <v>0</v>
      </c>
      <c r="U3" s="192"/>
      <c r="V3" s="190">
        <f t="shared" si="0"/>
        <v>0</v>
      </c>
      <c r="W3" s="190">
        <f t="shared" si="0"/>
        <v>0</v>
      </c>
      <c r="X3" s="190"/>
      <c r="Y3" s="190">
        <f t="shared" si="0"/>
        <v>0</v>
      </c>
      <c r="Z3" s="190">
        <f t="shared" si="0"/>
        <v>0</v>
      </c>
      <c r="AA3" s="193" t="str">
        <f>IF(T3&lt;&gt;0,Z3/T3,"")</f>
        <v/>
      </c>
      <c r="AB3" s="191" t="str">
        <f>IF(W3&lt;&gt;0,Z3/W3,"")</f>
        <v/>
      </c>
    </row>
    <row r="4" spans="1:28" ht="14.4" customHeight="1" x14ac:dyDescent="0.3">
      <c r="A4" s="363" t="s">
        <v>216</v>
      </c>
      <c r="B4" s="364" t="s">
        <v>85</v>
      </c>
      <c r="C4" s="365"/>
      <c r="D4" s="366"/>
      <c r="E4" s="365"/>
      <c r="F4" s="366"/>
      <c r="G4" s="365"/>
      <c r="H4" s="365"/>
      <c r="I4" s="366"/>
      <c r="J4" s="367"/>
      <c r="K4" s="364" t="s">
        <v>86</v>
      </c>
      <c r="L4" s="366"/>
      <c r="M4" s="365"/>
      <c r="N4" s="365"/>
      <c r="O4" s="366"/>
      <c r="P4" s="365"/>
      <c r="Q4" s="365"/>
      <c r="R4" s="366"/>
      <c r="S4" s="367"/>
      <c r="T4" s="364" t="s">
        <v>87</v>
      </c>
      <c r="U4" s="366"/>
      <c r="V4" s="365"/>
      <c r="W4" s="365"/>
      <c r="X4" s="366"/>
      <c r="Y4" s="365"/>
      <c r="Z4" s="365"/>
      <c r="AA4" s="366"/>
      <c r="AB4" s="367"/>
    </row>
    <row r="5" spans="1:28" ht="14.4" customHeight="1" thickBot="1" x14ac:dyDescent="0.35">
      <c r="A5" s="492"/>
      <c r="B5" s="493">
        <v>2015</v>
      </c>
      <c r="C5" s="494"/>
      <c r="D5" s="494"/>
      <c r="E5" s="494">
        <v>2016</v>
      </c>
      <c r="F5" s="494"/>
      <c r="G5" s="494"/>
      <c r="H5" s="494">
        <v>2017</v>
      </c>
      <c r="I5" s="495" t="s">
        <v>248</v>
      </c>
      <c r="J5" s="496" t="s">
        <v>2</v>
      </c>
      <c r="K5" s="493">
        <v>2015</v>
      </c>
      <c r="L5" s="494"/>
      <c r="M5" s="494"/>
      <c r="N5" s="494">
        <v>2016</v>
      </c>
      <c r="O5" s="494"/>
      <c r="P5" s="494"/>
      <c r="Q5" s="494">
        <v>2017</v>
      </c>
      <c r="R5" s="495" t="s">
        <v>248</v>
      </c>
      <c r="S5" s="496" t="s">
        <v>2</v>
      </c>
      <c r="T5" s="493">
        <v>2015</v>
      </c>
      <c r="U5" s="494"/>
      <c r="V5" s="494"/>
      <c r="W5" s="494">
        <v>2016</v>
      </c>
      <c r="X5" s="494"/>
      <c r="Y5" s="494"/>
      <c r="Z5" s="494">
        <v>2017</v>
      </c>
      <c r="AA5" s="495" t="s">
        <v>248</v>
      </c>
      <c r="AB5" s="496" t="s">
        <v>2</v>
      </c>
    </row>
    <row r="6" spans="1:28" ht="14.4" customHeight="1" x14ac:dyDescent="0.3">
      <c r="A6" s="497" t="s">
        <v>574</v>
      </c>
      <c r="B6" s="498">
        <v>2595450</v>
      </c>
      <c r="C6" s="499">
        <v>1</v>
      </c>
      <c r="D6" s="499">
        <v>1.11029831687425</v>
      </c>
      <c r="E6" s="498">
        <v>2337615</v>
      </c>
      <c r="F6" s="499">
        <v>0.90065884528694451</v>
      </c>
      <c r="G6" s="499">
        <v>1</v>
      </c>
      <c r="H6" s="498">
        <v>2807598</v>
      </c>
      <c r="I6" s="499">
        <v>1.0817384268623937</v>
      </c>
      <c r="J6" s="499">
        <v>1.2010523546435148</v>
      </c>
      <c r="K6" s="498"/>
      <c r="L6" s="499"/>
      <c r="M6" s="499"/>
      <c r="N6" s="498"/>
      <c r="O6" s="499"/>
      <c r="P6" s="499"/>
      <c r="Q6" s="498"/>
      <c r="R6" s="499"/>
      <c r="S6" s="499"/>
      <c r="T6" s="498"/>
      <c r="U6" s="499"/>
      <c r="V6" s="499"/>
      <c r="W6" s="498"/>
      <c r="X6" s="499"/>
      <c r="Y6" s="499"/>
      <c r="Z6" s="498"/>
      <c r="AA6" s="499"/>
      <c r="AB6" s="500"/>
    </row>
    <row r="7" spans="1:28" ht="14.4" customHeight="1" x14ac:dyDescent="0.3">
      <c r="A7" s="511" t="s">
        <v>575</v>
      </c>
      <c r="B7" s="501">
        <v>2595450</v>
      </c>
      <c r="C7" s="502">
        <v>1</v>
      </c>
      <c r="D7" s="502">
        <v>1.11029831687425</v>
      </c>
      <c r="E7" s="501">
        <v>2337615</v>
      </c>
      <c r="F7" s="502">
        <v>0.90065884528694451</v>
      </c>
      <c r="G7" s="502">
        <v>1</v>
      </c>
      <c r="H7" s="501">
        <v>2807598</v>
      </c>
      <c r="I7" s="502">
        <v>1.0817384268623937</v>
      </c>
      <c r="J7" s="502">
        <v>1.2010523546435148</v>
      </c>
      <c r="K7" s="501"/>
      <c r="L7" s="502"/>
      <c r="M7" s="502"/>
      <c r="N7" s="501"/>
      <c r="O7" s="502"/>
      <c r="P7" s="502"/>
      <c r="Q7" s="501"/>
      <c r="R7" s="502"/>
      <c r="S7" s="502"/>
      <c r="T7" s="501"/>
      <c r="U7" s="502"/>
      <c r="V7" s="502"/>
      <c r="W7" s="501"/>
      <c r="X7" s="502"/>
      <c r="Y7" s="502"/>
      <c r="Z7" s="501"/>
      <c r="AA7" s="502"/>
      <c r="AB7" s="503"/>
    </row>
    <row r="8" spans="1:28" ht="14.4" customHeight="1" x14ac:dyDescent="0.3">
      <c r="A8" s="504" t="s">
        <v>576</v>
      </c>
      <c r="B8" s="505">
        <v>670355</v>
      </c>
      <c r="C8" s="506">
        <v>1</v>
      </c>
      <c r="D8" s="506">
        <v>0.83929396416485025</v>
      </c>
      <c r="E8" s="505">
        <v>798713</v>
      </c>
      <c r="F8" s="506">
        <v>1.1914776499019177</v>
      </c>
      <c r="G8" s="506">
        <v>1</v>
      </c>
      <c r="H8" s="505">
        <v>1047314</v>
      </c>
      <c r="I8" s="506">
        <v>1.5623274235293241</v>
      </c>
      <c r="J8" s="506">
        <v>1.3112519766173831</v>
      </c>
      <c r="K8" s="505"/>
      <c r="L8" s="506"/>
      <c r="M8" s="506"/>
      <c r="N8" s="505"/>
      <c r="O8" s="506"/>
      <c r="P8" s="506"/>
      <c r="Q8" s="505"/>
      <c r="R8" s="506"/>
      <c r="S8" s="506"/>
      <c r="T8" s="505"/>
      <c r="U8" s="506"/>
      <c r="V8" s="506"/>
      <c r="W8" s="505"/>
      <c r="X8" s="506"/>
      <c r="Y8" s="506"/>
      <c r="Z8" s="505"/>
      <c r="AA8" s="506"/>
      <c r="AB8" s="507"/>
    </row>
    <row r="9" spans="1:28" ht="14.4" customHeight="1" thickBot="1" x14ac:dyDescent="0.35">
      <c r="A9" s="512" t="s">
        <v>577</v>
      </c>
      <c r="B9" s="508">
        <v>670355</v>
      </c>
      <c r="C9" s="509">
        <v>1</v>
      </c>
      <c r="D9" s="509">
        <v>0.83929396416485025</v>
      </c>
      <c r="E9" s="508">
        <v>798713</v>
      </c>
      <c r="F9" s="509">
        <v>1.1914776499019177</v>
      </c>
      <c r="G9" s="509">
        <v>1</v>
      </c>
      <c r="H9" s="508">
        <v>1047314</v>
      </c>
      <c r="I9" s="509">
        <v>1.5623274235293241</v>
      </c>
      <c r="J9" s="509">
        <v>1.3112519766173831</v>
      </c>
      <c r="K9" s="508"/>
      <c r="L9" s="509"/>
      <c r="M9" s="509"/>
      <c r="N9" s="508"/>
      <c r="O9" s="509"/>
      <c r="P9" s="509"/>
      <c r="Q9" s="508"/>
      <c r="R9" s="509"/>
      <c r="S9" s="509"/>
      <c r="T9" s="508"/>
      <c r="U9" s="509"/>
      <c r="V9" s="509"/>
      <c r="W9" s="508"/>
      <c r="X9" s="509"/>
      <c r="Y9" s="509"/>
      <c r="Z9" s="508"/>
      <c r="AA9" s="509"/>
      <c r="AB9" s="510"/>
    </row>
    <row r="10" spans="1:28" ht="14.4" customHeight="1" thickBot="1" x14ac:dyDescent="0.35"/>
    <row r="11" spans="1:28" ht="14.4" customHeight="1" x14ac:dyDescent="0.3">
      <c r="A11" s="497" t="s">
        <v>450</v>
      </c>
      <c r="B11" s="498">
        <v>3265805</v>
      </c>
      <c r="C11" s="499">
        <v>1</v>
      </c>
      <c r="D11" s="499">
        <v>1.0412829908096346</v>
      </c>
      <c r="E11" s="498">
        <v>3136328</v>
      </c>
      <c r="F11" s="499">
        <v>0.96035372595730606</v>
      </c>
      <c r="G11" s="499">
        <v>1</v>
      </c>
      <c r="H11" s="498">
        <v>3854912</v>
      </c>
      <c r="I11" s="499">
        <v>1.1803864590812985</v>
      </c>
      <c r="J11" s="500">
        <v>1.2291163424233691</v>
      </c>
    </row>
    <row r="12" spans="1:28" ht="14.4" customHeight="1" thickBot="1" x14ac:dyDescent="0.35">
      <c r="A12" s="512" t="s">
        <v>579</v>
      </c>
      <c r="B12" s="508">
        <v>3265805</v>
      </c>
      <c r="C12" s="509">
        <v>1</v>
      </c>
      <c r="D12" s="509">
        <v>1.0412829908096346</v>
      </c>
      <c r="E12" s="508">
        <v>3136328</v>
      </c>
      <c r="F12" s="509">
        <v>0.96035372595730606</v>
      </c>
      <c r="G12" s="509">
        <v>1</v>
      </c>
      <c r="H12" s="508">
        <v>3854912</v>
      </c>
      <c r="I12" s="509">
        <v>1.1803864590812985</v>
      </c>
      <c r="J12" s="510">
        <v>1.2291163424233691</v>
      </c>
    </row>
    <row r="13" spans="1:28" ht="14.4" customHeight="1" x14ac:dyDescent="0.3">
      <c r="A13" s="513" t="s">
        <v>580</v>
      </c>
    </row>
    <row r="14" spans="1:28" ht="14.4" customHeight="1" x14ac:dyDescent="0.3">
      <c r="A14" s="514" t="s">
        <v>581</v>
      </c>
    </row>
    <row r="15" spans="1:28" ht="14.4" customHeight="1" x14ac:dyDescent="0.3">
      <c r="A15" s="513" t="s">
        <v>582</v>
      </c>
    </row>
    <row r="16" spans="1:28" ht="14.4" customHeight="1" x14ac:dyDescent="0.3">
      <c r="A16" s="513" t="s">
        <v>583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4" bestFit="1" customWidth="1"/>
    <col min="2" max="2" width="7.77734375" style="180" hidden="1" customWidth="1" outlineLevel="1"/>
    <col min="3" max="3" width="7.77734375" style="180" customWidth="1" collapsed="1"/>
    <col min="4" max="4" width="7.77734375" style="180" customWidth="1"/>
    <col min="5" max="5" width="7.77734375" style="81" hidden="1" customWidth="1" outlineLevel="1"/>
    <col min="6" max="6" width="7.77734375" style="81" customWidth="1" collapsed="1"/>
    <col min="7" max="7" width="7.77734375" style="81" customWidth="1"/>
    <col min="8" max="16384" width="8.88671875" style="104"/>
  </cols>
  <sheetData>
    <row r="1" spans="1:7" ht="18.600000000000001" customHeight="1" thickBot="1" x14ac:dyDescent="0.4">
      <c r="A1" s="362" t="s">
        <v>584</v>
      </c>
      <c r="B1" s="314"/>
      <c r="C1" s="314"/>
      <c r="D1" s="314"/>
      <c r="E1" s="314"/>
      <c r="F1" s="314"/>
      <c r="G1" s="314"/>
    </row>
    <row r="2" spans="1:7" ht="14.4" customHeight="1" thickBot="1" x14ac:dyDescent="0.35">
      <c r="A2" s="203" t="s">
        <v>261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309" t="s">
        <v>112</v>
      </c>
      <c r="B3" s="284">
        <f t="shared" ref="B3:G3" si="0">SUBTOTAL(9,B6:B1048576)</f>
        <v>1567</v>
      </c>
      <c r="C3" s="285">
        <f t="shared" si="0"/>
        <v>1577</v>
      </c>
      <c r="D3" s="308">
        <f t="shared" si="0"/>
        <v>1965</v>
      </c>
      <c r="E3" s="192">
        <f t="shared" si="0"/>
        <v>3265805</v>
      </c>
      <c r="F3" s="190">
        <f t="shared" si="0"/>
        <v>3136328</v>
      </c>
      <c r="G3" s="286">
        <f t="shared" si="0"/>
        <v>3854912</v>
      </c>
    </row>
    <row r="4" spans="1:7" ht="14.4" customHeight="1" x14ac:dyDescent="0.3">
      <c r="A4" s="363" t="s">
        <v>113</v>
      </c>
      <c r="B4" s="368" t="s">
        <v>213</v>
      </c>
      <c r="C4" s="366"/>
      <c r="D4" s="369"/>
      <c r="E4" s="368" t="s">
        <v>85</v>
      </c>
      <c r="F4" s="366"/>
      <c r="G4" s="369"/>
    </row>
    <row r="5" spans="1:7" ht="14.4" customHeight="1" thickBot="1" x14ac:dyDescent="0.35">
      <c r="A5" s="492"/>
      <c r="B5" s="493">
        <v>2015</v>
      </c>
      <c r="C5" s="494">
        <v>2016</v>
      </c>
      <c r="D5" s="515">
        <v>2017</v>
      </c>
      <c r="E5" s="493">
        <v>2015</v>
      </c>
      <c r="F5" s="494">
        <v>2016</v>
      </c>
      <c r="G5" s="515">
        <v>2017</v>
      </c>
    </row>
    <row r="6" spans="1:7" ht="14.4" customHeight="1" thickBot="1" x14ac:dyDescent="0.35">
      <c r="A6" s="519" t="s">
        <v>579</v>
      </c>
      <c r="B6" s="516">
        <v>1567</v>
      </c>
      <c r="C6" s="516">
        <v>1577</v>
      </c>
      <c r="D6" s="516">
        <v>1965</v>
      </c>
      <c r="E6" s="517">
        <v>3265805</v>
      </c>
      <c r="F6" s="517">
        <v>3136328</v>
      </c>
      <c r="G6" s="518">
        <v>3854912</v>
      </c>
    </row>
    <row r="7" spans="1:7" ht="14.4" customHeight="1" x14ac:dyDescent="0.3">
      <c r="A7" s="513" t="s">
        <v>580</v>
      </c>
    </row>
    <row r="8" spans="1:7" ht="14.4" customHeight="1" x14ac:dyDescent="0.3">
      <c r="A8" s="514" t="s">
        <v>581</v>
      </c>
    </row>
    <row r="9" spans="1:7" ht="14.4" customHeight="1" x14ac:dyDescent="0.3">
      <c r="A9" s="513" t="s">
        <v>582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31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.109375" style="104" bestFit="1" customWidth="1"/>
    <col min="5" max="5" width="8" style="104" customWidth="1"/>
    <col min="6" max="6" width="50.88671875" style="104" bestFit="1" customWidth="1" collapsed="1"/>
    <col min="7" max="8" width="11.109375" style="180" hidden="1" customWidth="1" outlineLevel="1"/>
    <col min="9" max="10" width="9.33203125" style="104" hidden="1" customWidth="1"/>
    <col min="11" max="12" width="11.109375" style="180" customWidth="1"/>
    <col min="13" max="14" width="9.33203125" style="104" hidden="1" customWidth="1"/>
    <col min="15" max="16" width="11.109375" style="180" customWidth="1"/>
    <col min="17" max="17" width="11.109375" style="183" customWidth="1"/>
    <col min="18" max="18" width="11.109375" style="180" customWidth="1"/>
    <col min="19" max="16384" width="8.88671875" style="104"/>
  </cols>
  <sheetData>
    <row r="1" spans="1:18" ht="18.600000000000001" customHeight="1" thickBot="1" x14ac:dyDescent="0.4">
      <c r="A1" s="314" t="s">
        <v>637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</row>
    <row r="2" spans="1:18" ht="14.4" customHeight="1" thickBot="1" x14ac:dyDescent="0.35">
      <c r="A2" s="203" t="s">
        <v>261</v>
      </c>
      <c r="B2" s="170"/>
      <c r="C2" s="170"/>
      <c r="D2" s="86"/>
      <c r="E2" s="86"/>
      <c r="F2" s="86"/>
      <c r="G2" s="198"/>
      <c r="H2" s="198"/>
      <c r="I2" s="86"/>
      <c r="J2" s="86"/>
      <c r="K2" s="198"/>
      <c r="L2" s="198"/>
      <c r="M2" s="86"/>
      <c r="N2" s="86"/>
      <c r="O2" s="198"/>
      <c r="P2" s="198"/>
      <c r="Q2" s="195"/>
      <c r="R2" s="198"/>
    </row>
    <row r="3" spans="1:18" ht="14.4" customHeight="1" thickBot="1" x14ac:dyDescent="0.35">
      <c r="F3" s="63" t="s">
        <v>112</v>
      </c>
      <c r="G3" s="77">
        <f t="shared" ref="G3:P3" si="0">SUBTOTAL(9,G6:G1048576)</f>
        <v>1567</v>
      </c>
      <c r="H3" s="78">
        <f t="shared" si="0"/>
        <v>3265805</v>
      </c>
      <c r="I3" s="58"/>
      <c r="J3" s="58"/>
      <c r="K3" s="78">
        <f t="shared" si="0"/>
        <v>1577</v>
      </c>
      <c r="L3" s="78">
        <f t="shared" si="0"/>
        <v>3136328</v>
      </c>
      <c r="M3" s="58"/>
      <c r="N3" s="58"/>
      <c r="O3" s="78">
        <f t="shared" si="0"/>
        <v>1965</v>
      </c>
      <c r="P3" s="78">
        <f t="shared" si="0"/>
        <v>3854912</v>
      </c>
      <c r="Q3" s="59">
        <f>IF(L3=0,0,P3/L3)</f>
        <v>1.2291163424233691</v>
      </c>
      <c r="R3" s="79">
        <f>IF(O3=0,0,P3/O3)</f>
        <v>1961.7872773536897</v>
      </c>
    </row>
    <row r="4" spans="1:18" ht="14.4" customHeight="1" x14ac:dyDescent="0.3">
      <c r="A4" s="370" t="s">
        <v>249</v>
      </c>
      <c r="B4" s="370" t="s">
        <v>81</v>
      </c>
      <c r="C4" s="378" t="s">
        <v>0</v>
      </c>
      <c r="D4" s="372" t="s">
        <v>82</v>
      </c>
      <c r="E4" s="377" t="s">
        <v>57</v>
      </c>
      <c r="F4" s="373" t="s">
        <v>56</v>
      </c>
      <c r="G4" s="374">
        <v>2015</v>
      </c>
      <c r="H4" s="375"/>
      <c r="I4" s="76"/>
      <c r="J4" s="76"/>
      <c r="K4" s="374">
        <v>2016</v>
      </c>
      <c r="L4" s="375"/>
      <c r="M4" s="76"/>
      <c r="N4" s="76"/>
      <c r="O4" s="374">
        <v>2017</v>
      </c>
      <c r="P4" s="375"/>
      <c r="Q4" s="376" t="s">
        <v>2</v>
      </c>
      <c r="R4" s="371" t="s">
        <v>84</v>
      </c>
    </row>
    <row r="5" spans="1:18" ht="14.4" customHeight="1" thickBot="1" x14ac:dyDescent="0.35">
      <c r="A5" s="520"/>
      <c r="B5" s="520"/>
      <c r="C5" s="521"/>
      <c r="D5" s="522"/>
      <c r="E5" s="523"/>
      <c r="F5" s="524"/>
      <c r="G5" s="525" t="s">
        <v>58</v>
      </c>
      <c r="H5" s="526" t="s">
        <v>14</v>
      </c>
      <c r="I5" s="527"/>
      <c r="J5" s="527"/>
      <c r="K5" s="525" t="s">
        <v>58</v>
      </c>
      <c r="L5" s="526" t="s">
        <v>14</v>
      </c>
      <c r="M5" s="527"/>
      <c r="N5" s="527"/>
      <c r="O5" s="525" t="s">
        <v>58</v>
      </c>
      <c r="P5" s="526" t="s">
        <v>14</v>
      </c>
      <c r="Q5" s="528"/>
      <c r="R5" s="529"/>
    </row>
    <row r="6" spans="1:18" ht="14.4" customHeight="1" x14ac:dyDescent="0.3">
      <c r="A6" s="422" t="s">
        <v>585</v>
      </c>
      <c r="B6" s="423" t="s">
        <v>586</v>
      </c>
      <c r="C6" s="423" t="s">
        <v>450</v>
      </c>
      <c r="D6" s="423" t="s">
        <v>587</v>
      </c>
      <c r="E6" s="423" t="s">
        <v>588</v>
      </c>
      <c r="F6" s="423" t="s">
        <v>589</v>
      </c>
      <c r="G6" s="426">
        <v>242</v>
      </c>
      <c r="H6" s="426">
        <v>2595450</v>
      </c>
      <c r="I6" s="423">
        <v>1.11029831687425</v>
      </c>
      <c r="J6" s="423">
        <v>10725</v>
      </c>
      <c r="K6" s="426">
        <v>205</v>
      </c>
      <c r="L6" s="426">
        <v>2337615</v>
      </c>
      <c r="M6" s="423">
        <v>1</v>
      </c>
      <c r="N6" s="423">
        <v>11403</v>
      </c>
      <c r="O6" s="426">
        <v>246</v>
      </c>
      <c r="P6" s="426">
        <v>2807598</v>
      </c>
      <c r="Q6" s="447">
        <v>1.2010523546435148</v>
      </c>
      <c r="R6" s="427">
        <v>11413</v>
      </c>
    </row>
    <row r="7" spans="1:18" ht="14.4" customHeight="1" x14ac:dyDescent="0.3">
      <c r="A7" s="428" t="s">
        <v>585</v>
      </c>
      <c r="B7" s="429" t="s">
        <v>590</v>
      </c>
      <c r="C7" s="429" t="s">
        <v>450</v>
      </c>
      <c r="D7" s="429" t="s">
        <v>587</v>
      </c>
      <c r="E7" s="429" t="s">
        <v>591</v>
      </c>
      <c r="F7" s="429" t="s">
        <v>592</v>
      </c>
      <c r="G7" s="432">
        <v>3</v>
      </c>
      <c r="H7" s="432">
        <v>384</v>
      </c>
      <c r="I7" s="429">
        <v>0.94117647058823528</v>
      </c>
      <c r="J7" s="429">
        <v>128</v>
      </c>
      <c r="K7" s="432">
        <v>3</v>
      </c>
      <c r="L7" s="432">
        <v>408</v>
      </c>
      <c r="M7" s="429">
        <v>1</v>
      </c>
      <c r="N7" s="429">
        <v>136</v>
      </c>
      <c r="O7" s="432"/>
      <c r="P7" s="432"/>
      <c r="Q7" s="530"/>
      <c r="R7" s="433"/>
    </row>
    <row r="8" spans="1:18" ht="14.4" customHeight="1" x14ac:dyDescent="0.3">
      <c r="A8" s="428" t="s">
        <v>585</v>
      </c>
      <c r="B8" s="429" t="s">
        <v>590</v>
      </c>
      <c r="C8" s="429" t="s">
        <v>450</v>
      </c>
      <c r="D8" s="429" t="s">
        <v>587</v>
      </c>
      <c r="E8" s="429" t="s">
        <v>593</v>
      </c>
      <c r="F8" s="429" t="s">
        <v>594</v>
      </c>
      <c r="G8" s="432">
        <v>3</v>
      </c>
      <c r="H8" s="432">
        <v>3684</v>
      </c>
      <c r="I8" s="429"/>
      <c r="J8" s="429">
        <v>1228</v>
      </c>
      <c r="K8" s="432"/>
      <c r="L8" s="432"/>
      <c r="M8" s="429"/>
      <c r="N8" s="429"/>
      <c r="O8" s="432">
        <v>3</v>
      </c>
      <c r="P8" s="432">
        <v>3786</v>
      </c>
      <c r="Q8" s="530"/>
      <c r="R8" s="433">
        <v>1262</v>
      </c>
    </row>
    <row r="9" spans="1:18" ht="14.4" customHeight="1" x14ac:dyDescent="0.3">
      <c r="A9" s="428" t="s">
        <v>585</v>
      </c>
      <c r="B9" s="429" t="s">
        <v>590</v>
      </c>
      <c r="C9" s="429" t="s">
        <v>450</v>
      </c>
      <c r="D9" s="429" t="s">
        <v>587</v>
      </c>
      <c r="E9" s="429" t="s">
        <v>595</v>
      </c>
      <c r="F9" s="429" t="s">
        <v>596</v>
      </c>
      <c r="G9" s="432">
        <v>10</v>
      </c>
      <c r="H9" s="432">
        <v>22360</v>
      </c>
      <c r="I9" s="429">
        <v>0.79697747362418025</v>
      </c>
      <c r="J9" s="429">
        <v>2236</v>
      </c>
      <c r="K9" s="432">
        <v>12</v>
      </c>
      <c r="L9" s="432">
        <v>28056</v>
      </c>
      <c r="M9" s="429">
        <v>1</v>
      </c>
      <c r="N9" s="429">
        <v>2338</v>
      </c>
      <c r="O9" s="432">
        <v>7</v>
      </c>
      <c r="P9" s="432">
        <v>16380</v>
      </c>
      <c r="Q9" s="530">
        <v>0.58383233532934131</v>
      </c>
      <c r="R9" s="433">
        <v>2340</v>
      </c>
    </row>
    <row r="10" spans="1:18" ht="14.4" customHeight="1" x14ac:dyDescent="0.3">
      <c r="A10" s="428" t="s">
        <v>585</v>
      </c>
      <c r="B10" s="429" t="s">
        <v>590</v>
      </c>
      <c r="C10" s="429" t="s">
        <v>450</v>
      </c>
      <c r="D10" s="429" t="s">
        <v>587</v>
      </c>
      <c r="E10" s="429" t="s">
        <v>597</v>
      </c>
      <c r="F10" s="429" t="s">
        <v>598</v>
      </c>
      <c r="G10" s="432">
        <v>3</v>
      </c>
      <c r="H10" s="432">
        <v>3129</v>
      </c>
      <c r="I10" s="429">
        <v>1.4526462395543176</v>
      </c>
      <c r="J10" s="429">
        <v>1043</v>
      </c>
      <c r="K10" s="432">
        <v>2</v>
      </c>
      <c r="L10" s="432">
        <v>2154</v>
      </c>
      <c r="M10" s="429">
        <v>1</v>
      </c>
      <c r="N10" s="429">
        <v>1077</v>
      </c>
      <c r="O10" s="432">
        <v>4</v>
      </c>
      <c r="P10" s="432">
        <v>4308</v>
      </c>
      <c r="Q10" s="530">
        <v>2</v>
      </c>
      <c r="R10" s="433">
        <v>1077</v>
      </c>
    </row>
    <row r="11" spans="1:18" ht="14.4" customHeight="1" x14ac:dyDescent="0.3">
      <c r="A11" s="428" t="s">
        <v>585</v>
      </c>
      <c r="B11" s="429" t="s">
        <v>590</v>
      </c>
      <c r="C11" s="429" t="s">
        <v>450</v>
      </c>
      <c r="D11" s="429" t="s">
        <v>587</v>
      </c>
      <c r="E11" s="429" t="s">
        <v>599</v>
      </c>
      <c r="F11" s="429" t="s">
        <v>600</v>
      </c>
      <c r="G11" s="432">
        <v>13</v>
      </c>
      <c r="H11" s="432">
        <v>48373</v>
      </c>
      <c r="I11" s="429">
        <v>0.74430305734640179</v>
      </c>
      <c r="J11" s="429">
        <v>3721</v>
      </c>
      <c r="K11" s="432">
        <v>17</v>
      </c>
      <c r="L11" s="432">
        <v>64991</v>
      </c>
      <c r="M11" s="429">
        <v>1</v>
      </c>
      <c r="N11" s="429">
        <v>3823</v>
      </c>
      <c r="O11" s="432">
        <v>14</v>
      </c>
      <c r="P11" s="432">
        <v>53550</v>
      </c>
      <c r="Q11" s="530">
        <v>0.82396024064870521</v>
      </c>
      <c r="R11" s="433">
        <v>3825</v>
      </c>
    </row>
    <row r="12" spans="1:18" ht="14.4" customHeight="1" x14ac:dyDescent="0.3">
      <c r="A12" s="428" t="s">
        <v>585</v>
      </c>
      <c r="B12" s="429" t="s">
        <v>590</v>
      </c>
      <c r="C12" s="429" t="s">
        <v>450</v>
      </c>
      <c r="D12" s="429" t="s">
        <v>587</v>
      </c>
      <c r="E12" s="429" t="s">
        <v>601</v>
      </c>
      <c r="F12" s="429" t="s">
        <v>602</v>
      </c>
      <c r="G12" s="432">
        <v>301</v>
      </c>
      <c r="H12" s="432">
        <v>132139</v>
      </c>
      <c r="I12" s="429">
        <v>1.2021926033753354</v>
      </c>
      <c r="J12" s="429">
        <v>439</v>
      </c>
      <c r="K12" s="432">
        <v>247</v>
      </c>
      <c r="L12" s="432">
        <v>109915</v>
      </c>
      <c r="M12" s="429">
        <v>1</v>
      </c>
      <c r="N12" s="429">
        <v>445</v>
      </c>
      <c r="O12" s="432">
        <v>305</v>
      </c>
      <c r="P12" s="432">
        <v>135725</v>
      </c>
      <c r="Q12" s="530">
        <v>1.2348178137651822</v>
      </c>
      <c r="R12" s="433">
        <v>445</v>
      </c>
    </row>
    <row r="13" spans="1:18" ht="14.4" customHeight="1" x14ac:dyDescent="0.3">
      <c r="A13" s="428" t="s">
        <v>585</v>
      </c>
      <c r="B13" s="429" t="s">
        <v>590</v>
      </c>
      <c r="C13" s="429" t="s">
        <v>450</v>
      </c>
      <c r="D13" s="429" t="s">
        <v>587</v>
      </c>
      <c r="E13" s="429" t="s">
        <v>603</v>
      </c>
      <c r="F13" s="429" t="s">
        <v>604</v>
      </c>
      <c r="G13" s="432">
        <v>26</v>
      </c>
      <c r="H13" s="432">
        <v>21736</v>
      </c>
      <c r="I13" s="429">
        <v>0.68869807674028072</v>
      </c>
      <c r="J13" s="429">
        <v>836</v>
      </c>
      <c r="K13" s="432">
        <v>37</v>
      </c>
      <c r="L13" s="432">
        <v>31561</v>
      </c>
      <c r="M13" s="429">
        <v>1</v>
      </c>
      <c r="N13" s="429">
        <v>853</v>
      </c>
      <c r="O13" s="432">
        <v>48</v>
      </c>
      <c r="P13" s="432">
        <v>40992</v>
      </c>
      <c r="Q13" s="530">
        <v>1.2988181616552075</v>
      </c>
      <c r="R13" s="433">
        <v>854</v>
      </c>
    </row>
    <row r="14" spans="1:18" ht="14.4" customHeight="1" x14ac:dyDescent="0.3">
      <c r="A14" s="428" t="s">
        <v>585</v>
      </c>
      <c r="B14" s="429" t="s">
        <v>590</v>
      </c>
      <c r="C14" s="429" t="s">
        <v>450</v>
      </c>
      <c r="D14" s="429" t="s">
        <v>587</v>
      </c>
      <c r="E14" s="429" t="s">
        <v>605</v>
      </c>
      <c r="F14" s="429" t="s">
        <v>606</v>
      </c>
      <c r="G14" s="432">
        <v>14</v>
      </c>
      <c r="H14" s="432">
        <v>22694</v>
      </c>
      <c r="I14" s="429">
        <v>0.72170456352361267</v>
      </c>
      <c r="J14" s="429">
        <v>1621</v>
      </c>
      <c r="K14" s="432">
        <v>19</v>
      </c>
      <c r="L14" s="432">
        <v>31445</v>
      </c>
      <c r="M14" s="429">
        <v>1</v>
      </c>
      <c r="N14" s="429">
        <v>1655</v>
      </c>
      <c r="O14" s="432">
        <v>29</v>
      </c>
      <c r="P14" s="432">
        <v>47995</v>
      </c>
      <c r="Q14" s="530">
        <v>1.5263157894736843</v>
      </c>
      <c r="R14" s="433">
        <v>1655</v>
      </c>
    </row>
    <row r="15" spans="1:18" ht="14.4" customHeight="1" x14ac:dyDescent="0.3">
      <c r="A15" s="428" t="s">
        <v>585</v>
      </c>
      <c r="B15" s="429" t="s">
        <v>590</v>
      </c>
      <c r="C15" s="429" t="s">
        <v>450</v>
      </c>
      <c r="D15" s="429" t="s">
        <v>587</v>
      </c>
      <c r="E15" s="429" t="s">
        <v>607</v>
      </c>
      <c r="F15" s="429" t="s">
        <v>608</v>
      </c>
      <c r="G15" s="432">
        <v>5</v>
      </c>
      <c r="H15" s="432">
        <v>4115</v>
      </c>
      <c r="I15" s="429">
        <v>0.61235119047619047</v>
      </c>
      <c r="J15" s="429">
        <v>823</v>
      </c>
      <c r="K15" s="432">
        <v>8</v>
      </c>
      <c r="L15" s="432">
        <v>6720</v>
      </c>
      <c r="M15" s="429">
        <v>1</v>
      </c>
      <c r="N15" s="429">
        <v>840</v>
      </c>
      <c r="O15" s="432">
        <v>1</v>
      </c>
      <c r="P15" s="432">
        <v>841</v>
      </c>
      <c r="Q15" s="530">
        <v>0.12514880952380952</v>
      </c>
      <c r="R15" s="433">
        <v>841</v>
      </c>
    </row>
    <row r="16" spans="1:18" ht="14.4" customHeight="1" x14ac:dyDescent="0.3">
      <c r="A16" s="428" t="s">
        <v>585</v>
      </c>
      <c r="B16" s="429" t="s">
        <v>590</v>
      </c>
      <c r="C16" s="429" t="s">
        <v>450</v>
      </c>
      <c r="D16" s="429" t="s">
        <v>587</v>
      </c>
      <c r="E16" s="429" t="s">
        <v>609</v>
      </c>
      <c r="F16" s="429" t="s">
        <v>610</v>
      </c>
      <c r="G16" s="432">
        <v>33</v>
      </c>
      <c r="H16" s="432">
        <v>48213</v>
      </c>
      <c r="I16" s="429">
        <v>3.9570748522652659</v>
      </c>
      <c r="J16" s="429">
        <v>1461</v>
      </c>
      <c r="K16" s="432">
        <v>8</v>
      </c>
      <c r="L16" s="432">
        <v>12184</v>
      </c>
      <c r="M16" s="429">
        <v>1</v>
      </c>
      <c r="N16" s="429">
        <v>1523</v>
      </c>
      <c r="O16" s="432"/>
      <c r="P16" s="432"/>
      <c r="Q16" s="530"/>
      <c r="R16" s="433"/>
    </row>
    <row r="17" spans="1:18" ht="14.4" customHeight="1" x14ac:dyDescent="0.3">
      <c r="A17" s="428" t="s">
        <v>585</v>
      </c>
      <c r="B17" s="429" t="s">
        <v>590</v>
      </c>
      <c r="C17" s="429" t="s">
        <v>450</v>
      </c>
      <c r="D17" s="429" t="s">
        <v>587</v>
      </c>
      <c r="E17" s="429" t="s">
        <v>611</v>
      </c>
      <c r="F17" s="429" t="s">
        <v>612</v>
      </c>
      <c r="G17" s="432">
        <v>20</v>
      </c>
      <c r="H17" s="432">
        <v>320</v>
      </c>
      <c r="I17" s="429">
        <v>0.85561497326203206</v>
      </c>
      <c r="J17" s="429">
        <v>16</v>
      </c>
      <c r="K17" s="432">
        <v>22</v>
      </c>
      <c r="L17" s="432">
        <v>374</v>
      </c>
      <c r="M17" s="429">
        <v>1</v>
      </c>
      <c r="N17" s="429">
        <v>17</v>
      </c>
      <c r="O17" s="432">
        <v>31</v>
      </c>
      <c r="P17" s="432">
        <v>527</v>
      </c>
      <c r="Q17" s="530">
        <v>1.4090909090909092</v>
      </c>
      <c r="R17" s="433">
        <v>17</v>
      </c>
    </row>
    <row r="18" spans="1:18" ht="14.4" customHeight="1" x14ac:dyDescent="0.3">
      <c r="A18" s="428" t="s">
        <v>585</v>
      </c>
      <c r="B18" s="429" t="s">
        <v>590</v>
      </c>
      <c r="C18" s="429" t="s">
        <v>450</v>
      </c>
      <c r="D18" s="429" t="s">
        <v>587</v>
      </c>
      <c r="E18" s="429" t="s">
        <v>613</v>
      </c>
      <c r="F18" s="429" t="s">
        <v>602</v>
      </c>
      <c r="G18" s="432">
        <v>26</v>
      </c>
      <c r="H18" s="432">
        <v>18096</v>
      </c>
      <c r="I18" s="429">
        <v>0.70998116760828622</v>
      </c>
      <c r="J18" s="429">
        <v>696</v>
      </c>
      <c r="K18" s="432">
        <v>36</v>
      </c>
      <c r="L18" s="432">
        <v>25488</v>
      </c>
      <c r="M18" s="429">
        <v>1</v>
      </c>
      <c r="N18" s="429">
        <v>708</v>
      </c>
      <c r="O18" s="432">
        <v>47</v>
      </c>
      <c r="P18" s="432">
        <v>33276</v>
      </c>
      <c r="Q18" s="530">
        <v>1.3055555555555556</v>
      </c>
      <c r="R18" s="433">
        <v>708</v>
      </c>
    </row>
    <row r="19" spans="1:18" ht="14.4" customHeight="1" x14ac:dyDescent="0.3">
      <c r="A19" s="428" t="s">
        <v>585</v>
      </c>
      <c r="B19" s="429" t="s">
        <v>590</v>
      </c>
      <c r="C19" s="429" t="s">
        <v>450</v>
      </c>
      <c r="D19" s="429" t="s">
        <v>587</v>
      </c>
      <c r="E19" s="429" t="s">
        <v>614</v>
      </c>
      <c r="F19" s="429" t="s">
        <v>604</v>
      </c>
      <c r="G19" s="432">
        <v>17</v>
      </c>
      <c r="H19" s="432">
        <v>23579</v>
      </c>
      <c r="I19" s="429">
        <v>0.51240872739916554</v>
      </c>
      <c r="J19" s="429">
        <v>1387</v>
      </c>
      <c r="K19" s="432">
        <v>32</v>
      </c>
      <c r="L19" s="432">
        <v>46016</v>
      </c>
      <c r="M19" s="429">
        <v>1</v>
      </c>
      <c r="N19" s="429">
        <v>1438</v>
      </c>
      <c r="O19" s="432">
        <v>27</v>
      </c>
      <c r="P19" s="432">
        <v>38853</v>
      </c>
      <c r="Q19" s="530">
        <v>0.84433675243393602</v>
      </c>
      <c r="R19" s="433">
        <v>1439</v>
      </c>
    </row>
    <row r="20" spans="1:18" ht="14.4" customHeight="1" x14ac:dyDescent="0.3">
      <c r="A20" s="428" t="s">
        <v>585</v>
      </c>
      <c r="B20" s="429" t="s">
        <v>590</v>
      </c>
      <c r="C20" s="429" t="s">
        <v>450</v>
      </c>
      <c r="D20" s="429" t="s">
        <v>587</v>
      </c>
      <c r="E20" s="429" t="s">
        <v>615</v>
      </c>
      <c r="F20" s="429" t="s">
        <v>616</v>
      </c>
      <c r="G20" s="432">
        <v>12</v>
      </c>
      <c r="H20" s="432">
        <v>28092</v>
      </c>
      <c r="I20" s="429">
        <v>0.57636438243742305</v>
      </c>
      <c r="J20" s="429">
        <v>2341</v>
      </c>
      <c r="K20" s="432">
        <v>20</v>
      </c>
      <c r="L20" s="432">
        <v>48740</v>
      </c>
      <c r="M20" s="429">
        <v>1</v>
      </c>
      <c r="N20" s="429">
        <v>2437</v>
      </c>
      <c r="O20" s="432">
        <v>25</v>
      </c>
      <c r="P20" s="432">
        <v>60950</v>
      </c>
      <c r="Q20" s="530">
        <v>1.2505129257283545</v>
      </c>
      <c r="R20" s="433">
        <v>2438</v>
      </c>
    </row>
    <row r="21" spans="1:18" ht="14.4" customHeight="1" x14ac:dyDescent="0.3">
      <c r="A21" s="428" t="s">
        <v>585</v>
      </c>
      <c r="B21" s="429" t="s">
        <v>590</v>
      </c>
      <c r="C21" s="429" t="s">
        <v>450</v>
      </c>
      <c r="D21" s="429" t="s">
        <v>587</v>
      </c>
      <c r="E21" s="429" t="s">
        <v>617</v>
      </c>
      <c r="F21" s="429" t="s">
        <v>618</v>
      </c>
      <c r="G21" s="432">
        <v>327</v>
      </c>
      <c r="H21" s="432">
        <v>21582</v>
      </c>
      <c r="I21" s="429">
        <v>1.1013472137170852</v>
      </c>
      <c r="J21" s="429">
        <v>66</v>
      </c>
      <c r="K21" s="432">
        <v>284</v>
      </c>
      <c r="L21" s="432">
        <v>19596</v>
      </c>
      <c r="M21" s="429">
        <v>1</v>
      </c>
      <c r="N21" s="429">
        <v>69</v>
      </c>
      <c r="O21" s="432">
        <v>354</v>
      </c>
      <c r="P21" s="432">
        <v>24426</v>
      </c>
      <c r="Q21" s="530">
        <v>1.2464788732394365</v>
      </c>
      <c r="R21" s="433">
        <v>69</v>
      </c>
    </row>
    <row r="22" spans="1:18" ht="14.4" customHeight="1" x14ac:dyDescent="0.3">
      <c r="A22" s="428" t="s">
        <v>585</v>
      </c>
      <c r="B22" s="429" t="s">
        <v>590</v>
      </c>
      <c r="C22" s="429" t="s">
        <v>450</v>
      </c>
      <c r="D22" s="429" t="s">
        <v>587</v>
      </c>
      <c r="E22" s="429" t="s">
        <v>619</v>
      </c>
      <c r="F22" s="429" t="s">
        <v>620</v>
      </c>
      <c r="G22" s="432">
        <v>33</v>
      </c>
      <c r="H22" s="432">
        <v>13233</v>
      </c>
      <c r="I22" s="429">
        <v>4.0641891891891895</v>
      </c>
      <c r="J22" s="429">
        <v>401</v>
      </c>
      <c r="K22" s="432">
        <v>8</v>
      </c>
      <c r="L22" s="432">
        <v>3256</v>
      </c>
      <c r="M22" s="429">
        <v>1</v>
      </c>
      <c r="N22" s="429">
        <v>407</v>
      </c>
      <c r="O22" s="432"/>
      <c r="P22" s="432"/>
      <c r="Q22" s="530"/>
      <c r="R22" s="433"/>
    </row>
    <row r="23" spans="1:18" ht="14.4" customHeight="1" x14ac:dyDescent="0.3">
      <c r="A23" s="428" t="s">
        <v>585</v>
      </c>
      <c r="B23" s="429" t="s">
        <v>590</v>
      </c>
      <c r="C23" s="429" t="s">
        <v>450</v>
      </c>
      <c r="D23" s="429" t="s">
        <v>587</v>
      </c>
      <c r="E23" s="429" t="s">
        <v>621</v>
      </c>
      <c r="F23" s="429" t="s">
        <v>622</v>
      </c>
      <c r="G23" s="432">
        <v>24</v>
      </c>
      <c r="H23" s="432">
        <v>38712</v>
      </c>
      <c r="I23" s="429">
        <v>1.1078296703296704</v>
      </c>
      <c r="J23" s="429">
        <v>1613</v>
      </c>
      <c r="K23" s="432">
        <v>21</v>
      </c>
      <c r="L23" s="432">
        <v>34944</v>
      </c>
      <c r="M23" s="429">
        <v>1</v>
      </c>
      <c r="N23" s="429">
        <v>1664</v>
      </c>
      <c r="O23" s="432">
        <v>36</v>
      </c>
      <c r="P23" s="432">
        <v>59940</v>
      </c>
      <c r="Q23" s="530">
        <v>1.7153159340659341</v>
      </c>
      <c r="R23" s="433">
        <v>1665</v>
      </c>
    </row>
    <row r="24" spans="1:18" ht="14.4" customHeight="1" x14ac:dyDescent="0.3">
      <c r="A24" s="428" t="s">
        <v>585</v>
      </c>
      <c r="B24" s="429" t="s">
        <v>590</v>
      </c>
      <c r="C24" s="429" t="s">
        <v>450</v>
      </c>
      <c r="D24" s="429" t="s">
        <v>587</v>
      </c>
      <c r="E24" s="429" t="s">
        <v>623</v>
      </c>
      <c r="F24" s="429" t="s">
        <v>624</v>
      </c>
      <c r="G24" s="432">
        <v>63</v>
      </c>
      <c r="H24" s="432">
        <v>34776</v>
      </c>
      <c r="I24" s="429">
        <v>0.54473684210526319</v>
      </c>
      <c r="J24" s="429">
        <v>552</v>
      </c>
      <c r="K24" s="432">
        <v>114</v>
      </c>
      <c r="L24" s="432">
        <v>63840</v>
      </c>
      <c r="M24" s="429">
        <v>1</v>
      </c>
      <c r="N24" s="429">
        <v>560</v>
      </c>
      <c r="O24" s="432">
        <v>139</v>
      </c>
      <c r="P24" s="432">
        <v>77840</v>
      </c>
      <c r="Q24" s="530">
        <v>1.2192982456140351</v>
      </c>
      <c r="R24" s="433">
        <v>560</v>
      </c>
    </row>
    <row r="25" spans="1:18" ht="14.4" customHeight="1" x14ac:dyDescent="0.3">
      <c r="A25" s="428" t="s">
        <v>585</v>
      </c>
      <c r="B25" s="429" t="s">
        <v>590</v>
      </c>
      <c r="C25" s="429" t="s">
        <v>450</v>
      </c>
      <c r="D25" s="429" t="s">
        <v>587</v>
      </c>
      <c r="E25" s="429" t="s">
        <v>625</v>
      </c>
      <c r="F25" s="429" t="s">
        <v>626</v>
      </c>
      <c r="G25" s="432">
        <v>97</v>
      </c>
      <c r="H25" s="432">
        <v>3492</v>
      </c>
      <c r="I25" s="429">
        <v>1.1509558338826631</v>
      </c>
      <c r="J25" s="429">
        <v>36</v>
      </c>
      <c r="K25" s="432">
        <v>82</v>
      </c>
      <c r="L25" s="432">
        <v>3034</v>
      </c>
      <c r="M25" s="429">
        <v>1</v>
      </c>
      <c r="N25" s="429">
        <v>37</v>
      </c>
      <c r="O25" s="432">
        <v>91</v>
      </c>
      <c r="P25" s="432">
        <v>3367</v>
      </c>
      <c r="Q25" s="530">
        <v>1.1097560975609757</v>
      </c>
      <c r="R25" s="433">
        <v>37</v>
      </c>
    </row>
    <row r="26" spans="1:18" ht="14.4" customHeight="1" x14ac:dyDescent="0.3">
      <c r="A26" s="428" t="s">
        <v>585</v>
      </c>
      <c r="B26" s="429" t="s">
        <v>590</v>
      </c>
      <c r="C26" s="429" t="s">
        <v>450</v>
      </c>
      <c r="D26" s="429" t="s">
        <v>587</v>
      </c>
      <c r="E26" s="429" t="s">
        <v>627</v>
      </c>
      <c r="F26" s="429" t="s">
        <v>628</v>
      </c>
      <c r="G26" s="432"/>
      <c r="H26" s="432"/>
      <c r="I26" s="429"/>
      <c r="J26" s="429"/>
      <c r="K26" s="432">
        <v>6</v>
      </c>
      <c r="L26" s="432">
        <v>774</v>
      </c>
      <c r="M26" s="429">
        <v>1</v>
      </c>
      <c r="N26" s="429">
        <v>129</v>
      </c>
      <c r="O26" s="432">
        <v>2</v>
      </c>
      <c r="P26" s="432">
        <v>258</v>
      </c>
      <c r="Q26" s="530">
        <v>0.33333333333333331</v>
      </c>
      <c r="R26" s="433">
        <v>129</v>
      </c>
    </row>
    <row r="27" spans="1:18" ht="14.4" customHeight="1" x14ac:dyDescent="0.3">
      <c r="A27" s="428" t="s">
        <v>585</v>
      </c>
      <c r="B27" s="429" t="s">
        <v>590</v>
      </c>
      <c r="C27" s="429" t="s">
        <v>450</v>
      </c>
      <c r="D27" s="429" t="s">
        <v>587</v>
      </c>
      <c r="E27" s="429" t="s">
        <v>629</v>
      </c>
      <c r="F27" s="429" t="s">
        <v>630</v>
      </c>
      <c r="G27" s="432">
        <v>247</v>
      </c>
      <c r="H27" s="432">
        <v>105222</v>
      </c>
      <c r="I27" s="429">
        <v>0.78112333526346267</v>
      </c>
      <c r="J27" s="429">
        <v>426</v>
      </c>
      <c r="K27" s="432">
        <v>314</v>
      </c>
      <c r="L27" s="432">
        <v>134706</v>
      </c>
      <c r="M27" s="429">
        <v>1</v>
      </c>
      <c r="N27" s="429">
        <v>429</v>
      </c>
      <c r="O27" s="432">
        <v>387</v>
      </c>
      <c r="P27" s="432">
        <v>166023</v>
      </c>
      <c r="Q27" s="530">
        <v>1.2324840764331211</v>
      </c>
      <c r="R27" s="433">
        <v>429</v>
      </c>
    </row>
    <row r="28" spans="1:18" ht="14.4" customHeight="1" x14ac:dyDescent="0.3">
      <c r="A28" s="428" t="s">
        <v>585</v>
      </c>
      <c r="B28" s="429" t="s">
        <v>590</v>
      </c>
      <c r="C28" s="429" t="s">
        <v>450</v>
      </c>
      <c r="D28" s="429" t="s">
        <v>587</v>
      </c>
      <c r="E28" s="429" t="s">
        <v>631</v>
      </c>
      <c r="F28" s="429" t="s">
        <v>632</v>
      </c>
      <c r="G28" s="432">
        <v>1</v>
      </c>
      <c r="H28" s="432">
        <v>1211</v>
      </c>
      <c r="I28" s="429"/>
      <c r="J28" s="429">
        <v>1211</v>
      </c>
      <c r="K28" s="432"/>
      <c r="L28" s="432"/>
      <c r="M28" s="429"/>
      <c r="N28" s="429"/>
      <c r="O28" s="432">
        <v>1</v>
      </c>
      <c r="P28" s="432">
        <v>1245</v>
      </c>
      <c r="Q28" s="530"/>
      <c r="R28" s="433">
        <v>1245</v>
      </c>
    </row>
    <row r="29" spans="1:18" ht="14.4" customHeight="1" x14ac:dyDescent="0.3">
      <c r="A29" s="428" t="s">
        <v>585</v>
      </c>
      <c r="B29" s="429" t="s">
        <v>590</v>
      </c>
      <c r="C29" s="429" t="s">
        <v>450</v>
      </c>
      <c r="D29" s="429" t="s">
        <v>587</v>
      </c>
      <c r="E29" s="429" t="s">
        <v>633</v>
      </c>
      <c r="F29" s="429" t="s">
        <v>598</v>
      </c>
      <c r="G29" s="432">
        <v>1</v>
      </c>
      <c r="H29" s="432">
        <v>923</v>
      </c>
      <c r="I29" s="429"/>
      <c r="J29" s="429">
        <v>923</v>
      </c>
      <c r="K29" s="432"/>
      <c r="L29" s="432"/>
      <c r="M29" s="429"/>
      <c r="N29" s="429"/>
      <c r="O29" s="432"/>
      <c r="P29" s="432"/>
      <c r="Q29" s="530"/>
      <c r="R29" s="433"/>
    </row>
    <row r="30" spans="1:18" ht="14.4" customHeight="1" x14ac:dyDescent="0.3">
      <c r="A30" s="428" t="s">
        <v>585</v>
      </c>
      <c r="B30" s="429" t="s">
        <v>590</v>
      </c>
      <c r="C30" s="429" t="s">
        <v>450</v>
      </c>
      <c r="D30" s="429" t="s">
        <v>587</v>
      </c>
      <c r="E30" s="429" t="s">
        <v>634</v>
      </c>
      <c r="F30" s="429" t="s">
        <v>635</v>
      </c>
      <c r="G30" s="432">
        <v>46</v>
      </c>
      <c r="H30" s="432">
        <v>74290</v>
      </c>
      <c r="I30" s="429">
        <v>0.57027273913610854</v>
      </c>
      <c r="J30" s="429">
        <v>1615</v>
      </c>
      <c r="K30" s="432">
        <v>79</v>
      </c>
      <c r="L30" s="432">
        <v>130271</v>
      </c>
      <c r="M30" s="429">
        <v>1</v>
      </c>
      <c r="N30" s="429">
        <v>1649</v>
      </c>
      <c r="O30" s="432">
        <v>168</v>
      </c>
      <c r="P30" s="432">
        <v>277032</v>
      </c>
      <c r="Q30" s="530">
        <v>2.1265822784810124</v>
      </c>
      <c r="R30" s="433">
        <v>1649</v>
      </c>
    </row>
    <row r="31" spans="1:18" ht="14.4" customHeight="1" thickBot="1" x14ac:dyDescent="0.35">
      <c r="A31" s="434" t="s">
        <v>585</v>
      </c>
      <c r="B31" s="435" t="s">
        <v>590</v>
      </c>
      <c r="C31" s="435" t="s">
        <v>450</v>
      </c>
      <c r="D31" s="435" t="s">
        <v>587</v>
      </c>
      <c r="E31" s="435" t="s">
        <v>636</v>
      </c>
      <c r="F31" s="435" t="s">
        <v>628</v>
      </c>
      <c r="G31" s="438"/>
      <c r="H31" s="438"/>
      <c r="I31" s="435"/>
      <c r="J31" s="435"/>
      <c r="K31" s="438">
        <v>1</v>
      </c>
      <c r="L31" s="438">
        <v>240</v>
      </c>
      <c r="M31" s="435">
        <v>1</v>
      </c>
      <c r="N31" s="435">
        <v>240</v>
      </c>
      <c r="O31" s="438"/>
      <c r="P31" s="438"/>
      <c r="Q31" s="449"/>
      <c r="R31" s="439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7.77734375" style="104" customWidth="1"/>
    <col min="5" max="5" width="2.109375" style="104" bestFit="1" customWidth="1"/>
    <col min="6" max="6" width="8" style="104" customWidth="1"/>
    <col min="7" max="7" width="50.88671875" style="104" bestFit="1" customWidth="1" collapsed="1"/>
    <col min="8" max="9" width="11.109375" style="180" hidden="1" customWidth="1" outlineLevel="1"/>
    <col min="10" max="11" width="9.33203125" style="104" hidden="1" customWidth="1"/>
    <col min="12" max="13" width="11.109375" style="180" customWidth="1"/>
    <col min="14" max="15" width="9.33203125" style="104" hidden="1" customWidth="1"/>
    <col min="16" max="17" width="11.109375" style="180" customWidth="1"/>
    <col min="18" max="18" width="11.109375" style="183" customWidth="1"/>
    <col min="19" max="19" width="11.109375" style="180" customWidth="1"/>
    <col min="20" max="16384" width="8.88671875" style="104"/>
  </cols>
  <sheetData>
    <row r="1" spans="1:19" ht="18.600000000000001" customHeight="1" thickBot="1" x14ac:dyDescent="0.4">
      <c r="A1" s="314" t="s">
        <v>638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</row>
    <row r="2" spans="1:19" ht="14.4" customHeight="1" thickBot="1" x14ac:dyDescent="0.35">
      <c r="A2" s="203" t="s">
        <v>261</v>
      </c>
      <c r="B2" s="170"/>
      <c r="C2" s="170"/>
      <c r="D2" s="170"/>
      <c r="E2" s="86"/>
      <c r="F2" s="86"/>
      <c r="G2" s="86"/>
      <c r="H2" s="198"/>
      <c r="I2" s="198"/>
      <c r="J2" s="86"/>
      <c r="K2" s="86"/>
      <c r="L2" s="198"/>
      <c r="M2" s="198"/>
      <c r="N2" s="86"/>
      <c r="O2" s="86"/>
      <c r="P2" s="198"/>
      <c r="Q2" s="198"/>
      <c r="R2" s="195"/>
      <c r="S2" s="198"/>
    </row>
    <row r="3" spans="1:19" ht="14.4" customHeight="1" thickBot="1" x14ac:dyDescent="0.35">
      <c r="G3" s="63" t="s">
        <v>112</v>
      </c>
      <c r="H3" s="77">
        <f t="shared" ref="H3:Q3" si="0">SUBTOTAL(9,H6:H1048576)</f>
        <v>1567</v>
      </c>
      <c r="I3" s="78">
        <f t="shared" si="0"/>
        <v>3265805</v>
      </c>
      <c r="J3" s="58"/>
      <c r="K3" s="58"/>
      <c r="L3" s="78">
        <f t="shared" si="0"/>
        <v>1577</v>
      </c>
      <c r="M3" s="78">
        <f t="shared" si="0"/>
        <v>3136328</v>
      </c>
      <c r="N3" s="58"/>
      <c r="O3" s="58"/>
      <c r="P3" s="78">
        <f t="shared" si="0"/>
        <v>1965</v>
      </c>
      <c r="Q3" s="78">
        <f t="shared" si="0"/>
        <v>3854912</v>
      </c>
      <c r="R3" s="59">
        <f>IF(M3=0,0,Q3/M3)</f>
        <v>1.2291163424233691</v>
      </c>
      <c r="S3" s="79">
        <f>IF(P3=0,0,Q3/P3)</f>
        <v>1961.7872773536897</v>
      </c>
    </row>
    <row r="4" spans="1:19" ht="14.4" customHeight="1" x14ac:dyDescent="0.3">
      <c r="A4" s="370" t="s">
        <v>249</v>
      </c>
      <c r="B4" s="370" t="s">
        <v>81</v>
      </c>
      <c r="C4" s="378" t="s">
        <v>0</v>
      </c>
      <c r="D4" s="299" t="s">
        <v>113</v>
      </c>
      <c r="E4" s="372" t="s">
        <v>82</v>
      </c>
      <c r="F4" s="377" t="s">
        <v>57</v>
      </c>
      <c r="G4" s="373" t="s">
        <v>56</v>
      </c>
      <c r="H4" s="374">
        <v>2015</v>
      </c>
      <c r="I4" s="375"/>
      <c r="J4" s="76"/>
      <c r="K4" s="76"/>
      <c r="L4" s="374">
        <v>2016</v>
      </c>
      <c r="M4" s="375"/>
      <c r="N4" s="76"/>
      <c r="O4" s="76"/>
      <c r="P4" s="374">
        <v>2017</v>
      </c>
      <c r="Q4" s="375"/>
      <c r="R4" s="376" t="s">
        <v>2</v>
      </c>
      <c r="S4" s="371" t="s">
        <v>84</v>
      </c>
    </row>
    <row r="5" spans="1:19" ht="14.4" customHeight="1" thickBot="1" x14ac:dyDescent="0.35">
      <c r="A5" s="520"/>
      <c r="B5" s="520"/>
      <c r="C5" s="521"/>
      <c r="D5" s="531"/>
      <c r="E5" s="522"/>
      <c r="F5" s="523"/>
      <c r="G5" s="524"/>
      <c r="H5" s="525" t="s">
        <v>58</v>
      </c>
      <c r="I5" s="526" t="s">
        <v>14</v>
      </c>
      <c r="J5" s="527"/>
      <c r="K5" s="527"/>
      <c r="L5" s="525" t="s">
        <v>58</v>
      </c>
      <c r="M5" s="526" t="s">
        <v>14</v>
      </c>
      <c r="N5" s="527"/>
      <c r="O5" s="527"/>
      <c r="P5" s="525" t="s">
        <v>58</v>
      </c>
      <c r="Q5" s="526" t="s">
        <v>14</v>
      </c>
      <c r="R5" s="528"/>
      <c r="S5" s="529"/>
    </row>
    <row r="6" spans="1:19" ht="14.4" customHeight="1" x14ac:dyDescent="0.3">
      <c r="A6" s="422" t="s">
        <v>585</v>
      </c>
      <c r="B6" s="423" t="s">
        <v>586</v>
      </c>
      <c r="C6" s="423" t="s">
        <v>450</v>
      </c>
      <c r="D6" s="423" t="s">
        <v>579</v>
      </c>
      <c r="E6" s="423" t="s">
        <v>587</v>
      </c>
      <c r="F6" s="423" t="s">
        <v>588</v>
      </c>
      <c r="G6" s="423" t="s">
        <v>589</v>
      </c>
      <c r="H6" s="426">
        <v>242</v>
      </c>
      <c r="I6" s="426">
        <v>2595450</v>
      </c>
      <c r="J6" s="423">
        <v>1.11029831687425</v>
      </c>
      <c r="K6" s="423">
        <v>10725</v>
      </c>
      <c r="L6" s="426">
        <v>205</v>
      </c>
      <c r="M6" s="426">
        <v>2337615</v>
      </c>
      <c r="N6" s="423">
        <v>1</v>
      </c>
      <c r="O6" s="423">
        <v>11403</v>
      </c>
      <c r="P6" s="426">
        <v>246</v>
      </c>
      <c r="Q6" s="426">
        <v>2807598</v>
      </c>
      <c r="R6" s="447">
        <v>1.2010523546435148</v>
      </c>
      <c r="S6" s="427">
        <v>11413</v>
      </c>
    </row>
    <row r="7" spans="1:19" ht="14.4" customHeight="1" x14ac:dyDescent="0.3">
      <c r="A7" s="428" t="s">
        <v>585</v>
      </c>
      <c r="B7" s="429" t="s">
        <v>590</v>
      </c>
      <c r="C7" s="429" t="s">
        <v>450</v>
      </c>
      <c r="D7" s="429" t="s">
        <v>579</v>
      </c>
      <c r="E7" s="429" t="s">
        <v>587</v>
      </c>
      <c r="F7" s="429" t="s">
        <v>591</v>
      </c>
      <c r="G7" s="429" t="s">
        <v>592</v>
      </c>
      <c r="H7" s="432">
        <v>3</v>
      </c>
      <c r="I7" s="432">
        <v>384</v>
      </c>
      <c r="J7" s="429">
        <v>0.94117647058823528</v>
      </c>
      <c r="K7" s="429">
        <v>128</v>
      </c>
      <c r="L7" s="432">
        <v>3</v>
      </c>
      <c r="M7" s="432">
        <v>408</v>
      </c>
      <c r="N7" s="429">
        <v>1</v>
      </c>
      <c r="O7" s="429">
        <v>136</v>
      </c>
      <c r="P7" s="432"/>
      <c r="Q7" s="432"/>
      <c r="R7" s="530"/>
      <c r="S7" s="433"/>
    </row>
    <row r="8" spans="1:19" ht="14.4" customHeight="1" x14ac:dyDescent="0.3">
      <c r="A8" s="428" t="s">
        <v>585</v>
      </c>
      <c r="B8" s="429" t="s">
        <v>590</v>
      </c>
      <c r="C8" s="429" t="s">
        <v>450</v>
      </c>
      <c r="D8" s="429" t="s">
        <v>579</v>
      </c>
      <c r="E8" s="429" t="s">
        <v>587</v>
      </c>
      <c r="F8" s="429" t="s">
        <v>593</v>
      </c>
      <c r="G8" s="429" t="s">
        <v>594</v>
      </c>
      <c r="H8" s="432">
        <v>3</v>
      </c>
      <c r="I8" s="432">
        <v>3684</v>
      </c>
      <c r="J8" s="429"/>
      <c r="K8" s="429">
        <v>1228</v>
      </c>
      <c r="L8" s="432"/>
      <c r="M8" s="432"/>
      <c r="N8" s="429"/>
      <c r="O8" s="429"/>
      <c r="P8" s="432">
        <v>3</v>
      </c>
      <c r="Q8" s="432">
        <v>3786</v>
      </c>
      <c r="R8" s="530"/>
      <c r="S8" s="433">
        <v>1262</v>
      </c>
    </row>
    <row r="9" spans="1:19" ht="14.4" customHeight="1" x14ac:dyDescent="0.3">
      <c r="A9" s="428" t="s">
        <v>585</v>
      </c>
      <c r="B9" s="429" t="s">
        <v>590</v>
      </c>
      <c r="C9" s="429" t="s">
        <v>450</v>
      </c>
      <c r="D9" s="429" t="s">
        <v>579</v>
      </c>
      <c r="E9" s="429" t="s">
        <v>587</v>
      </c>
      <c r="F9" s="429" t="s">
        <v>595</v>
      </c>
      <c r="G9" s="429" t="s">
        <v>596</v>
      </c>
      <c r="H9" s="432">
        <v>10</v>
      </c>
      <c r="I9" s="432">
        <v>22360</v>
      </c>
      <c r="J9" s="429">
        <v>0.79697747362418025</v>
      </c>
      <c r="K9" s="429">
        <v>2236</v>
      </c>
      <c r="L9" s="432">
        <v>12</v>
      </c>
      <c r="M9" s="432">
        <v>28056</v>
      </c>
      <c r="N9" s="429">
        <v>1</v>
      </c>
      <c r="O9" s="429">
        <v>2338</v>
      </c>
      <c r="P9" s="432">
        <v>7</v>
      </c>
      <c r="Q9" s="432">
        <v>16380</v>
      </c>
      <c r="R9" s="530">
        <v>0.58383233532934131</v>
      </c>
      <c r="S9" s="433">
        <v>2340</v>
      </c>
    </row>
    <row r="10" spans="1:19" ht="14.4" customHeight="1" x14ac:dyDescent="0.3">
      <c r="A10" s="428" t="s">
        <v>585</v>
      </c>
      <c r="B10" s="429" t="s">
        <v>590</v>
      </c>
      <c r="C10" s="429" t="s">
        <v>450</v>
      </c>
      <c r="D10" s="429" t="s">
        <v>579</v>
      </c>
      <c r="E10" s="429" t="s">
        <v>587</v>
      </c>
      <c r="F10" s="429" t="s">
        <v>597</v>
      </c>
      <c r="G10" s="429" t="s">
        <v>598</v>
      </c>
      <c r="H10" s="432">
        <v>3</v>
      </c>
      <c r="I10" s="432">
        <v>3129</v>
      </c>
      <c r="J10" s="429">
        <v>1.4526462395543176</v>
      </c>
      <c r="K10" s="429">
        <v>1043</v>
      </c>
      <c r="L10" s="432">
        <v>2</v>
      </c>
      <c r="M10" s="432">
        <v>2154</v>
      </c>
      <c r="N10" s="429">
        <v>1</v>
      </c>
      <c r="O10" s="429">
        <v>1077</v>
      </c>
      <c r="P10" s="432">
        <v>4</v>
      </c>
      <c r="Q10" s="432">
        <v>4308</v>
      </c>
      <c r="R10" s="530">
        <v>2</v>
      </c>
      <c r="S10" s="433">
        <v>1077</v>
      </c>
    </row>
    <row r="11" spans="1:19" ht="14.4" customHeight="1" x14ac:dyDescent="0.3">
      <c r="A11" s="428" t="s">
        <v>585</v>
      </c>
      <c r="B11" s="429" t="s">
        <v>590</v>
      </c>
      <c r="C11" s="429" t="s">
        <v>450</v>
      </c>
      <c r="D11" s="429" t="s">
        <v>579</v>
      </c>
      <c r="E11" s="429" t="s">
        <v>587</v>
      </c>
      <c r="F11" s="429" t="s">
        <v>599</v>
      </c>
      <c r="G11" s="429" t="s">
        <v>600</v>
      </c>
      <c r="H11" s="432">
        <v>13</v>
      </c>
      <c r="I11" s="432">
        <v>48373</v>
      </c>
      <c r="J11" s="429">
        <v>0.74430305734640179</v>
      </c>
      <c r="K11" s="429">
        <v>3721</v>
      </c>
      <c r="L11" s="432">
        <v>17</v>
      </c>
      <c r="M11" s="432">
        <v>64991</v>
      </c>
      <c r="N11" s="429">
        <v>1</v>
      </c>
      <c r="O11" s="429">
        <v>3823</v>
      </c>
      <c r="P11" s="432">
        <v>14</v>
      </c>
      <c r="Q11" s="432">
        <v>53550</v>
      </c>
      <c r="R11" s="530">
        <v>0.82396024064870521</v>
      </c>
      <c r="S11" s="433">
        <v>3825</v>
      </c>
    </row>
    <row r="12" spans="1:19" ht="14.4" customHeight="1" x14ac:dyDescent="0.3">
      <c r="A12" s="428" t="s">
        <v>585</v>
      </c>
      <c r="B12" s="429" t="s">
        <v>590</v>
      </c>
      <c r="C12" s="429" t="s">
        <v>450</v>
      </c>
      <c r="D12" s="429" t="s">
        <v>579</v>
      </c>
      <c r="E12" s="429" t="s">
        <v>587</v>
      </c>
      <c r="F12" s="429" t="s">
        <v>601</v>
      </c>
      <c r="G12" s="429" t="s">
        <v>602</v>
      </c>
      <c r="H12" s="432">
        <v>301</v>
      </c>
      <c r="I12" s="432">
        <v>132139</v>
      </c>
      <c r="J12" s="429">
        <v>1.2021926033753354</v>
      </c>
      <c r="K12" s="429">
        <v>439</v>
      </c>
      <c r="L12" s="432">
        <v>247</v>
      </c>
      <c r="M12" s="432">
        <v>109915</v>
      </c>
      <c r="N12" s="429">
        <v>1</v>
      </c>
      <c r="O12" s="429">
        <v>445</v>
      </c>
      <c r="P12" s="432">
        <v>305</v>
      </c>
      <c r="Q12" s="432">
        <v>135725</v>
      </c>
      <c r="R12" s="530">
        <v>1.2348178137651822</v>
      </c>
      <c r="S12" s="433">
        <v>445</v>
      </c>
    </row>
    <row r="13" spans="1:19" ht="14.4" customHeight="1" x14ac:dyDescent="0.3">
      <c r="A13" s="428" t="s">
        <v>585</v>
      </c>
      <c r="B13" s="429" t="s">
        <v>590</v>
      </c>
      <c r="C13" s="429" t="s">
        <v>450</v>
      </c>
      <c r="D13" s="429" t="s">
        <v>579</v>
      </c>
      <c r="E13" s="429" t="s">
        <v>587</v>
      </c>
      <c r="F13" s="429" t="s">
        <v>603</v>
      </c>
      <c r="G13" s="429" t="s">
        <v>604</v>
      </c>
      <c r="H13" s="432">
        <v>26</v>
      </c>
      <c r="I13" s="432">
        <v>21736</v>
      </c>
      <c r="J13" s="429">
        <v>0.68869807674028072</v>
      </c>
      <c r="K13" s="429">
        <v>836</v>
      </c>
      <c r="L13" s="432">
        <v>37</v>
      </c>
      <c r="M13" s="432">
        <v>31561</v>
      </c>
      <c r="N13" s="429">
        <v>1</v>
      </c>
      <c r="O13" s="429">
        <v>853</v>
      </c>
      <c r="P13" s="432">
        <v>48</v>
      </c>
      <c r="Q13" s="432">
        <v>40992</v>
      </c>
      <c r="R13" s="530">
        <v>1.2988181616552075</v>
      </c>
      <c r="S13" s="433">
        <v>854</v>
      </c>
    </row>
    <row r="14" spans="1:19" ht="14.4" customHeight="1" x14ac:dyDescent="0.3">
      <c r="A14" s="428" t="s">
        <v>585</v>
      </c>
      <c r="B14" s="429" t="s">
        <v>590</v>
      </c>
      <c r="C14" s="429" t="s">
        <v>450</v>
      </c>
      <c r="D14" s="429" t="s">
        <v>579</v>
      </c>
      <c r="E14" s="429" t="s">
        <v>587</v>
      </c>
      <c r="F14" s="429" t="s">
        <v>605</v>
      </c>
      <c r="G14" s="429" t="s">
        <v>606</v>
      </c>
      <c r="H14" s="432">
        <v>14</v>
      </c>
      <c r="I14" s="432">
        <v>22694</v>
      </c>
      <c r="J14" s="429">
        <v>0.72170456352361267</v>
      </c>
      <c r="K14" s="429">
        <v>1621</v>
      </c>
      <c r="L14" s="432">
        <v>19</v>
      </c>
      <c r="M14" s="432">
        <v>31445</v>
      </c>
      <c r="N14" s="429">
        <v>1</v>
      </c>
      <c r="O14" s="429">
        <v>1655</v>
      </c>
      <c r="P14" s="432">
        <v>29</v>
      </c>
      <c r="Q14" s="432">
        <v>47995</v>
      </c>
      <c r="R14" s="530">
        <v>1.5263157894736843</v>
      </c>
      <c r="S14" s="433">
        <v>1655</v>
      </c>
    </row>
    <row r="15" spans="1:19" ht="14.4" customHeight="1" x14ac:dyDescent="0.3">
      <c r="A15" s="428" t="s">
        <v>585</v>
      </c>
      <c r="B15" s="429" t="s">
        <v>590</v>
      </c>
      <c r="C15" s="429" t="s">
        <v>450</v>
      </c>
      <c r="D15" s="429" t="s">
        <v>579</v>
      </c>
      <c r="E15" s="429" t="s">
        <v>587</v>
      </c>
      <c r="F15" s="429" t="s">
        <v>607</v>
      </c>
      <c r="G15" s="429" t="s">
        <v>608</v>
      </c>
      <c r="H15" s="432">
        <v>5</v>
      </c>
      <c r="I15" s="432">
        <v>4115</v>
      </c>
      <c r="J15" s="429">
        <v>0.61235119047619047</v>
      </c>
      <c r="K15" s="429">
        <v>823</v>
      </c>
      <c r="L15" s="432">
        <v>8</v>
      </c>
      <c r="M15" s="432">
        <v>6720</v>
      </c>
      <c r="N15" s="429">
        <v>1</v>
      </c>
      <c r="O15" s="429">
        <v>840</v>
      </c>
      <c r="P15" s="432">
        <v>1</v>
      </c>
      <c r="Q15" s="432">
        <v>841</v>
      </c>
      <c r="R15" s="530">
        <v>0.12514880952380952</v>
      </c>
      <c r="S15" s="433">
        <v>841</v>
      </c>
    </row>
    <row r="16" spans="1:19" ht="14.4" customHeight="1" x14ac:dyDescent="0.3">
      <c r="A16" s="428" t="s">
        <v>585</v>
      </c>
      <c r="B16" s="429" t="s">
        <v>590</v>
      </c>
      <c r="C16" s="429" t="s">
        <v>450</v>
      </c>
      <c r="D16" s="429" t="s">
        <v>579</v>
      </c>
      <c r="E16" s="429" t="s">
        <v>587</v>
      </c>
      <c r="F16" s="429" t="s">
        <v>609</v>
      </c>
      <c r="G16" s="429" t="s">
        <v>610</v>
      </c>
      <c r="H16" s="432">
        <v>33</v>
      </c>
      <c r="I16" s="432">
        <v>48213</v>
      </c>
      <c r="J16" s="429">
        <v>3.9570748522652659</v>
      </c>
      <c r="K16" s="429">
        <v>1461</v>
      </c>
      <c r="L16" s="432">
        <v>8</v>
      </c>
      <c r="M16" s="432">
        <v>12184</v>
      </c>
      <c r="N16" s="429">
        <v>1</v>
      </c>
      <c r="O16" s="429">
        <v>1523</v>
      </c>
      <c r="P16" s="432"/>
      <c r="Q16" s="432"/>
      <c r="R16" s="530"/>
      <c r="S16" s="433"/>
    </row>
    <row r="17" spans="1:19" ht="14.4" customHeight="1" x14ac:dyDescent="0.3">
      <c r="A17" s="428" t="s">
        <v>585</v>
      </c>
      <c r="B17" s="429" t="s">
        <v>590</v>
      </c>
      <c r="C17" s="429" t="s">
        <v>450</v>
      </c>
      <c r="D17" s="429" t="s">
        <v>579</v>
      </c>
      <c r="E17" s="429" t="s">
        <v>587</v>
      </c>
      <c r="F17" s="429" t="s">
        <v>611</v>
      </c>
      <c r="G17" s="429" t="s">
        <v>612</v>
      </c>
      <c r="H17" s="432">
        <v>20</v>
      </c>
      <c r="I17" s="432">
        <v>320</v>
      </c>
      <c r="J17" s="429">
        <v>0.85561497326203206</v>
      </c>
      <c r="K17" s="429">
        <v>16</v>
      </c>
      <c r="L17" s="432">
        <v>22</v>
      </c>
      <c r="M17" s="432">
        <v>374</v>
      </c>
      <c r="N17" s="429">
        <v>1</v>
      </c>
      <c r="O17" s="429">
        <v>17</v>
      </c>
      <c r="P17" s="432">
        <v>31</v>
      </c>
      <c r="Q17" s="432">
        <v>527</v>
      </c>
      <c r="R17" s="530">
        <v>1.4090909090909092</v>
      </c>
      <c r="S17" s="433">
        <v>17</v>
      </c>
    </row>
    <row r="18" spans="1:19" ht="14.4" customHeight="1" x14ac:dyDescent="0.3">
      <c r="A18" s="428" t="s">
        <v>585</v>
      </c>
      <c r="B18" s="429" t="s">
        <v>590</v>
      </c>
      <c r="C18" s="429" t="s">
        <v>450</v>
      </c>
      <c r="D18" s="429" t="s">
        <v>579</v>
      </c>
      <c r="E18" s="429" t="s">
        <v>587</v>
      </c>
      <c r="F18" s="429" t="s">
        <v>613</v>
      </c>
      <c r="G18" s="429" t="s">
        <v>602</v>
      </c>
      <c r="H18" s="432">
        <v>26</v>
      </c>
      <c r="I18" s="432">
        <v>18096</v>
      </c>
      <c r="J18" s="429">
        <v>0.70998116760828622</v>
      </c>
      <c r="K18" s="429">
        <v>696</v>
      </c>
      <c r="L18" s="432">
        <v>36</v>
      </c>
      <c r="M18" s="432">
        <v>25488</v>
      </c>
      <c r="N18" s="429">
        <v>1</v>
      </c>
      <c r="O18" s="429">
        <v>708</v>
      </c>
      <c r="P18" s="432">
        <v>47</v>
      </c>
      <c r="Q18" s="432">
        <v>33276</v>
      </c>
      <c r="R18" s="530">
        <v>1.3055555555555556</v>
      </c>
      <c r="S18" s="433">
        <v>708</v>
      </c>
    </row>
    <row r="19" spans="1:19" ht="14.4" customHeight="1" x14ac:dyDescent="0.3">
      <c r="A19" s="428" t="s">
        <v>585</v>
      </c>
      <c r="B19" s="429" t="s">
        <v>590</v>
      </c>
      <c r="C19" s="429" t="s">
        <v>450</v>
      </c>
      <c r="D19" s="429" t="s">
        <v>579</v>
      </c>
      <c r="E19" s="429" t="s">
        <v>587</v>
      </c>
      <c r="F19" s="429" t="s">
        <v>614</v>
      </c>
      <c r="G19" s="429" t="s">
        <v>604</v>
      </c>
      <c r="H19" s="432">
        <v>17</v>
      </c>
      <c r="I19" s="432">
        <v>23579</v>
      </c>
      <c r="J19" s="429">
        <v>0.51240872739916554</v>
      </c>
      <c r="K19" s="429">
        <v>1387</v>
      </c>
      <c r="L19" s="432">
        <v>32</v>
      </c>
      <c r="M19" s="432">
        <v>46016</v>
      </c>
      <c r="N19" s="429">
        <v>1</v>
      </c>
      <c r="O19" s="429">
        <v>1438</v>
      </c>
      <c r="P19" s="432">
        <v>27</v>
      </c>
      <c r="Q19" s="432">
        <v>38853</v>
      </c>
      <c r="R19" s="530">
        <v>0.84433675243393602</v>
      </c>
      <c r="S19" s="433">
        <v>1439</v>
      </c>
    </row>
    <row r="20" spans="1:19" ht="14.4" customHeight="1" x14ac:dyDescent="0.3">
      <c r="A20" s="428" t="s">
        <v>585</v>
      </c>
      <c r="B20" s="429" t="s">
        <v>590</v>
      </c>
      <c r="C20" s="429" t="s">
        <v>450</v>
      </c>
      <c r="D20" s="429" t="s">
        <v>579</v>
      </c>
      <c r="E20" s="429" t="s">
        <v>587</v>
      </c>
      <c r="F20" s="429" t="s">
        <v>615</v>
      </c>
      <c r="G20" s="429" t="s">
        <v>616</v>
      </c>
      <c r="H20" s="432">
        <v>12</v>
      </c>
      <c r="I20" s="432">
        <v>28092</v>
      </c>
      <c r="J20" s="429">
        <v>0.57636438243742305</v>
      </c>
      <c r="K20" s="429">
        <v>2341</v>
      </c>
      <c r="L20" s="432">
        <v>20</v>
      </c>
      <c r="M20" s="432">
        <v>48740</v>
      </c>
      <c r="N20" s="429">
        <v>1</v>
      </c>
      <c r="O20" s="429">
        <v>2437</v>
      </c>
      <c r="P20" s="432">
        <v>25</v>
      </c>
      <c r="Q20" s="432">
        <v>60950</v>
      </c>
      <c r="R20" s="530">
        <v>1.2505129257283545</v>
      </c>
      <c r="S20" s="433">
        <v>2438</v>
      </c>
    </row>
    <row r="21" spans="1:19" ht="14.4" customHeight="1" x14ac:dyDescent="0.3">
      <c r="A21" s="428" t="s">
        <v>585</v>
      </c>
      <c r="B21" s="429" t="s">
        <v>590</v>
      </c>
      <c r="C21" s="429" t="s">
        <v>450</v>
      </c>
      <c r="D21" s="429" t="s">
        <v>579</v>
      </c>
      <c r="E21" s="429" t="s">
        <v>587</v>
      </c>
      <c r="F21" s="429" t="s">
        <v>617</v>
      </c>
      <c r="G21" s="429" t="s">
        <v>618</v>
      </c>
      <c r="H21" s="432">
        <v>327</v>
      </c>
      <c r="I21" s="432">
        <v>21582</v>
      </c>
      <c r="J21" s="429">
        <v>1.1013472137170852</v>
      </c>
      <c r="K21" s="429">
        <v>66</v>
      </c>
      <c r="L21" s="432">
        <v>284</v>
      </c>
      <c r="M21" s="432">
        <v>19596</v>
      </c>
      <c r="N21" s="429">
        <v>1</v>
      </c>
      <c r="O21" s="429">
        <v>69</v>
      </c>
      <c r="P21" s="432">
        <v>354</v>
      </c>
      <c r="Q21" s="432">
        <v>24426</v>
      </c>
      <c r="R21" s="530">
        <v>1.2464788732394365</v>
      </c>
      <c r="S21" s="433">
        <v>69</v>
      </c>
    </row>
    <row r="22" spans="1:19" ht="14.4" customHeight="1" x14ac:dyDescent="0.3">
      <c r="A22" s="428" t="s">
        <v>585</v>
      </c>
      <c r="B22" s="429" t="s">
        <v>590</v>
      </c>
      <c r="C22" s="429" t="s">
        <v>450</v>
      </c>
      <c r="D22" s="429" t="s">
        <v>579</v>
      </c>
      <c r="E22" s="429" t="s">
        <v>587</v>
      </c>
      <c r="F22" s="429" t="s">
        <v>619</v>
      </c>
      <c r="G22" s="429" t="s">
        <v>620</v>
      </c>
      <c r="H22" s="432">
        <v>33</v>
      </c>
      <c r="I22" s="432">
        <v>13233</v>
      </c>
      <c r="J22" s="429">
        <v>4.0641891891891895</v>
      </c>
      <c r="K22" s="429">
        <v>401</v>
      </c>
      <c r="L22" s="432">
        <v>8</v>
      </c>
      <c r="M22" s="432">
        <v>3256</v>
      </c>
      <c r="N22" s="429">
        <v>1</v>
      </c>
      <c r="O22" s="429">
        <v>407</v>
      </c>
      <c r="P22" s="432"/>
      <c r="Q22" s="432"/>
      <c r="R22" s="530"/>
      <c r="S22" s="433"/>
    </row>
    <row r="23" spans="1:19" ht="14.4" customHeight="1" x14ac:dyDescent="0.3">
      <c r="A23" s="428" t="s">
        <v>585</v>
      </c>
      <c r="B23" s="429" t="s">
        <v>590</v>
      </c>
      <c r="C23" s="429" t="s">
        <v>450</v>
      </c>
      <c r="D23" s="429" t="s">
        <v>579</v>
      </c>
      <c r="E23" s="429" t="s">
        <v>587</v>
      </c>
      <c r="F23" s="429" t="s">
        <v>621</v>
      </c>
      <c r="G23" s="429" t="s">
        <v>622</v>
      </c>
      <c r="H23" s="432">
        <v>24</v>
      </c>
      <c r="I23" s="432">
        <v>38712</v>
      </c>
      <c r="J23" s="429">
        <v>1.1078296703296704</v>
      </c>
      <c r="K23" s="429">
        <v>1613</v>
      </c>
      <c r="L23" s="432">
        <v>21</v>
      </c>
      <c r="M23" s="432">
        <v>34944</v>
      </c>
      <c r="N23" s="429">
        <v>1</v>
      </c>
      <c r="O23" s="429">
        <v>1664</v>
      </c>
      <c r="P23" s="432">
        <v>36</v>
      </c>
      <c r="Q23" s="432">
        <v>59940</v>
      </c>
      <c r="R23" s="530">
        <v>1.7153159340659341</v>
      </c>
      <c r="S23" s="433">
        <v>1665</v>
      </c>
    </row>
    <row r="24" spans="1:19" ht="14.4" customHeight="1" x14ac:dyDescent="0.3">
      <c r="A24" s="428" t="s">
        <v>585</v>
      </c>
      <c r="B24" s="429" t="s">
        <v>590</v>
      </c>
      <c r="C24" s="429" t="s">
        <v>450</v>
      </c>
      <c r="D24" s="429" t="s">
        <v>579</v>
      </c>
      <c r="E24" s="429" t="s">
        <v>587</v>
      </c>
      <c r="F24" s="429" t="s">
        <v>623</v>
      </c>
      <c r="G24" s="429" t="s">
        <v>624</v>
      </c>
      <c r="H24" s="432">
        <v>63</v>
      </c>
      <c r="I24" s="432">
        <v>34776</v>
      </c>
      <c r="J24" s="429">
        <v>0.54473684210526319</v>
      </c>
      <c r="K24" s="429">
        <v>552</v>
      </c>
      <c r="L24" s="432">
        <v>114</v>
      </c>
      <c r="M24" s="432">
        <v>63840</v>
      </c>
      <c r="N24" s="429">
        <v>1</v>
      </c>
      <c r="O24" s="429">
        <v>560</v>
      </c>
      <c r="P24" s="432">
        <v>139</v>
      </c>
      <c r="Q24" s="432">
        <v>77840</v>
      </c>
      <c r="R24" s="530">
        <v>1.2192982456140351</v>
      </c>
      <c r="S24" s="433">
        <v>560</v>
      </c>
    </row>
    <row r="25" spans="1:19" ht="14.4" customHeight="1" x14ac:dyDescent="0.3">
      <c r="A25" s="428" t="s">
        <v>585</v>
      </c>
      <c r="B25" s="429" t="s">
        <v>590</v>
      </c>
      <c r="C25" s="429" t="s">
        <v>450</v>
      </c>
      <c r="D25" s="429" t="s">
        <v>579</v>
      </c>
      <c r="E25" s="429" t="s">
        <v>587</v>
      </c>
      <c r="F25" s="429" t="s">
        <v>625</v>
      </c>
      <c r="G25" s="429" t="s">
        <v>626</v>
      </c>
      <c r="H25" s="432">
        <v>97</v>
      </c>
      <c r="I25" s="432">
        <v>3492</v>
      </c>
      <c r="J25" s="429">
        <v>1.1509558338826631</v>
      </c>
      <c r="K25" s="429">
        <v>36</v>
      </c>
      <c r="L25" s="432">
        <v>82</v>
      </c>
      <c r="M25" s="432">
        <v>3034</v>
      </c>
      <c r="N25" s="429">
        <v>1</v>
      </c>
      <c r="O25" s="429">
        <v>37</v>
      </c>
      <c r="P25" s="432">
        <v>91</v>
      </c>
      <c r="Q25" s="432">
        <v>3367</v>
      </c>
      <c r="R25" s="530">
        <v>1.1097560975609757</v>
      </c>
      <c r="S25" s="433">
        <v>37</v>
      </c>
    </row>
    <row r="26" spans="1:19" ht="14.4" customHeight="1" x14ac:dyDescent="0.3">
      <c r="A26" s="428" t="s">
        <v>585</v>
      </c>
      <c r="B26" s="429" t="s">
        <v>590</v>
      </c>
      <c r="C26" s="429" t="s">
        <v>450</v>
      </c>
      <c r="D26" s="429" t="s">
        <v>579</v>
      </c>
      <c r="E26" s="429" t="s">
        <v>587</v>
      </c>
      <c r="F26" s="429" t="s">
        <v>627</v>
      </c>
      <c r="G26" s="429" t="s">
        <v>628</v>
      </c>
      <c r="H26" s="432"/>
      <c r="I26" s="432"/>
      <c r="J26" s="429"/>
      <c r="K26" s="429"/>
      <c r="L26" s="432">
        <v>6</v>
      </c>
      <c r="M26" s="432">
        <v>774</v>
      </c>
      <c r="N26" s="429">
        <v>1</v>
      </c>
      <c r="O26" s="429">
        <v>129</v>
      </c>
      <c r="P26" s="432">
        <v>2</v>
      </c>
      <c r="Q26" s="432">
        <v>258</v>
      </c>
      <c r="R26" s="530">
        <v>0.33333333333333331</v>
      </c>
      <c r="S26" s="433">
        <v>129</v>
      </c>
    </row>
    <row r="27" spans="1:19" ht="14.4" customHeight="1" x14ac:dyDescent="0.3">
      <c r="A27" s="428" t="s">
        <v>585</v>
      </c>
      <c r="B27" s="429" t="s">
        <v>590</v>
      </c>
      <c r="C27" s="429" t="s">
        <v>450</v>
      </c>
      <c r="D27" s="429" t="s">
        <v>579</v>
      </c>
      <c r="E27" s="429" t="s">
        <v>587</v>
      </c>
      <c r="F27" s="429" t="s">
        <v>629</v>
      </c>
      <c r="G27" s="429" t="s">
        <v>630</v>
      </c>
      <c r="H27" s="432">
        <v>247</v>
      </c>
      <c r="I27" s="432">
        <v>105222</v>
      </c>
      <c r="J27" s="429">
        <v>0.78112333526346267</v>
      </c>
      <c r="K27" s="429">
        <v>426</v>
      </c>
      <c r="L27" s="432">
        <v>314</v>
      </c>
      <c r="M27" s="432">
        <v>134706</v>
      </c>
      <c r="N27" s="429">
        <v>1</v>
      </c>
      <c r="O27" s="429">
        <v>429</v>
      </c>
      <c r="P27" s="432">
        <v>387</v>
      </c>
      <c r="Q27" s="432">
        <v>166023</v>
      </c>
      <c r="R27" s="530">
        <v>1.2324840764331211</v>
      </c>
      <c r="S27" s="433">
        <v>429</v>
      </c>
    </row>
    <row r="28" spans="1:19" ht="14.4" customHeight="1" x14ac:dyDescent="0.3">
      <c r="A28" s="428" t="s">
        <v>585</v>
      </c>
      <c r="B28" s="429" t="s">
        <v>590</v>
      </c>
      <c r="C28" s="429" t="s">
        <v>450</v>
      </c>
      <c r="D28" s="429" t="s">
        <v>579</v>
      </c>
      <c r="E28" s="429" t="s">
        <v>587</v>
      </c>
      <c r="F28" s="429" t="s">
        <v>631</v>
      </c>
      <c r="G28" s="429" t="s">
        <v>632</v>
      </c>
      <c r="H28" s="432">
        <v>1</v>
      </c>
      <c r="I28" s="432">
        <v>1211</v>
      </c>
      <c r="J28" s="429"/>
      <c r="K28" s="429">
        <v>1211</v>
      </c>
      <c r="L28" s="432"/>
      <c r="M28" s="432"/>
      <c r="N28" s="429"/>
      <c r="O28" s="429"/>
      <c r="P28" s="432">
        <v>1</v>
      </c>
      <c r="Q28" s="432">
        <v>1245</v>
      </c>
      <c r="R28" s="530"/>
      <c r="S28" s="433">
        <v>1245</v>
      </c>
    </row>
    <row r="29" spans="1:19" ht="14.4" customHeight="1" x14ac:dyDescent="0.3">
      <c r="A29" s="428" t="s">
        <v>585</v>
      </c>
      <c r="B29" s="429" t="s">
        <v>590</v>
      </c>
      <c r="C29" s="429" t="s">
        <v>450</v>
      </c>
      <c r="D29" s="429" t="s">
        <v>579</v>
      </c>
      <c r="E29" s="429" t="s">
        <v>587</v>
      </c>
      <c r="F29" s="429" t="s">
        <v>633</v>
      </c>
      <c r="G29" s="429" t="s">
        <v>598</v>
      </c>
      <c r="H29" s="432">
        <v>1</v>
      </c>
      <c r="I29" s="432">
        <v>923</v>
      </c>
      <c r="J29" s="429"/>
      <c r="K29" s="429">
        <v>923</v>
      </c>
      <c r="L29" s="432"/>
      <c r="M29" s="432"/>
      <c r="N29" s="429"/>
      <c r="O29" s="429"/>
      <c r="P29" s="432"/>
      <c r="Q29" s="432"/>
      <c r="R29" s="530"/>
      <c r="S29" s="433"/>
    </row>
    <row r="30" spans="1:19" ht="14.4" customHeight="1" x14ac:dyDescent="0.3">
      <c r="A30" s="428" t="s">
        <v>585</v>
      </c>
      <c r="B30" s="429" t="s">
        <v>590</v>
      </c>
      <c r="C30" s="429" t="s">
        <v>450</v>
      </c>
      <c r="D30" s="429" t="s">
        <v>579</v>
      </c>
      <c r="E30" s="429" t="s">
        <v>587</v>
      </c>
      <c r="F30" s="429" t="s">
        <v>634</v>
      </c>
      <c r="G30" s="429" t="s">
        <v>635</v>
      </c>
      <c r="H30" s="432">
        <v>46</v>
      </c>
      <c r="I30" s="432">
        <v>74290</v>
      </c>
      <c r="J30" s="429">
        <v>0.57027273913610854</v>
      </c>
      <c r="K30" s="429">
        <v>1615</v>
      </c>
      <c r="L30" s="432">
        <v>79</v>
      </c>
      <c r="M30" s="432">
        <v>130271</v>
      </c>
      <c r="N30" s="429">
        <v>1</v>
      </c>
      <c r="O30" s="429">
        <v>1649</v>
      </c>
      <c r="P30" s="432">
        <v>168</v>
      </c>
      <c r="Q30" s="432">
        <v>277032</v>
      </c>
      <c r="R30" s="530">
        <v>2.1265822784810124</v>
      </c>
      <c r="S30" s="433">
        <v>1649</v>
      </c>
    </row>
    <row r="31" spans="1:19" ht="14.4" customHeight="1" thickBot="1" x14ac:dyDescent="0.35">
      <c r="A31" s="434" t="s">
        <v>585</v>
      </c>
      <c r="B31" s="435" t="s">
        <v>590</v>
      </c>
      <c r="C31" s="435" t="s">
        <v>450</v>
      </c>
      <c r="D31" s="435" t="s">
        <v>579</v>
      </c>
      <c r="E31" s="435" t="s">
        <v>587</v>
      </c>
      <c r="F31" s="435" t="s">
        <v>636</v>
      </c>
      <c r="G31" s="435" t="s">
        <v>628</v>
      </c>
      <c r="H31" s="438"/>
      <c r="I31" s="438"/>
      <c r="J31" s="435"/>
      <c r="K31" s="435"/>
      <c r="L31" s="438">
        <v>1</v>
      </c>
      <c r="M31" s="438">
        <v>240</v>
      </c>
      <c r="N31" s="435">
        <v>1</v>
      </c>
      <c r="O31" s="435">
        <v>240</v>
      </c>
      <c r="P31" s="438"/>
      <c r="Q31" s="438"/>
      <c r="R31" s="449"/>
      <c r="S31" s="439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4" bestFit="1" customWidth="1" collapsed="1"/>
    <col min="2" max="2" width="7.77734375" style="81" hidden="1" customWidth="1" outlineLevel="1"/>
    <col min="3" max="3" width="0.109375" style="104" hidden="1" customWidth="1"/>
    <col min="4" max="4" width="7.77734375" style="81" customWidth="1"/>
    <col min="5" max="5" width="5.44140625" style="104" hidden="1" customWidth="1"/>
    <col min="6" max="6" width="7.77734375" style="81" customWidth="1"/>
    <col min="7" max="7" width="7.77734375" style="183" customWidth="1" collapsed="1"/>
    <col min="8" max="8" width="7.77734375" style="81" hidden="1" customWidth="1" outlineLevel="1"/>
    <col min="9" max="9" width="5.44140625" style="104" hidden="1" customWidth="1"/>
    <col min="10" max="10" width="7.77734375" style="81" customWidth="1"/>
    <col min="11" max="11" width="5.44140625" style="104" hidden="1" customWidth="1"/>
    <col min="12" max="12" width="7.77734375" style="81" customWidth="1"/>
    <col min="13" max="13" width="7.77734375" style="183" customWidth="1" collapsed="1"/>
    <col min="14" max="14" width="7.77734375" style="81" hidden="1" customWidth="1" outlineLevel="1"/>
    <col min="15" max="15" width="5" style="104" hidden="1" customWidth="1"/>
    <col min="16" max="16" width="7.77734375" style="81" customWidth="1"/>
    <col min="17" max="17" width="5" style="104" hidden="1" customWidth="1"/>
    <col min="18" max="18" width="7.77734375" style="81" customWidth="1"/>
    <col min="19" max="19" width="7.77734375" style="183" customWidth="1"/>
    <col min="20" max="16384" width="8.88671875" style="104"/>
  </cols>
  <sheetData>
    <row r="1" spans="1:19" ht="18.600000000000001" customHeight="1" thickBot="1" x14ac:dyDescent="0.4">
      <c r="A1" s="326" t="s">
        <v>111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</row>
    <row r="2" spans="1:19" ht="14.4" customHeight="1" thickBot="1" x14ac:dyDescent="0.35">
      <c r="A2" s="203" t="s">
        <v>261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112</v>
      </c>
      <c r="B3" s="189">
        <f>SUBTOTAL(9,B6:B1048576)</f>
        <v>349476</v>
      </c>
      <c r="C3" s="190">
        <f t="shared" ref="C3:R3" si="0">SUBTOTAL(9,C6:C1048576)</f>
        <v>19.538393875511971</v>
      </c>
      <c r="D3" s="190">
        <f t="shared" si="0"/>
        <v>375849</v>
      </c>
      <c r="E3" s="190">
        <f t="shared" si="0"/>
        <v>10</v>
      </c>
      <c r="F3" s="190">
        <f t="shared" si="0"/>
        <v>526224</v>
      </c>
      <c r="G3" s="193">
        <f>IF(D3&lt;&gt;0,F3/D3,"")</f>
        <v>1.4000941867611727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IF(J3&lt;&gt;0,L3/J3,"")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IF(P3&lt;&gt;0,R3/P3,"")</f>
        <v/>
      </c>
    </row>
    <row r="4" spans="1:19" ht="14.4" customHeight="1" x14ac:dyDescent="0.3">
      <c r="A4" s="363" t="s">
        <v>91</v>
      </c>
      <c r="B4" s="364" t="s">
        <v>85</v>
      </c>
      <c r="C4" s="365"/>
      <c r="D4" s="365"/>
      <c r="E4" s="365"/>
      <c r="F4" s="365"/>
      <c r="G4" s="367"/>
      <c r="H4" s="364" t="s">
        <v>86</v>
      </c>
      <c r="I4" s="365"/>
      <c r="J4" s="365"/>
      <c r="K4" s="365"/>
      <c r="L4" s="365"/>
      <c r="M4" s="367"/>
      <c r="N4" s="364" t="s">
        <v>87</v>
      </c>
      <c r="O4" s="365"/>
      <c r="P4" s="365"/>
      <c r="Q4" s="365"/>
      <c r="R4" s="365"/>
      <c r="S4" s="367"/>
    </row>
    <row r="5" spans="1:19" ht="14.4" customHeight="1" thickBot="1" x14ac:dyDescent="0.35">
      <c r="A5" s="492"/>
      <c r="B5" s="493">
        <v>2015</v>
      </c>
      <c r="C5" s="494"/>
      <c r="D5" s="494">
        <v>2016</v>
      </c>
      <c r="E5" s="494"/>
      <c r="F5" s="494">
        <v>2017</v>
      </c>
      <c r="G5" s="532" t="s">
        <v>2</v>
      </c>
      <c r="H5" s="493">
        <v>2015</v>
      </c>
      <c r="I5" s="494"/>
      <c r="J5" s="494">
        <v>2016</v>
      </c>
      <c r="K5" s="494"/>
      <c r="L5" s="494">
        <v>2017</v>
      </c>
      <c r="M5" s="532" t="s">
        <v>2</v>
      </c>
      <c r="N5" s="493">
        <v>2015</v>
      </c>
      <c r="O5" s="494"/>
      <c r="P5" s="494">
        <v>2016</v>
      </c>
      <c r="Q5" s="494"/>
      <c r="R5" s="494">
        <v>2017</v>
      </c>
      <c r="S5" s="532" t="s">
        <v>2</v>
      </c>
    </row>
    <row r="6" spans="1:19" ht="14.4" customHeight="1" x14ac:dyDescent="0.3">
      <c r="A6" s="446" t="s">
        <v>639</v>
      </c>
      <c r="B6" s="533"/>
      <c r="C6" s="423"/>
      <c r="D6" s="533">
        <v>21792</v>
      </c>
      <c r="E6" s="423">
        <v>1</v>
      </c>
      <c r="F6" s="533">
        <v>514</v>
      </c>
      <c r="G6" s="447">
        <v>2.3586637298091042E-2</v>
      </c>
      <c r="H6" s="533"/>
      <c r="I6" s="423"/>
      <c r="J6" s="533"/>
      <c r="K6" s="423"/>
      <c r="L6" s="533"/>
      <c r="M6" s="447"/>
      <c r="N6" s="533"/>
      <c r="O6" s="423"/>
      <c r="P6" s="533"/>
      <c r="Q6" s="423"/>
      <c r="R6" s="533"/>
      <c r="S6" s="448"/>
    </row>
    <row r="7" spans="1:19" ht="14.4" customHeight="1" x14ac:dyDescent="0.3">
      <c r="A7" s="537" t="s">
        <v>640</v>
      </c>
      <c r="B7" s="534">
        <v>34142</v>
      </c>
      <c r="C7" s="429">
        <v>2.0902412146443003</v>
      </c>
      <c r="D7" s="534">
        <v>16334</v>
      </c>
      <c r="E7" s="429">
        <v>1</v>
      </c>
      <c r="F7" s="534">
        <v>68083</v>
      </c>
      <c r="G7" s="530">
        <v>4.1681768091098323</v>
      </c>
      <c r="H7" s="534"/>
      <c r="I7" s="429"/>
      <c r="J7" s="534"/>
      <c r="K7" s="429"/>
      <c r="L7" s="534"/>
      <c r="M7" s="530"/>
      <c r="N7" s="534"/>
      <c r="O7" s="429"/>
      <c r="P7" s="534"/>
      <c r="Q7" s="429"/>
      <c r="R7" s="534"/>
      <c r="S7" s="535"/>
    </row>
    <row r="8" spans="1:19" ht="14.4" customHeight="1" x14ac:dyDescent="0.3">
      <c r="A8" s="537" t="s">
        <v>641</v>
      </c>
      <c r="B8" s="534">
        <v>68205</v>
      </c>
      <c r="C8" s="429">
        <v>0.61812925385849327</v>
      </c>
      <c r="D8" s="534">
        <v>110341</v>
      </c>
      <c r="E8" s="429">
        <v>1</v>
      </c>
      <c r="F8" s="534">
        <v>77802</v>
      </c>
      <c r="G8" s="530">
        <v>0.70510508333257815</v>
      </c>
      <c r="H8" s="534"/>
      <c r="I8" s="429"/>
      <c r="J8" s="534"/>
      <c r="K8" s="429"/>
      <c r="L8" s="534"/>
      <c r="M8" s="530"/>
      <c r="N8" s="534"/>
      <c r="O8" s="429"/>
      <c r="P8" s="534"/>
      <c r="Q8" s="429"/>
      <c r="R8" s="534"/>
      <c r="S8" s="535"/>
    </row>
    <row r="9" spans="1:19" ht="14.4" customHeight="1" x14ac:dyDescent="0.3">
      <c r="A9" s="537" t="s">
        <v>642</v>
      </c>
      <c r="B9" s="534">
        <v>5062</v>
      </c>
      <c r="C9" s="429">
        <v>0.16570100494287865</v>
      </c>
      <c r="D9" s="534">
        <v>30549</v>
      </c>
      <c r="E9" s="429">
        <v>1</v>
      </c>
      <c r="F9" s="534">
        <v>47426</v>
      </c>
      <c r="G9" s="530">
        <v>1.5524567088939081</v>
      </c>
      <c r="H9" s="534"/>
      <c r="I9" s="429"/>
      <c r="J9" s="534"/>
      <c r="K9" s="429"/>
      <c r="L9" s="534"/>
      <c r="M9" s="530"/>
      <c r="N9" s="534"/>
      <c r="O9" s="429"/>
      <c r="P9" s="534"/>
      <c r="Q9" s="429"/>
      <c r="R9" s="534"/>
      <c r="S9" s="535"/>
    </row>
    <row r="10" spans="1:19" ht="14.4" customHeight="1" x14ac:dyDescent="0.3">
      <c r="A10" s="537" t="s">
        <v>643</v>
      </c>
      <c r="B10" s="534">
        <v>61402</v>
      </c>
      <c r="C10" s="429">
        <v>2.9011103236475315</v>
      </c>
      <c r="D10" s="534">
        <v>21165</v>
      </c>
      <c r="E10" s="429">
        <v>1</v>
      </c>
      <c r="F10" s="534">
        <v>38239</v>
      </c>
      <c r="G10" s="530">
        <v>1.8067091896999763</v>
      </c>
      <c r="H10" s="534"/>
      <c r="I10" s="429"/>
      <c r="J10" s="534"/>
      <c r="K10" s="429"/>
      <c r="L10" s="534"/>
      <c r="M10" s="530"/>
      <c r="N10" s="534"/>
      <c r="O10" s="429"/>
      <c r="P10" s="534"/>
      <c r="Q10" s="429"/>
      <c r="R10" s="534"/>
      <c r="S10" s="535"/>
    </row>
    <row r="11" spans="1:19" ht="14.4" customHeight="1" x14ac:dyDescent="0.3">
      <c r="A11" s="537" t="s">
        <v>644</v>
      </c>
      <c r="B11" s="534">
        <v>17603</v>
      </c>
      <c r="C11" s="429"/>
      <c r="D11" s="534"/>
      <c r="E11" s="429"/>
      <c r="F11" s="534">
        <v>2209</v>
      </c>
      <c r="G11" s="530"/>
      <c r="H11" s="534"/>
      <c r="I11" s="429"/>
      <c r="J11" s="534"/>
      <c r="K11" s="429"/>
      <c r="L11" s="534"/>
      <c r="M11" s="530"/>
      <c r="N11" s="534"/>
      <c r="O11" s="429"/>
      <c r="P11" s="534"/>
      <c r="Q11" s="429"/>
      <c r="R11" s="534"/>
      <c r="S11" s="535"/>
    </row>
    <row r="12" spans="1:19" ht="14.4" customHeight="1" x14ac:dyDescent="0.3">
      <c r="A12" s="537" t="s">
        <v>645</v>
      </c>
      <c r="B12" s="534">
        <v>22413</v>
      </c>
      <c r="C12" s="429">
        <v>10.785851780558229</v>
      </c>
      <c r="D12" s="534">
        <v>2078</v>
      </c>
      <c r="E12" s="429">
        <v>1</v>
      </c>
      <c r="F12" s="534">
        <v>429</v>
      </c>
      <c r="G12" s="530">
        <v>0.20644850818094321</v>
      </c>
      <c r="H12" s="534"/>
      <c r="I12" s="429"/>
      <c r="J12" s="534"/>
      <c r="K12" s="429"/>
      <c r="L12" s="534"/>
      <c r="M12" s="530"/>
      <c r="N12" s="534"/>
      <c r="O12" s="429"/>
      <c r="P12" s="534"/>
      <c r="Q12" s="429"/>
      <c r="R12" s="534"/>
      <c r="S12" s="535"/>
    </row>
    <row r="13" spans="1:19" ht="14.4" customHeight="1" x14ac:dyDescent="0.3">
      <c r="A13" s="537" t="s">
        <v>646</v>
      </c>
      <c r="B13" s="534">
        <v>32902</v>
      </c>
      <c r="C13" s="429">
        <v>0.42343281469183947</v>
      </c>
      <c r="D13" s="534">
        <v>77703</v>
      </c>
      <c r="E13" s="429">
        <v>1</v>
      </c>
      <c r="F13" s="534">
        <v>159435</v>
      </c>
      <c r="G13" s="530">
        <v>2.0518512798733641</v>
      </c>
      <c r="H13" s="534"/>
      <c r="I13" s="429"/>
      <c r="J13" s="534"/>
      <c r="K13" s="429"/>
      <c r="L13" s="534"/>
      <c r="M13" s="530"/>
      <c r="N13" s="534"/>
      <c r="O13" s="429"/>
      <c r="P13" s="534"/>
      <c r="Q13" s="429"/>
      <c r="R13" s="534"/>
      <c r="S13" s="535"/>
    </row>
    <row r="14" spans="1:19" ht="14.4" customHeight="1" x14ac:dyDescent="0.3">
      <c r="A14" s="537" t="s">
        <v>647</v>
      </c>
      <c r="B14" s="534">
        <v>11555</v>
      </c>
      <c r="C14" s="429"/>
      <c r="D14" s="534"/>
      <c r="E14" s="429"/>
      <c r="F14" s="534"/>
      <c r="G14" s="530"/>
      <c r="H14" s="534"/>
      <c r="I14" s="429"/>
      <c r="J14" s="534"/>
      <c r="K14" s="429"/>
      <c r="L14" s="534"/>
      <c r="M14" s="530"/>
      <c r="N14" s="534"/>
      <c r="O14" s="429"/>
      <c r="P14" s="534"/>
      <c r="Q14" s="429"/>
      <c r="R14" s="534"/>
      <c r="S14" s="535"/>
    </row>
    <row r="15" spans="1:19" ht="14.4" customHeight="1" x14ac:dyDescent="0.3">
      <c r="A15" s="537" t="s">
        <v>648</v>
      </c>
      <c r="B15" s="534">
        <v>46347</v>
      </c>
      <c r="C15" s="429">
        <v>1.7262095422548325</v>
      </c>
      <c r="D15" s="534">
        <v>26849</v>
      </c>
      <c r="E15" s="429">
        <v>1</v>
      </c>
      <c r="F15" s="534">
        <v>34167</v>
      </c>
      <c r="G15" s="530">
        <v>1.2725613616894484</v>
      </c>
      <c r="H15" s="534"/>
      <c r="I15" s="429"/>
      <c r="J15" s="534"/>
      <c r="K15" s="429"/>
      <c r="L15" s="534"/>
      <c r="M15" s="530"/>
      <c r="N15" s="534"/>
      <c r="O15" s="429"/>
      <c r="P15" s="534"/>
      <c r="Q15" s="429"/>
      <c r="R15" s="534"/>
      <c r="S15" s="535"/>
    </row>
    <row r="16" spans="1:19" ht="14.4" customHeight="1" x14ac:dyDescent="0.3">
      <c r="A16" s="537" t="s">
        <v>649</v>
      </c>
      <c r="B16" s="534">
        <v>17958</v>
      </c>
      <c r="C16" s="429">
        <v>0.4206507226347474</v>
      </c>
      <c r="D16" s="534">
        <v>42691</v>
      </c>
      <c r="E16" s="429">
        <v>1</v>
      </c>
      <c r="F16" s="534">
        <v>94349</v>
      </c>
      <c r="G16" s="530">
        <v>2.2100442716263382</v>
      </c>
      <c r="H16" s="534"/>
      <c r="I16" s="429"/>
      <c r="J16" s="534"/>
      <c r="K16" s="429"/>
      <c r="L16" s="534"/>
      <c r="M16" s="530"/>
      <c r="N16" s="534"/>
      <c r="O16" s="429"/>
      <c r="P16" s="534"/>
      <c r="Q16" s="429"/>
      <c r="R16" s="534"/>
      <c r="S16" s="535"/>
    </row>
    <row r="17" spans="1:19" ht="14.4" customHeight="1" x14ac:dyDescent="0.3">
      <c r="A17" s="537" t="s">
        <v>650</v>
      </c>
      <c r="B17" s="534"/>
      <c r="C17" s="429"/>
      <c r="D17" s="534"/>
      <c r="E17" s="429"/>
      <c r="F17" s="534">
        <v>1571</v>
      </c>
      <c r="G17" s="530"/>
      <c r="H17" s="534"/>
      <c r="I17" s="429"/>
      <c r="J17" s="534"/>
      <c r="K17" s="429"/>
      <c r="L17" s="534"/>
      <c r="M17" s="530"/>
      <c r="N17" s="534"/>
      <c r="O17" s="429"/>
      <c r="P17" s="534"/>
      <c r="Q17" s="429"/>
      <c r="R17" s="534"/>
      <c r="S17" s="535"/>
    </row>
    <row r="18" spans="1:19" ht="14.4" customHeight="1" x14ac:dyDescent="0.3">
      <c r="A18" s="537" t="s">
        <v>651</v>
      </c>
      <c r="B18" s="534">
        <v>10725</v>
      </c>
      <c r="C18" s="429"/>
      <c r="D18" s="534"/>
      <c r="E18" s="429"/>
      <c r="F18" s="534">
        <v>1571</v>
      </c>
      <c r="G18" s="530"/>
      <c r="H18" s="534"/>
      <c r="I18" s="429"/>
      <c r="J18" s="534"/>
      <c r="K18" s="429"/>
      <c r="L18" s="534"/>
      <c r="M18" s="530"/>
      <c r="N18" s="534"/>
      <c r="O18" s="429"/>
      <c r="P18" s="534"/>
      <c r="Q18" s="429"/>
      <c r="R18" s="534"/>
      <c r="S18" s="535"/>
    </row>
    <row r="19" spans="1:19" ht="14.4" customHeight="1" x14ac:dyDescent="0.3">
      <c r="A19" s="537" t="s">
        <v>652</v>
      </c>
      <c r="B19" s="534"/>
      <c r="C19" s="429"/>
      <c r="D19" s="534"/>
      <c r="E19" s="429"/>
      <c r="F19" s="534">
        <v>429</v>
      </c>
      <c r="G19" s="530"/>
      <c r="H19" s="534"/>
      <c r="I19" s="429"/>
      <c r="J19" s="534"/>
      <c r="K19" s="429"/>
      <c r="L19" s="534"/>
      <c r="M19" s="530"/>
      <c r="N19" s="534"/>
      <c r="O19" s="429"/>
      <c r="P19" s="534"/>
      <c r="Q19" s="429"/>
      <c r="R19" s="534"/>
      <c r="S19" s="535"/>
    </row>
    <row r="20" spans="1:19" ht="14.4" customHeight="1" x14ac:dyDescent="0.3">
      <c r="A20" s="537" t="s">
        <v>653</v>
      </c>
      <c r="B20" s="534">
        <v>10437</v>
      </c>
      <c r="C20" s="429"/>
      <c r="D20" s="534"/>
      <c r="E20" s="429"/>
      <c r="F20" s="534"/>
      <c r="G20" s="530"/>
      <c r="H20" s="534"/>
      <c r="I20" s="429"/>
      <c r="J20" s="534"/>
      <c r="K20" s="429"/>
      <c r="L20" s="534"/>
      <c r="M20" s="530"/>
      <c r="N20" s="534"/>
      <c r="O20" s="429"/>
      <c r="P20" s="534"/>
      <c r="Q20" s="429"/>
      <c r="R20" s="534"/>
      <c r="S20" s="535"/>
    </row>
    <row r="21" spans="1:19" ht="14.4" customHeight="1" thickBot="1" x14ac:dyDescent="0.35">
      <c r="A21" s="538" t="s">
        <v>654</v>
      </c>
      <c r="B21" s="536">
        <v>10725</v>
      </c>
      <c r="C21" s="435">
        <v>0.40706721827912096</v>
      </c>
      <c r="D21" s="536">
        <v>26347</v>
      </c>
      <c r="E21" s="435">
        <v>1</v>
      </c>
      <c r="F21" s="536"/>
      <c r="G21" s="449"/>
      <c r="H21" s="536"/>
      <c r="I21" s="435"/>
      <c r="J21" s="536"/>
      <c r="K21" s="435"/>
      <c r="L21" s="536"/>
      <c r="M21" s="449"/>
      <c r="N21" s="536"/>
      <c r="O21" s="435"/>
      <c r="P21" s="536"/>
      <c r="Q21" s="435"/>
      <c r="R21" s="536"/>
      <c r="S21" s="45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3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4" bestFit="1" customWidth="1"/>
    <col min="2" max="2" width="8.6640625" style="104" bestFit="1" customWidth="1"/>
    <col min="3" max="3" width="2.109375" style="104" bestFit="1" customWidth="1"/>
    <col min="4" max="4" width="8" style="104" bestFit="1" customWidth="1"/>
    <col min="5" max="5" width="52.88671875" style="104" bestFit="1" customWidth="1" collapsed="1"/>
    <col min="6" max="7" width="11.109375" style="180" hidden="1" customWidth="1" outlineLevel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4"/>
  </cols>
  <sheetData>
    <row r="1" spans="1:17" ht="18.600000000000001" customHeight="1" thickBot="1" x14ac:dyDescent="0.4">
      <c r="A1" s="314" t="s">
        <v>672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</row>
    <row r="2" spans="1:17" ht="14.4" customHeight="1" thickBot="1" x14ac:dyDescent="0.35">
      <c r="A2" s="203" t="s">
        <v>261</v>
      </c>
      <c r="B2" s="105"/>
      <c r="C2" s="105"/>
      <c r="D2" s="105"/>
      <c r="E2" s="105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368</v>
      </c>
      <c r="G3" s="78">
        <f t="shared" si="0"/>
        <v>349476</v>
      </c>
      <c r="H3" s="78"/>
      <c r="I3" s="78"/>
      <c r="J3" s="78">
        <f t="shared" si="0"/>
        <v>308</v>
      </c>
      <c r="K3" s="78">
        <f t="shared" si="0"/>
        <v>375849</v>
      </c>
      <c r="L3" s="78"/>
      <c r="M3" s="78"/>
      <c r="N3" s="78">
        <f t="shared" si="0"/>
        <v>509</v>
      </c>
      <c r="O3" s="78">
        <f t="shared" si="0"/>
        <v>526224</v>
      </c>
      <c r="P3" s="59">
        <f>IF(K3=0,0,O3/K3)</f>
        <v>1.4000941867611727</v>
      </c>
      <c r="Q3" s="79">
        <f>IF(N3=0,0,O3/N3)</f>
        <v>1033.8388998035364</v>
      </c>
    </row>
    <row r="4" spans="1:17" ht="14.4" customHeight="1" x14ac:dyDescent="0.3">
      <c r="A4" s="372" t="s">
        <v>55</v>
      </c>
      <c r="B4" s="370" t="s">
        <v>81</v>
      </c>
      <c r="C4" s="372" t="s">
        <v>82</v>
      </c>
      <c r="D4" s="381" t="s">
        <v>83</v>
      </c>
      <c r="E4" s="373" t="s">
        <v>56</v>
      </c>
      <c r="F4" s="379">
        <v>2015</v>
      </c>
      <c r="G4" s="380"/>
      <c r="H4" s="80"/>
      <c r="I4" s="80"/>
      <c r="J4" s="379">
        <v>2016</v>
      </c>
      <c r="K4" s="380"/>
      <c r="L4" s="80"/>
      <c r="M4" s="80"/>
      <c r="N4" s="379">
        <v>2017</v>
      </c>
      <c r="O4" s="380"/>
      <c r="P4" s="382" t="s">
        <v>2</v>
      </c>
      <c r="Q4" s="371" t="s">
        <v>84</v>
      </c>
    </row>
    <row r="5" spans="1:17" ht="14.4" customHeight="1" thickBot="1" x14ac:dyDescent="0.35">
      <c r="A5" s="522"/>
      <c r="B5" s="520"/>
      <c r="C5" s="522"/>
      <c r="D5" s="539"/>
      <c r="E5" s="524"/>
      <c r="F5" s="540" t="s">
        <v>58</v>
      </c>
      <c r="G5" s="541" t="s">
        <v>14</v>
      </c>
      <c r="H5" s="542"/>
      <c r="I5" s="542"/>
      <c r="J5" s="540" t="s">
        <v>58</v>
      </c>
      <c r="K5" s="541" t="s">
        <v>14</v>
      </c>
      <c r="L5" s="542"/>
      <c r="M5" s="542"/>
      <c r="N5" s="540" t="s">
        <v>58</v>
      </c>
      <c r="O5" s="541" t="s">
        <v>14</v>
      </c>
      <c r="P5" s="543"/>
      <c r="Q5" s="529"/>
    </row>
    <row r="6" spans="1:17" ht="14.4" customHeight="1" x14ac:dyDescent="0.3">
      <c r="A6" s="422" t="s">
        <v>655</v>
      </c>
      <c r="B6" s="423" t="s">
        <v>586</v>
      </c>
      <c r="C6" s="423" t="s">
        <v>587</v>
      </c>
      <c r="D6" s="423" t="s">
        <v>588</v>
      </c>
      <c r="E6" s="423" t="s">
        <v>589</v>
      </c>
      <c r="F6" s="426"/>
      <c r="G6" s="426"/>
      <c r="H6" s="426"/>
      <c r="I6" s="426"/>
      <c r="J6" s="426">
        <v>1</v>
      </c>
      <c r="K6" s="426">
        <v>11403</v>
      </c>
      <c r="L6" s="426">
        <v>1</v>
      </c>
      <c r="M6" s="426">
        <v>11403</v>
      </c>
      <c r="N6" s="426"/>
      <c r="O6" s="426"/>
      <c r="P6" s="447"/>
      <c r="Q6" s="427"/>
    </row>
    <row r="7" spans="1:17" ht="14.4" customHeight="1" x14ac:dyDescent="0.3">
      <c r="A7" s="428" t="s">
        <v>655</v>
      </c>
      <c r="B7" s="429" t="s">
        <v>590</v>
      </c>
      <c r="C7" s="429" t="s">
        <v>587</v>
      </c>
      <c r="D7" s="429" t="s">
        <v>599</v>
      </c>
      <c r="E7" s="429" t="s">
        <v>600</v>
      </c>
      <c r="F7" s="432"/>
      <c r="G7" s="432"/>
      <c r="H7" s="432"/>
      <c r="I7" s="432"/>
      <c r="J7" s="432">
        <v>1</v>
      </c>
      <c r="K7" s="432">
        <v>3823</v>
      </c>
      <c r="L7" s="432">
        <v>1</v>
      </c>
      <c r="M7" s="432">
        <v>3823</v>
      </c>
      <c r="N7" s="432"/>
      <c r="O7" s="432"/>
      <c r="P7" s="530"/>
      <c r="Q7" s="433"/>
    </row>
    <row r="8" spans="1:17" ht="14.4" customHeight="1" x14ac:dyDescent="0.3">
      <c r="A8" s="428" t="s">
        <v>655</v>
      </c>
      <c r="B8" s="429" t="s">
        <v>590</v>
      </c>
      <c r="C8" s="429" t="s">
        <v>587</v>
      </c>
      <c r="D8" s="429" t="s">
        <v>601</v>
      </c>
      <c r="E8" s="429" t="s">
        <v>602</v>
      </c>
      <c r="F8" s="432"/>
      <c r="G8" s="432"/>
      <c r="H8" s="432"/>
      <c r="I8" s="432"/>
      <c r="J8" s="432"/>
      <c r="K8" s="432"/>
      <c r="L8" s="432"/>
      <c r="M8" s="432"/>
      <c r="N8" s="432">
        <v>1</v>
      </c>
      <c r="O8" s="432">
        <v>445</v>
      </c>
      <c r="P8" s="530"/>
      <c r="Q8" s="433">
        <v>445</v>
      </c>
    </row>
    <row r="9" spans="1:17" ht="14.4" customHeight="1" x14ac:dyDescent="0.3">
      <c r="A9" s="428" t="s">
        <v>655</v>
      </c>
      <c r="B9" s="429" t="s">
        <v>590</v>
      </c>
      <c r="C9" s="429" t="s">
        <v>587</v>
      </c>
      <c r="D9" s="429" t="s">
        <v>611</v>
      </c>
      <c r="E9" s="429" t="s">
        <v>612</v>
      </c>
      <c r="F9" s="432"/>
      <c r="G9" s="432"/>
      <c r="H9" s="432"/>
      <c r="I9" s="432"/>
      <c r="J9" s="432">
        <v>1</v>
      </c>
      <c r="K9" s="432">
        <v>17</v>
      </c>
      <c r="L9" s="432">
        <v>1</v>
      </c>
      <c r="M9" s="432">
        <v>17</v>
      </c>
      <c r="N9" s="432"/>
      <c r="O9" s="432"/>
      <c r="P9" s="530"/>
      <c r="Q9" s="433"/>
    </row>
    <row r="10" spans="1:17" ht="14.4" customHeight="1" x14ac:dyDescent="0.3">
      <c r="A10" s="428" t="s">
        <v>655</v>
      </c>
      <c r="B10" s="429" t="s">
        <v>590</v>
      </c>
      <c r="C10" s="429" t="s">
        <v>587</v>
      </c>
      <c r="D10" s="429" t="s">
        <v>613</v>
      </c>
      <c r="E10" s="429" t="s">
        <v>602</v>
      </c>
      <c r="F10" s="432"/>
      <c r="G10" s="432"/>
      <c r="H10" s="432"/>
      <c r="I10" s="432"/>
      <c r="J10" s="432">
        <v>2</v>
      </c>
      <c r="K10" s="432">
        <v>1416</v>
      </c>
      <c r="L10" s="432">
        <v>1</v>
      </c>
      <c r="M10" s="432">
        <v>708</v>
      </c>
      <c r="N10" s="432"/>
      <c r="O10" s="432"/>
      <c r="P10" s="530"/>
      <c r="Q10" s="433"/>
    </row>
    <row r="11" spans="1:17" ht="14.4" customHeight="1" x14ac:dyDescent="0.3">
      <c r="A11" s="428" t="s">
        <v>655</v>
      </c>
      <c r="B11" s="429" t="s">
        <v>590</v>
      </c>
      <c r="C11" s="429" t="s">
        <v>587</v>
      </c>
      <c r="D11" s="429" t="s">
        <v>614</v>
      </c>
      <c r="E11" s="429" t="s">
        <v>604</v>
      </c>
      <c r="F11" s="432"/>
      <c r="G11" s="432"/>
      <c r="H11" s="432"/>
      <c r="I11" s="432"/>
      <c r="J11" s="432">
        <v>1</v>
      </c>
      <c r="K11" s="432">
        <v>1438</v>
      </c>
      <c r="L11" s="432">
        <v>1</v>
      </c>
      <c r="M11" s="432">
        <v>1438</v>
      </c>
      <c r="N11" s="432"/>
      <c r="O11" s="432"/>
      <c r="P11" s="530"/>
      <c r="Q11" s="433"/>
    </row>
    <row r="12" spans="1:17" ht="14.4" customHeight="1" x14ac:dyDescent="0.3">
      <c r="A12" s="428" t="s">
        <v>655</v>
      </c>
      <c r="B12" s="429" t="s">
        <v>590</v>
      </c>
      <c r="C12" s="429" t="s">
        <v>587</v>
      </c>
      <c r="D12" s="429" t="s">
        <v>615</v>
      </c>
      <c r="E12" s="429" t="s">
        <v>616</v>
      </c>
      <c r="F12" s="432"/>
      <c r="G12" s="432"/>
      <c r="H12" s="432"/>
      <c r="I12" s="432"/>
      <c r="J12" s="432">
        <v>1</v>
      </c>
      <c r="K12" s="432">
        <v>2437</v>
      </c>
      <c r="L12" s="432">
        <v>1</v>
      </c>
      <c r="M12" s="432">
        <v>2437</v>
      </c>
      <c r="N12" s="432"/>
      <c r="O12" s="432"/>
      <c r="P12" s="530"/>
      <c r="Q12" s="433"/>
    </row>
    <row r="13" spans="1:17" ht="14.4" customHeight="1" x14ac:dyDescent="0.3">
      <c r="A13" s="428" t="s">
        <v>655</v>
      </c>
      <c r="B13" s="429" t="s">
        <v>590</v>
      </c>
      <c r="C13" s="429" t="s">
        <v>587</v>
      </c>
      <c r="D13" s="429" t="s">
        <v>617</v>
      </c>
      <c r="E13" s="429" t="s">
        <v>618</v>
      </c>
      <c r="F13" s="432"/>
      <c r="G13" s="432"/>
      <c r="H13" s="432"/>
      <c r="I13" s="432"/>
      <c r="J13" s="432">
        <v>2</v>
      </c>
      <c r="K13" s="432">
        <v>138</v>
      </c>
      <c r="L13" s="432">
        <v>1</v>
      </c>
      <c r="M13" s="432">
        <v>69</v>
      </c>
      <c r="N13" s="432">
        <v>1</v>
      </c>
      <c r="O13" s="432">
        <v>69</v>
      </c>
      <c r="P13" s="530">
        <v>0.5</v>
      </c>
      <c r="Q13" s="433">
        <v>69</v>
      </c>
    </row>
    <row r="14" spans="1:17" ht="14.4" customHeight="1" x14ac:dyDescent="0.3">
      <c r="A14" s="428" t="s">
        <v>655</v>
      </c>
      <c r="B14" s="429" t="s">
        <v>590</v>
      </c>
      <c r="C14" s="429" t="s">
        <v>587</v>
      </c>
      <c r="D14" s="429" t="s">
        <v>623</v>
      </c>
      <c r="E14" s="429" t="s">
        <v>624</v>
      </c>
      <c r="F14" s="432"/>
      <c r="G14" s="432"/>
      <c r="H14" s="432"/>
      <c r="I14" s="432"/>
      <c r="J14" s="432">
        <v>2</v>
      </c>
      <c r="K14" s="432">
        <v>1120</v>
      </c>
      <c r="L14" s="432">
        <v>1</v>
      </c>
      <c r="M14" s="432">
        <v>560</v>
      </c>
      <c r="N14" s="432"/>
      <c r="O14" s="432"/>
      <c r="P14" s="530"/>
      <c r="Q14" s="433"/>
    </row>
    <row r="15" spans="1:17" ht="14.4" customHeight="1" x14ac:dyDescent="0.3">
      <c r="A15" s="428" t="s">
        <v>656</v>
      </c>
      <c r="B15" s="429" t="s">
        <v>586</v>
      </c>
      <c r="C15" s="429" t="s">
        <v>587</v>
      </c>
      <c r="D15" s="429" t="s">
        <v>588</v>
      </c>
      <c r="E15" s="429" t="s">
        <v>589</v>
      </c>
      <c r="F15" s="432"/>
      <c r="G15" s="432"/>
      <c r="H15" s="432"/>
      <c r="I15" s="432"/>
      <c r="J15" s="432">
        <v>1</v>
      </c>
      <c r="K15" s="432">
        <v>11403</v>
      </c>
      <c r="L15" s="432">
        <v>1</v>
      </c>
      <c r="M15" s="432">
        <v>11403</v>
      </c>
      <c r="N15" s="432"/>
      <c r="O15" s="432"/>
      <c r="P15" s="530"/>
      <c r="Q15" s="433"/>
    </row>
    <row r="16" spans="1:17" ht="14.4" customHeight="1" x14ac:dyDescent="0.3">
      <c r="A16" s="428" t="s">
        <v>656</v>
      </c>
      <c r="B16" s="429" t="s">
        <v>590</v>
      </c>
      <c r="C16" s="429" t="s">
        <v>587</v>
      </c>
      <c r="D16" s="429" t="s">
        <v>599</v>
      </c>
      <c r="E16" s="429" t="s">
        <v>600</v>
      </c>
      <c r="F16" s="432">
        <v>3</v>
      </c>
      <c r="G16" s="432">
        <v>11163</v>
      </c>
      <c r="H16" s="432"/>
      <c r="I16" s="432">
        <v>3721</v>
      </c>
      <c r="J16" s="432"/>
      <c r="K16" s="432"/>
      <c r="L16" s="432"/>
      <c r="M16" s="432"/>
      <c r="N16" s="432">
        <v>6</v>
      </c>
      <c r="O16" s="432">
        <v>22950</v>
      </c>
      <c r="P16" s="530"/>
      <c r="Q16" s="433">
        <v>3825</v>
      </c>
    </row>
    <row r="17" spans="1:17" ht="14.4" customHeight="1" x14ac:dyDescent="0.3">
      <c r="A17" s="428" t="s">
        <v>656</v>
      </c>
      <c r="B17" s="429" t="s">
        <v>590</v>
      </c>
      <c r="C17" s="429" t="s">
        <v>587</v>
      </c>
      <c r="D17" s="429" t="s">
        <v>605</v>
      </c>
      <c r="E17" s="429" t="s">
        <v>606</v>
      </c>
      <c r="F17" s="432">
        <v>1</v>
      </c>
      <c r="G17" s="432">
        <v>1621</v>
      </c>
      <c r="H17" s="432"/>
      <c r="I17" s="432">
        <v>1621</v>
      </c>
      <c r="J17" s="432"/>
      <c r="K17" s="432"/>
      <c r="L17" s="432"/>
      <c r="M17" s="432"/>
      <c r="N17" s="432">
        <v>1</v>
      </c>
      <c r="O17" s="432">
        <v>1655</v>
      </c>
      <c r="P17" s="530"/>
      <c r="Q17" s="433">
        <v>1655</v>
      </c>
    </row>
    <row r="18" spans="1:17" ht="14.4" customHeight="1" x14ac:dyDescent="0.3">
      <c r="A18" s="428" t="s">
        <v>656</v>
      </c>
      <c r="B18" s="429" t="s">
        <v>590</v>
      </c>
      <c r="C18" s="429" t="s">
        <v>587</v>
      </c>
      <c r="D18" s="429" t="s">
        <v>611</v>
      </c>
      <c r="E18" s="429" t="s">
        <v>612</v>
      </c>
      <c r="F18" s="432">
        <v>2</v>
      </c>
      <c r="G18" s="432">
        <v>32</v>
      </c>
      <c r="H18" s="432">
        <v>1.8823529411764706</v>
      </c>
      <c r="I18" s="432">
        <v>16</v>
      </c>
      <c r="J18" s="432">
        <v>1</v>
      </c>
      <c r="K18" s="432">
        <v>17</v>
      </c>
      <c r="L18" s="432">
        <v>1</v>
      </c>
      <c r="M18" s="432">
        <v>17</v>
      </c>
      <c r="N18" s="432">
        <v>2</v>
      </c>
      <c r="O18" s="432">
        <v>34</v>
      </c>
      <c r="P18" s="530">
        <v>2</v>
      </c>
      <c r="Q18" s="433">
        <v>17</v>
      </c>
    </row>
    <row r="19" spans="1:17" ht="14.4" customHeight="1" x14ac:dyDescent="0.3">
      <c r="A19" s="428" t="s">
        <v>656</v>
      </c>
      <c r="B19" s="429" t="s">
        <v>590</v>
      </c>
      <c r="C19" s="429" t="s">
        <v>587</v>
      </c>
      <c r="D19" s="429" t="s">
        <v>613</v>
      </c>
      <c r="E19" s="429" t="s">
        <v>602</v>
      </c>
      <c r="F19" s="432">
        <v>4</v>
      </c>
      <c r="G19" s="432">
        <v>2784</v>
      </c>
      <c r="H19" s="432">
        <v>1.9661016949152543</v>
      </c>
      <c r="I19" s="432">
        <v>696</v>
      </c>
      <c r="J19" s="432">
        <v>2</v>
      </c>
      <c r="K19" s="432">
        <v>1416</v>
      </c>
      <c r="L19" s="432">
        <v>1</v>
      </c>
      <c r="M19" s="432">
        <v>708</v>
      </c>
      <c r="N19" s="432">
        <v>4</v>
      </c>
      <c r="O19" s="432">
        <v>2832</v>
      </c>
      <c r="P19" s="530">
        <v>2</v>
      </c>
      <c r="Q19" s="433">
        <v>708</v>
      </c>
    </row>
    <row r="20" spans="1:17" ht="14.4" customHeight="1" x14ac:dyDescent="0.3">
      <c r="A20" s="428" t="s">
        <v>656</v>
      </c>
      <c r="B20" s="429" t="s">
        <v>590</v>
      </c>
      <c r="C20" s="429" t="s">
        <v>587</v>
      </c>
      <c r="D20" s="429" t="s">
        <v>614</v>
      </c>
      <c r="E20" s="429" t="s">
        <v>604</v>
      </c>
      <c r="F20" s="432">
        <v>3</v>
      </c>
      <c r="G20" s="432">
        <v>4161</v>
      </c>
      <c r="H20" s="432"/>
      <c r="I20" s="432">
        <v>1387</v>
      </c>
      <c r="J20" s="432"/>
      <c r="K20" s="432"/>
      <c r="L20" s="432"/>
      <c r="M20" s="432"/>
      <c r="N20" s="432">
        <v>12</v>
      </c>
      <c r="O20" s="432">
        <v>17268</v>
      </c>
      <c r="P20" s="530"/>
      <c r="Q20" s="433">
        <v>1439</v>
      </c>
    </row>
    <row r="21" spans="1:17" ht="14.4" customHeight="1" x14ac:dyDescent="0.3">
      <c r="A21" s="428" t="s">
        <v>656</v>
      </c>
      <c r="B21" s="429" t="s">
        <v>590</v>
      </c>
      <c r="C21" s="429" t="s">
        <v>587</v>
      </c>
      <c r="D21" s="429" t="s">
        <v>615</v>
      </c>
      <c r="E21" s="429" t="s">
        <v>616</v>
      </c>
      <c r="F21" s="432">
        <v>3</v>
      </c>
      <c r="G21" s="432">
        <v>7023</v>
      </c>
      <c r="H21" s="432"/>
      <c r="I21" s="432">
        <v>2341</v>
      </c>
      <c r="J21" s="432"/>
      <c r="K21" s="432"/>
      <c r="L21" s="432"/>
      <c r="M21" s="432"/>
      <c r="N21" s="432">
        <v>4</v>
      </c>
      <c r="O21" s="432">
        <v>9752</v>
      </c>
      <c r="P21" s="530"/>
      <c r="Q21" s="433">
        <v>2438</v>
      </c>
    </row>
    <row r="22" spans="1:17" ht="14.4" customHeight="1" x14ac:dyDescent="0.3">
      <c r="A22" s="428" t="s">
        <v>656</v>
      </c>
      <c r="B22" s="429" t="s">
        <v>590</v>
      </c>
      <c r="C22" s="429" t="s">
        <v>587</v>
      </c>
      <c r="D22" s="429" t="s">
        <v>617</v>
      </c>
      <c r="E22" s="429" t="s">
        <v>618</v>
      </c>
      <c r="F22" s="432">
        <v>4</v>
      </c>
      <c r="G22" s="432">
        <v>264</v>
      </c>
      <c r="H22" s="432">
        <v>1.9130434782608696</v>
      </c>
      <c r="I22" s="432">
        <v>66</v>
      </c>
      <c r="J22" s="432">
        <v>2</v>
      </c>
      <c r="K22" s="432">
        <v>138</v>
      </c>
      <c r="L22" s="432">
        <v>1</v>
      </c>
      <c r="M22" s="432">
        <v>69</v>
      </c>
      <c r="N22" s="432">
        <v>4</v>
      </c>
      <c r="O22" s="432">
        <v>276</v>
      </c>
      <c r="P22" s="530">
        <v>2</v>
      </c>
      <c r="Q22" s="433">
        <v>69</v>
      </c>
    </row>
    <row r="23" spans="1:17" ht="14.4" customHeight="1" x14ac:dyDescent="0.3">
      <c r="A23" s="428" t="s">
        <v>656</v>
      </c>
      <c r="B23" s="429" t="s">
        <v>590</v>
      </c>
      <c r="C23" s="429" t="s">
        <v>587</v>
      </c>
      <c r="D23" s="429" t="s">
        <v>623</v>
      </c>
      <c r="E23" s="429" t="s">
        <v>624</v>
      </c>
      <c r="F23" s="432">
        <v>7</v>
      </c>
      <c r="G23" s="432">
        <v>3864</v>
      </c>
      <c r="H23" s="432">
        <v>1.1499999999999999</v>
      </c>
      <c r="I23" s="432">
        <v>552</v>
      </c>
      <c r="J23" s="432">
        <v>6</v>
      </c>
      <c r="K23" s="432">
        <v>3360</v>
      </c>
      <c r="L23" s="432">
        <v>1</v>
      </c>
      <c r="M23" s="432">
        <v>560</v>
      </c>
      <c r="N23" s="432">
        <v>12</v>
      </c>
      <c r="O23" s="432">
        <v>6720</v>
      </c>
      <c r="P23" s="530">
        <v>2</v>
      </c>
      <c r="Q23" s="433">
        <v>560</v>
      </c>
    </row>
    <row r="24" spans="1:17" ht="14.4" customHeight="1" x14ac:dyDescent="0.3">
      <c r="A24" s="428" t="s">
        <v>656</v>
      </c>
      <c r="B24" s="429" t="s">
        <v>590</v>
      </c>
      <c r="C24" s="429" t="s">
        <v>587</v>
      </c>
      <c r="D24" s="429" t="s">
        <v>634</v>
      </c>
      <c r="E24" s="429" t="s">
        <v>635</v>
      </c>
      <c r="F24" s="432">
        <v>2</v>
      </c>
      <c r="G24" s="432">
        <v>3230</v>
      </c>
      <c r="H24" s="432"/>
      <c r="I24" s="432">
        <v>1615</v>
      </c>
      <c r="J24" s="432"/>
      <c r="K24" s="432"/>
      <c r="L24" s="432"/>
      <c r="M24" s="432"/>
      <c r="N24" s="432">
        <v>4</v>
      </c>
      <c r="O24" s="432">
        <v>6596</v>
      </c>
      <c r="P24" s="530"/>
      <c r="Q24" s="433">
        <v>1649</v>
      </c>
    </row>
    <row r="25" spans="1:17" ht="14.4" customHeight="1" x14ac:dyDescent="0.3">
      <c r="A25" s="428" t="s">
        <v>657</v>
      </c>
      <c r="B25" s="429" t="s">
        <v>590</v>
      </c>
      <c r="C25" s="429" t="s">
        <v>587</v>
      </c>
      <c r="D25" s="429" t="s">
        <v>591</v>
      </c>
      <c r="E25" s="429" t="s">
        <v>592</v>
      </c>
      <c r="F25" s="432"/>
      <c r="G25" s="432"/>
      <c r="H25" s="432"/>
      <c r="I25" s="432"/>
      <c r="J25" s="432">
        <v>1</v>
      </c>
      <c r="K25" s="432">
        <v>136</v>
      </c>
      <c r="L25" s="432">
        <v>1</v>
      </c>
      <c r="M25" s="432">
        <v>136</v>
      </c>
      <c r="N25" s="432"/>
      <c r="O25" s="432"/>
      <c r="P25" s="530"/>
      <c r="Q25" s="433"/>
    </row>
    <row r="26" spans="1:17" ht="14.4" customHeight="1" x14ac:dyDescent="0.3">
      <c r="A26" s="428" t="s">
        <v>657</v>
      </c>
      <c r="B26" s="429" t="s">
        <v>590</v>
      </c>
      <c r="C26" s="429" t="s">
        <v>587</v>
      </c>
      <c r="D26" s="429" t="s">
        <v>599</v>
      </c>
      <c r="E26" s="429" t="s">
        <v>600</v>
      </c>
      <c r="F26" s="432">
        <v>5</v>
      </c>
      <c r="G26" s="432">
        <v>18605</v>
      </c>
      <c r="H26" s="432">
        <v>0.69522813048839727</v>
      </c>
      <c r="I26" s="432">
        <v>3721</v>
      </c>
      <c r="J26" s="432">
        <v>7</v>
      </c>
      <c r="K26" s="432">
        <v>26761</v>
      </c>
      <c r="L26" s="432">
        <v>1</v>
      </c>
      <c r="M26" s="432">
        <v>3823</v>
      </c>
      <c r="N26" s="432">
        <v>7</v>
      </c>
      <c r="O26" s="432">
        <v>26775</v>
      </c>
      <c r="P26" s="530">
        <v>1.000523149359142</v>
      </c>
      <c r="Q26" s="433">
        <v>3825</v>
      </c>
    </row>
    <row r="27" spans="1:17" ht="14.4" customHeight="1" x14ac:dyDescent="0.3">
      <c r="A27" s="428" t="s">
        <v>657</v>
      </c>
      <c r="B27" s="429" t="s">
        <v>590</v>
      </c>
      <c r="C27" s="429" t="s">
        <v>587</v>
      </c>
      <c r="D27" s="429" t="s">
        <v>605</v>
      </c>
      <c r="E27" s="429" t="s">
        <v>606</v>
      </c>
      <c r="F27" s="432">
        <v>1</v>
      </c>
      <c r="G27" s="432">
        <v>1621</v>
      </c>
      <c r="H27" s="432">
        <v>0.48972809667673717</v>
      </c>
      <c r="I27" s="432">
        <v>1621</v>
      </c>
      <c r="J27" s="432">
        <v>2</v>
      </c>
      <c r="K27" s="432">
        <v>3310</v>
      </c>
      <c r="L27" s="432">
        <v>1</v>
      </c>
      <c r="M27" s="432">
        <v>1655</v>
      </c>
      <c r="N27" s="432">
        <v>1</v>
      </c>
      <c r="O27" s="432">
        <v>1655</v>
      </c>
      <c r="P27" s="530">
        <v>0.5</v>
      </c>
      <c r="Q27" s="433">
        <v>1655</v>
      </c>
    </row>
    <row r="28" spans="1:17" ht="14.4" customHeight="1" x14ac:dyDescent="0.3">
      <c r="A28" s="428" t="s">
        <v>657</v>
      </c>
      <c r="B28" s="429" t="s">
        <v>590</v>
      </c>
      <c r="C28" s="429" t="s">
        <v>587</v>
      </c>
      <c r="D28" s="429" t="s">
        <v>658</v>
      </c>
      <c r="E28" s="429" t="s">
        <v>659</v>
      </c>
      <c r="F28" s="432"/>
      <c r="G28" s="432"/>
      <c r="H28" s="432"/>
      <c r="I28" s="432"/>
      <c r="J28" s="432">
        <v>2</v>
      </c>
      <c r="K28" s="432">
        <v>3240</v>
      </c>
      <c r="L28" s="432">
        <v>1</v>
      </c>
      <c r="M28" s="432">
        <v>1620</v>
      </c>
      <c r="N28" s="432"/>
      <c r="O28" s="432"/>
      <c r="P28" s="530"/>
      <c r="Q28" s="433"/>
    </row>
    <row r="29" spans="1:17" ht="14.4" customHeight="1" x14ac:dyDescent="0.3">
      <c r="A29" s="428" t="s">
        <v>657</v>
      </c>
      <c r="B29" s="429" t="s">
        <v>590</v>
      </c>
      <c r="C29" s="429" t="s">
        <v>587</v>
      </c>
      <c r="D29" s="429" t="s">
        <v>611</v>
      </c>
      <c r="E29" s="429" t="s">
        <v>612</v>
      </c>
      <c r="F29" s="432">
        <v>3</v>
      </c>
      <c r="G29" s="432">
        <v>48</v>
      </c>
      <c r="H29" s="432">
        <v>0.70588235294117652</v>
      </c>
      <c r="I29" s="432">
        <v>16</v>
      </c>
      <c r="J29" s="432">
        <v>4</v>
      </c>
      <c r="K29" s="432">
        <v>68</v>
      </c>
      <c r="L29" s="432">
        <v>1</v>
      </c>
      <c r="M29" s="432">
        <v>17</v>
      </c>
      <c r="N29" s="432">
        <v>1</v>
      </c>
      <c r="O29" s="432">
        <v>17</v>
      </c>
      <c r="P29" s="530">
        <v>0.25</v>
      </c>
      <c r="Q29" s="433">
        <v>17</v>
      </c>
    </row>
    <row r="30" spans="1:17" ht="14.4" customHeight="1" x14ac:dyDescent="0.3">
      <c r="A30" s="428" t="s">
        <v>657</v>
      </c>
      <c r="B30" s="429" t="s">
        <v>590</v>
      </c>
      <c r="C30" s="429" t="s">
        <v>587</v>
      </c>
      <c r="D30" s="429" t="s">
        <v>613</v>
      </c>
      <c r="E30" s="429" t="s">
        <v>602</v>
      </c>
      <c r="F30" s="432">
        <v>6</v>
      </c>
      <c r="G30" s="432">
        <v>4176</v>
      </c>
      <c r="H30" s="432">
        <v>0.98305084745762716</v>
      </c>
      <c r="I30" s="432">
        <v>696</v>
      </c>
      <c r="J30" s="432">
        <v>6</v>
      </c>
      <c r="K30" s="432">
        <v>4248</v>
      </c>
      <c r="L30" s="432">
        <v>1</v>
      </c>
      <c r="M30" s="432">
        <v>708</v>
      </c>
      <c r="N30" s="432">
        <v>2</v>
      </c>
      <c r="O30" s="432">
        <v>1416</v>
      </c>
      <c r="P30" s="530">
        <v>0.33333333333333331</v>
      </c>
      <c r="Q30" s="433">
        <v>708</v>
      </c>
    </row>
    <row r="31" spans="1:17" ht="14.4" customHeight="1" x14ac:dyDescent="0.3">
      <c r="A31" s="428" t="s">
        <v>657</v>
      </c>
      <c r="B31" s="429" t="s">
        <v>590</v>
      </c>
      <c r="C31" s="429" t="s">
        <v>587</v>
      </c>
      <c r="D31" s="429" t="s">
        <v>614</v>
      </c>
      <c r="E31" s="429" t="s">
        <v>604</v>
      </c>
      <c r="F31" s="432">
        <v>14</v>
      </c>
      <c r="G31" s="432">
        <v>19418</v>
      </c>
      <c r="H31" s="432">
        <v>0.84396731571627259</v>
      </c>
      <c r="I31" s="432">
        <v>1387</v>
      </c>
      <c r="J31" s="432">
        <v>16</v>
      </c>
      <c r="K31" s="432">
        <v>23008</v>
      </c>
      <c r="L31" s="432">
        <v>1</v>
      </c>
      <c r="M31" s="432">
        <v>1438</v>
      </c>
      <c r="N31" s="432">
        <v>10</v>
      </c>
      <c r="O31" s="432">
        <v>14390</v>
      </c>
      <c r="P31" s="530">
        <v>0.62543463143254518</v>
      </c>
      <c r="Q31" s="433">
        <v>1439</v>
      </c>
    </row>
    <row r="32" spans="1:17" ht="14.4" customHeight="1" x14ac:dyDescent="0.3">
      <c r="A32" s="428" t="s">
        <v>657</v>
      </c>
      <c r="B32" s="429" t="s">
        <v>590</v>
      </c>
      <c r="C32" s="429" t="s">
        <v>587</v>
      </c>
      <c r="D32" s="429" t="s">
        <v>615</v>
      </c>
      <c r="E32" s="429" t="s">
        <v>616</v>
      </c>
      <c r="F32" s="432">
        <v>6</v>
      </c>
      <c r="G32" s="432">
        <v>14046</v>
      </c>
      <c r="H32" s="432">
        <v>0.64040486937491448</v>
      </c>
      <c r="I32" s="432">
        <v>2341</v>
      </c>
      <c r="J32" s="432">
        <v>9</v>
      </c>
      <c r="K32" s="432">
        <v>21933</v>
      </c>
      <c r="L32" s="432">
        <v>1</v>
      </c>
      <c r="M32" s="432">
        <v>2437</v>
      </c>
      <c r="N32" s="432">
        <v>8</v>
      </c>
      <c r="O32" s="432">
        <v>19504</v>
      </c>
      <c r="P32" s="530">
        <v>0.88925363607349661</v>
      </c>
      <c r="Q32" s="433">
        <v>2438</v>
      </c>
    </row>
    <row r="33" spans="1:17" ht="14.4" customHeight="1" x14ac:dyDescent="0.3">
      <c r="A33" s="428" t="s">
        <v>657</v>
      </c>
      <c r="B33" s="429" t="s">
        <v>590</v>
      </c>
      <c r="C33" s="429" t="s">
        <v>587</v>
      </c>
      <c r="D33" s="429" t="s">
        <v>617</v>
      </c>
      <c r="E33" s="429" t="s">
        <v>618</v>
      </c>
      <c r="F33" s="432">
        <v>6</v>
      </c>
      <c r="G33" s="432">
        <v>396</v>
      </c>
      <c r="H33" s="432">
        <v>0.95652173913043481</v>
      </c>
      <c r="I33" s="432">
        <v>66</v>
      </c>
      <c r="J33" s="432">
        <v>6</v>
      </c>
      <c r="K33" s="432">
        <v>414</v>
      </c>
      <c r="L33" s="432">
        <v>1</v>
      </c>
      <c r="M33" s="432">
        <v>69</v>
      </c>
      <c r="N33" s="432">
        <v>2</v>
      </c>
      <c r="O33" s="432">
        <v>138</v>
      </c>
      <c r="P33" s="530">
        <v>0.33333333333333331</v>
      </c>
      <c r="Q33" s="433">
        <v>69</v>
      </c>
    </row>
    <row r="34" spans="1:17" ht="14.4" customHeight="1" x14ac:dyDescent="0.3">
      <c r="A34" s="428" t="s">
        <v>657</v>
      </c>
      <c r="B34" s="429" t="s">
        <v>590</v>
      </c>
      <c r="C34" s="429" t="s">
        <v>587</v>
      </c>
      <c r="D34" s="429" t="s">
        <v>623</v>
      </c>
      <c r="E34" s="429" t="s">
        <v>624</v>
      </c>
      <c r="F34" s="432">
        <v>15</v>
      </c>
      <c r="G34" s="432">
        <v>8280</v>
      </c>
      <c r="H34" s="432">
        <v>0.52806122448979587</v>
      </c>
      <c r="I34" s="432">
        <v>552</v>
      </c>
      <c r="J34" s="432">
        <v>28</v>
      </c>
      <c r="K34" s="432">
        <v>15680</v>
      </c>
      <c r="L34" s="432">
        <v>1</v>
      </c>
      <c r="M34" s="432">
        <v>560</v>
      </c>
      <c r="N34" s="432">
        <v>16</v>
      </c>
      <c r="O34" s="432">
        <v>8960</v>
      </c>
      <c r="P34" s="530">
        <v>0.5714285714285714</v>
      </c>
      <c r="Q34" s="433">
        <v>560</v>
      </c>
    </row>
    <row r="35" spans="1:17" ht="14.4" customHeight="1" x14ac:dyDescent="0.3">
      <c r="A35" s="428" t="s">
        <v>657</v>
      </c>
      <c r="B35" s="429" t="s">
        <v>590</v>
      </c>
      <c r="C35" s="429" t="s">
        <v>587</v>
      </c>
      <c r="D35" s="429" t="s">
        <v>634</v>
      </c>
      <c r="E35" s="429" t="s">
        <v>635</v>
      </c>
      <c r="F35" s="432">
        <v>1</v>
      </c>
      <c r="G35" s="432">
        <v>1615</v>
      </c>
      <c r="H35" s="432">
        <v>0.13991163475699558</v>
      </c>
      <c r="I35" s="432">
        <v>1615</v>
      </c>
      <c r="J35" s="432">
        <v>7</v>
      </c>
      <c r="K35" s="432">
        <v>11543</v>
      </c>
      <c r="L35" s="432">
        <v>1</v>
      </c>
      <c r="M35" s="432">
        <v>1649</v>
      </c>
      <c r="N35" s="432">
        <v>3</v>
      </c>
      <c r="O35" s="432">
        <v>4947</v>
      </c>
      <c r="P35" s="530">
        <v>0.42857142857142855</v>
      </c>
      <c r="Q35" s="433">
        <v>1649</v>
      </c>
    </row>
    <row r="36" spans="1:17" ht="14.4" customHeight="1" x14ac:dyDescent="0.3">
      <c r="A36" s="428" t="s">
        <v>660</v>
      </c>
      <c r="B36" s="429" t="s">
        <v>586</v>
      </c>
      <c r="C36" s="429" t="s">
        <v>587</v>
      </c>
      <c r="D36" s="429" t="s">
        <v>588</v>
      </c>
      <c r="E36" s="429" t="s">
        <v>589</v>
      </c>
      <c r="F36" s="432"/>
      <c r="G36" s="432"/>
      <c r="H36" s="432"/>
      <c r="I36" s="432"/>
      <c r="J36" s="432">
        <v>2</v>
      </c>
      <c r="K36" s="432">
        <v>22806</v>
      </c>
      <c r="L36" s="432">
        <v>1</v>
      </c>
      <c r="M36" s="432">
        <v>11403</v>
      </c>
      <c r="N36" s="432"/>
      <c r="O36" s="432"/>
      <c r="P36" s="530"/>
      <c r="Q36" s="433"/>
    </row>
    <row r="37" spans="1:17" ht="14.4" customHeight="1" x14ac:dyDescent="0.3">
      <c r="A37" s="428" t="s">
        <v>660</v>
      </c>
      <c r="B37" s="429" t="s">
        <v>590</v>
      </c>
      <c r="C37" s="429" t="s">
        <v>587</v>
      </c>
      <c r="D37" s="429" t="s">
        <v>595</v>
      </c>
      <c r="E37" s="429" t="s">
        <v>596</v>
      </c>
      <c r="F37" s="432"/>
      <c r="G37" s="432"/>
      <c r="H37" s="432"/>
      <c r="I37" s="432"/>
      <c r="J37" s="432">
        <v>1</v>
      </c>
      <c r="K37" s="432">
        <v>2338</v>
      </c>
      <c r="L37" s="432">
        <v>1</v>
      </c>
      <c r="M37" s="432">
        <v>2338</v>
      </c>
      <c r="N37" s="432"/>
      <c r="O37" s="432"/>
      <c r="P37" s="530"/>
      <c r="Q37" s="433"/>
    </row>
    <row r="38" spans="1:17" ht="14.4" customHeight="1" x14ac:dyDescent="0.3">
      <c r="A38" s="428" t="s">
        <v>660</v>
      </c>
      <c r="B38" s="429" t="s">
        <v>590</v>
      </c>
      <c r="C38" s="429" t="s">
        <v>587</v>
      </c>
      <c r="D38" s="429" t="s">
        <v>597</v>
      </c>
      <c r="E38" s="429" t="s">
        <v>598</v>
      </c>
      <c r="F38" s="432"/>
      <c r="G38" s="432"/>
      <c r="H38" s="432"/>
      <c r="I38" s="432"/>
      <c r="J38" s="432">
        <v>2</v>
      </c>
      <c r="K38" s="432">
        <v>2154</v>
      </c>
      <c r="L38" s="432">
        <v>1</v>
      </c>
      <c r="M38" s="432">
        <v>1077</v>
      </c>
      <c r="N38" s="432"/>
      <c r="O38" s="432"/>
      <c r="P38" s="530"/>
      <c r="Q38" s="433"/>
    </row>
    <row r="39" spans="1:17" ht="14.4" customHeight="1" x14ac:dyDescent="0.3">
      <c r="A39" s="428" t="s">
        <v>660</v>
      </c>
      <c r="B39" s="429" t="s">
        <v>590</v>
      </c>
      <c r="C39" s="429" t="s">
        <v>587</v>
      </c>
      <c r="D39" s="429" t="s">
        <v>599</v>
      </c>
      <c r="E39" s="429" t="s">
        <v>600</v>
      </c>
      <c r="F39" s="432"/>
      <c r="G39" s="432"/>
      <c r="H39" s="432"/>
      <c r="I39" s="432"/>
      <c r="J39" s="432"/>
      <c r="K39" s="432"/>
      <c r="L39" s="432"/>
      <c r="M39" s="432"/>
      <c r="N39" s="432">
        <v>3</v>
      </c>
      <c r="O39" s="432">
        <v>11475</v>
      </c>
      <c r="P39" s="530"/>
      <c r="Q39" s="433">
        <v>3825</v>
      </c>
    </row>
    <row r="40" spans="1:17" ht="14.4" customHeight="1" x14ac:dyDescent="0.3">
      <c r="A40" s="428" t="s">
        <v>660</v>
      </c>
      <c r="B40" s="429" t="s">
        <v>590</v>
      </c>
      <c r="C40" s="429" t="s">
        <v>587</v>
      </c>
      <c r="D40" s="429" t="s">
        <v>605</v>
      </c>
      <c r="E40" s="429" t="s">
        <v>606</v>
      </c>
      <c r="F40" s="432"/>
      <c r="G40" s="432"/>
      <c r="H40" s="432"/>
      <c r="I40" s="432"/>
      <c r="J40" s="432"/>
      <c r="K40" s="432"/>
      <c r="L40" s="432"/>
      <c r="M40" s="432"/>
      <c r="N40" s="432">
        <v>1</v>
      </c>
      <c r="O40" s="432">
        <v>1655</v>
      </c>
      <c r="P40" s="530"/>
      <c r="Q40" s="433">
        <v>1655</v>
      </c>
    </row>
    <row r="41" spans="1:17" ht="14.4" customHeight="1" x14ac:dyDescent="0.3">
      <c r="A41" s="428" t="s">
        <v>660</v>
      </c>
      <c r="B41" s="429" t="s">
        <v>590</v>
      </c>
      <c r="C41" s="429" t="s">
        <v>587</v>
      </c>
      <c r="D41" s="429" t="s">
        <v>607</v>
      </c>
      <c r="E41" s="429" t="s">
        <v>608</v>
      </c>
      <c r="F41" s="432"/>
      <c r="G41" s="432"/>
      <c r="H41" s="432"/>
      <c r="I41" s="432"/>
      <c r="J41" s="432">
        <v>2</v>
      </c>
      <c r="K41" s="432">
        <v>1680</v>
      </c>
      <c r="L41" s="432">
        <v>1</v>
      </c>
      <c r="M41" s="432">
        <v>840</v>
      </c>
      <c r="N41" s="432"/>
      <c r="O41" s="432"/>
      <c r="P41" s="530"/>
      <c r="Q41" s="433"/>
    </row>
    <row r="42" spans="1:17" ht="14.4" customHeight="1" x14ac:dyDescent="0.3">
      <c r="A42" s="428" t="s">
        <v>660</v>
      </c>
      <c r="B42" s="429" t="s">
        <v>590</v>
      </c>
      <c r="C42" s="429" t="s">
        <v>587</v>
      </c>
      <c r="D42" s="429" t="s">
        <v>611</v>
      </c>
      <c r="E42" s="429" t="s">
        <v>612</v>
      </c>
      <c r="F42" s="432">
        <v>1</v>
      </c>
      <c r="G42" s="432">
        <v>16</v>
      </c>
      <c r="H42" s="432">
        <v>0.94117647058823528</v>
      </c>
      <c r="I42" s="432">
        <v>16</v>
      </c>
      <c r="J42" s="432">
        <v>1</v>
      </c>
      <c r="K42" s="432">
        <v>17</v>
      </c>
      <c r="L42" s="432">
        <v>1</v>
      </c>
      <c r="M42" s="432">
        <v>17</v>
      </c>
      <c r="N42" s="432">
        <v>2</v>
      </c>
      <c r="O42" s="432">
        <v>34</v>
      </c>
      <c r="P42" s="530">
        <v>2</v>
      </c>
      <c r="Q42" s="433">
        <v>17</v>
      </c>
    </row>
    <row r="43" spans="1:17" ht="14.4" customHeight="1" x14ac:dyDescent="0.3">
      <c r="A43" s="428" t="s">
        <v>660</v>
      </c>
      <c r="B43" s="429" t="s">
        <v>590</v>
      </c>
      <c r="C43" s="429" t="s">
        <v>587</v>
      </c>
      <c r="D43" s="429" t="s">
        <v>613</v>
      </c>
      <c r="E43" s="429" t="s">
        <v>602</v>
      </c>
      <c r="F43" s="432">
        <v>3</v>
      </c>
      <c r="G43" s="432">
        <v>2088</v>
      </c>
      <c r="H43" s="432">
        <v>1.4745762711864407</v>
      </c>
      <c r="I43" s="432">
        <v>696</v>
      </c>
      <c r="J43" s="432">
        <v>2</v>
      </c>
      <c r="K43" s="432">
        <v>1416</v>
      </c>
      <c r="L43" s="432">
        <v>1</v>
      </c>
      <c r="M43" s="432">
        <v>708</v>
      </c>
      <c r="N43" s="432">
        <v>4</v>
      </c>
      <c r="O43" s="432">
        <v>2832</v>
      </c>
      <c r="P43" s="530">
        <v>2</v>
      </c>
      <c r="Q43" s="433">
        <v>708</v>
      </c>
    </row>
    <row r="44" spans="1:17" ht="14.4" customHeight="1" x14ac:dyDescent="0.3">
      <c r="A44" s="428" t="s">
        <v>660</v>
      </c>
      <c r="B44" s="429" t="s">
        <v>590</v>
      </c>
      <c r="C44" s="429" t="s">
        <v>587</v>
      </c>
      <c r="D44" s="429" t="s">
        <v>614</v>
      </c>
      <c r="E44" s="429" t="s">
        <v>604</v>
      </c>
      <c r="F44" s="432"/>
      <c r="G44" s="432"/>
      <c r="H44" s="432"/>
      <c r="I44" s="432"/>
      <c r="J44" s="432"/>
      <c r="K44" s="432"/>
      <c r="L44" s="432"/>
      <c r="M44" s="432"/>
      <c r="N44" s="432">
        <v>5</v>
      </c>
      <c r="O44" s="432">
        <v>7195</v>
      </c>
      <c r="P44" s="530"/>
      <c r="Q44" s="433">
        <v>1439</v>
      </c>
    </row>
    <row r="45" spans="1:17" ht="14.4" customHeight="1" x14ac:dyDescent="0.3">
      <c r="A45" s="428" t="s">
        <v>660</v>
      </c>
      <c r="B45" s="429" t="s">
        <v>590</v>
      </c>
      <c r="C45" s="429" t="s">
        <v>587</v>
      </c>
      <c r="D45" s="429" t="s">
        <v>615</v>
      </c>
      <c r="E45" s="429" t="s">
        <v>616</v>
      </c>
      <c r="F45" s="432"/>
      <c r="G45" s="432"/>
      <c r="H45" s="432"/>
      <c r="I45" s="432"/>
      <c r="J45" s="432"/>
      <c r="K45" s="432"/>
      <c r="L45" s="432"/>
      <c r="M45" s="432"/>
      <c r="N45" s="432">
        <v>3</v>
      </c>
      <c r="O45" s="432">
        <v>7314</v>
      </c>
      <c r="P45" s="530"/>
      <c r="Q45" s="433">
        <v>2438</v>
      </c>
    </row>
    <row r="46" spans="1:17" ht="14.4" customHeight="1" x14ac:dyDescent="0.3">
      <c r="A46" s="428" t="s">
        <v>660</v>
      </c>
      <c r="B46" s="429" t="s">
        <v>590</v>
      </c>
      <c r="C46" s="429" t="s">
        <v>587</v>
      </c>
      <c r="D46" s="429" t="s">
        <v>617</v>
      </c>
      <c r="E46" s="429" t="s">
        <v>618</v>
      </c>
      <c r="F46" s="432">
        <v>3</v>
      </c>
      <c r="G46" s="432">
        <v>198</v>
      </c>
      <c r="H46" s="432">
        <v>1.4347826086956521</v>
      </c>
      <c r="I46" s="432">
        <v>66</v>
      </c>
      <c r="J46" s="432">
        <v>2</v>
      </c>
      <c r="K46" s="432">
        <v>138</v>
      </c>
      <c r="L46" s="432">
        <v>1</v>
      </c>
      <c r="M46" s="432">
        <v>69</v>
      </c>
      <c r="N46" s="432">
        <v>4</v>
      </c>
      <c r="O46" s="432">
        <v>276</v>
      </c>
      <c r="P46" s="530">
        <v>2</v>
      </c>
      <c r="Q46" s="433">
        <v>69</v>
      </c>
    </row>
    <row r="47" spans="1:17" ht="14.4" customHeight="1" x14ac:dyDescent="0.3">
      <c r="A47" s="428" t="s">
        <v>660</v>
      </c>
      <c r="B47" s="429" t="s">
        <v>590</v>
      </c>
      <c r="C47" s="429" t="s">
        <v>587</v>
      </c>
      <c r="D47" s="429" t="s">
        <v>623</v>
      </c>
      <c r="E47" s="429" t="s">
        <v>624</v>
      </c>
      <c r="F47" s="432">
        <v>5</v>
      </c>
      <c r="G47" s="432">
        <v>2760</v>
      </c>
      <c r="H47" s="432"/>
      <c r="I47" s="432">
        <v>552</v>
      </c>
      <c r="J47" s="432"/>
      <c r="K47" s="432"/>
      <c r="L47" s="432"/>
      <c r="M47" s="432"/>
      <c r="N47" s="432">
        <v>15</v>
      </c>
      <c r="O47" s="432">
        <v>8400</v>
      </c>
      <c r="P47" s="530"/>
      <c r="Q47" s="433">
        <v>560</v>
      </c>
    </row>
    <row r="48" spans="1:17" ht="14.4" customHeight="1" x14ac:dyDescent="0.3">
      <c r="A48" s="428" t="s">
        <v>660</v>
      </c>
      <c r="B48" s="429" t="s">
        <v>590</v>
      </c>
      <c r="C48" s="429" t="s">
        <v>587</v>
      </c>
      <c r="D48" s="429" t="s">
        <v>634</v>
      </c>
      <c r="E48" s="429" t="s">
        <v>635</v>
      </c>
      <c r="F48" s="432"/>
      <c r="G48" s="432"/>
      <c r="H48" s="432"/>
      <c r="I48" s="432"/>
      <c r="J48" s="432"/>
      <c r="K48" s="432"/>
      <c r="L48" s="432"/>
      <c r="M48" s="432"/>
      <c r="N48" s="432">
        <v>5</v>
      </c>
      <c r="O48" s="432">
        <v>8245</v>
      </c>
      <c r="P48" s="530"/>
      <c r="Q48" s="433">
        <v>1649</v>
      </c>
    </row>
    <row r="49" spans="1:17" ht="14.4" customHeight="1" x14ac:dyDescent="0.3">
      <c r="A49" s="428" t="s">
        <v>661</v>
      </c>
      <c r="B49" s="429" t="s">
        <v>586</v>
      </c>
      <c r="C49" s="429" t="s">
        <v>587</v>
      </c>
      <c r="D49" s="429" t="s">
        <v>588</v>
      </c>
      <c r="E49" s="429" t="s">
        <v>589</v>
      </c>
      <c r="F49" s="432">
        <v>2</v>
      </c>
      <c r="G49" s="432">
        <v>21450</v>
      </c>
      <c r="H49" s="432">
        <v>1.8810839252828202</v>
      </c>
      <c r="I49" s="432">
        <v>10725</v>
      </c>
      <c r="J49" s="432">
        <v>1</v>
      </c>
      <c r="K49" s="432">
        <v>11403</v>
      </c>
      <c r="L49" s="432">
        <v>1</v>
      </c>
      <c r="M49" s="432">
        <v>11403</v>
      </c>
      <c r="N49" s="432"/>
      <c r="O49" s="432"/>
      <c r="P49" s="530"/>
      <c r="Q49" s="433"/>
    </row>
    <row r="50" spans="1:17" ht="14.4" customHeight="1" x14ac:dyDescent="0.3">
      <c r="A50" s="428" t="s">
        <v>661</v>
      </c>
      <c r="B50" s="429" t="s">
        <v>590</v>
      </c>
      <c r="C50" s="429" t="s">
        <v>587</v>
      </c>
      <c r="D50" s="429" t="s">
        <v>599</v>
      </c>
      <c r="E50" s="429" t="s">
        <v>600</v>
      </c>
      <c r="F50" s="432">
        <v>1</v>
      </c>
      <c r="G50" s="432">
        <v>3721</v>
      </c>
      <c r="H50" s="432"/>
      <c r="I50" s="432">
        <v>3721</v>
      </c>
      <c r="J50" s="432"/>
      <c r="K50" s="432"/>
      <c r="L50" s="432"/>
      <c r="M50" s="432"/>
      <c r="N50" s="432">
        <v>2</v>
      </c>
      <c r="O50" s="432">
        <v>7650</v>
      </c>
      <c r="P50" s="530"/>
      <c r="Q50" s="433">
        <v>3825</v>
      </c>
    </row>
    <row r="51" spans="1:17" ht="14.4" customHeight="1" x14ac:dyDescent="0.3">
      <c r="A51" s="428" t="s">
        <v>661</v>
      </c>
      <c r="B51" s="429" t="s">
        <v>590</v>
      </c>
      <c r="C51" s="429" t="s">
        <v>587</v>
      </c>
      <c r="D51" s="429" t="s">
        <v>605</v>
      </c>
      <c r="E51" s="429" t="s">
        <v>606</v>
      </c>
      <c r="F51" s="432">
        <v>1</v>
      </c>
      <c r="G51" s="432">
        <v>1621</v>
      </c>
      <c r="H51" s="432"/>
      <c r="I51" s="432">
        <v>1621</v>
      </c>
      <c r="J51" s="432"/>
      <c r="K51" s="432"/>
      <c r="L51" s="432"/>
      <c r="M51" s="432"/>
      <c r="N51" s="432"/>
      <c r="O51" s="432"/>
      <c r="P51" s="530"/>
      <c r="Q51" s="433"/>
    </row>
    <row r="52" spans="1:17" ht="14.4" customHeight="1" x14ac:dyDescent="0.3">
      <c r="A52" s="428" t="s">
        <v>661</v>
      </c>
      <c r="B52" s="429" t="s">
        <v>590</v>
      </c>
      <c r="C52" s="429" t="s">
        <v>587</v>
      </c>
      <c r="D52" s="429" t="s">
        <v>611</v>
      </c>
      <c r="E52" s="429" t="s">
        <v>612</v>
      </c>
      <c r="F52" s="432">
        <v>3</v>
      </c>
      <c r="G52" s="432">
        <v>48</v>
      </c>
      <c r="H52" s="432"/>
      <c r="I52" s="432">
        <v>16</v>
      </c>
      <c r="J52" s="432"/>
      <c r="K52" s="432"/>
      <c r="L52" s="432"/>
      <c r="M52" s="432"/>
      <c r="N52" s="432">
        <v>3</v>
      </c>
      <c r="O52" s="432">
        <v>51</v>
      </c>
      <c r="P52" s="530"/>
      <c r="Q52" s="433">
        <v>17</v>
      </c>
    </row>
    <row r="53" spans="1:17" ht="14.4" customHeight="1" x14ac:dyDescent="0.3">
      <c r="A53" s="428" t="s">
        <v>661</v>
      </c>
      <c r="B53" s="429" t="s">
        <v>590</v>
      </c>
      <c r="C53" s="429" t="s">
        <v>587</v>
      </c>
      <c r="D53" s="429" t="s">
        <v>613</v>
      </c>
      <c r="E53" s="429" t="s">
        <v>602</v>
      </c>
      <c r="F53" s="432">
        <v>6</v>
      </c>
      <c r="G53" s="432">
        <v>4176</v>
      </c>
      <c r="H53" s="432"/>
      <c r="I53" s="432">
        <v>696</v>
      </c>
      <c r="J53" s="432"/>
      <c r="K53" s="432"/>
      <c r="L53" s="432"/>
      <c r="M53" s="432"/>
      <c r="N53" s="432">
        <v>6</v>
      </c>
      <c r="O53" s="432">
        <v>4248</v>
      </c>
      <c r="P53" s="530"/>
      <c r="Q53" s="433">
        <v>708</v>
      </c>
    </row>
    <row r="54" spans="1:17" ht="14.4" customHeight="1" x14ac:dyDescent="0.3">
      <c r="A54" s="428" t="s">
        <v>661</v>
      </c>
      <c r="B54" s="429" t="s">
        <v>590</v>
      </c>
      <c r="C54" s="429" t="s">
        <v>587</v>
      </c>
      <c r="D54" s="429" t="s">
        <v>614</v>
      </c>
      <c r="E54" s="429" t="s">
        <v>604</v>
      </c>
      <c r="F54" s="432">
        <v>7</v>
      </c>
      <c r="G54" s="432">
        <v>9709</v>
      </c>
      <c r="H54" s="432">
        <v>3.3758692628650904</v>
      </c>
      <c r="I54" s="432">
        <v>1387</v>
      </c>
      <c r="J54" s="432">
        <v>2</v>
      </c>
      <c r="K54" s="432">
        <v>2876</v>
      </c>
      <c r="L54" s="432">
        <v>1</v>
      </c>
      <c r="M54" s="432">
        <v>1438</v>
      </c>
      <c r="N54" s="432">
        <v>5</v>
      </c>
      <c r="O54" s="432">
        <v>7195</v>
      </c>
      <c r="P54" s="530">
        <v>2.5017385257301807</v>
      </c>
      <c r="Q54" s="433">
        <v>1439</v>
      </c>
    </row>
    <row r="55" spans="1:17" ht="14.4" customHeight="1" x14ac:dyDescent="0.3">
      <c r="A55" s="428" t="s">
        <v>661</v>
      </c>
      <c r="B55" s="429" t="s">
        <v>590</v>
      </c>
      <c r="C55" s="429" t="s">
        <v>587</v>
      </c>
      <c r="D55" s="429" t="s">
        <v>615</v>
      </c>
      <c r="E55" s="429" t="s">
        <v>616</v>
      </c>
      <c r="F55" s="432">
        <v>4</v>
      </c>
      <c r="G55" s="432">
        <v>9364</v>
      </c>
      <c r="H55" s="432">
        <v>3.8424292162494869</v>
      </c>
      <c r="I55" s="432">
        <v>2341</v>
      </c>
      <c r="J55" s="432">
        <v>1</v>
      </c>
      <c r="K55" s="432">
        <v>2437</v>
      </c>
      <c r="L55" s="432">
        <v>1</v>
      </c>
      <c r="M55" s="432">
        <v>2437</v>
      </c>
      <c r="N55" s="432">
        <v>4</v>
      </c>
      <c r="O55" s="432">
        <v>9752</v>
      </c>
      <c r="P55" s="530">
        <v>4.0016413623307345</v>
      </c>
      <c r="Q55" s="433">
        <v>2438</v>
      </c>
    </row>
    <row r="56" spans="1:17" ht="14.4" customHeight="1" x14ac:dyDescent="0.3">
      <c r="A56" s="428" t="s">
        <v>661</v>
      </c>
      <c r="B56" s="429" t="s">
        <v>590</v>
      </c>
      <c r="C56" s="429" t="s">
        <v>587</v>
      </c>
      <c r="D56" s="429" t="s">
        <v>617</v>
      </c>
      <c r="E56" s="429" t="s">
        <v>618</v>
      </c>
      <c r="F56" s="432">
        <v>6</v>
      </c>
      <c r="G56" s="432">
        <v>396</v>
      </c>
      <c r="H56" s="432"/>
      <c r="I56" s="432">
        <v>66</v>
      </c>
      <c r="J56" s="432"/>
      <c r="K56" s="432"/>
      <c r="L56" s="432"/>
      <c r="M56" s="432"/>
      <c r="N56" s="432">
        <v>6</v>
      </c>
      <c r="O56" s="432">
        <v>414</v>
      </c>
      <c r="P56" s="530"/>
      <c r="Q56" s="433">
        <v>69</v>
      </c>
    </row>
    <row r="57" spans="1:17" ht="14.4" customHeight="1" x14ac:dyDescent="0.3">
      <c r="A57" s="428" t="s">
        <v>661</v>
      </c>
      <c r="B57" s="429" t="s">
        <v>590</v>
      </c>
      <c r="C57" s="429" t="s">
        <v>587</v>
      </c>
      <c r="D57" s="429" t="s">
        <v>623</v>
      </c>
      <c r="E57" s="429" t="s">
        <v>624</v>
      </c>
      <c r="F57" s="432">
        <v>11</v>
      </c>
      <c r="G57" s="432">
        <v>6072</v>
      </c>
      <c r="H57" s="432">
        <v>2.1685714285714286</v>
      </c>
      <c r="I57" s="432">
        <v>552</v>
      </c>
      <c r="J57" s="432">
        <v>5</v>
      </c>
      <c r="K57" s="432">
        <v>2800</v>
      </c>
      <c r="L57" s="432">
        <v>1</v>
      </c>
      <c r="M57" s="432">
        <v>560</v>
      </c>
      <c r="N57" s="432">
        <v>13</v>
      </c>
      <c r="O57" s="432">
        <v>7280</v>
      </c>
      <c r="P57" s="530">
        <v>2.6</v>
      </c>
      <c r="Q57" s="433">
        <v>560</v>
      </c>
    </row>
    <row r="58" spans="1:17" ht="14.4" customHeight="1" x14ac:dyDescent="0.3">
      <c r="A58" s="428" t="s">
        <v>661</v>
      </c>
      <c r="B58" s="429" t="s">
        <v>590</v>
      </c>
      <c r="C58" s="429" t="s">
        <v>587</v>
      </c>
      <c r="D58" s="429" t="s">
        <v>634</v>
      </c>
      <c r="E58" s="429" t="s">
        <v>635</v>
      </c>
      <c r="F58" s="432">
        <v>3</v>
      </c>
      <c r="G58" s="432">
        <v>4845</v>
      </c>
      <c r="H58" s="432">
        <v>2.9381443298969074</v>
      </c>
      <c r="I58" s="432">
        <v>1615</v>
      </c>
      <c r="J58" s="432">
        <v>1</v>
      </c>
      <c r="K58" s="432">
        <v>1649</v>
      </c>
      <c r="L58" s="432">
        <v>1</v>
      </c>
      <c r="M58" s="432">
        <v>1649</v>
      </c>
      <c r="N58" s="432">
        <v>1</v>
      </c>
      <c r="O58" s="432">
        <v>1649</v>
      </c>
      <c r="P58" s="530">
        <v>1</v>
      </c>
      <c r="Q58" s="433">
        <v>1649</v>
      </c>
    </row>
    <row r="59" spans="1:17" ht="14.4" customHeight="1" x14ac:dyDescent="0.3">
      <c r="A59" s="428" t="s">
        <v>662</v>
      </c>
      <c r="B59" s="429" t="s">
        <v>590</v>
      </c>
      <c r="C59" s="429" t="s">
        <v>587</v>
      </c>
      <c r="D59" s="429" t="s">
        <v>591</v>
      </c>
      <c r="E59" s="429" t="s">
        <v>592</v>
      </c>
      <c r="F59" s="432">
        <v>2</v>
      </c>
      <c r="G59" s="432">
        <v>256</v>
      </c>
      <c r="H59" s="432"/>
      <c r="I59" s="432">
        <v>128</v>
      </c>
      <c r="J59" s="432"/>
      <c r="K59" s="432"/>
      <c r="L59" s="432"/>
      <c r="M59" s="432"/>
      <c r="N59" s="432"/>
      <c r="O59" s="432"/>
      <c r="P59" s="530"/>
      <c r="Q59" s="433"/>
    </row>
    <row r="60" spans="1:17" ht="14.4" customHeight="1" x14ac:dyDescent="0.3">
      <c r="A60" s="428" t="s">
        <v>662</v>
      </c>
      <c r="B60" s="429" t="s">
        <v>590</v>
      </c>
      <c r="C60" s="429" t="s">
        <v>587</v>
      </c>
      <c r="D60" s="429" t="s">
        <v>609</v>
      </c>
      <c r="E60" s="429" t="s">
        <v>610</v>
      </c>
      <c r="F60" s="432">
        <v>3</v>
      </c>
      <c r="G60" s="432">
        <v>4383</v>
      </c>
      <c r="H60" s="432"/>
      <c r="I60" s="432">
        <v>1461</v>
      </c>
      <c r="J60" s="432"/>
      <c r="K60" s="432"/>
      <c r="L60" s="432"/>
      <c r="M60" s="432"/>
      <c r="N60" s="432"/>
      <c r="O60" s="432"/>
      <c r="P60" s="530"/>
      <c r="Q60" s="433"/>
    </row>
    <row r="61" spans="1:17" ht="14.4" customHeight="1" x14ac:dyDescent="0.3">
      <c r="A61" s="428" t="s">
        <v>662</v>
      </c>
      <c r="B61" s="429" t="s">
        <v>590</v>
      </c>
      <c r="C61" s="429" t="s">
        <v>587</v>
      </c>
      <c r="D61" s="429" t="s">
        <v>613</v>
      </c>
      <c r="E61" s="429" t="s">
        <v>602</v>
      </c>
      <c r="F61" s="432">
        <v>1</v>
      </c>
      <c r="G61" s="432">
        <v>696</v>
      </c>
      <c r="H61" s="432"/>
      <c r="I61" s="432">
        <v>696</v>
      </c>
      <c r="J61" s="432"/>
      <c r="K61" s="432"/>
      <c r="L61" s="432"/>
      <c r="M61" s="432"/>
      <c r="N61" s="432"/>
      <c r="O61" s="432"/>
      <c r="P61" s="530"/>
      <c r="Q61" s="433"/>
    </row>
    <row r="62" spans="1:17" ht="14.4" customHeight="1" x14ac:dyDescent="0.3">
      <c r="A62" s="428" t="s">
        <v>662</v>
      </c>
      <c r="B62" s="429" t="s">
        <v>590</v>
      </c>
      <c r="C62" s="429" t="s">
        <v>587</v>
      </c>
      <c r="D62" s="429" t="s">
        <v>617</v>
      </c>
      <c r="E62" s="429" t="s">
        <v>618</v>
      </c>
      <c r="F62" s="432">
        <v>1</v>
      </c>
      <c r="G62" s="432">
        <v>66</v>
      </c>
      <c r="H62" s="432"/>
      <c r="I62" s="432">
        <v>66</v>
      </c>
      <c r="J62" s="432"/>
      <c r="K62" s="432"/>
      <c r="L62" s="432"/>
      <c r="M62" s="432"/>
      <c r="N62" s="432"/>
      <c r="O62" s="432"/>
      <c r="P62" s="530"/>
      <c r="Q62" s="433"/>
    </row>
    <row r="63" spans="1:17" ht="14.4" customHeight="1" x14ac:dyDescent="0.3">
      <c r="A63" s="428" t="s">
        <v>662</v>
      </c>
      <c r="B63" s="429" t="s">
        <v>590</v>
      </c>
      <c r="C63" s="429" t="s">
        <v>587</v>
      </c>
      <c r="D63" s="429" t="s">
        <v>619</v>
      </c>
      <c r="E63" s="429" t="s">
        <v>620</v>
      </c>
      <c r="F63" s="432">
        <v>3</v>
      </c>
      <c r="G63" s="432">
        <v>1203</v>
      </c>
      <c r="H63" s="432"/>
      <c r="I63" s="432">
        <v>401</v>
      </c>
      <c r="J63" s="432"/>
      <c r="K63" s="432"/>
      <c r="L63" s="432"/>
      <c r="M63" s="432"/>
      <c r="N63" s="432"/>
      <c r="O63" s="432"/>
      <c r="P63" s="530"/>
      <c r="Q63" s="433"/>
    </row>
    <row r="64" spans="1:17" ht="14.4" customHeight="1" x14ac:dyDescent="0.3">
      <c r="A64" s="428" t="s">
        <v>662</v>
      </c>
      <c r="B64" s="429" t="s">
        <v>590</v>
      </c>
      <c r="C64" s="429" t="s">
        <v>587</v>
      </c>
      <c r="D64" s="429" t="s">
        <v>623</v>
      </c>
      <c r="E64" s="429" t="s">
        <v>624</v>
      </c>
      <c r="F64" s="432">
        <v>17</v>
      </c>
      <c r="G64" s="432">
        <v>9384</v>
      </c>
      <c r="H64" s="432"/>
      <c r="I64" s="432">
        <v>552</v>
      </c>
      <c r="J64" s="432"/>
      <c r="K64" s="432"/>
      <c r="L64" s="432"/>
      <c r="M64" s="432"/>
      <c r="N64" s="432">
        <v>1</v>
      </c>
      <c r="O64" s="432">
        <v>560</v>
      </c>
      <c r="P64" s="530"/>
      <c r="Q64" s="433">
        <v>560</v>
      </c>
    </row>
    <row r="65" spans="1:17" ht="14.4" customHeight="1" x14ac:dyDescent="0.3">
      <c r="A65" s="428" t="s">
        <v>662</v>
      </c>
      <c r="B65" s="429" t="s">
        <v>590</v>
      </c>
      <c r="C65" s="429" t="s">
        <v>587</v>
      </c>
      <c r="D65" s="429" t="s">
        <v>634</v>
      </c>
      <c r="E65" s="429" t="s">
        <v>635</v>
      </c>
      <c r="F65" s="432">
        <v>1</v>
      </c>
      <c r="G65" s="432">
        <v>1615</v>
      </c>
      <c r="H65" s="432"/>
      <c r="I65" s="432">
        <v>1615</v>
      </c>
      <c r="J65" s="432"/>
      <c r="K65" s="432"/>
      <c r="L65" s="432"/>
      <c r="M65" s="432"/>
      <c r="N65" s="432">
        <v>1</v>
      </c>
      <c r="O65" s="432">
        <v>1649</v>
      </c>
      <c r="P65" s="530"/>
      <c r="Q65" s="433">
        <v>1649</v>
      </c>
    </row>
    <row r="66" spans="1:17" ht="14.4" customHeight="1" x14ac:dyDescent="0.3">
      <c r="A66" s="428" t="s">
        <v>585</v>
      </c>
      <c r="B66" s="429" t="s">
        <v>590</v>
      </c>
      <c r="C66" s="429" t="s">
        <v>587</v>
      </c>
      <c r="D66" s="429" t="s">
        <v>591</v>
      </c>
      <c r="E66" s="429" t="s">
        <v>592</v>
      </c>
      <c r="F66" s="432">
        <v>3</v>
      </c>
      <c r="G66" s="432">
        <v>384</v>
      </c>
      <c r="H66" s="432"/>
      <c r="I66" s="432">
        <v>128</v>
      </c>
      <c r="J66" s="432"/>
      <c r="K66" s="432"/>
      <c r="L66" s="432"/>
      <c r="M66" s="432"/>
      <c r="N66" s="432"/>
      <c r="O66" s="432"/>
      <c r="P66" s="530"/>
      <c r="Q66" s="433"/>
    </row>
    <row r="67" spans="1:17" ht="14.4" customHeight="1" x14ac:dyDescent="0.3">
      <c r="A67" s="428" t="s">
        <v>585</v>
      </c>
      <c r="B67" s="429" t="s">
        <v>590</v>
      </c>
      <c r="C67" s="429" t="s">
        <v>587</v>
      </c>
      <c r="D67" s="429" t="s">
        <v>609</v>
      </c>
      <c r="E67" s="429" t="s">
        <v>610</v>
      </c>
      <c r="F67" s="432">
        <v>4</v>
      </c>
      <c r="G67" s="432">
        <v>5844</v>
      </c>
      <c r="H67" s="432"/>
      <c r="I67" s="432">
        <v>1461</v>
      </c>
      <c r="J67" s="432"/>
      <c r="K67" s="432"/>
      <c r="L67" s="432"/>
      <c r="M67" s="432"/>
      <c r="N67" s="432"/>
      <c r="O67" s="432"/>
      <c r="P67" s="530"/>
      <c r="Q67" s="433"/>
    </row>
    <row r="68" spans="1:17" ht="14.4" customHeight="1" x14ac:dyDescent="0.3">
      <c r="A68" s="428" t="s">
        <v>585</v>
      </c>
      <c r="B68" s="429" t="s">
        <v>590</v>
      </c>
      <c r="C68" s="429" t="s">
        <v>587</v>
      </c>
      <c r="D68" s="429" t="s">
        <v>619</v>
      </c>
      <c r="E68" s="429" t="s">
        <v>620</v>
      </c>
      <c r="F68" s="432">
        <v>4</v>
      </c>
      <c r="G68" s="432">
        <v>1604</v>
      </c>
      <c r="H68" s="432"/>
      <c r="I68" s="432">
        <v>401</v>
      </c>
      <c r="J68" s="432"/>
      <c r="K68" s="432"/>
      <c r="L68" s="432"/>
      <c r="M68" s="432"/>
      <c r="N68" s="432"/>
      <c r="O68" s="432"/>
      <c r="P68" s="530"/>
      <c r="Q68" s="433"/>
    </row>
    <row r="69" spans="1:17" ht="14.4" customHeight="1" x14ac:dyDescent="0.3">
      <c r="A69" s="428" t="s">
        <v>585</v>
      </c>
      <c r="B69" s="429" t="s">
        <v>590</v>
      </c>
      <c r="C69" s="429" t="s">
        <v>587</v>
      </c>
      <c r="D69" s="429" t="s">
        <v>623</v>
      </c>
      <c r="E69" s="429" t="s">
        <v>624</v>
      </c>
      <c r="F69" s="432">
        <v>15</v>
      </c>
      <c r="G69" s="432">
        <v>8280</v>
      </c>
      <c r="H69" s="432"/>
      <c r="I69" s="432">
        <v>552</v>
      </c>
      <c r="J69" s="432"/>
      <c r="K69" s="432"/>
      <c r="L69" s="432"/>
      <c r="M69" s="432"/>
      <c r="N69" s="432"/>
      <c r="O69" s="432"/>
      <c r="P69" s="530"/>
      <c r="Q69" s="433"/>
    </row>
    <row r="70" spans="1:17" ht="14.4" customHeight="1" x14ac:dyDescent="0.3">
      <c r="A70" s="428" t="s">
        <v>585</v>
      </c>
      <c r="B70" s="429" t="s">
        <v>590</v>
      </c>
      <c r="C70" s="429" t="s">
        <v>587</v>
      </c>
      <c r="D70" s="429" t="s">
        <v>629</v>
      </c>
      <c r="E70" s="429" t="s">
        <v>630</v>
      </c>
      <c r="F70" s="432">
        <v>11</v>
      </c>
      <c r="G70" s="432">
        <v>4686</v>
      </c>
      <c r="H70" s="432">
        <v>10.923076923076923</v>
      </c>
      <c r="I70" s="432">
        <v>426</v>
      </c>
      <c r="J70" s="432">
        <v>1</v>
      </c>
      <c r="K70" s="432">
        <v>429</v>
      </c>
      <c r="L70" s="432">
        <v>1</v>
      </c>
      <c r="M70" s="432">
        <v>429</v>
      </c>
      <c r="N70" s="432">
        <v>1</v>
      </c>
      <c r="O70" s="432">
        <v>429</v>
      </c>
      <c r="P70" s="530">
        <v>1</v>
      </c>
      <c r="Q70" s="433">
        <v>429</v>
      </c>
    </row>
    <row r="71" spans="1:17" ht="14.4" customHeight="1" x14ac:dyDescent="0.3">
      <c r="A71" s="428" t="s">
        <v>585</v>
      </c>
      <c r="B71" s="429" t="s">
        <v>590</v>
      </c>
      <c r="C71" s="429" t="s">
        <v>587</v>
      </c>
      <c r="D71" s="429" t="s">
        <v>634</v>
      </c>
      <c r="E71" s="429" t="s">
        <v>635</v>
      </c>
      <c r="F71" s="432">
        <v>1</v>
      </c>
      <c r="G71" s="432">
        <v>1615</v>
      </c>
      <c r="H71" s="432">
        <v>0.97938144329896903</v>
      </c>
      <c r="I71" s="432">
        <v>1615</v>
      </c>
      <c r="J71" s="432">
        <v>1</v>
      </c>
      <c r="K71" s="432">
        <v>1649</v>
      </c>
      <c r="L71" s="432">
        <v>1</v>
      </c>
      <c r="M71" s="432">
        <v>1649</v>
      </c>
      <c r="N71" s="432"/>
      <c r="O71" s="432"/>
      <c r="P71" s="530"/>
      <c r="Q71" s="433"/>
    </row>
    <row r="72" spans="1:17" ht="14.4" customHeight="1" x14ac:dyDescent="0.3">
      <c r="A72" s="428" t="s">
        <v>663</v>
      </c>
      <c r="B72" s="429" t="s">
        <v>590</v>
      </c>
      <c r="C72" s="429" t="s">
        <v>587</v>
      </c>
      <c r="D72" s="429" t="s">
        <v>591</v>
      </c>
      <c r="E72" s="429" t="s">
        <v>592</v>
      </c>
      <c r="F72" s="432">
        <v>2</v>
      </c>
      <c r="G72" s="432">
        <v>256</v>
      </c>
      <c r="H72" s="432"/>
      <c r="I72" s="432">
        <v>128</v>
      </c>
      <c r="J72" s="432"/>
      <c r="K72" s="432"/>
      <c r="L72" s="432"/>
      <c r="M72" s="432"/>
      <c r="N72" s="432">
        <v>1</v>
      </c>
      <c r="O72" s="432">
        <v>136</v>
      </c>
      <c r="P72" s="530"/>
      <c r="Q72" s="433">
        <v>136</v>
      </c>
    </row>
    <row r="73" spans="1:17" ht="14.4" customHeight="1" x14ac:dyDescent="0.3">
      <c r="A73" s="428" t="s">
        <v>663</v>
      </c>
      <c r="B73" s="429" t="s">
        <v>590</v>
      </c>
      <c r="C73" s="429" t="s">
        <v>587</v>
      </c>
      <c r="D73" s="429" t="s">
        <v>599</v>
      </c>
      <c r="E73" s="429" t="s">
        <v>600</v>
      </c>
      <c r="F73" s="432"/>
      <c r="G73" s="432"/>
      <c r="H73" s="432"/>
      <c r="I73" s="432"/>
      <c r="J73" s="432">
        <v>2</v>
      </c>
      <c r="K73" s="432">
        <v>7646</v>
      </c>
      <c r="L73" s="432">
        <v>1</v>
      </c>
      <c r="M73" s="432">
        <v>3823</v>
      </c>
      <c r="N73" s="432">
        <v>5</v>
      </c>
      <c r="O73" s="432">
        <v>19125</v>
      </c>
      <c r="P73" s="530">
        <v>2.5013078733978551</v>
      </c>
      <c r="Q73" s="433">
        <v>3825</v>
      </c>
    </row>
    <row r="74" spans="1:17" ht="14.4" customHeight="1" x14ac:dyDescent="0.3">
      <c r="A74" s="428" t="s">
        <v>663</v>
      </c>
      <c r="B74" s="429" t="s">
        <v>590</v>
      </c>
      <c r="C74" s="429" t="s">
        <v>587</v>
      </c>
      <c r="D74" s="429" t="s">
        <v>601</v>
      </c>
      <c r="E74" s="429" t="s">
        <v>602</v>
      </c>
      <c r="F74" s="432">
        <v>4</v>
      </c>
      <c r="G74" s="432">
        <v>1756</v>
      </c>
      <c r="H74" s="432">
        <v>0.98651685393258426</v>
      </c>
      <c r="I74" s="432">
        <v>439</v>
      </c>
      <c r="J74" s="432">
        <v>4</v>
      </c>
      <c r="K74" s="432">
        <v>1780</v>
      </c>
      <c r="L74" s="432">
        <v>1</v>
      </c>
      <c r="M74" s="432">
        <v>445</v>
      </c>
      <c r="N74" s="432">
        <v>6</v>
      </c>
      <c r="O74" s="432">
        <v>2670</v>
      </c>
      <c r="P74" s="530">
        <v>1.5</v>
      </c>
      <c r="Q74" s="433">
        <v>445</v>
      </c>
    </row>
    <row r="75" spans="1:17" ht="14.4" customHeight="1" x14ac:dyDescent="0.3">
      <c r="A75" s="428" t="s">
        <v>663</v>
      </c>
      <c r="B75" s="429" t="s">
        <v>590</v>
      </c>
      <c r="C75" s="429" t="s">
        <v>587</v>
      </c>
      <c r="D75" s="429" t="s">
        <v>603</v>
      </c>
      <c r="E75" s="429" t="s">
        <v>604</v>
      </c>
      <c r="F75" s="432">
        <v>4</v>
      </c>
      <c r="G75" s="432">
        <v>3344</v>
      </c>
      <c r="H75" s="432">
        <v>0.98007033997655335</v>
      </c>
      <c r="I75" s="432">
        <v>836</v>
      </c>
      <c r="J75" s="432">
        <v>4</v>
      </c>
      <c r="K75" s="432">
        <v>3412</v>
      </c>
      <c r="L75" s="432">
        <v>1</v>
      </c>
      <c r="M75" s="432">
        <v>853</v>
      </c>
      <c r="N75" s="432">
        <v>5</v>
      </c>
      <c r="O75" s="432">
        <v>4270</v>
      </c>
      <c r="P75" s="530">
        <v>1.2514654161781946</v>
      </c>
      <c r="Q75" s="433">
        <v>854</v>
      </c>
    </row>
    <row r="76" spans="1:17" ht="14.4" customHeight="1" x14ac:dyDescent="0.3">
      <c r="A76" s="428" t="s">
        <v>663</v>
      </c>
      <c r="B76" s="429" t="s">
        <v>590</v>
      </c>
      <c r="C76" s="429" t="s">
        <v>587</v>
      </c>
      <c r="D76" s="429" t="s">
        <v>605</v>
      </c>
      <c r="E76" s="429" t="s">
        <v>606</v>
      </c>
      <c r="F76" s="432"/>
      <c r="G76" s="432"/>
      <c r="H76" s="432"/>
      <c r="I76" s="432"/>
      <c r="J76" s="432">
        <v>1</v>
      </c>
      <c r="K76" s="432">
        <v>1655</v>
      </c>
      <c r="L76" s="432">
        <v>1</v>
      </c>
      <c r="M76" s="432">
        <v>1655</v>
      </c>
      <c r="N76" s="432"/>
      <c r="O76" s="432"/>
      <c r="P76" s="530"/>
      <c r="Q76" s="433"/>
    </row>
    <row r="77" spans="1:17" ht="14.4" customHeight="1" x14ac:dyDescent="0.3">
      <c r="A77" s="428" t="s">
        <v>663</v>
      </c>
      <c r="B77" s="429" t="s">
        <v>590</v>
      </c>
      <c r="C77" s="429" t="s">
        <v>587</v>
      </c>
      <c r="D77" s="429" t="s">
        <v>609</v>
      </c>
      <c r="E77" s="429" t="s">
        <v>610</v>
      </c>
      <c r="F77" s="432">
        <v>3</v>
      </c>
      <c r="G77" s="432">
        <v>4383</v>
      </c>
      <c r="H77" s="432">
        <v>2.8778726198292843</v>
      </c>
      <c r="I77" s="432">
        <v>1461</v>
      </c>
      <c r="J77" s="432">
        <v>1</v>
      </c>
      <c r="K77" s="432">
        <v>1523</v>
      </c>
      <c r="L77" s="432">
        <v>1</v>
      </c>
      <c r="M77" s="432">
        <v>1523</v>
      </c>
      <c r="N77" s="432"/>
      <c r="O77" s="432"/>
      <c r="P77" s="530"/>
      <c r="Q77" s="433"/>
    </row>
    <row r="78" spans="1:17" ht="14.4" customHeight="1" x14ac:dyDescent="0.3">
      <c r="A78" s="428" t="s">
        <v>663</v>
      </c>
      <c r="B78" s="429" t="s">
        <v>590</v>
      </c>
      <c r="C78" s="429" t="s">
        <v>587</v>
      </c>
      <c r="D78" s="429" t="s">
        <v>611</v>
      </c>
      <c r="E78" s="429" t="s">
        <v>612</v>
      </c>
      <c r="F78" s="432">
        <v>3</v>
      </c>
      <c r="G78" s="432">
        <v>48</v>
      </c>
      <c r="H78" s="432">
        <v>1.411764705882353</v>
      </c>
      <c r="I78" s="432">
        <v>16</v>
      </c>
      <c r="J78" s="432">
        <v>2</v>
      </c>
      <c r="K78" s="432">
        <v>34</v>
      </c>
      <c r="L78" s="432">
        <v>1</v>
      </c>
      <c r="M78" s="432">
        <v>17</v>
      </c>
      <c r="N78" s="432">
        <v>5</v>
      </c>
      <c r="O78" s="432">
        <v>85</v>
      </c>
      <c r="P78" s="530">
        <v>2.5</v>
      </c>
      <c r="Q78" s="433">
        <v>17</v>
      </c>
    </row>
    <row r="79" spans="1:17" ht="14.4" customHeight="1" x14ac:dyDescent="0.3">
      <c r="A79" s="428" t="s">
        <v>663</v>
      </c>
      <c r="B79" s="429" t="s">
        <v>590</v>
      </c>
      <c r="C79" s="429" t="s">
        <v>587</v>
      </c>
      <c r="D79" s="429" t="s">
        <v>613</v>
      </c>
      <c r="E79" s="429" t="s">
        <v>602</v>
      </c>
      <c r="F79" s="432">
        <v>3</v>
      </c>
      <c r="G79" s="432">
        <v>2088</v>
      </c>
      <c r="H79" s="432"/>
      <c r="I79" s="432">
        <v>696</v>
      </c>
      <c r="J79" s="432"/>
      <c r="K79" s="432"/>
      <c r="L79" s="432"/>
      <c r="M79" s="432"/>
      <c r="N79" s="432">
        <v>10</v>
      </c>
      <c r="O79" s="432">
        <v>7080</v>
      </c>
      <c r="P79" s="530"/>
      <c r="Q79" s="433">
        <v>708</v>
      </c>
    </row>
    <row r="80" spans="1:17" ht="14.4" customHeight="1" x14ac:dyDescent="0.3">
      <c r="A80" s="428" t="s">
        <v>663</v>
      </c>
      <c r="B80" s="429" t="s">
        <v>590</v>
      </c>
      <c r="C80" s="429" t="s">
        <v>587</v>
      </c>
      <c r="D80" s="429" t="s">
        <v>614</v>
      </c>
      <c r="E80" s="429" t="s">
        <v>604</v>
      </c>
      <c r="F80" s="432"/>
      <c r="G80" s="432"/>
      <c r="H80" s="432"/>
      <c r="I80" s="432"/>
      <c r="J80" s="432">
        <v>8</v>
      </c>
      <c r="K80" s="432">
        <v>11504</v>
      </c>
      <c r="L80" s="432">
        <v>1</v>
      </c>
      <c r="M80" s="432">
        <v>1438</v>
      </c>
      <c r="N80" s="432">
        <v>12</v>
      </c>
      <c r="O80" s="432">
        <v>17268</v>
      </c>
      <c r="P80" s="530">
        <v>1.5010431154381085</v>
      </c>
      <c r="Q80" s="433">
        <v>1439</v>
      </c>
    </row>
    <row r="81" spans="1:17" ht="14.4" customHeight="1" x14ac:dyDescent="0.3">
      <c r="A81" s="428" t="s">
        <v>663</v>
      </c>
      <c r="B81" s="429" t="s">
        <v>590</v>
      </c>
      <c r="C81" s="429" t="s">
        <v>587</v>
      </c>
      <c r="D81" s="429" t="s">
        <v>615</v>
      </c>
      <c r="E81" s="429" t="s">
        <v>616</v>
      </c>
      <c r="F81" s="432"/>
      <c r="G81" s="432"/>
      <c r="H81" s="432"/>
      <c r="I81" s="432"/>
      <c r="J81" s="432">
        <v>6</v>
      </c>
      <c r="K81" s="432">
        <v>14622</v>
      </c>
      <c r="L81" s="432">
        <v>1</v>
      </c>
      <c r="M81" s="432">
        <v>2437</v>
      </c>
      <c r="N81" s="432">
        <v>13</v>
      </c>
      <c r="O81" s="432">
        <v>31694</v>
      </c>
      <c r="P81" s="530">
        <v>2.1675557379291477</v>
      </c>
      <c r="Q81" s="433">
        <v>2438</v>
      </c>
    </row>
    <row r="82" spans="1:17" ht="14.4" customHeight="1" x14ac:dyDescent="0.3">
      <c r="A82" s="428" t="s">
        <v>663</v>
      </c>
      <c r="B82" s="429" t="s">
        <v>590</v>
      </c>
      <c r="C82" s="429" t="s">
        <v>587</v>
      </c>
      <c r="D82" s="429" t="s">
        <v>617</v>
      </c>
      <c r="E82" s="429" t="s">
        <v>618</v>
      </c>
      <c r="F82" s="432">
        <v>6</v>
      </c>
      <c r="G82" s="432">
        <v>396</v>
      </c>
      <c r="H82" s="432">
        <v>1.9130434782608696</v>
      </c>
      <c r="I82" s="432">
        <v>66</v>
      </c>
      <c r="J82" s="432">
        <v>3</v>
      </c>
      <c r="K82" s="432">
        <v>207</v>
      </c>
      <c r="L82" s="432">
        <v>1</v>
      </c>
      <c r="M82" s="432">
        <v>69</v>
      </c>
      <c r="N82" s="432">
        <v>11</v>
      </c>
      <c r="O82" s="432">
        <v>759</v>
      </c>
      <c r="P82" s="530">
        <v>3.6666666666666665</v>
      </c>
      <c r="Q82" s="433">
        <v>69</v>
      </c>
    </row>
    <row r="83" spans="1:17" ht="14.4" customHeight="1" x14ac:dyDescent="0.3">
      <c r="A83" s="428" t="s">
        <v>663</v>
      </c>
      <c r="B83" s="429" t="s">
        <v>590</v>
      </c>
      <c r="C83" s="429" t="s">
        <v>587</v>
      </c>
      <c r="D83" s="429" t="s">
        <v>619</v>
      </c>
      <c r="E83" s="429" t="s">
        <v>620</v>
      </c>
      <c r="F83" s="432">
        <v>3</v>
      </c>
      <c r="G83" s="432">
        <v>1203</v>
      </c>
      <c r="H83" s="432">
        <v>2.9557739557739557</v>
      </c>
      <c r="I83" s="432">
        <v>401</v>
      </c>
      <c r="J83" s="432">
        <v>1</v>
      </c>
      <c r="K83" s="432">
        <v>407</v>
      </c>
      <c r="L83" s="432">
        <v>1</v>
      </c>
      <c r="M83" s="432">
        <v>407</v>
      </c>
      <c r="N83" s="432"/>
      <c r="O83" s="432"/>
      <c r="P83" s="530"/>
      <c r="Q83" s="433"/>
    </row>
    <row r="84" spans="1:17" ht="14.4" customHeight="1" x14ac:dyDescent="0.3">
      <c r="A84" s="428" t="s">
        <v>663</v>
      </c>
      <c r="B84" s="429" t="s">
        <v>590</v>
      </c>
      <c r="C84" s="429" t="s">
        <v>587</v>
      </c>
      <c r="D84" s="429" t="s">
        <v>621</v>
      </c>
      <c r="E84" s="429" t="s">
        <v>622</v>
      </c>
      <c r="F84" s="432">
        <v>1</v>
      </c>
      <c r="G84" s="432">
        <v>1613</v>
      </c>
      <c r="H84" s="432">
        <v>0.48467548076923078</v>
      </c>
      <c r="I84" s="432">
        <v>1613</v>
      </c>
      <c r="J84" s="432">
        <v>2</v>
      </c>
      <c r="K84" s="432">
        <v>3328</v>
      </c>
      <c r="L84" s="432">
        <v>1</v>
      </c>
      <c r="M84" s="432">
        <v>1664</v>
      </c>
      <c r="N84" s="432">
        <v>2</v>
      </c>
      <c r="O84" s="432">
        <v>3330</v>
      </c>
      <c r="P84" s="530">
        <v>1.0006009615384615</v>
      </c>
      <c r="Q84" s="433">
        <v>1665</v>
      </c>
    </row>
    <row r="85" spans="1:17" ht="14.4" customHeight="1" x14ac:dyDescent="0.3">
      <c r="A85" s="428" t="s">
        <v>663</v>
      </c>
      <c r="B85" s="429" t="s">
        <v>590</v>
      </c>
      <c r="C85" s="429" t="s">
        <v>587</v>
      </c>
      <c r="D85" s="429" t="s">
        <v>623</v>
      </c>
      <c r="E85" s="429" t="s">
        <v>624</v>
      </c>
      <c r="F85" s="432">
        <v>17</v>
      </c>
      <c r="G85" s="432">
        <v>9384</v>
      </c>
      <c r="H85" s="432">
        <v>0.76168831168831164</v>
      </c>
      <c r="I85" s="432">
        <v>552</v>
      </c>
      <c r="J85" s="432">
        <v>22</v>
      </c>
      <c r="K85" s="432">
        <v>12320</v>
      </c>
      <c r="L85" s="432">
        <v>1</v>
      </c>
      <c r="M85" s="432">
        <v>560</v>
      </c>
      <c r="N85" s="432">
        <v>59</v>
      </c>
      <c r="O85" s="432">
        <v>33040</v>
      </c>
      <c r="P85" s="530">
        <v>2.6818181818181817</v>
      </c>
      <c r="Q85" s="433">
        <v>560</v>
      </c>
    </row>
    <row r="86" spans="1:17" ht="14.4" customHeight="1" x14ac:dyDescent="0.3">
      <c r="A86" s="428" t="s">
        <v>663</v>
      </c>
      <c r="B86" s="429" t="s">
        <v>590</v>
      </c>
      <c r="C86" s="429" t="s">
        <v>587</v>
      </c>
      <c r="D86" s="429" t="s">
        <v>629</v>
      </c>
      <c r="E86" s="429" t="s">
        <v>630</v>
      </c>
      <c r="F86" s="432">
        <v>16</v>
      </c>
      <c r="G86" s="432">
        <v>6816</v>
      </c>
      <c r="H86" s="432">
        <v>0.88267288267288269</v>
      </c>
      <c r="I86" s="432">
        <v>426</v>
      </c>
      <c r="J86" s="432">
        <v>18</v>
      </c>
      <c r="K86" s="432">
        <v>7722</v>
      </c>
      <c r="L86" s="432">
        <v>1</v>
      </c>
      <c r="M86" s="432">
        <v>429</v>
      </c>
      <c r="N86" s="432">
        <v>24</v>
      </c>
      <c r="O86" s="432">
        <v>10296</v>
      </c>
      <c r="P86" s="530">
        <v>1.3333333333333333</v>
      </c>
      <c r="Q86" s="433">
        <v>429</v>
      </c>
    </row>
    <row r="87" spans="1:17" ht="14.4" customHeight="1" x14ac:dyDescent="0.3">
      <c r="A87" s="428" t="s">
        <v>663</v>
      </c>
      <c r="B87" s="429" t="s">
        <v>590</v>
      </c>
      <c r="C87" s="429" t="s">
        <v>587</v>
      </c>
      <c r="D87" s="429" t="s">
        <v>634</v>
      </c>
      <c r="E87" s="429" t="s">
        <v>635</v>
      </c>
      <c r="F87" s="432">
        <v>1</v>
      </c>
      <c r="G87" s="432">
        <v>1615</v>
      </c>
      <c r="H87" s="432">
        <v>0.13991163475699558</v>
      </c>
      <c r="I87" s="432">
        <v>1615</v>
      </c>
      <c r="J87" s="432">
        <v>7</v>
      </c>
      <c r="K87" s="432">
        <v>11543</v>
      </c>
      <c r="L87" s="432">
        <v>1</v>
      </c>
      <c r="M87" s="432">
        <v>1649</v>
      </c>
      <c r="N87" s="432">
        <v>18</v>
      </c>
      <c r="O87" s="432">
        <v>29682</v>
      </c>
      <c r="P87" s="530">
        <v>2.5714285714285716</v>
      </c>
      <c r="Q87" s="433">
        <v>1649</v>
      </c>
    </row>
    <row r="88" spans="1:17" ht="14.4" customHeight="1" x14ac:dyDescent="0.3">
      <c r="A88" s="428" t="s">
        <v>664</v>
      </c>
      <c r="B88" s="429" t="s">
        <v>590</v>
      </c>
      <c r="C88" s="429" t="s">
        <v>587</v>
      </c>
      <c r="D88" s="429" t="s">
        <v>599</v>
      </c>
      <c r="E88" s="429" t="s">
        <v>600</v>
      </c>
      <c r="F88" s="432">
        <v>1</v>
      </c>
      <c r="G88" s="432">
        <v>3721</v>
      </c>
      <c r="H88" s="432"/>
      <c r="I88" s="432">
        <v>3721</v>
      </c>
      <c r="J88" s="432"/>
      <c r="K88" s="432"/>
      <c r="L88" s="432"/>
      <c r="M88" s="432"/>
      <c r="N88" s="432"/>
      <c r="O88" s="432"/>
      <c r="P88" s="530"/>
      <c r="Q88" s="433"/>
    </row>
    <row r="89" spans="1:17" ht="14.4" customHeight="1" x14ac:dyDescent="0.3">
      <c r="A89" s="428" t="s">
        <v>664</v>
      </c>
      <c r="B89" s="429" t="s">
        <v>590</v>
      </c>
      <c r="C89" s="429" t="s">
        <v>587</v>
      </c>
      <c r="D89" s="429" t="s">
        <v>614</v>
      </c>
      <c r="E89" s="429" t="s">
        <v>604</v>
      </c>
      <c r="F89" s="432">
        <v>2</v>
      </c>
      <c r="G89" s="432">
        <v>2774</v>
      </c>
      <c r="H89" s="432"/>
      <c r="I89" s="432">
        <v>1387</v>
      </c>
      <c r="J89" s="432"/>
      <c r="K89" s="432"/>
      <c r="L89" s="432"/>
      <c r="M89" s="432"/>
      <c r="N89" s="432"/>
      <c r="O89" s="432"/>
      <c r="P89" s="530"/>
      <c r="Q89" s="433"/>
    </row>
    <row r="90" spans="1:17" ht="14.4" customHeight="1" x14ac:dyDescent="0.3">
      <c r="A90" s="428" t="s">
        <v>664</v>
      </c>
      <c r="B90" s="429" t="s">
        <v>590</v>
      </c>
      <c r="C90" s="429" t="s">
        <v>587</v>
      </c>
      <c r="D90" s="429" t="s">
        <v>615</v>
      </c>
      <c r="E90" s="429" t="s">
        <v>616</v>
      </c>
      <c r="F90" s="432">
        <v>1</v>
      </c>
      <c r="G90" s="432">
        <v>2341</v>
      </c>
      <c r="H90" s="432"/>
      <c r="I90" s="432">
        <v>2341</v>
      </c>
      <c r="J90" s="432"/>
      <c r="K90" s="432"/>
      <c r="L90" s="432"/>
      <c r="M90" s="432"/>
      <c r="N90" s="432"/>
      <c r="O90" s="432"/>
      <c r="P90" s="530"/>
      <c r="Q90" s="433"/>
    </row>
    <row r="91" spans="1:17" ht="14.4" customHeight="1" x14ac:dyDescent="0.3">
      <c r="A91" s="428" t="s">
        <v>664</v>
      </c>
      <c r="B91" s="429" t="s">
        <v>590</v>
      </c>
      <c r="C91" s="429" t="s">
        <v>587</v>
      </c>
      <c r="D91" s="429" t="s">
        <v>623</v>
      </c>
      <c r="E91" s="429" t="s">
        <v>624</v>
      </c>
      <c r="F91" s="432">
        <v>2</v>
      </c>
      <c r="G91" s="432">
        <v>1104</v>
      </c>
      <c r="H91" s="432"/>
      <c r="I91" s="432">
        <v>552</v>
      </c>
      <c r="J91" s="432"/>
      <c r="K91" s="432"/>
      <c r="L91" s="432"/>
      <c r="M91" s="432"/>
      <c r="N91" s="432"/>
      <c r="O91" s="432"/>
      <c r="P91" s="530"/>
      <c r="Q91" s="433"/>
    </row>
    <row r="92" spans="1:17" ht="14.4" customHeight="1" x14ac:dyDescent="0.3">
      <c r="A92" s="428" t="s">
        <v>664</v>
      </c>
      <c r="B92" s="429" t="s">
        <v>590</v>
      </c>
      <c r="C92" s="429" t="s">
        <v>587</v>
      </c>
      <c r="D92" s="429" t="s">
        <v>634</v>
      </c>
      <c r="E92" s="429" t="s">
        <v>635</v>
      </c>
      <c r="F92" s="432">
        <v>1</v>
      </c>
      <c r="G92" s="432">
        <v>1615</v>
      </c>
      <c r="H92" s="432"/>
      <c r="I92" s="432">
        <v>1615</v>
      </c>
      <c r="J92" s="432"/>
      <c r="K92" s="432"/>
      <c r="L92" s="432"/>
      <c r="M92" s="432"/>
      <c r="N92" s="432"/>
      <c r="O92" s="432"/>
      <c r="P92" s="530"/>
      <c r="Q92" s="433"/>
    </row>
    <row r="93" spans="1:17" ht="14.4" customHeight="1" x14ac:dyDescent="0.3">
      <c r="A93" s="428" t="s">
        <v>665</v>
      </c>
      <c r="B93" s="429" t="s">
        <v>590</v>
      </c>
      <c r="C93" s="429" t="s">
        <v>587</v>
      </c>
      <c r="D93" s="429" t="s">
        <v>595</v>
      </c>
      <c r="E93" s="429" t="s">
        <v>596</v>
      </c>
      <c r="F93" s="432"/>
      <c r="G93" s="432"/>
      <c r="H93" s="432"/>
      <c r="I93" s="432"/>
      <c r="J93" s="432">
        <v>2</v>
      </c>
      <c r="K93" s="432">
        <v>4676</v>
      </c>
      <c r="L93" s="432">
        <v>1</v>
      </c>
      <c r="M93" s="432">
        <v>2338</v>
      </c>
      <c r="N93" s="432"/>
      <c r="O93" s="432"/>
      <c r="P93" s="530"/>
      <c r="Q93" s="433"/>
    </row>
    <row r="94" spans="1:17" ht="14.4" customHeight="1" x14ac:dyDescent="0.3">
      <c r="A94" s="428" t="s">
        <v>665</v>
      </c>
      <c r="B94" s="429" t="s">
        <v>590</v>
      </c>
      <c r="C94" s="429" t="s">
        <v>587</v>
      </c>
      <c r="D94" s="429" t="s">
        <v>597</v>
      </c>
      <c r="E94" s="429" t="s">
        <v>598</v>
      </c>
      <c r="F94" s="432"/>
      <c r="G94" s="432"/>
      <c r="H94" s="432"/>
      <c r="I94" s="432"/>
      <c r="J94" s="432"/>
      <c r="K94" s="432"/>
      <c r="L94" s="432"/>
      <c r="M94" s="432"/>
      <c r="N94" s="432">
        <v>2</v>
      </c>
      <c r="O94" s="432">
        <v>2154</v>
      </c>
      <c r="P94" s="530"/>
      <c r="Q94" s="433">
        <v>1077</v>
      </c>
    </row>
    <row r="95" spans="1:17" ht="14.4" customHeight="1" x14ac:dyDescent="0.3">
      <c r="A95" s="428" t="s">
        <v>665</v>
      </c>
      <c r="B95" s="429" t="s">
        <v>590</v>
      </c>
      <c r="C95" s="429" t="s">
        <v>587</v>
      </c>
      <c r="D95" s="429" t="s">
        <v>599</v>
      </c>
      <c r="E95" s="429" t="s">
        <v>600</v>
      </c>
      <c r="F95" s="432">
        <v>2</v>
      </c>
      <c r="G95" s="432">
        <v>7442</v>
      </c>
      <c r="H95" s="432">
        <v>0.97331938268375617</v>
      </c>
      <c r="I95" s="432">
        <v>3721</v>
      </c>
      <c r="J95" s="432">
        <v>2</v>
      </c>
      <c r="K95" s="432">
        <v>7646</v>
      </c>
      <c r="L95" s="432">
        <v>1</v>
      </c>
      <c r="M95" s="432">
        <v>3823</v>
      </c>
      <c r="N95" s="432">
        <v>2</v>
      </c>
      <c r="O95" s="432">
        <v>7650</v>
      </c>
      <c r="P95" s="530">
        <v>1.000523149359142</v>
      </c>
      <c r="Q95" s="433">
        <v>3825</v>
      </c>
    </row>
    <row r="96" spans="1:17" ht="14.4" customHeight="1" x14ac:dyDescent="0.3">
      <c r="A96" s="428" t="s">
        <v>665</v>
      </c>
      <c r="B96" s="429" t="s">
        <v>590</v>
      </c>
      <c r="C96" s="429" t="s">
        <v>587</v>
      </c>
      <c r="D96" s="429" t="s">
        <v>611</v>
      </c>
      <c r="E96" s="429" t="s">
        <v>612</v>
      </c>
      <c r="F96" s="432">
        <v>4</v>
      </c>
      <c r="G96" s="432">
        <v>64</v>
      </c>
      <c r="H96" s="432">
        <v>3.7647058823529411</v>
      </c>
      <c r="I96" s="432">
        <v>16</v>
      </c>
      <c r="J96" s="432">
        <v>1</v>
      </c>
      <c r="K96" s="432">
        <v>17</v>
      </c>
      <c r="L96" s="432">
        <v>1</v>
      </c>
      <c r="M96" s="432">
        <v>17</v>
      </c>
      <c r="N96" s="432">
        <v>3</v>
      </c>
      <c r="O96" s="432">
        <v>51</v>
      </c>
      <c r="P96" s="530">
        <v>3</v>
      </c>
      <c r="Q96" s="433">
        <v>17</v>
      </c>
    </row>
    <row r="97" spans="1:17" ht="14.4" customHeight="1" x14ac:dyDescent="0.3">
      <c r="A97" s="428" t="s">
        <v>665</v>
      </c>
      <c r="B97" s="429" t="s">
        <v>590</v>
      </c>
      <c r="C97" s="429" t="s">
        <v>587</v>
      </c>
      <c r="D97" s="429" t="s">
        <v>613</v>
      </c>
      <c r="E97" s="429" t="s">
        <v>602</v>
      </c>
      <c r="F97" s="432">
        <v>7</v>
      </c>
      <c r="G97" s="432">
        <v>4872</v>
      </c>
      <c r="H97" s="432">
        <v>3.4406779661016951</v>
      </c>
      <c r="I97" s="432">
        <v>696</v>
      </c>
      <c r="J97" s="432">
        <v>2</v>
      </c>
      <c r="K97" s="432">
        <v>1416</v>
      </c>
      <c r="L97" s="432">
        <v>1</v>
      </c>
      <c r="M97" s="432">
        <v>708</v>
      </c>
      <c r="N97" s="432">
        <v>6</v>
      </c>
      <c r="O97" s="432">
        <v>4248</v>
      </c>
      <c r="P97" s="530">
        <v>3</v>
      </c>
      <c r="Q97" s="433">
        <v>708</v>
      </c>
    </row>
    <row r="98" spans="1:17" ht="14.4" customHeight="1" x14ac:dyDescent="0.3">
      <c r="A98" s="428" t="s">
        <v>665</v>
      </c>
      <c r="B98" s="429" t="s">
        <v>590</v>
      </c>
      <c r="C98" s="429" t="s">
        <v>587</v>
      </c>
      <c r="D98" s="429" t="s">
        <v>614</v>
      </c>
      <c r="E98" s="429" t="s">
        <v>604</v>
      </c>
      <c r="F98" s="432">
        <v>10</v>
      </c>
      <c r="G98" s="432">
        <v>13870</v>
      </c>
      <c r="H98" s="432">
        <v>1.9290681502086231</v>
      </c>
      <c r="I98" s="432">
        <v>1387</v>
      </c>
      <c r="J98" s="432">
        <v>5</v>
      </c>
      <c r="K98" s="432">
        <v>7190</v>
      </c>
      <c r="L98" s="432">
        <v>1</v>
      </c>
      <c r="M98" s="432">
        <v>1438</v>
      </c>
      <c r="N98" s="432">
        <v>2</v>
      </c>
      <c r="O98" s="432">
        <v>2878</v>
      </c>
      <c r="P98" s="530">
        <v>0.40027816411682893</v>
      </c>
      <c r="Q98" s="433">
        <v>1439</v>
      </c>
    </row>
    <row r="99" spans="1:17" ht="14.4" customHeight="1" x14ac:dyDescent="0.3">
      <c r="A99" s="428" t="s">
        <v>665</v>
      </c>
      <c r="B99" s="429" t="s">
        <v>590</v>
      </c>
      <c r="C99" s="429" t="s">
        <v>587</v>
      </c>
      <c r="D99" s="429" t="s">
        <v>615</v>
      </c>
      <c r="E99" s="429" t="s">
        <v>616</v>
      </c>
      <c r="F99" s="432">
        <v>3</v>
      </c>
      <c r="G99" s="432">
        <v>7023</v>
      </c>
      <c r="H99" s="432">
        <v>2.8818219121871151</v>
      </c>
      <c r="I99" s="432">
        <v>2341</v>
      </c>
      <c r="J99" s="432">
        <v>1</v>
      </c>
      <c r="K99" s="432">
        <v>2437</v>
      </c>
      <c r="L99" s="432">
        <v>1</v>
      </c>
      <c r="M99" s="432">
        <v>2437</v>
      </c>
      <c r="N99" s="432">
        <v>3</v>
      </c>
      <c r="O99" s="432">
        <v>7314</v>
      </c>
      <c r="P99" s="530">
        <v>3.0012310217480507</v>
      </c>
      <c r="Q99" s="433">
        <v>2438</v>
      </c>
    </row>
    <row r="100" spans="1:17" ht="14.4" customHeight="1" x14ac:dyDescent="0.3">
      <c r="A100" s="428" t="s">
        <v>665</v>
      </c>
      <c r="B100" s="429" t="s">
        <v>590</v>
      </c>
      <c r="C100" s="429" t="s">
        <v>587</v>
      </c>
      <c r="D100" s="429" t="s">
        <v>617</v>
      </c>
      <c r="E100" s="429" t="s">
        <v>618</v>
      </c>
      <c r="F100" s="432">
        <v>7</v>
      </c>
      <c r="G100" s="432">
        <v>462</v>
      </c>
      <c r="H100" s="432">
        <v>3.347826086956522</v>
      </c>
      <c r="I100" s="432">
        <v>66</v>
      </c>
      <c r="J100" s="432">
        <v>2</v>
      </c>
      <c r="K100" s="432">
        <v>138</v>
      </c>
      <c r="L100" s="432">
        <v>1</v>
      </c>
      <c r="M100" s="432">
        <v>69</v>
      </c>
      <c r="N100" s="432">
        <v>6</v>
      </c>
      <c r="O100" s="432">
        <v>414</v>
      </c>
      <c r="P100" s="530">
        <v>3</v>
      </c>
      <c r="Q100" s="433">
        <v>69</v>
      </c>
    </row>
    <row r="101" spans="1:17" ht="14.4" customHeight="1" x14ac:dyDescent="0.3">
      <c r="A101" s="428" t="s">
        <v>665</v>
      </c>
      <c r="B101" s="429" t="s">
        <v>590</v>
      </c>
      <c r="C101" s="429" t="s">
        <v>587</v>
      </c>
      <c r="D101" s="429" t="s">
        <v>623</v>
      </c>
      <c r="E101" s="429" t="s">
        <v>624</v>
      </c>
      <c r="F101" s="432">
        <v>17</v>
      </c>
      <c r="G101" s="432">
        <v>9384</v>
      </c>
      <c r="H101" s="432">
        <v>5.5857142857142854</v>
      </c>
      <c r="I101" s="432">
        <v>552</v>
      </c>
      <c r="J101" s="432">
        <v>3</v>
      </c>
      <c r="K101" s="432">
        <v>1680</v>
      </c>
      <c r="L101" s="432">
        <v>1</v>
      </c>
      <c r="M101" s="432">
        <v>560</v>
      </c>
      <c r="N101" s="432">
        <v>11</v>
      </c>
      <c r="O101" s="432">
        <v>6160</v>
      </c>
      <c r="P101" s="530">
        <v>3.6666666666666665</v>
      </c>
      <c r="Q101" s="433">
        <v>560</v>
      </c>
    </row>
    <row r="102" spans="1:17" ht="14.4" customHeight="1" x14ac:dyDescent="0.3">
      <c r="A102" s="428" t="s">
        <v>665</v>
      </c>
      <c r="B102" s="429" t="s">
        <v>590</v>
      </c>
      <c r="C102" s="429" t="s">
        <v>587</v>
      </c>
      <c r="D102" s="429" t="s">
        <v>634</v>
      </c>
      <c r="E102" s="429" t="s">
        <v>635</v>
      </c>
      <c r="F102" s="432">
        <v>2</v>
      </c>
      <c r="G102" s="432">
        <v>3230</v>
      </c>
      <c r="H102" s="432">
        <v>1.9587628865979381</v>
      </c>
      <c r="I102" s="432">
        <v>1615</v>
      </c>
      <c r="J102" s="432">
        <v>1</v>
      </c>
      <c r="K102" s="432">
        <v>1649</v>
      </c>
      <c r="L102" s="432">
        <v>1</v>
      </c>
      <c r="M102" s="432">
        <v>1649</v>
      </c>
      <c r="N102" s="432">
        <v>2</v>
      </c>
      <c r="O102" s="432">
        <v>3298</v>
      </c>
      <c r="P102" s="530">
        <v>2</v>
      </c>
      <c r="Q102" s="433">
        <v>1649</v>
      </c>
    </row>
    <row r="103" spans="1:17" ht="14.4" customHeight="1" x14ac:dyDescent="0.3">
      <c r="A103" s="428" t="s">
        <v>666</v>
      </c>
      <c r="B103" s="429" t="s">
        <v>590</v>
      </c>
      <c r="C103" s="429" t="s">
        <v>587</v>
      </c>
      <c r="D103" s="429" t="s">
        <v>591</v>
      </c>
      <c r="E103" s="429" t="s">
        <v>592</v>
      </c>
      <c r="F103" s="432">
        <v>1</v>
      </c>
      <c r="G103" s="432">
        <v>128</v>
      </c>
      <c r="H103" s="432">
        <v>0.47058823529411764</v>
      </c>
      <c r="I103" s="432">
        <v>128</v>
      </c>
      <c r="J103" s="432">
        <v>2</v>
      </c>
      <c r="K103" s="432">
        <v>272</v>
      </c>
      <c r="L103" s="432">
        <v>1</v>
      </c>
      <c r="M103" s="432">
        <v>136</v>
      </c>
      <c r="N103" s="432"/>
      <c r="O103" s="432"/>
      <c r="P103" s="530"/>
      <c r="Q103" s="433"/>
    </row>
    <row r="104" spans="1:17" ht="14.4" customHeight="1" x14ac:dyDescent="0.3">
      <c r="A104" s="428" t="s">
        <v>666</v>
      </c>
      <c r="B104" s="429" t="s">
        <v>590</v>
      </c>
      <c r="C104" s="429" t="s">
        <v>587</v>
      </c>
      <c r="D104" s="429" t="s">
        <v>595</v>
      </c>
      <c r="E104" s="429" t="s">
        <v>596</v>
      </c>
      <c r="F104" s="432"/>
      <c r="G104" s="432"/>
      <c r="H104" s="432"/>
      <c r="I104" s="432"/>
      <c r="J104" s="432"/>
      <c r="K104" s="432"/>
      <c r="L104" s="432"/>
      <c r="M104" s="432"/>
      <c r="N104" s="432">
        <v>1</v>
      </c>
      <c r="O104" s="432">
        <v>2340</v>
      </c>
      <c r="P104" s="530"/>
      <c r="Q104" s="433">
        <v>2340</v>
      </c>
    </row>
    <row r="105" spans="1:17" ht="14.4" customHeight="1" x14ac:dyDescent="0.3">
      <c r="A105" s="428" t="s">
        <v>666</v>
      </c>
      <c r="B105" s="429" t="s">
        <v>590</v>
      </c>
      <c r="C105" s="429" t="s">
        <v>587</v>
      </c>
      <c r="D105" s="429" t="s">
        <v>599</v>
      </c>
      <c r="E105" s="429" t="s">
        <v>600</v>
      </c>
      <c r="F105" s="432"/>
      <c r="G105" s="432"/>
      <c r="H105" s="432"/>
      <c r="I105" s="432"/>
      <c r="J105" s="432">
        <v>2</v>
      </c>
      <c r="K105" s="432">
        <v>7646</v>
      </c>
      <c r="L105" s="432">
        <v>1</v>
      </c>
      <c r="M105" s="432">
        <v>3823</v>
      </c>
      <c r="N105" s="432">
        <v>2</v>
      </c>
      <c r="O105" s="432">
        <v>7650</v>
      </c>
      <c r="P105" s="530">
        <v>1.000523149359142</v>
      </c>
      <c r="Q105" s="433">
        <v>3825</v>
      </c>
    </row>
    <row r="106" spans="1:17" ht="14.4" customHeight="1" x14ac:dyDescent="0.3">
      <c r="A106" s="428" t="s">
        <v>666</v>
      </c>
      <c r="B106" s="429" t="s">
        <v>590</v>
      </c>
      <c r="C106" s="429" t="s">
        <v>587</v>
      </c>
      <c r="D106" s="429" t="s">
        <v>601</v>
      </c>
      <c r="E106" s="429" t="s">
        <v>602</v>
      </c>
      <c r="F106" s="432"/>
      <c r="G106" s="432"/>
      <c r="H106" s="432"/>
      <c r="I106" s="432"/>
      <c r="J106" s="432">
        <v>2</v>
      </c>
      <c r="K106" s="432">
        <v>890</v>
      </c>
      <c r="L106" s="432">
        <v>1</v>
      </c>
      <c r="M106" s="432">
        <v>445</v>
      </c>
      <c r="N106" s="432">
        <v>1</v>
      </c>
      <c r="O106" s="432">
        <v>445</v>
      </c>
      <c r="P106" s="530">
        <v>0.5</v>
      </c>
      <c r="Q106" s="433">
        <v>445</v>
      </c>
    </row>
    <row r="107" spans="1:17" ht="14.4" customHeight="1" x14ac:dyDescent="0.3">
      <c r="A107" s="428" t="s">
        <v>666</v>
      </c>
      <c r="B107" s="429" t="s">
        <v>590</v>
      </c>
      <c r="C107" s="429" t="s">
        <v>587</v>
      </c>
      <c r="D107" s="429" t="s">
        <v>603</v>
      </c>
      <c r="E107" s="429" t="s">
        <v>604</v>
      </c>
      <c r="F107" s="432"/>
      <c r="G107" s="432"/>
      <c r="H107" s="432"/>
      <c r="I107" s="432"/>
      <c r="J107" s="432">
        <v>4</v>
      </c>
      <c r="K107" s="432">
        <v>3412</v>
      </c>
      <c r="L107" s="432">
        <v>1</v>
      </c>
      <c r="M107" s="432">
        <v>853</v>
      </c>
      <c r="N107" s="432"/>
      <c r="O107" s="432"/>
      <c r="P107" s="530"/>
      <c r="Q107" s="433"/>
    </row>
    <row r="108" spans="1:17" ht="14.4" customHeight="1" x14ac:dyDescent="0.3">
      <c r="A108" s="428" t="s">
        <v>666</v>
      </c>
      <c r="B108" s="429" t="s">
        <v>590</v>
      </c>
      <c r="C108" s="429" t="s">
        <v>587</v>
      </c>
      <c r="D108" s="429" t="s">
        <v>609</v>
      </c>
      <c r="E108" s="429" t="s">
        <v>610</v>
      </c>
      <c r="F108" s="432">
        <v>1</v>
      </c>
      <c r="G108" s="432">
        <v>1461</v>
      </c>
      <c r="H108" s="432"/>
      <c r="I108" s="432">
        <v>1461</v>
      </c>
      <c r="J108" s="432"/>
      <c r="K108" s="432"/>
      <c r="L108" s="432"/>
      <c r="M108" s="432"/>
      <c r="N108" s="432">
        <v>1</v>
      </c>
      <c r="O108" s="432">
        <v>1524</v>
      </c>
      <c r="P108" s="530"/>
      <c r="Q108" s="433">
        <v>1524</v>
      </c>
    </row>
    <row r="109" spans="1:17" ht="14.4" customHeight="1" x14ac:dyDescent="0.3">
      <c r="A109" s="428" t="s">
        <v>666</v>
      </c>
      <c r="B109" s="429" t="s">
        <v>590</v>
      </c>
      <c r="C109" s="429" t="s">
        <v>587</v>
      </c>
      <c r="D109" s="429" t="s">
        <v>611</v>
      </c>
      <c r="E109" s="429" t="s">
        <v>612</v>
      </c>
      <c r="F109" s="432">
        <v>1</v>
      </c>
      <c r="G109" s="432">
        <v>16</v>
      </c>
      <c r="H109" s="432">
        <v>0.94117647058823528</v>
      </c>
      <c r="I109" s="432">
        <v>16</v>
      </c>
      <c r="J109" s="432">
        <v>1</v>
      </c>
      <c r="K109" s="432">
        <v>17</v>
      </c>
      <c r="L109" s="432">
        <v>1</v>
      </c>
      <c r="M109" s="432">
        <v>17</v>
      </c>
      <c r="N109" s="432">
        <v>3</v>
      </c>
      <c r="O109" s="432">
        <v>51</v>
      </c>
      <c r="P109" s="530">
        <v>3</v>
      </c>
      <c r="Q109" s="433">
        <v>17</v>
      </c>
    </row>
    <row r="110" spans="1:17" ht="14.4" customHeight="1" x14ac:dyDescent="0.3">
      <c r="A110" s="428" t="s">
        <v>666</v>
      </c>
      <c r="B110" s="429" t="s">
        <v>590</v>
      </c>
      <c r="C110" s="429" t="s">
        <v>587</v>
      </c>
      <c r="D110" s="429" t="s">
        <v>613</v>
      </c>
      <c r="E110" s="429" t="s">
        <v>602</v>
      </c>
      <c r="F110" s="432">
        <v>2</v>
      </c>
      <c r="G110" s="432">
        <v>1392</v>
      </c>
      <c r="H110" s="432">
        <v>0.98305084745762716</v>
      </c>
      <c r="I110" s="432">
        <v>696</v>
      </c>
      <c r="J110" s="432">
        <v>2</v>
      </c>
      <c r="K110" s="432">
        <v>1416</v>
      </c>
      <c r="L110" s="432">
        <v>1</v>
      </c>
      <c r="M110" s="432">
        <v>708</v>
      </c>
      <c r="N110" s="432">
        <v>6</v>
      </c>
      <c r="O110" s="432">
        <v>4248</v>
      </c>
      <c r="P110" s="530">
        <v>3</v>
      </c>
      <c r="Q110" s="433">
        <v>708</v>
      </c>
    </row>
    <row r="111" spans="1:17" ht="14.4" customHeight="1" x14ac:dyDescent="0.3">
      <c r="A111" s="428" t="s">
        <v>666</v>
      </c>
      <c r="B111" s="429" t="s">
        <v>590</v>
      </c>
      <c r="C111" s="429" t="s">
        <v>587</v>
      </c>
      <c r="D111" s="429" t="s">
        <v>614</v>
      </c>
      <c r="E111" s="429" t="s">
        <v>604</v>
      </c>
      <c r="F111" s="432">
        <v>2</v>
      </c>
      <c r="G111" s="432">
        <v>2774</v>
      </c>
      <c r="H111" s="432">
        <v>0.96453407510431155</v>
      </c>
      <c r="I111" s="432">
        <v>1387</v>
      </c>
      <c r="J111" s="432">
        <v>2</v>
      </c>
      <c r="K111" s="432">
        <v>2876</v>
      </c>
      <c r="L111" s="432">
        <v>1</v>
      </c>
      <c r="M111" s="432">
        <v>1438</v>
      </c>
      <c r="N111" s="432">
        <v>4</v>
      </c>
      <c r="O111" s="432">
        <v>5756</v>
      </c>
      <c r="P111" s="530">
        <v>2.0013908205841449</v>
      </c>
      <c r="Q111" s="433">
        <v>1439</v>
      </c>
    </row>
    <row r="112" spans="1:17" ht="14.4" customHeight="1" x14ac:dyDescent="0.3">
      <c r="A112" s="428" t="s">
        <v>666</v>
      </c>
      <c r="B112" s="429" t="s">
        <v>590</v>
      </c>
      <c r="C112" s="429" t="s">
        <v>587</v>
      </c>
      <c r="D112" s="429" t="s">
        <v>615</v>
      </c>
      <c r="E112" s="429" t="s">
        <v>616</v>
      </c>
      <c r="F112" s="432">
        <v>1</v>
      </c>
      <c r="G112" s="432">
        <v>2341</v>
      </c>
      <c r="H112" s="432">
        <v>0.48030365203118586</v>
      </c>
      <c r="I112" s="432">
        <v>2341</v>
      </c>
      <c r="J112" s="432">
        <v>2</v>
      </c>
      <c r="K112" s="432">
        <v>4874</v>
      </c>
      <c r="L112" s="432">
        <v>1</v>
      </c>
      <c r="M112" s="432">
        <v>2437</v>
      </c>
      <c r="N112" s="432">
        <v>5</v>
      </c>
      <c r="O112" s="432">
        <v>12190</v>
      </c>
      <c r="P112" s="530">
        <v>2.501025851456709</v>
      </c>
      <c r="Q112" s="433">
        <v>2438</v>
      </c>
    </row>
    <row r="113" spans="1:17" ht="14.4" customHeight="1" x14ac:dyDescent="0.3">
      <c r="A113" s="428" t="s">
        <v>666</v>
      </c>
      <c r="B113" s="429" t="s">
        <v>590</v>
      </c>
      <c r="C113" s="429" t="s">
        <v>587</v>
      </c>
      <c r="D113" s="429" t="s">
        <v>617</v>
      </c>
      <c r="E113" s="429" t="s">
        <v>618</v>
      </c>
      <c r="F113" s="432">
        <v>2</v>
      </c>
      <c r="G113" s="432">
        <v>132</v>
      </c>
      <c r="H113" s="432">
        <v>0.95652173913043481</v>
      </c>
      <c r="I113" s="432">
        <v>66</v>
      </c>
      <c r="J113" s="432">
        <v>2</v>
      </c>
      <c r="K113" s="432">
        <v>138</v>
      </c>
      <c r="L113" s="432">
        <v>1</v>
      </c>
      <c r="M113" s="432">
        <v>69</v>
      </c>
      <c r="N113" s="432">
        <v>7</v>
      </c>
      <c r="O113" s="432">
        <v>483</v>
      </c>
      <c r="P113" s="530">
        <v>3.5</v>
      </c>
      <c r="Q113" s="433">
        <v>69</v>
      </c>
    </row>
    <row r="114" spans="1:17" ht="14.4" customHeight="1" x14ac:dyDescent="0.3">
      <c r="A114" s="428" t="s">
        <v>666</v>
      </c>
      <c r="B114" s="429" t="s">
        <v>590</v>
      </c>
      <c r="C114" s="429" t="s">
        <v>587</v>
      </c>
      <c r="D114" s="429" t="s">
        <v>619</v>
      </c>
      <c r="E114" s="429" t="s">
        <v>620</v>
      </c>
      <c r="F114" s="432">
        <v>1</v>
      </c>
      <c r="G114" s="432">
        <v>401</v>
      </c>
      <c r="H114" s="432"/>
      <c r="I114" s="432">
        <v>401</v>
      </c>
      <c r="J114" s="432"/>
      <c r="K114" s="432"/>
      <c r="L114" s="432"/>
      <c r="M114" s="432"/>
      <c r="N114" s="432">
        <v>1</v>
      </c>
      <c r="O114" s="432">
        <v>408</v>
      </c>
      <c r="P114" s="530"/>
      <c r="Q114" s="433">
        <v>408</v>
      </c>
    </row>
    <row r="115" spans="1:17" ht="14.4" customHeight="1" x14ac:dyDescent="0.3">
      <c r="A115" s="428" t="s">
        <v>666</v>
      </c>
      <c r="B115" s="429" t="s">
        <v>590</v>
      </c>
      <c r="C115" s="429" t="s">
        <v>587</v>
      </c>
      <c r="D115" s="429" t="s">
        <v>621</v>
      </c>
      <c r="E115" s="429" t="s">
        <v>622</v>
      </c>
      <c r="F115" s="432"/>
      <c r="G115" s="432"/>
      <c r="H115" s="432"/>
      <c r="I115" s="432"/>
      <c r="J115" s="432">
        <v>1</v>
      </c>
      <c r="K115" s="432">
        <v>1664</v>
      </c>
      <c r="L115" s="432">
        <v>1</v>
      </c>
      <c r="M115" s="432">
        <v>1664</v>
      </c>
      <c r="N115" s="432"/>
      <c r="O115" s="432"/>
      <c r="P115" s="530"/>
      <c r="Q115" s="433"/>
    </row>
    <row r="116" spans="1:17" ht="14.4" customHeight="1" x14ac:dyDescent="0.3">
      <c r="A116" s="428" t="s">
        <v>666</v>
      </c>
      <c r="B116" s="429" t="s">
        <v>590</v>
      </c>
      <c r="C116" s="429" t="s">
        <v>587</v>
      </c>
      <c r="D116" s="429" t="s">
        <v>623</v>
      </c>
      <c r="E116" s="429" t="s">
        <v>624</v>
      </c>
      <c r="F116" s="432">
        <v>7</v>
      </c>
      <c r="G116" s="432">
        <v>3864</v>
      </c>
      <c r="H116" s="432">
        <v>0.62727272727272732</v>
      </c>
      <c r="I116" s="432">
        <v>552</v>
      </c>
      <c r="J116" s="432">
        <v>11</v>
      </c>
      <c r="K116" s="432">
        <v>6160</v>
      </c>
      <c r="L116" s="432">
        <v>1</v>
      </c>
      <c r="M116" s="432">
        <v>560</v>
      </c>
      <c r="N116" s="432">
        <v>27</v>
      </c>
      <c r="O116" s="432">
        <v>15120</v>
      </c>
      <c r="P116" s="530">
        <v>2.4545454545454546</v>
      </c>
      <c r="Q116" s="433">
        <v>560</v>
      </c>
    </row>
    <row r="117" spans="1:17" ht="14.4" customHeight="1" x14ac:dyDescent="0.3">
      <c r="A117" s="428" t="s">
        <v>666</v>
      </c>
      <c r="B117" s="429" t="s">
        <v>590</v>
      </c>
      <c r="C117" s="429" t="s">
        <v>587</v>
      </c>
      <c r="D117" s="429" t="s">
        <v>629</v>
      </c>
      <c r="E117" s="429" t="s">
        <v>630</v>
      </c>
      <c r="F117" s="432">
        <v>9</v>
      </c>
      <c r="G117" s="432">
        <v>3834</v>
      </c>
      <c r="H117" s="432">
        <v>1.1171328671328671</v>
      </c>
      <c r="I117" s="432">
        <v>426</v>
      </c>
      <c r="J117" s="432">
        <v>8</v>
      </c>
      <c r="K117" s="432">
        <v>3432</v>
      </c>
      <c r="L117" s="432">
        <v>1</v>
      </c>
      <c r="M117" s="432">
        <v>429</v>
      </c>
      <c r="N117" s="432">
        <v>26</v>
      </c>
      <c r="O117" s="432">
        <v>11154</v>
      </c>
      <c r="P117" s="530">
        <v>3.25</v>
      </c>
      <c r="Q117" s="433">
        <v>429</v>
      </c>
    </row>
    <row r="118" spans="1:17" ht="14.4" customHeight="1" x14ac:dyDescent="0.3">
      <c r="A118" s="428" t="s">
        <v>666</v>
      </c>
      <c r="B118" s="429" t="s">
        <v>590</v>
      </c>
      <c r="C118" s="429" t="s">
        <v>587</v>
      </c>
      <c r="D118" s="429" t="s">
        <v>634</v>
      </c>
      <c r="E118" s="429" t="s">
        <v>635</v>
      </c>
      <c r="F118" s="432">
        <v>1</v>
      </c>
      <c r="G118" s="432">
        <v>1615</v>
      </c>
      <c r="H118" s="432">
        <v>0.16323024054982818</v>
      </c>
      <c r="I118" s="432">
        <v>1615</v>
      </c>
      <c r="J118" s="432">
        <v>6</v>
      </c>
      <c r="K118" s="432">
        <v>9894</v>
      </c>
      <c r="L118" s="432">
        <v>1</v>
      </c>
      <c r="M118" s="432">
        <v>1649</v>
      </c>
      <c r="N118" s="432">
        <v>20</v>
      </c>
      <c r="O118" s="432">
        <v>32980</v>
      </c>
      <c r="P118" s="530">
        <v>3.3333333333333335</v>
      </c>
      <c r="Q118" s="433">
        <v>1649</v>
      </c>
    </row>
    <row r="119" spans="1:17" ht="14.4" customHeight="1" x14ac:dyDescent="0.3">
      <c r="A119" s="428" t="s">
        <v>667</v>
      </c>
      <c r="B119" s="429" t="s">
        <v>590</v>
      </c>
      <c r="C119" s="429" t="s">
        <v>587</v>
      </c>
      <c r="D119" s="429" t="s">
        <v>611</v>
      </c>
      <c r="E119" s="429" t="s">
        <v>612</v>
      </c>
      <c r="F119" s="432"/>
      <c r="G119" s="432"/>
      <c r="H119" s="432"/>
      <c r="I119" s="432"/>
      <c r="J119" s="432"/>
      <c r="K119" s="432"/>
      <c r="L119" s="432"/>
      <c r="M119" s="432"/>
      <c r="N119" s="432">
        <v>1</v>
      </c>
      <c r="O119" s="432">
        <v>17</v>
      </c>
      <c r="P119" s="530"/>
      <c r="Q119" s="433">
        <v>17</v>
      </c>
    </row>
    <row r="120" spans="1:17" ht="14.4" customHeight="1" x14ac:dyDescent="0.3">
      <c r="A120" s="428" t="s">
        <v>667</v>
      </c>
      <c r="B120" s="429" t="s">
        <v>590</v>
      </c>
      <c r="C120" s="429" t="s">
        <v>587</v>
      </c>
      <c r="D120" s="429" t="s">
        <v>613</v>
      </c>
      <c r="E120" s="429" t="s">
        <v>602</v>
      </c>
      <c r="F120" s="432"/>
      <c r="G120" s="432"/>
      <c r="H120" s="432"/>
      <c r="I120" s="432"/>
      <c r="J120" s="432"/>
      <c r="K120" s="432"/>
      <c r="L120" s="432"/>
      <c r="M120" s="432"/>
      <c r="N120" s="432">
        <v>2</v>
      </c>
      <c r="O120" s="432">
        <v>1416</v>
      </c>
      <c r="P120" s="530"/>
      <c r="Q120" s="433">
        <v>708</v>
      </c>
    </row>
    <row r="121" spans="1:17" ht="14.4" customHeight="1" x14ac:dyDescent="0.3">
      <c r="A121" s="428" t="s">
        <v>667</v>
      </c>
      <c r="B121" s="429" t="s">
        <v>590</v>
      </c>
      <c r="C121" s="429" t="s">
        <v>587</v>
      </c>
      <c r="D121" s="429" t="s">
        <v>617</v>
      </c>
      <c r="E121" s="429" t="s">
        <v>618</v>
      </c>
      <c r="F121" s="432"/>
      <c r="G121" s="432"/>
      <c r="H121" s="432"/>
      <c r="I121" s="432"/>
      <c r="J121" s="432"/>
      <c r="K121" s="432"/>
      <c r="L121" s="432"/>
      <c r="M121" s="432"/>
      <c r="N121" s="432">
        <v>2</v>
      </c>
      <c r="O121" s="432">
        <v>138</v>
      </c>
      <c r="P121" s="530"/>
      <c r="Q121" s="433">
        <v>69</v>
      </c>
    </row>
    <row r="122" spans="1:17" ht="14.4" customHeight="1" x14ac:dyDescent="0.3">
      <c r="A122" s="428" t="s">
        <v>668</v>
      </c>
      <c r="B122" s="429" t="s">
        <v>586</v>
      </c>
      <c r="C122" s="429" t="s">
        <v>587</v>
      </c>
      <c r="D122" s="429" t="s">
        <v>588</v>
      </c>
      <c r="E122" s="429" t="s">
        <v>589</v>
      </c>
      <c r="F122" s="432">
        <v>1</v>
      </c>
      <c r="G122" s="432">
        <v>10725</v>
      </c>
      <c r="H122" s="432"/>
      <c r="I122" s="432">
        <v>10725</v>
      </c>
      <c r="J122" s="432"/>
      <c r="K122" s="432"/>
      <c r="L122" s="432"/>
      <c r="M122" s="432"/>
      <c r="N122" s="432"/>
      <c r="O122" s="432"/>
      <c r="P122" s="530"/>
      <c r="Q122" s="433"/>
    </row>
    <row r="123" spans="1:17" ht="14.4" customHeight="1" x14ac:dyDescent="0.3">
      <c r="A123" s="428" t="s">
        <v>668</v>
      </c>
      <c r="B123" s="429" t="s">
        <v>590</v>
      </c>
      <c r="C123" s="429" t="s">
        <v>587</v>
      </c>
      <c r="D123" s="429" t="s">
        <v>611</v>
      </c>
      <c r="E123" s="429" t="s">
        <v>612</v>
      </c>
      <c r="F123" s="432"/>
      <c r="G123" s="432"/>
      <c r="H123" s="432"/>
      <c r="I123" s="432"/>
      <c r="J123" s="432"/>
      <c r="K123" s="432"/>
      <c r="L123" s="432"/>
      <c r="M123" s="432"/>
      <c r="N123" s="432">
        <v>1</v>
      </c>
      <c r="O123" s="432">
        <v>17</v>
      </c>
      <c r="P123" s="530"/>
      <c r="Q123" s="433">
        <v>17</v>
      </c>
    </row>
    <row r="124" spans="1:17" ht="14.4" customHeight="1" x14ac:dyDescent="0.3">
      <c r="A124" s="428" t="s">
        <v>668</v>
      </c>
      <c r="B124" s="429" t="s">
        <v>590</v>
      </c>
      <c r="C124" s="429" t="s">
        <v>587</v>
      </c>
      <c r="D124" s="429" t="s">
        <v>613</v>
      </c>
      <c r="E124" s="429" t="s">
        <v>602</v>
      </c>
      <c r="F124" s="432"/>
      <c r="G124" s="432"/>
      <c r="H124" s="432"/>
      <c r="I124" s="432"/>
      <c r="J124" s="432"/>
      <c r="K124" s="432"/>
      <c r="L124" s="432"/>
      <c r="M124" s="432"/>
      <c r="N124" s="432">
        <v>2</v>
      </c>
      <c r="O124" s="432">
        <v>1416</v>
      </c>
      <c r="P124" s="530"/>
      <c r="Q124" s="433">
        <v>708</v>
      </c>
    </row>
    <row r="125" spans="1:17" ht="14.4" customHeight="1" x14ac:dyDescent="0.3">
      <c r="A125" s="428" t="s">
        <v>668</v>
      </c>
      <c r="B125" s="429" t="s">
        <v>590</v>
      </c>
      <c r="C125" s="429" t="s">
        <v>587</v>
      </c>
      <c r="D125" s="429" t="s">
        <v>617</v>
      </c>
      <c r="E125" s="429" t="s">
        <v>618</v>
      </c>
      <c r="F125" s="432"/>
      <c r="G125" s="432"/>
      <c r="H125" s="432"/>
      <c r="I125" s="432"/>
      <c r="J125" s="432"/>
      <c r="K125" s="432"/>
      <c r="L125" s="432"/>
      <c r="M125" s="432"/>
      <c r="N125" s="432">
        <v>2</v>
      </c>
      <c r="O125" s="432">
        <v>138</v>
      </c>
      <c r="P125" s="530"/>
      <c r="Q125" s="433">
        <v>69</v>
      </c>
    </row>
    <row r="126" spans="1:17" ht="14.4" customHeight="1" x14ac:dyDescent="0.3">
      <c r="A126" s="428" t="s">
        <v>669</v>
      </c>
      <c r="B126" s="429" t="s">
        <v>590</v>
      </c>
      <c r="C126" s="429" t="s">
        <v>587</v>
      </c>
      <c r="D126" s="429" t="s">
        <v>629</v>
      </c>
      <c r="E126" s="429" t="s">
        <v>630</v>
      </c>
      <c r="F126" s="432"/>
      <c r="G126" s="432"/>
      <c r="H126" s="432"/>
      <c r="I126" s="432"/>
      <c r="J126" s="432"/>
      <c r="K126" s="432"/>
      <c r="L126" s="432"/>
      <c r="M126" s="432"/>
      <c r="N126" s="432">
        <v>1</v>
      </c>
      <c r="O126" s="432">
        <v>429</v>
      </c>
      <c r="P126" s="530"/>
      <c r="Q126" s="433">
        <v>429</v>
      </c>
    </row>
    <row r="127" spans="1:17" ht="14.4" customHeight="1" x14ac:dyDescent="0.3">
      <c r="A127" s="428" t="s">
        <v>670</v>
      </c>
      <c r="B127" s="429" t="s">
        <v>590</v>
      </c>
      <c r="C127" s="429" t="s">
        <v>587</v>
      </c>
      <c r="D127" s="429" t="s">
        <v>599</v>
      </c>
      <c r="E127" s="429" t="s">
        <v>600</v>
      </c>
      <c r="F127" s="432">
        <v>1</v>
      </c>
      <c r="G127" s="432">
        <v>3721</v>
      </c>
      <c r="H127" s="432"/>
      <c r="I127" s="432">
        <v>3721</v>
      </c>
      <c r="J127" s="432"/>
      <c r="K127" s="432"/>
      <c r="L127" s="432"/>
      <c r="M127" s="432"/>
      <c r="N127" s="432"/>
      <c r="O127" s="432"/>
      <c r="P127" s="530"/>
      <c r="Q127" s="433"/>
    </row>
    <row r="128" spans="1:17" ht="14.4" customHeight="1" x14ac:dyDescent="0.3">
      <c r="A128" s="428" t="s">
        <v>670</v>
      </c>
      <c r="B128" s="429" t="s">
        <v>590</v>
      </c>
      <c r="C128" s="429" t="s">
        <v>587</v>
      </c>
      <c r="D128" s="429" t="s">
        <v>615</v>
      </c>
      <c r="E128" s="429" t="s">
        <v>616</v>
      </c>
      <c r="F128" s="432">
        <v>1</v>
      </c>
      <c r="G128" s="432">
        <v>2341</v>
      </c>
      <c r="H128" s="432"/>
      <c r="I128" s="432">
        <v>2341</v>
      </c>
      <c r="J128" s="432"/>
      <c r="K128" s="432"/>
      <c r="L128" s="432"/>
      <c r="M128" s="432"/>
      <c r="N128" s="432"/>
      <c r="O128" s="432"/>
      <c r="P128" s="530"/>
      <c r="Q128" s="433"/>
    </row>
    <row r="129" spans="1:17" ht="14.4" customHeight="1" x14ac:dyDescent="0.3">
      <c r="A129" s="428" t="s">
        <v>670</v>
      </c>
      <c r="B129" s="429" t="s">
        <v>590</v>
      </c>
      <c r="C129" s="429" t="s">
        <v>587</v>
      </c>
      <c r="D129" s="429" t="s">
        <v>623</v>
      </c>
      <c r="E129" s="429" t="s">
        <v>624</v>
      </c>
      <c r="F129" s="432">
        <v>5</v>
      </c>
      <c r="G129" s="432">
        <v>2760</v>
      </c>
      <c r="H129" s="432"/>
      <c r="I129" s="432">
        <v>552</v>
      </c>
      <c r="J129" s="432"/>
      <c r="K129" s="432"/>
      <c r="L129" s="432"/>
      <c r="M129" s="432"/>
      <c r="N129" s="432"/>
      <c r="O129" s="432"/>
      <c r="P129" s="530"/>
      <c r="Q129" s="433"/>
    </row>
    <row r="130" spans="1:17" ht="14.4" customHeight="1" x14ac:dyDescent="0.3">
      <c r="A130" s="428" t="s">
        <v>670</v>
      </c>
      <c r="B130" s="429" t="s">
        <v>590</v>
      </c>
      <c r="C130" s="429" t="s">
        <v>587</v>
      </c>
      <c r="D130" s="429" t="s">
        <v>634</v>
      </c>
      <c r="E130" s="429" t="s">
        <v>635</v>
      </c>
      <c r="F130" s="432">
        <v>1</v>
      </c>
      <c r="G130" s="432">
        <v>1615</v>
      </c>
      <c r="H130" s="432"/>
      <c r="I130" s="432">
        <v>1615</v>
      </c>
      <c r="J130" s="432"/>
      <c r="K130" s="432"/>
      <c r="L130" s="432"/>
      <c r="M130" s="432"/>
      <c r="N130" s="432"/>
      <c r="O130" s="432"/>
      <c r="P130" s="530"/>
      <c r="Q130" s="433"/>
    </row>
    <row r="131" spans="1:17" ht="14.4" customHeight="1" x14ac:dyDescent="0.3">
      <c r="A131" s="428" t="s">
        <v>671</v>
      </c>
      <c r="B131" s="429" t="s">
        <v>586</v>
      </c>
      <c r="C131" s="429" t="s">
        <v>587</v>
      </c>
      <c r="D131" s="429" t="s">
        <v>588</v>
      </c>
      <c r="E131" s="429" t="s">
        <v>589</v>
      </c>
      <c r="F131" s="432">
        <v>1</v>
      </c>
      <c r="G131" s="432">
        <v>10725</v>
      </c>
      <c r="H131" s="432"/>
      <c r="I131" s="432">
        <v>10725</v>
      </c>
      <c r="J131" s="432"/>
      <c r="K131" s="432"/>
      <c r="L131" s="432"/>
      <c r="M131" s="432"/>
      <c r="N131" s="432"/>
      <c r="O131" s="432"/>
      <c r="P131" s="530"/>
      <c r="Q131" s="433"/>
    </row>
    <row r="132" spans="1:17" ht="14.4" customHeight="1" x14ac:dyDescent="0.3">
      <c r="A132" s="428" t="s">
        <v>671</v>
      </c>
      <c r="B132" s="429" t="s">
        <v>590</v>
      </c>
      <c r="C132" s="429" t="s">
        <v>587</v>
      </c>
      <c r="D132" s="429" t="s">
        <v>599</v>
      </c>
      <c r="E132" s="429" t="s">
        <v>600</v>
      </c>
      <c r="F132" s="432"/>
      <c r="G132" s="432"/>
      <c r="H132" s="432"/>
      <c r="I132" s="432"/>
      <c r="J132" s="432">
        <v>2</v>
      </c>
      <c r="K132" s="432">
        <v>7646</v>
      </c>
      <c r="L132" s="432">
        <v>1</v>
      </c>
      <c r="M132" s="432">
        <v>3823</v>
      </c>
      <c r="N132" s="432"/>
      <c r="O132" s="432"/>
      <c r="P132" s="530"/>
      <c r="Q132" s="433"/>
    </row>
    <row r="133" spans="1:17" ht="14.4" customHeight="1" x14ac:dyDescent="0.3">
      <c r="A133" s="428" t="s">
        <v>671</v>
      </c>
      <c r="B133" s="429" t="s">
        <v>590</v>
      </c>
      <c r="C133" s="429" t="s">
        <v>587</v>
      </c>
      <c r="D133" s="429" t="s">
        <v>611</v>
      </c>
      <c r="E133" s="429" t="s">
        <v>612</v>
      </c>
      <c r="F133" s="432"/>
      <c r="G133" s="432"/>
      <c r="H133" s="432"/>
      <c r="I133" s="432"/>
      <c r="J133" s="432">
        <v>2</v>
      </c>
      <c r="K133" s="432">
        <v>34</v>
      </c>
      <c r="L133" s="432">
        <v>1</v>
      </c>
      <c r="M133" s="432">
        <v>17</v>
      </c>
      <c r="N133" s="432"/>
      <c r="O133" s="432"/>
      <c r="P133" s="530"/>
      <c r="Q133" s="433"/>
    </row>
    <row r="134" spans="1:17" ht="14.4" customHeight="1" x14ac:dyDescent="0.3">
      <c r="A134" s="428" t="s">
        <v>671</v>
      </c>
      <c r="B134" s="429" t="s">
        <v>590</v>
      </c>
      <c r="C134" s="429" t="s">
        <v>587</v>
      </c>
      <c r="D134" s="429" t="s">
        <v>613</v>
      </c>
      <c r="E134" s="429" t="s">
        <v>602</v>
      </c>
      <c r="F134" s="432"/>
      <c r="G134" s="432"/>
      <c r="H134" s="432"/>
      <c r="I134" s="432"/>
      <c r="J134" s="432">
        <v>4</v>
      </c>
      <c r="K134" s="432">
        <v>2832</v>
      </c>
      <c r="L134" s="432">
        <v>1</v>
      </c>
      <c r="M134" s="432">
        <v>708</v>
      </c>
      <c r="N134" s="432"/>
      <c r="O134" s="432"/>
      <c r="P134" s="530"/>
      <c r="Q134" s="433"/>
    </row>
    <row r="135" spans="1:17" ht="14.4" customHeight="1" x14ac:dyDescent="0.3">
      <c r="A135" s="428" t="s">
        <v>671</v>
      </c>
      <c r="B135" s="429" t="s">
        <v>590</v>
      </c>
      <c r="C135" s="429" t="s">
        <v>587</v>
      </c>
      <c r="D135" s="429" t="s">
        <v>614</v>
      </c>
      <c r="E135" s="429" t="s">
        <v>604</v>
      </c>
      <c r="F135" s="432"/>
      <c r="G135" s="432"/>
      <c r="H135" s="432"/>
      <c r="I135" s="432"/>
      <c r="J135" s="432">
        <v>2</v>
      </c>
      <c r="K135" s="432">
        <v>2876</v>
      </c>
      <c r="L135" s="432">
        <v>1</v>
      </c>
      <c r="M135" s="432">
        <v>1438</v>
      </c>
      <c r="N135" s="432"/>
      <c r="O135" s="432"/>
      <c r="P135" s="530"/>
      <c r="Q135" s="433"/>
    </row>
    <row r="136" spans="1:17" ht="14.4" customHeight="1" x14ac:dyDescent="0.3">
      <c r="A136" s="428" t="s">
        <v>671</v>
      </c>
      <c r="B136" s="429" t="s">
        <v>590</v>
      </c>
      <c r="C136" s="429" t="s">
        <v>587</v>
      </c>
      <c r="D136" s="429" t="s">
        <v>615</v>
      </c>
      <c r="E136" s="429" t="s">
        <v>616</v>
      </c>
      <c r="F136" s="432"/>
      <c r="G136" s="432"/>
      <c r="H136" s="432"/>
      <c r="I136" s="432"/>
      <c r="J136" s="432">
        <v>2</v>
      </c>
      <c r="K136" s="432">
        <v>4874</v>
      </c>
      <c r="L136" s="432">
        <v>1</v>
      </c>
      <c r="M136" s="432">
        <v>2437</v>
      </c>
      <c r="N136" s="432"/>
      <c r="O136" s="432"/>
      <c r="P136" s="530"/>
      <c r="Q136" s="433"/>
    </row>
    <row r="137" spans="1:17" ht="14.4" customHeight="1" x14ac:dyDescent="0.3">
      <c r="A137" s="428" t="s">
        <v>671</v>
      </c>
      <c r="B137" s="429" t="s">
        <v>590</v>
      </c>
      <c r="C137" s="429" t="s">
        <v>587</v>
      </c>
      <c r="D137" s="429" t="s">
        <v>617</v>
      </c>
      <c r="E137" s="429" t="s">
        <v>618</v>
      </c>
      <c r="F137" s="432"/>
      <c r="G137" s="432"/>
      <c r="H137" s="432"/>
      <c r="I137" s="432"/>
      <c r="J137" s="432">
        <v>4</v>
      </c>
      <c r="K137" s="432">
        <v>276</v>
      </c>
      <c r="L137" s="432">
        <v>1</v>
      </c>
      <c r="M137" s="432">
        <v>69</v>
      </c>
      <c r="N137" s="432"/>
      <c r="O137" s="432"/>
      <c r="P137" s="530"/>
      <c r="Q137" s="433"/>
    </row>
    <row r="138" spans="1:17" ht="14.4" customHeight="1" x14ac:dyDescent="0.3">
      <c r="A138" s="428" t="s">
        <v>671</v>
      </c>
      <c r="B138" s="429" t="s">
        <v>590</v>
      </c>
      <c r="C138" s="429" t="s">
        <v>587</v>
      </c>
      <c r="D138" s="429" t="s">
        <v>623</v>
      </c>
      <c r="E138" s="429" t="s">
        <v>624</v>
      </c>
      <c r="F138" s="432"/>
      <c r="G138" s="432"/>
      <c r="H138" s="432"/>
      <c r="I138" s="432"/>
      <c r="J138" s="432">
        <v>11</v>
      </c>
      <c r="K138" s="432">
        <v>6160</v>
      </c>
      <c r="L138" s="432">
        <v>1</v>
      </c>
      <c r="M138" s="432">
        <v>560</v>
      </c>
      <c r="N138" s="432"/>
      <c r="O138" s="432"/>
      <c r="P138" s="530"/>
      <c r="Q138" s="433"/>
    </row>
    <row r="139" spans="1:17" ht="14.4" customHeight="1" thickBot="1" x14ac:dyDescent="0.35">
      <c r="A139" s="434" t="s">
        <v>671</v>
      </c>
      <c r="B139" s="435" t="s">
        <v>590</v>
      </c>
      <c r="C139" s="435" t="s">
        <v>587</v>
      </c>
      <c r="D139" s="435" t="s">
        <v>634</v>
      </c>
      <c r="E139" s="435" t="s">
        <v>635</v>
      </c>
      <c r="F139" s="438"/>
      <c r="G139" s="438"/>
      <c r="H139" s="438"/>
      <c r="I139" s="438"/>
      <c r="J139" s="438">
        <v>1</v>
      </c>
      <c r="K139" s="438">
        <v>1649</v>
      </c>
      <c r="L139" s="438">
        <v>1</v>
      </c>
      <c r="M139" s="438">
        <v>1649</v>
      </c>
      <c r="N139" s="438"/>
      <c r="O139" s="438"/>
      <c r="P139" s="449"/>
      <c r="Q139" s="439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314" t="s">
        <v>105</v>
      </c>
      <c r="B1" s="314"/>
      <c r="C1" s="315"/>
      <c r="D1" s="315"/>
      <c r="E1" s="315"/>
    </row>
    <row r="2" spans="1:5" ht="14.4" customHeight="1" thickBot="1" x14ac:dyDescent="0.35">
      <c r="A2" s="203" t="s">
        <v>261</v>
      </c>
      <c r="B2" s="124"/>
    </row>
    <row r="3" spans="1:5" ht="14.4" customHeight="1" thickBot="1" x14ac:dyDescent="0.35">
      <c r="A3" s="127"/>
      <c r="C3" s="128" t="s">
        <v>93</v>
      </c>
      <c r="D3" s="129" t="s">
        <v>59</v>
      </c>
      <c r="E3" s="130" t="s">
        <v>61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3855.0032738194332</v>
      </c>
      <c r="D4" s="133">
        <f ca="1">IF(ISERROR(VLOOKUP("Náklady celkem",INDIRECT("HI!$A:$G"),5,0)),0,VLOOKUP("Náklady celkem",INDIRECT("HI!$A:$G"),5,0))</f>
        <v>3606.9101799999999</v>
      </c>
      <c r="E4" s="134">
        <f ca="1">IF(C4=0,0,D4/C4)</f>
        <v>0.93564386948661926</v>
      </c>
    </row>
    <row r="5" spans="1:5" ht="14.4" customHeight="1" x14ac:dyDescent="0.3">
      <c r="A5" s="135" t="s">
        <v>120</v>
      </c>
      <c r="B5" s="136"/>
      <c r="C5" s="137"/>
      <c r="D5" s="137"/>
      <c r="E5" s="138"/>
    </row>
    <row r="6" spans="1:5" ht="14.4" customHeight="1" x14ac:dyDescent="0.3">
      <c r="A6" s="139" t="s">
        <v>125</v>
      </c>
      <c r="B6" s="140"/>
      <c r="C6" s="141"/>
      <c r="D6" s="141"/>
      <c r="E6" s="138"/>
    </row>
    <row r="7" spans="1:5" ht="14.4" customHeight="1" x14ac:dyDescent="0.3">
      <c r="A7" s="28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97</v>
      </c>
      <c r="C7" s="141">
        <f>IF(ISERROR(HI!F5),"",HI!F5)</f>
        <v>1.6666666666666667</v>
      </c>
      <c r="D7" s="141">
        <f>IF(ISERROR(HI!E5),"",HI!E5)</f>
        <v>1.4043399999999999</v>
      </c>
      <c r="E7" s="138">
        <f t="shared" ref="E7:E12" si="0">IF(C7=0,0,D7/C7)</f>
        <v>0.84260399999999991</v>
      </c>
    </row>
    <row r="8" spans="1:5" ht="14.4" customHeight="1" x14ac:dyDescent="0.3">
      <c r="A8" s="282" t="str">
        <f>HYPERLINK("#'LŽ Statim'!A1","Podíl statimových žádanek (max. 30%)")</f>
        <v>Podíl statimových žádanek (max. 30%)</v>
      </c>
      <c r="B8" s="280" t="s">
        <v>211</v>
      </c>
      <c r="C8" s="281">
        <v>0.3</v>
      </c>
      <c r="D8" s="281">
        <f>IF('LŽ Statim'!G3="",0,'LŽ Statim'!G3)</f>
        <v>0</v>
      </c>
      <c r="E8" s="138">
        <f>IF(C8=0,0,D8/C8)</f>
        <v>0</v>
      </c>
    </row>
    <row r="9" spans="1:5" ht="14.4" customHeight="1" x14ac:dyDescent="0.3">
      <c r="A9" s="143" t="s">
        <v>121</v>
      </c>
      <c r="B9" s="140"/>
      <c r="C9" s="141"/>
      <c r="D9" s="141"/>
      <c r="E9" s="138"/>
    </row>
    <row r="10" spans="1:5" ht="14.4" customHeight="1" x14ac:dyDescent="0.3">
      <c r="A10" s="143" t="s">
        <v>122</v>
      </c>
      <c r="B10" s="140"/>
      <c r="C10" s="141"/>
      <c r="D10" s="141"/>
      <c r="E10" s="138"/>
    </row>
    <row r="11" spans="1:5" ht="14.4" customHeight="1" x14ac:dyDescent="0.3">
      <c r="A11" s="144" t="s">
        <v>126</v>
      </c>
      <c r="B11" s="140"/>
      <c r="C11" s="137"/>
      <c r="D11" s="137"/>
      <c r="E11" s="138"/>
    </row>
    <row r="12" spans="1:5" ht="14.4" customHeight="1" x14ac:dyDescent="0.3">
      <c r="A12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0" t="s">
        <v>97</v>
      </c>
      <c r="C12" s="141">
        <f>IF(ISERROR(HI!F6),"",HI!F6)</f>
        <v>205</v>
      </c>
      <c r="D12" s="141">
        <f>IF(ISERROR(HI!E6),"",HI!E6)</f>
        <v>115.56297000000001</v>
      </c>
      <c r="E12" s="138">
        <f t="shared" si="0"/>
        <v>0.56372180487804879</v>
      </c>
    </row>
    <row r="13" spans="1:5" ht="14.4" customHeight="1" thickBot="1" x14ac:dyDescent="0.35">
      <c r="A13" s="146" t="str">
        <f>HYPERLINK("#HI!A1","Osobní náklady")</f>
        <v>Osobní náklady</v>
      </c>
      <c r="B13" s="140"/>
      <c r="C13" s="137">
        <f ca="1">IF(ISERROR(VLOOKUP("Osobní náklady (Kč) *",INDIRECT("HI!$A:$G"),6,0)),0,VLOOKUP("Osobní náklady (Kč) *",INDIRECT("HI!$A:$G"),6,0))</f>
        <v>3135.1666666666665</v>
      </c>
      <c r="D13" s="137">
        <f ca="1">IF(ISERROR(VLOOKUP("Osobní náklady (Kč) *",INDIRECT("HI!$A:$G"),5,0)),0,VLOOKUP("Osobní náklady (Kč) *",INDIRECT("HI!$A:$G"),5,0))</f>
        <v>3035.62077</v>
      </c>
      <c r="E13" s="138">
        <f ca="1">IF(C13=0,0,D13/C13)</f>
        <v>0.96824861091914305</v>
      </c>
    </row>
    <row r="14" spans="1:5" ht="14.4" customHeight="1" thickBot="1" x14ac:dyDescent="0.35">
      <c r="A14" s="150"/>
      <c r="B14" s="151"/>
      <c r="C14" s="152"/>
      <c r="D14" s="152"/>
      <c r="E14" s="153"/>
    </row>
    <row r="15" spans="1:5" ht="14.4" customHeight="1" thickBot="1" x14ac:dyDescent="0.35">
      <c r="A15" s="154" t="str">
        <f>HYPERLINK("#HI!A1","VÝNOSY CELKEM (v tisících)")</f>
        <v>VÝNOSY CELKEM (v tisících)</v>
      </c>
      <c r="B15" s="155"/>
      <c r="C15" s="156">
        <f ca="1">IF(ISERROR(VLOOKUP("Výnosy celkem",INDIRECT("HI!$A:$G"),6,0)),0,VLOOKUP("Výnosy celkem",INDIRECT("HI!$A:$G"),6,0))</f>
        <v>3136.328</v>
      </c>
      <c r="D15" s="156">
        <f ca="1">IF(ISERROR(VLOOKUP("Výnosy celkem",INDIRECT("HI!$A:$G"),5,0)),0,VLOOKUP("Výnosy celkem",INDIRECT("HI!$A:$G"),5,0))</f>
        <v>3854.9119999999998</v>
      </c>
      <c r="E15" s="157">
        <f t="shared" ref="E15:E20" ca="1" si="1">IF(C15=0,0,D15/C15)</f>
        <v>1.2291163424233689</v>
      </c>
    </row>
    <row r="16" spans="1:5" ht="14.4" customHeight="1" x14ac:dyDescent="0.3">
      <c r="A16" s="158" t="str">
        <f>HYPERLINK("#HI!A1","Ambulance (body za výkony + Kč za ZUM a ZULP)")</f>
        <v>Ambulance (body za výkony + Kč za ZUM a ZULP)</v>
      </c>
      <c r="B16" s="136"/>
      <c r="C16" s="137">
        <f ca="1">IF(ISERROR(VLOOKUP("Ambulance *",INDIRECT("HI!$A:$G"),6,0)),0,VLOOKUP("Ambulance *",INDIRECT("HI!$A:$G"),6,0))</f>
        <v>3136.328</v>
      </c>
      <c r="D16" s="137">
        <f ca="1">IF(ISERROR(VLOOKUP("Ambulance *",INDIRECT("HI!$A:$G"),5,0)),0,VLOOKUP("Ambulance *",INDIRECT("HI!$A:$G"),5,0))</f>
        <v>3854.9119999999998</v>
      </c>
      <c r="E16" s="138">
        <f t="shared" ca="1" si="1"/>
        <v>1.2291163424233689</v>
      </c>
    </row>
    <row r="17" spans="1:5" ht="14.4" customHeight="1" x14ac:dyDescent="0.3">
      <c r="A17" s="297" t="str">
        <f>HYPERLINK("#'ZV Vykáz.-A'!A1","Zdravotní výkony vykázané u ambulantních pacientů (min. 100 % 2016)")</f>
        <v>Zdravotní výkony vykázané u ambulantních pacientů (min. 100 % 2016)</v>
      </c>
      <c r="B17" s="298" t="s">
        <v>107</v>
      </c>
      <c r="C17" s="142">
        <v>1</v>
      </c>
      <c r="D17" s="142">
        <f>IF(ISERROR(VLOOKUP("Celkem:",'ZV Vykáz.-A'!$A:$AB,10,0)),"",VLOOKUP("Celkem:",'ZV Vykáz.-A'!$A:$AB,10,0))</f>
        <v>1.2291163424233691</v>
      </c>
      <c r="E17" s="138">
        <f t="shared" si="1"/>
        <v>1.2291163424233691</v>
      </c>
    </row>
    <row r="18" spans="1:5" ht="14.4" customHeight="1" x14ac:dyDescent="0.3">
      <c r="A18" s="296" t="str">
        <f>HYPERLINK("#'ZV Vykáz.-A'!A1","Specializovaná ambulantní péče")</f>
        <v>Specializovaná ambulantní péče</v>
      </c>
      <c r="B18" s="298" t="s">
        <v>107</v>
      </c>
      <c r="C18" s="142">
        <v>1</v>
      </c>
      <c r="D18" s="281">
        <f>IF(ISERROR(VLOOKUP("Specializovaná ambulantní péče",'ZV Vykáz.-A'!$A:$AB,10,0)),"",VLOOKUP("Specializovaná ambulantní péče",'ZV Vykáz.-A'!$A:$AB,10,0))</f>
        <v>1.2010523546435148</v>
      </c>
      <c r="E18" s="138">
        <f t="shared" si="1"/>
        <v>1.2010523546435148</v>
      </c>
    </row>
    <row r="19" spans="1:5" ht="14.4" customHeight="1" x14ac:dyDescent="0.3">
      <c r="A19" s="296" t="str">
        <f>HYPERLINK("#'ZV Vykáz.-A'!A1","Ambulantní péče ve vyjmenovaných odbornostech (§9)")</f>
        <v>Ambulantní péče ve vyjmenovaných odbornostech (§9)</v>
      </c>
      <c r="B19" s="298" t="s">
        <v>107</v>
      </c>
      <c r="C19" s="142">
        <v>1</v>
      </c>
      <c r="D19" s="281">
        <f>IF(ISERROR(VLOOKUP("Ambulantní péče ve vyjmenovaných odbornostech (§9) *",'ZV Vykáz.-A'!$A:$AB,10,0)),"",VLOOKUP("Ambulantní péče ve vyjmenovaných odbornostech (§9) *",'ZV Vykáz.-A'!$A:$AB,10,0))</f>
        <v>1.3112519766173831</v>
      </c>
      <c r="E19" s="138">
        <f>IF(OR(C19=0,D19=""),0,IF(C19="","",D19/C19))</f>
        <v>1.3112519766173831</v>
      </c>
    </row>
    <row r="20" spans="1:5" ht="14.4" customHeight="1" x14ac:dyDescent="0.3">
      <c r="A20" s="159" t="str">
        <f>HYPERLINK("#'ZV Vykáz.-H'!A1","Zdravotní výkony vykázané u hospitalizovaných pacientů (max. 85 %)")</f>
        <v>Zdravotní výkony vykázané u hospitalizovaných pacientů (max. 85 %)</v>
      </c>
      <c r="B20" s="298" t="s">
        <v>109</v>
      </c>
      <c r="C20" s="142">
        <v>0.85</v>
      </c>
      <c r="D20" s="142">
        <f>IF(ISERROR(VLOOKUP("Celkem:",'ZV Vykáz.-H'!$A:$S,7,0)),"",VLOOKUP("Celkem:",'ZV Vykáz.-H'!$A:$S,7,0))</f>
        <v>1.4000941867611727</v>
      </c>
      <c r="E20" s="138">
        <f t="shared" si="1"/>
        <v>1.6471696314837325</v>
      </c>
    </row>
    <row r="21" spans="1:5" ht="14.4" customHeight="1" x14ac:dyDescent="0.3">
      <c r="A21" s="160" t="str">
        <f>HYPERLINK("#HI!A1","Hospitalizace (casemix * 30000)")</f>
        <v>Hospitalizace (casemix * 30000)</v>
      </c>
      <c r="B21" s="140"/>
      <c r="C21" s="137">
        <f ca="1">IF(ISERROR(VLOOKUP("Hospitalizace *",INDIRECT("HI!$A:$G"),6,0)),0,VLOOKUP("Hospitalizace *",INDIRECT("HI!$A:$G"),6,0))</f>
        <v>0</v>
      </c>
      <c r="D21" s="137">
        <f ca="1">IF(ISERROR(VLOOKUP("Hospitalizace *",INDIRECT("HI!$A:$G"),5,0)),0,VLOOKUP("Hospitalizace *",INDIRECT("HI!$A:$G"),5,0))</f>
        <v>0</v>
      </c>
      <c r="E21" s="138">
        <f ca="1">IF(C21=0,0,D21/C21)</f>
        <v>0</v>
      </c>
    </row>
    <row r="22" spans="1:5" ht="14.4" customHeight="1" thickBot="1" x14ac:dyDescent="0.35">
      <c r="A22" s="161" t="s">
        <v>123</v>
      </c>
      <c r="B22" s="147"/>
      <c r="C22" s="148"/>
      <c r="D22" s="148"/>
      <c r="E22" s="149"/>
    </row>
    <row r="23" spans="1:5" ht="14.4" customHeight="1" thickBot="1" x14ac:dyDescent="0.35">
      <c r="A23" s="162"/>
      <c r="B23" s="163"/>
      <c r="C23" s="164"/>
      <c r="D23" s="164"/>
      <c r="E23" s="165"/>
    </row>
    <row r="24" spans="1:5" ht="14.4" customHeight="1" thickBot="1" x14ac:dyDescent="0.35">
      <c r="A24" s="166" t="s">
        <v>124</v>
      </c>
      <c r="B24" s="167"/>
      <c r="C24" s="168"/>
      <c r="D24" s="168"/>
      <c r="E24" s="169"/>
    </row>
  </sheetData>
  <mergeCells count="1">
    <mergeCell ref="A1:E1"/>
  </mergeCells>
  <conditionalFormatting sqref="E5">
    <cfRule type="cellIs" dxfId="58" priority="19" operator="greaterThan">
      <formula>1</formula>
    </cfRule>
    <cfRule type="iconSet" priority="20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6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5" priority="11" operator="lessThan">
      <formula>1</formula>
    </cfRule>
    <cfRule type="iconSet" priority="12">
      <iconSet iconSet="3Symbols2">
        <cfvo type="percent" val="0"/>
        <cfvo type="num" val="1"/>
        <cfvo type="num" val="1"/>
      </iconSet>
    </cfRule>
  </conditionalFormatting>
  <conditionalFormatting sqref="E21">
    <cfRule type="cellIs" dxfId="54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6">
    <cfRule type="cellIs" dxfId="53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52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51" priority="25" operator="lessThan">
      <formula>1</formula>
    </cfRule>
    <cfRule type="iconSet" priority="26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50" priority="31" operator="greaterThan">
      <formula>1</formula>
    </cfRule>
    <cfRule type="iconSet" priority="32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4" bestFit="1" customWidth="1"/>
    <col min="2" max="2" width="9.5546875" style="104" hidden="1" customWidth="1" outlineLevel="1"/>
    <col min="3" max="3" width="9.5546875" style="104" customWidth="1" collapsed="1"/>
    <col min="4" max="4" width="2.21875" style="104" customWidth="1"/>
    <col min="5" max="8" width="9.5546875" style="104" customWidth="1"/>
    <col min="9" max="10" width="9.77734375" style="104" hidden="1" customWidth="1" outlineLevel="1"/>
    <col min="11" max="11" width="8.88671875" style="104" collapsed="1"/>
    <col min="12" max="16384" width="8.88671875" style="104"/>
  </cols>
  <sheetData>
    <row r="1" spans="1:10" ht="18.600000000000001" customHeight="1" thickBot="1" x14ac:dyDescent="0.4">
      <c r="A1" s="325" t="s">
        <v>114</v>
      </c>
      <c r="B1" s="325"/>
      <c r="C1" s="325"/>
      <c r="D1" s="325"/>
      <c r="E1" s="325"/>
      <c r="F1" s="325"/>
      <c r="G1" s="325"/>
      <c r="H1" s="325"/>
      <c r="I1" s="325"/>
      <c r="J1" s="325"/>
    </row>
    <row r="2" spans="1:10" ht="14.4" customHeight="1" thickBot="1" x14ac:dyDescent="0.35">
      <c r="A2" s="203" t="s">
        <v>261</v>
      </c>
      <c r="B2" s="86"/>
      <c r="C2" s="86"/>
      <c r="D2" s="86"/>
      <c r="E2" s="86"/>
      <c r="F2" s="86"/>
    </row>
    <row r="3" spans="1:10" ht="14.4" customHeight="1" x14ac:dyDescent="0.3">
      <c r="A3" s="316"/>
      <c r="B3" s="82">
        <v>2015</v>
      </c>
      <c r="C3" s="40">
        <v>2016</v>
      </c>
      <c r="D3" s="7"/>
      <c r="E3" s="320">
        <v>2017</v>
      </c>
      <c r="F3" s="321"/>
      <c r="G3" s="321"/>
      <c r="H3" s="322"/>
      <c r="I3" s="323">
        <v>2017</v>
      </c>
      <c r="J3" s="324"/>
    </row>
    <row r="4" spans="1:10" ht="14.4" customHeight="1" thickBot="1" x14ac:dyDescent="0.35">
      <c r="A4" s="317"/>
      <c r="B4" s="318" t="s">
        <v>59</v>
      </c>
      <c r="C4" s="319"/>
      <c r="D4" s="7"/>
      <c r="E4" s="103" t="s">
        <v>59</v>
      </c>
      <c r="F4" s="84" t="s">
        <v>60</v>
      </c>
      <c r="G4" s="84" t="s">
        <v>54</v>
      </c>
      <c r="H4" s="85" t="s">
        <v>61</v>
      </c>
      <c r="I4" s="301" t="s">
        <v>252</v>
      </c>
      <c r="J4" s="302" t="s">
        <v>253</v>
      </c>
    </row>
    <row r="5" spans="1:10" ht="14.4" customHeight="1" x14ac:dyDescent="0.3">
      <c r="A5" s="87" t="str">
        <f>HYPERLINK("#'Léky Žádanky'!A1","Léky (Kč)")</f>
        <v>Léky (Kč)</v>
      </c>
      <c r="B5" s="27">
        <v>0</v>
      </c>
      <c r="C5" s="29">
        <v>0</v>
      </c>
      <c r="D5" s="8"/>
      <c r="E5" s="92">
        <v>1.4043399999999999</v>
      </c>
      <c r="F5" s="28">
        <v>1.6666666666666667</v>
      </c>
      <c r="G5" s="91">
        <f>E5-F5</f>
        <v>-0.26232666666666682</v>
      </c>
      <c r="H5" s="97">
        <f>IF(F5&lt;0.00000001,"",E5/F5)</f>
        <v>0.84260399999999991</v>
      </c>
    </row>
    <row r="6" spans="1:10" ht="14.4" customHeight="1" x14ac:dyDescent="0.3">
      <c r="A6" s="87" t="str">
        <f>HYPERLINK("#'Materiál Žádanky'!A1","Materiál - SZM (Kč)")</f>
        <v>Materiál - SZM (Kč)</v>
      </c>
      <c r="B6" s="10">
        <v>108.58093</v>
      </c>
      <c r="C6" s="31">
        <v>184.21596999999997</v>
      </c>
      <c r="D6" s="8"/>
      <c r="E6" s="93">
        <v>115.56297000000001</v>
      </c>
      <c r="F6" s="30">
        <v>205</v>
      </c>
      <c r="G6" s="94">
        <f>E6-F6</f>
        <v>-89.437029999999993</v>
      </c>
      <c r="H6" s="98">
        <f>IF(F6&lt;0.00000001,"",E6/F6)</f>
        <v>0.56372180487804879</v>
      </c>
    </row>
    <row r="7" spans="1:10" ht="14.4" customHeight="1" x14ac:dyDescent="0.3">
      <c r="A7" s="87" t="str">
        <f>HYPERLINK("#'Osobní náklady'!A1","Osobní náklady (Kč) *")</f>
        <v>Osobní náklady (Kč) *</v>
      </c>
      <c r="B7" s="10">
        <v>2752.0704500000002</v>
      </c>
      <c r="C7" s="31">
        <v>2914.62574</v>
      </c>
      <c r="D7" s="8"/>
      <c r="E7" s="93">
        <v>3035.62077</v>
      </c>
      <c r="F7" s="30">
        <v>3135.1666666666665</v>
      </c>
      <c r="G7" s="94">
        <f>E7-F7</f>
        <v>-99.545896666666522</v>
      </c>
      <c r="H7" s="98">
        <f>IF(F7&lt;0.00000001,"",E7/F7)</f>
        <v>0.96824861091914305</v>
      </c>
    </row>
    <row r="8" spans="1:10" ht="14.4" customHeight="1" thickBot="1" x14ac:dyDescent="0.35">
      <c r="A8" s="1" t="s">
        <v>62</v>
      </c>
      <c r="B8" s="11">
        <v>371.32284999999968</v>
      </c>
      <c r="C8" s="33">
        <v>463.26388999999995</v>
      </c>
      <c r="D8" s="8"/>
      <c r="E8" s="95">
        <v>454.32209999999981</v>
      </c>
      <c r="F8" s="32">
        <v>513.16994048610002</v>
      </c>
      <c r="G8" s="96">
        <f>E8-F8</f>
        <v>-58.84784048610021</v>
      </c>
      <c r="H8" s="99">
        <f>IF(F8&lt;0.00000001,"",E8/F8)</f>
        <v>0.88532484885931428</v>
      </c>
    </row>
    <row r="9" spans="1:10" ht="14.4" customHeight="1" thickBot="1" x14ac:dyDescent="0.35">
      <c r="A9" s="2" t="s">
        <v>63</v>
      </c>
      <c r="B9" s="3">
        <v>3231.9742299999998</v>
      </c>
      <c r="C9" s="35">
        <v>3562.1055999999999</v>
      </c>
      <c r="D9" s="8"/>
      <c r="E9" s="3">
        <v>3606.9101799999999</v>
      </c>
      <c r="F9" s="34">
        <v>3855.0032738194332</v>
      </c>
      <c r="G9" s="34">
        <f>E9-F9</f>
        <v>-248.09309381943331</v>
      </c>
      <c r="H9" s="100">
        <f>IF(F9&lt;0.00000001,"",E9/F9)</f>
        <v>0.93564386948661926</v>
      </c>
    </row>
    <row r="10" spans="1:10" ht="14.4" customHeight="1" thickBot="1" x14ac:dyDescent="0.35">
      <c r="A10" s="12"/>
      <c r="B10" s="12"/>
      <c r="C10" s="83"/>
      <c r="D10" s="8"/>
      <c r="E10" s="12"/>
      <c r="F10" s="13"/>
    </row>
    <row r="11" spans="1:10" ht="14.4" customHeight="1" x14ac:dyDescent="0.3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3265.8049999999998</v>
      </c>
      <c r="C11" s="29">
        <f>IF(ISERROR(VLOOKUP("Celkem:",'ZV Vykáz.-A'!A:H,5,0)),0,VLOOKUP("Celkem:",'ZV Vykáz.-A'!A:H,5,0)/1000)</f>
        <v>3136.328</v>
      </c>
      <c r="D11" s="8"/>
      <c r="E11" s="92">
        <f>IF(ISERROR(VLOOKUP("Celkem:",'ZV Vykáz.-A'!A:H,8,0)),0,VLOOKUP("Celkem:",'ZV Vykáz.-A'!A:H,8,0)/1000)</f>
        <v>3854.9119999999998</v>
      </c>
      <c r="F11" s="28">
        <f>C11</f>
        <v>3136.328</v>
      </c>
      <c r="G11" s="91">
        <f>E11-F11</f>
        <v>718.58399999999983</v>
      </c>
      <c r="H11" s="97">
        <f>IF(F11&lt;0.00000001,"",E11/F11)</f>
        <v>1.2291163424233689</v>
      </c>
      <c r="I11" s="91">
        <f>E11-B11</f>
        <v>589.10699999999997</v>
      </c>
      <c r="J11" s="97">
        <f>IF(B11&lt;0.00000001,"",E11/B11)</f>
        <v>1.1803864590812985</v>
      </c>
    </row>
    <row r="12" spans="1:10" ht="14.4" customHeight="1" thickBot="1" x14ac:dyDescent="0.3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" customHeight="1" thickBot="1" x14ac:dyDescent="0.35">
      <c r="A13" s="4" t="s">
        <v>66</v>
      </c>
      <c r="B13" s="5">
        <f>SUM(B11:B12)</f>
        <v>3265.8049999999998</v>
      </c>
      <c r="C13" s="37">
        <f>SUM(C11:C12)</f>
        <v>3136.328</v>
      </c>
      <c r="D13" s="8"/>
      <c r="E13" s="5">
        <f>SUM(E11:E12)</f>
        <v>3854.9119999999998</v>
      </c>
      <c r="F13" s="36">
        <f>SUM(F11:F12)</f>
        <v>3136.328</v>
      </c>
      <c r="G13" s="36">
        <f>E13-F13</f>
        <v>718.58399999999983</v>
      </c>
      <c r="H13" s="101">
        <f>IF(F13&lt;0.00000001,"",E13/F13)</f>
        <v>1.2291163424233689</v>
      </c>
      <c r="I13" s="36">
        <f>SUM(I11:I12)</f>
        <v>589.10699999999997</v>
      </c>
      <c r="J13" s="101">
        <f>IF(B13&lt;0.00000001,"",E13/B13)</f>
        <v>1.1803864590812985</v>
      </c>
    </row>
    <row r="14" spans="1:10" ht="14.4" customHeight="1" thickBot="1" x14ac:dyDescent="0.35">
      <c r="A14" s="12"/>
      <c r="B14" s="12"/>
      <c r="C14" s="83"/>
      <c r="D14" s="8"/>
      <c r="E14" s="12"/>
      <c r="F14" s="13"/>
    </row>
    <row r="15" spans="1:10" ht="14.4" customHeight="1" thickBot="1" x14ac:dyDescent="0.35">
      <c r="A15" s="109" t="str">
        <f>HYPERLINK("#'HI Graf'!A1","Hospodářský index (Výnosy / Náklady) *")</f>
        <v>Hospodářský index (Výnosy / Náklady) *</v>
      </c>
      <c r="B15" s="6">
        <f>IF(B9=0,"",B13/B9)</f>
        <v>1.0104675246745392</v>
      </c>
      <c r="C15" s="39">
        <f>IF(C9=0,"",C13/C9)</f>
        <v>0.88047024770966931</v>
      </c>
      <c r="D15" s="8"/>
      <c r="E15" s="6">
        <f>IF(E9=0,"",E13/E9)</f>
        <v>1.0687574149683983</v>
      </c>
      <c r="F15" s="38">
        <f>IF(F9=0,"",F13/F9)</f>
        <v>0.81357336874388975</v>
      </c>
      <c r="G15" s="38">
        <f>IF(ISERROR(F15-E15),"",E15-F15)</f>
        <v>0.25518404622450852</v>
      </c>
      <c r="H15" s="102">
        <f>IF(ISERROR(F15-E15),"",IF(F15&lt;0.00000001,"",E15/F15))</f>
        <v>1.3136583079390836</v>
      </c>
    </row>
    <row r="17" spans="1:8" ht="14.4" customHeight="1" x14ac:dyDescent="0.3">
      <c r="A17" s="88" t="s">
        <v>128</v>
      </c>
    </row>
    <row r="18" spans="1:8" ht="14.4" customHeight="1" x14ac:dyDescent="0.3">
      <c r="A18" s="258" t="s">
        <v>164</v>
      </c>
      <c r="B18" s="259"/>
      <c r="C18" s="259"/>
      <c r="D18" s="259"/>
      <c r="E18" s="259"/>
      <c r="F18" s="259"/>
      <c r="G18" s="259"/>
      <c r="H18" s="259"/>
    </row>
    <row r="19" spans="1:8" x14ac:dyDescent="0.3">
      <c r="A19" s="257" t="s">
        <v>163</v>
      </c>
      <c r="B19" s="259"/>
      <c r="C19" s="259"/>
      <c r="D19" s="259"/>
      <c r="E19" s="259"/>
      <c r="F19" s="259"/>
      <c r="G19" s="259"/>
      <c r="H19" s="259"/>
    </row>
    <row r="20" spans="1:8" ht="14.4" customHeight="1" x14ac:dyDescent="0.3">
      <c r="A20" s="89" t="s">
        <v>212</v>
      </c>
    </row>
    <row r="21" spans="1:8" ht="14.4" customHeight="1" x14ac:dyDescent="0.3">
      <c r="A21" s="89" t="s">
        <v>129</v>
      </c>
    </row>
    <row r="22" spans="1:8" ht="14.4" customHeight="1" x14ac:dyDescent="0.3">
      <c r="A22" s="90" t="s">
        <v>251</v>
      </c>
    </row>
    <row r="23" spans="1:8" ht="14.4" customHeight="1" x14ac:dyDescent="0.3">
      <c r="A23" s="90" t="s">
        <v>130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9" priority="8" operator="greaterThan">
      <formula>0</formula>
    </cfRule>
  </conditionalFormatting>
  <conditionalFormatting sqref="G11:G13 G15">
    <cfRule type="cellIs" dxfId="48" priority="7" operator="lessThan">
      <formula>0</formula>
    </cfRule>
  </conditionalFormatting>
  <conditionalFormatting sqref="H5:H9">
    <cfRule type="cellIs" dxfId="47" priority="6" operator="greaterThan">
      <formula>1</formula>
    </cfRule>
  </conditionalFormatting>
  <conditionalFormatting sqref="H11:H13 H15">
    <cfRule type="cellIs" dxfId="46" priority="5" operator="lessThan">
      <formula>1</formula>
    </cfRule>
  </conditionalFormatting>
  <conditionalFormatting sqref="I11:I13">
    <cfRule type="cellIs" dxfId="45" priority="4" operator="lessThan">
      <formula>0</formula>
    </cfRule>
  </conditionalFormatting>
  <conditionalFormatting sqref="J11:J13">
    <cfRule type="cellIs" dxfId="44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4"/>
    <col min="2" max="13" width="8.88671875" style="104" customWidth="1"/>
    <col min="14" max="16384" width="8.88671875" style="104"/>
  </cols>
  <sheetData>
    <row r="1" spans="1:13" ht="18.600000000000001" customHeight="1" thickBot="1" x14ac:dyDescent="0.4">
      <c r="A1" s="314" t="s">
        <v>90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</row>
    <row r="2" spans="1:13" ht="14.4" customHeight="1" x14ac:dyDescent="0.3">
      <c r="A2" s="203" t="s">
        <v>261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" customHeight="1" x14ac:dyDescent="0.3">
      <c r="A3" s="171"/>
      <c r="B3" s="172" t="s">
        <v>68</v>
      </c>
      <c r="C3" s="173" t="s">
        <v>69</v>
      </c>
      <c r="D3" s="173" t="s">
        <v>70</v>
      </c>
      <c r="E3" s="172" t="s">
        <v>71</v>
      </c>
      <c r="F3" s="173" t="s">
        <v>72</v>
      </c>
      <c r="G3" s="173" t="s">
        <v>73</v>
      </c>
      <c r="H3" s="173" t="s">
        <v>74</v>
      </c>
      <c r="I3" s="173" t="s">
        <v>75</v>
      </c>
      <c r="J3" s="173" t="s">
        <v>76</v>
      </c>
      <c r="K3" s="173" t="s">
        <v>77</v>
      </c>
      <c r="L3" s="173" t="s">
        <v>78</v>
      </c>
      <c r="M3" s="173" t="s">
        <v>79</v>
      </c>
    </row>
    <row r="4" spans="1:13" ht="14.4" customHeight="1" x14ac:dyDescent="0.3">
      <c r="A4" s="171" t="s">
        <v>67</v>
      </c>
      <c r="B4" s="174">
        <f>(B10+B8)/B6</f>
        <v>1.2825381551329083</v>
      </c>
      <c r="C4" s="174">
        <f t="shared" ref="C4:M4" si="0">(C10+C8)/C6</f>
        <v>1.0687574149683983</v>
      </c>
      <c r="D4" s="174">
        <f t="shared" si="0"/>
        <v>1.0687574149683983</v>
      </c>
      <c r="E4" s="174">
        <f t="shared" si="0"/>
        <v>1.0687574149683983</v>
      </c>
      <c r="F4" s="174">
        <f t="shared" si="0"/>
        <v>1.0687574149683983</v>
      </c>
      <c r="G4" s="174">
        <f t="shared" si="0"/>
        <v>1.0687574149683983</v>
      </c>
      <c r="H4" s="174">
        <f t="shared" si="0"/>
        <v>1.0687574149683983</v>
      </c>
      <c r="I4" s="174">
        <f t="shared" si="0"/>
        <v>1.0687574149683983</v>
      </c>
      <c r="J4" s="174">
        <f t="shared" si="0"/>
        <v>1.0687574149683983</v>
      </c>
      <c r="K4" s="174">
        <f t="shared" si="0"/>
        <v>1.0687574149683983</v>
      </c>
      <c r="L4" s="174">
        <f t="shared" si="0"/>
        <v>1.0687574149683983</v>
      </c>
      <c r="M4" s="174">
        <f t="shared" si="0"/>
        <v>1.0687574149683983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1820.6187399999999</v>
      </c>
      <c r="C5" s="174">
        <f>IF(ISERROR(VLOOKUP($A5,'Man Tab'!$A:$Q,COLUMN()+2,0)),0,VLOOKUP($A5,'Man Tab'!$A:$Q,COLUMN()+2,0))</f>
        <v>1786.29144</v>
      </c>
      <c r="D5" s="174">
        <f>IF(ISERROR(VLOOKUP($A5,'Man Tab'!$A:$Q,COLUMN()+2,0)),0,VLOOKUP($A5,'Man Tab'!$A:$Q,COLUMN()+2,0))</f>
        <v>0</v>
      </c>
      <c r="E5" s="174">
        <f>IF(ISERROR(VLOOKUP($A5,'Man Tab'!$A:$Q,COLUMN()+2,0)),0,VLOOKUP($A5,'Man Tab'!$A:$Q,COLUMN()+2,0))</f>
        <v>0</v>
      </c>
      <c r="F5" s="174">
        <f>IF(ISERROR(VLOOKUP($A5,'Man Tab'!$A:$Q,COLUMN()+2,0)),0,VLOOKUP($A5,'Man Tab'!$A:$Q,COLUMN()+2,0))</f>
        <v>0</v>
      </c>
      <c r="G5" s="174">
        <f>IF(ISERROR(VLOOKUP($A5,'Man Tab'!$A:$Q,COLUMN()+2,0)),0,VLOOKUP($A5,'Man Tab'!$A:$Q,COLUMN()+2,0))</f>
        <v>0</v>
      </c>
      <c r="H5" s="174">
        <f>IF(ISERROR(VLOOKUP($A5,'Man Tab'!$A:$Q,COLUMN()+2,0)),0,VLOOKUP($A5,'Man Tab'!$A:$Q,COLUMN()+2,0))</f>
        <v>0</v>
      </c>
      <c r="I5" s="174">
        <f>IF(ISERROR(VLOOKUP($A5,'Man Tab'!$A:$Q,COLUMN()+2,0)),0,VLOOKUP($A5,'Man Tab'!$A:$Q,COLUMN()+2,0))</f>
        <v>0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63</v>
      </c>
      <c r="B6" s="176">
        <f>B5</f>
        <v>1820.6187399999999</v>
      </c>
      <c r="C6" s="176">
        <f t="shared" ref="C6:M6" si="1">C5+B6</f>
        <v>3606.9101799999999</v>
      </c>
      <c r="D6" s="176">
        <f t="shared" si="1"/>
        <v>3606.9101799999999</v>
      </c>
      <c r="E6" s="176">
        <f t="shared" si="1"/>
        <v>3606.9101799999999</v>
      </c>
      <c r="F6" s="176">
        <f t="shared" si="1"/>
        <v>3606.9101799999999</v>
      </c>
      <c r="G6" s="176">
        <f t="shared" si="1"/>
        <v>3606.9101799999999</v>
      </c>
      <c r="H6" s="176">
        <f t="shared" si="1"/>
        <v>3606.9101799999999</v>
      </c>
      <c r="I6" s="176">
        <f t="shared" si="1"/>
        <v>3606.9101799999999</v>
      </c>
      <c r="J6" s="176">
        <f t="shared" si="1"/>
        <v>3606.9101799999999</v>
      </c>
      <c r="K6" s="176">
        <f t="shared" si="1"/>
        <v>3606.9101799999999</v>
      </c>
      <c r="L6" s="176">
        <f t="shared" si="1"/>
        <v>3606.9101799999999</v>
      </c>
      <c r="M6" s="176">
        <f t="shared" si="1"/>
        <v>3606.9101799999999</v>
      </c>
    </row>
    <row r="7" spans="1:13" ht="14.4" customHeight="1" x14ac:dyDescent="0.3">
      <c r="A7" s="175" t="s">
        <v>88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64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89</v>
      </c>
      <c r="B9" s="175">
        <v>2335013</v>
      </c>
      <c r="C9" s="175">
        <v>1519899</v>
      </c>
      <c r="D9" s="175">
        <v>0</v>
      </c>
      <c r="E9" s="175">
        <v>0</v>
      </c>
      <c r="F9" s="175">
        <v>0</v>
      </c>
      <c r="G9" s="175">
        <v>0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65</v>
      </c>
      <c r="B10" s="176">
        <f>B9/1000</f>
        <v>2335.0129999999999</v>
      </c>
      <c r="C10" s="176">
        <f t="shared" ref="C10:M10" si="3">C9/1000+B10</f>
        <v>3854.9119999999998</v>
      </c>
      <c r="D10" s="176">
        <f t="shared" si="3"/>
        <v>3854.9119999999998</v>
      </c>
      <c r="E10" s="176">
        <f t="shared" si="3"/>
        <v>3854.9119999999998</v>
      </c>
      <c r="F10" s="176">
        <f t="shared" si="3"/>
        <v>3854.9119999999998</v>
      </c>
      <c r="G10" s="176">
        <f t="shared" si="3"/>
        <v>3854.9119999999998</v>
      </c>
      <c r="H10" s="176">
        <f t="shared" si="3"/>
        <v>3854.9119999999998</v>
      </c>
      <c r="I10" s="176">
        <f t="shared" si="3"/>
        <v>3854.9119999999998</v>
      </c>
      <c r="J10" s="176">
        <f t="shared" si="3"/>
        <v>3854.9119999999998</v>
      </c>
      <c r="K10" s="176">
        <f t="shared" si="3"/>
        <v>3854.9119999999998</v>
      </c>
      <c r="L10" s="176">
        <f t="shared" si="3"/>
        <v>3854.9119999999998</v>
      </c>
      <c r="M10" s="176">
        <f t="shared" si="3"/>
        <v>3854.9119999999998</v>
      </c>
    </row>
    <row r="11" spans="1:13" ht="14.4" customHeight="1" x14ac:dyDescent="0.3">
      <c r="A11" s="171"/>
      <c r="B11" s="171" t="s">
        <v>80</v>
      </c>
      <c r="C11" s="171">
        <f ca="1">IF(MONTH(TODAY())=1,12,MONTH(TODAY())-1)</f>
        <v>2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0.81357336874388975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0.81357336874388975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4" bestFit="1" customWidth="1"/>
    <col min="2" max="2" width="12.77734375" style="104" bestFit="1" customWidth="1"/>
    <col min="3" max="3" width="13.6640625" style="104" bestFit="1" customWidth="1"/>
    <col min="4" max="15" width="7.77734375" style="104" bestFit="1" customWidth="1"/>
    <col min="16" max="16" width="8.88671875" style="104" customWidth="1"/>
    <col min="17" max="17" width="6.6640625" style="104" bestFit="1" customWidth="1"/>
    <col min="18" max="16384" width="8.88671875" style="104"/>
  </cols>
  <sheetData>
    <row r="1" spans="1:17" s="177" customFormat="1" ht="18.600000000000001" customHeight="1" thickBot="1" x14ac:dyDescent="0.4">
      <c r="A1" s="326" t="s">
        <v>263</v>
      </c>
      <c r="B1" s="326"/>
      <c r="C1" s="326"/>
      <c r="D1" s="326"/>
      <c r="E1" s="326"/>
      <c r="F1" s="326"/>
      <c r="G1" s="326"/>
      <c r="H1" s="314"/>
      <c r="I1" s="314"/>
      <c r="J1" s="314"/>
      <c r="K1" s="314"/>
      <c r="L1" s="314"/>
      <c r="M1" s="314"/>
      <c r="N1" s="314"/>
      <c r="O1" s="314"/>
      <c r="P1" s="314"/>
      <c r="Q1" s="314"/>
    </row>
    <row r="2" spans="1:17" s="177" customFormat="1" ht="14.4" customHeight="1" thickBot="1" x14ac:dyDescent="0.3">
      <c r="A2" s="203" t="s">
        <v>261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27" t="s">
        <v>15</v>
      </c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112"/>
      <c r="Q3" s="114"/>
    </row>
    <row r="4" spans="1:17" ht="14.4" customHeight="1" x14ac:dyDescent="0.3">
      <c r="A4" s="61"/>
      <c r="B4" s="20">
        <v>2017</v>
      </c>
      <c r="C4" s="113" t="s">
        <v>16</v>
      </c>
      <c r="D4" s="295" t="s">
        <v>227</v>
      </c>
      <c r="E4" s="295" t="s">
        <v>228</v>
      </c>
      <c r="F4" s="295" t="s">
        <v>229</v>
      </c>
      <c r="G4" s="295" t="s">
        <v>230</v>
      </c>
      <c r="H4" s="295" t="s">
        <v>231</v>
      </c>
      <c r="I4" s="295" t="s">
        <v>232</v>
      </c>
      <c r="J4" s="295" t="s">
        <v>233</v>
      </c>
      <c r="K4" s="295" t="s">
        <v>234</v>
      </c>
      <c r="L4" s="295" t="s">
        <v>235</v>
      </c>
      <c r="M4" s="295" t="s">
        <v>236</v>
      </c>
      <c r="N4" s="295" t="s">
        <v>237</v>
      </c>
      <c r="O4" s="295" t="s">
        <v>238</v>
      </c>
      <c r="P4" s="329" t="s">
        <v>3</v>
      </c>
      <c r="Q4" s="330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262</v>
      </c>
    </row>
    <row r="7" spans="1:17" ht="14.4" customHeight="1" x14ac:dyDescent="0.3">
      <c r="A7" s="15" t="s">
        <v>21</v>
      </c>
      <c r="B7" s="46">
        <v>10</v>
      </c>
      <c r="C7" s="47">
        <v>0.83333333333299997</v>
      </c>
      <c r="D7" s="47">
        <v>0.68969999999999998</v>
      </c>
      <c r="E7" s="47">
        <v>0.71464000000000005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1.4043399999999999</v>
      </c>
      <c r="Q7" s="71">
        <v>0.84260400000000002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262</v>
      </c>
    </row>
    <row r="9" spans="1:17" ht="14.4" customHeight="1" x14ac:dyDescent="0.3">
      <c r="A9" s="15" t="s">
        <v>23</v>
      </c>
      <c r="B9" s="46">
        <v>1230</v>
      </c>
      <c r="C9" s="47">
        <v>102.5</v>
      </c>
      <c r="D9" s="47">
        <v>61.87247</v>
      </c>
      <c r="E9" s="47">
        <v>53.6905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115.56297000000001</v>
      </c>
      <c r="Q9" s="71">
        <v>0.56372180487800005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262</v>
      </c>
    </row>
    <row r="11" spans="1:17" ht="14.4" customHeight="1" x14ac:dyDescent="0.3">
      <c r="A11" s="15" t="s">
        <v>25</v>
      </c>
      <c r="B11" s="46">
        <v>244.09756632445499</v>
      </c>
      <c r="C11" s="47">
        <v>20.341463860371</v>
      </c>
      <c r="D11" s="47">
        <v>17.57835</v>
      </c>
      <c r="E11" s="47">
        <v>12.521380000000001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30.099730000000001</v>
      </c>
      <c r="Q11" s="71">
        <v>0.73986145261199998</v>
      </c>
    </row>
    <row r="12" spans="1:17" ht="14.4" customHeight="1" x14ac:dyDescent="0.3">
      <c r="A12" s="15" t="s">
        <v>26</v>
      </c>
      <c r="B12" s="46">
        <v>121.097988247101</v>
      </c>
      <c r="C12" s="47">
        <v>10.091499020591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1">
        <v>0</v>
      </c>
    </row>
    <row r="13" spans="1:17" ht="14.4" customHeight="1" x14ac:dyDescent="0.3">
      <c r="A13" s="15" t="s">
        <v>27</v>
      </c>
      <c r="B13" s="46">
        <v>35</v>
      </c>
      <c r="C13" s="47">
        <v>2.9166666666659999</v>
      </c>
      <c r="D13" s="47">
        <v>1.2596000000000001</v>
      </c>
      <c r="E13" s="47">
        <v>2.2639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3.5234999999999999</v>
      </c>
      <c r="Q13" s="71">
        <v>0.60402857142800004</v>
      </c>
    </row>
    <row r="14" spans="1:17" ht="14.4" customHeight="1" x14ac:dyDescent="0.3">
      <c r="A14" s="15" t="s">
        <v>28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71" t="s">
        <v>262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262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262</v>
      </c>
    </row>
    <row r="17" spans="1:17" ht="14.4" customHeight="1" x14ac:dyDescent="0.3">
      <c r="A17" s="15" t="s">
        <v>31</v>
      </c>
      <c r="B17" s="46">
        <v>81.70063127057</v>
      </c>
      <c r="C17" s="47">
        <v>6.8083859392140003</v>
      </c>
      <c r="D17" s="47">
        <v>14.3569</v>
      </c>
      <c r="E17" s="47">
        <v>2.105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16.4619</v>
      </c>
      <c r="Q17" s="71">
        <v>1.2089429232540001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3.399</v>
      </c>
      <c r="E18" s="47">
        <v>3.7389999999999999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7.1379999999999999</v>
      </c>
      <c r="Q18" s="71" t="s">
        <v>262</v>
      </c>
    </row>
    <row r="19" spans="1:17" ht="14.4" customHeight="1" x14ac:dyDescent="0.3">
      <c r="A19" s="15" t="s">
        <v>33</v>
      </c>
      <c r="B19" s="46">
        <v>613.12345707443205</v>
      </c>
      <c r="C19" s="47">
        <v>51.093621422868999</v>
      </c>
      <c r="D19" s="47">
        <v>61.324179999999998</v>
      </c>
      <c r="E19" s="47">
        <v>39.450690000000002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100.77487000000001</v>
      </c>
      <c r="Q19" s="71">
        <v>0.98617857957199995</v>
      </c>
    </row>
    <row r="20" spans="1:17" ht="14.4" customHeight="1" x14ac:dyDescent="0.3">
      <c r="A20" s="15" t="s">
        <v>34</v>
      </c>
      <c r="B20" s="46">
        <v>18811</v>
      </c>
      <c r="C20" s="47">
        <v>1567.5833333333301</v>
      </c>
      <c r="D20" s="47">
        <v>1515.6014399999999</v>
      </c>
      <c r="E20" s="47">
        <v>1520.0193300000001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3035.62077</v>
      </c>
      <c r="Q20" s="71">
        <v>0.96824861091900005</v>
      </c>
    </row>
    <row r="21" spans="1:17" ht="14.4" customHeight="1" x14ac:dyDescent="0.3">
      <c r="A21" s="16" t="s">
        <v>35</v>
      </c>
      <c r="B21" s="46">
        <v>1984</v>
      </c>
      <c r="C21" s="47">
        <v>165.333333333334</v>
      </c>
      <c r="D21" s="47">
        <v>144.53700000000001</v>
      </c>
      <c r="E21" s="47">
        <v>144.53700000000001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289.07400000000001</v>
      </c>
      <c r="Q21" s="71">
        <v>0.87421572580600004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262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262</v>
      </c>
    </row>
    <row r="24" spans="1:17" ht="14.4" customHeight="1" x14ac:dyDescent="0.3">
      <c r="A24" s="16" t="s">
        <v>38</v>
      </c>
      <c r="B24" s="46">
        <v>3.6379788070917101E-12</v>
      </c>
      <c r="C24" s="47">
        <v>4.5474735088646402E-13</v>
      </c>
      <c r="D24" s="47">
        <v>9.9999999974897906E-5</v>
      </c>
      <c r="E24" s="47">
        <v>7.25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7.2500999999989997</v>
      </c>
      <c r="Q24" s="71">
        <v>11957353878808.1</v>
      </c>
    </row>
    <row r="25" spans="1:17" ht="14.4" customHeight="1" x14ac:dyDescent="0.3">
      <c r="A25" s="17" t="s">
        <v>39</v>
      </c>
      <c r="B25" s="49">
        <v>23130.019642916599</v>
      </c>
      <c r="C25" s="50">
        <v>1927.50163690971</v>
      </c>
      <c r="D25" s="50">
        <v>1820.6187399999999</v>
      </c>
      <c r="E25" s="50">
        <v>1786.29144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3606.9101799999999</v>
      </c>
      <c r="Q25" s="72">
        <v>0.93564386948599998</v>
      </c>
    </row>
    <row r="26" spans="1:17" ht="14.4" customHeight="1" x14ac:dyDescent="0.3">
      <c r="A26" s="15" t="s">
        <v>40</v>
      </c>
      <c r="B26" s="46">
        <v>0</v>
      </c>
      <c r="C26" s="47">
        <v>0</v>
      </c>
      <c r="D26" s="47">
        <v>208.41156000000001</v>
      </c>
      <c r="E26" s="47">
        <v>202.82026999999999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411.23183</v>
      </c>
      <c r="Q26" s="71" t="s">
        <v>262</v>
      </c>
    </row>
    <row r="27" spans="1:17" ht="14.4" customHeight="1" x14ac:dyDescent="0.3">
      <c r="A27" s="18" t="s">
        <v>41</v>
      </c>
      <c r="B27" s="49">
        <v>23130.019642916599</v>
      </c>
      <c r="C27" s="50">
        <v>1927.50163690971</v>
      </c>
      <c r="D27" s="50">
        <v>2029.0302999999999</v>
      </c>
      <c r="E27" s="50">
        <v>1989.1117099999999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4018.14201</v>
      </c>
      <c r="Q27" s="72">
        <v>1.04231870237</v>
      </c>
    </row>
    <row r="28" spans="1:17" ht="14.4" customHeight="1" x14ac:dyDescent="0.3">
      <c r="A28" s="16" t="s">
        <v>42</v>
      </c>
      <c r="B28" s="46">
        <v>1194</v>
      </c>
      <c r="C28" s="47">
        <v>99.5</v>
      </c>
      <c r="D28" s="47">
        <v>111.49334</v>
      </c>
      <c r="E28" s="47">
        <v>102.82769999999999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214.32104000000001</v>
      </c>
      <c r="Q28" s="71">
        <v>1.076990150753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262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10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262</v>
      </c>
    </row>
    <row r="32" spans="1:17" ht="14.4" customHeight="1" x14ac:dyDescent="0.3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" customHeight="1" x14ac:dyDescent="0.3">
      <c r="A33" s="88" t="s">
        <v>128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" customHeight="1" x14ac:dyDescent="0.3">
      <c r="A34" s="110" t="s">
        <v>239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" customHeight="1" x14ac:dyDescent="0.3">
      <c r="A35" s="111" t="s">
        <v>46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4" customWidth="1"/>
    <col min="2" max="11" width="10" style="104" customWidth="1"/>
    <col min="12" max="16384" width="8.88671875" style="104"/>
  </cols>
  <sheetData>
    <row r="1" spans="1:11" s="55" customFormat="1" ht="18.600000000000001" customHeight="1" thickBot="1" x14ac:dyDescent="0.4">
      <c r="A1" s="326" t="s">
        <v>47</v>
      </c>
      <c r="B1" s="326"/>
      <c r="C1" s="326"/>
      <c r="D1" s="326"/>
      <c r="E1" s="326"/>
      <c r="F1" s="326"/>
      <c r="G1" s="326"/>
      <c r="H1" s="331"/>
      <c r="I1" s="331"/>
      <c r="J1" s="331"/>
      <c r="K1" s="331"/>
    </row>
    <row r="2" spans="1:11" s="55" customFormat="1" ht="14.4" customHeight="1" thickBot="1" x14ac:dyDescent="0.35">
      <c r="A2" s="203" t="s">
        <v>261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27" t="s">
        <v>48</v>
      </c>
      <c r="C3" s="328"/>
      <c r="D3" s="328"/>
      <c r="E3" s="328"/>
      <c r="F3" s="334" t="s">
        <v>49</v>
      </c>
      <c r="G3" s="328"/>
      <c r="H3" s="328"/>
      <c r="I3" s="328"/>
      <c r="J3" s="328"/>
      <c r="K3" s="335"/>
    </row>
    <row r="4" spans="1:11" ht="14.4" customHeight="1" x14ac:dyDescent="0.3">
      <c r="A4" s="61"/>
      <c r="B4" s="332"/>
      <c r="C4" s="333"/>
      <c r="D4" s="333"/>
      <c r="E4" s="333"/>
      <c r="F4" s="336" t="s">
        <v>240</v>
      </c>
      <c r="G4" s="338" t="s">
        <v>50</v>
      </c>
      <c r="H4" s="115" t="s">
        <v>118</v>
      </c>
      <c r="I4" s="336" t="s">
        <v>51</v>
      </c>
      <c r="J4" s="338" t="s">
        <v>247</v>
      </c>
      <c r="K4" s="339" t="s">
        <v>241</v>
      </c>
    </row>
    <row r="5" spans="1:11" ht="42" thickBot="1" x14ac:dyDescent="0.35">
      <c r="A5" s="62"/>
      <c r="B5" s="24" t="s">
        <v>243</v>
      </c>
      <c r="C5" s="25" t="s">
        <v>244</v>
      </c>
      <c r="D5" s="26" t="s">
        <v>245</v>
      </c>
      <c r="E5" s="26" t="s">
        <v>246</v>
      </c>
      <c r="F5" s="337"/>
      <c r="G5" s="337"/>
      <c r="H5" s="25" t="s">
        <v>242</v>
      </c>
      <c r="I5" s="337"/>
      <c r="J5" s="337"/>
      <c r="K5" s="340"/>
    </row>
    <row r="6" spans="1:11" ht="14.4" customHeight="1" thickBot="1" x14ac:dyDescent="0.35">
      <c r="A6" s="401" t="s">
        <v>264</v>
      </c>
      <c r="B6" s="383">
        <v>21283.313730800201</v>
      </c>
      <c r="C6" s="383">
        <v>23805.409650000001</v>
      </c>
      <c r="D6" s="384">
        <v>2522.0959191997999</v>
      </c>
      <c r="E6" s="385">
        <v>1.1185010920330001</v>
      </c>
      <c r="F6" s="383">
        <v>23130.019642916599</v>
      </c>
      <c r="G6" s="384">
        <v>3855.00327381943</v>
      </c>
      <c r="H6" s="386">
        <v>1786.29144</v>
      </c>
      <c r="I6" s="383">
        <v>3606.9101799999999</v>
      </c>
      <c r="J6" s="384">
        <v>-248.09309381942799</v>
      </c>
      <c r="K6" s="387">
        <v>0.155940644914</v>
      </c>
    </row>
    <row r="7" spans="1:11" ht="14.4" customHeight="1" thickBot="1" x14ac:dyDescent="0.35">
      <c r="A7" s="402" t="s">
        <v>265</v>
      </c>
      <c r="B7" s="383">
        <v>1784.63697768824</v>
      </c>
      <c r="C7" s="383">
        <v>1688.3403900000001</v>
      </c>
      <c r="D7" s="384">
        <v>-96.296587688236997</v>
      </c>
      <c r="E7" s="385">
        <v>0.94604135805</v>
      </c>
      <c r="F7" s="383">
        <v>1640.19555457156</v>
      </c>
      <c r="G7" s="384">
        <v>273.36592576192601</v>
      </c>
      <c r="H7" s="386">
        <v>69.190420000000003</v>
      </c>
      <c r="I7" s="383">
        <v>150.59064000000001</v>
      </c>
      <c r="J7" s="384">
        <v>-122.775285761926</v>
      </c>
      <c r="K7" s="387">
        <v>9.1812613185000003E-2</v>
      </c>
    </row>
    <row r="8" spans="1:11" ht="14.4" customHeight="1" thickBot="1" x14ac:dyDescent="0.35">
      <c r="A8" s="403" t="s">
        <v>266</v>
      </c>
      <c r="B8" s="383">
        <v>1784.63697768824</v>
      </c>
      <c r="C8" s="383">
        <v>1688.3403900000001</v>
      </c>
      <c r="D8" s="384">
        <v>-96.296587688236997</v>
      </c>
      <c r="E8" s="385">
        <v>0.94604135805</v>
      </c>
      <c r="F8" s="383">
        <v>1640.19555457156</v>
      </c>
      <c r="G8" s="384">
        <v>273.36592576192601</v>
      </c>
      <c r="H8" s="386">
        <v>69.190420000000003</v>
      </c>
      <c r="I8" s="383">
        <v>150.59064000000001</v>
      </c>
      <c r="J8" s="384">
        <v>-122.775285761926</v>
      </c>
      <c r="K8" s="387">
        <v>9.1812613185000003E-2</v>
      </c>
    </row>
    <row r="9" spans="1:11" ht="14.4" customHeight="1" thickBot="1" x14ac:dyDescent="0.35">
      <c r="A9" s="404" t="s">
        <v>267</v>
      </c>
      <c r="B9" s="388">
        <v>0</v>
      </c>
      <c r="C9" s="388">
        <v>3.3999999899999997E-4</v>
      </c>
      <c r="D9" s="389">
        <v>3.3999999899999997E-4</v>
      </c>
      <c r="E9" s="390" t="s">
        <v>262</v>
      </c>
      <c r="F9" s="388">
        <v>0</v>
      </c>
      <c r="G9" s="389">
        <v>0</v>
      </c>
      <c r="H9" s="391">
        <v>0</v>
      </c>
      <c r="I9" s="388">
        <v>1E-4</v>
      </c>
      <c r="J9" s="389">
        <v>1E-4</v>
      </c>
      <c r="K9" s="392" t="s">
        <v>262</v>
      </c>
    </row>
    <row r="10" spans="1:11" ht="14.4" customHeight="1" thickBot="1" x14ac:dyDescent="0.35">
      <c r="A10" s="405" t="s">
        <v>268</v>
      </c>
      <c r="B10" s="383">
        <v>0</v>
      </c>
      <c r="C10" s="383">
        <v>3.3999999899999997E-4</v>
      </c>
      <c r="D10" s="384">
        <v>3.3999999899999997E-4</v>
      </c>
      <c r="E10" s="393" t="s">
        <v>262</v>
      </c>
      <c r="F10" s="383">
        <v>0</v>
      </c>
      <c r="G10" s="384">
        <v>0</v>
      </c>
      <c r="H10" s="386">
        <v>0</v>
      </c>
      <c r="I10" s="383">
        <v>1E-4</v>
      </c>
      <c r="J10" s="384">
        <v>1E-4</v>
      </c>
      <c r="K10" s="394" t="s">
        <v>262</v>
      </c>
    </row>
    <row r="11" spans="1:11" ht="14.4" customHeight="1" thickBot="1" x14ac:dyDescent="0.35">
      <c r="A11" s="404" t="s">
        <v>269</v>
      </c>
      <c r="B11" s="388">
        <v>29.000002618105</v>
      </c>
      <c r="C11" s="388">
        <v>7.6551499999999999</v>
      </c>
      <c r="D11" s="389">
        <v>-21.344852618105001</v>
      </c>
      <c r="E11" s="395">
        <v>0.26397066582399997</v>
      </c>
      <c r="F11" s="388">
        <v>10</v>
      </c>
      <c r="G11" s="389">
        <v>1.6666666666659999</v>
      </c>
      <c r="H11" s="391">
        <v>0.71464000000000005</v>
      </c>
      <c r="I11" s="388">
        <v>1.4043399999999999</v>
      </c>
      <c r="J11" s="389">
        <v>-0.26232666666600002</v>
      </c>
      <c r="K11" s="396">
        <v>0.140434</v>
      </c>
    </row>
    <row r="12" spans="1:11" ht="14.4" customHeight="1" thickBot="1" x14ac:dyDescent="0.35">
      <c r="A12" s="405" t="s">
        <v>270</v>
      </c>
      <c r="B12" s="383">
        <v>29.000002618105</v>
      </c>
      <c r="C12" s="383">
        <v>7.6551499999999999</v>
      </c>
      <c r="D12" s="384">
        <v>-21.344852618105001</v>
      </c>
      <c r="E12" s="385">
        <v>0.26397066582399997</v>
      </c>
      <c r="F12" s="383">
        <v>10</v>
      </c>
      <c r="G12" s="384">
        <v>1.6666666666659999</v>
      </c>
      <c r="H12" s="386">
        <v>0.71464000000000005</v>
      </c>
      <c r="I12" s="383">
        <v>1.4043399999999999</v>
      </c>
      <c r="J12" s="384">
        <v>-0.26232666666600002</v>
      </c>
      <c r="K12" s="387">
        <v>0.140434</v>
      </c>
    </row>
    <row r="13" spans="1:11" ht="14.4" customHeight="1" thickBot="1" x14ac:dyDescent="0.35">
      <c r="A13" s="404" t="s">
        <v>271</v>
      </c>
      <c r="B13" s="388">
        <v>1361.00012287038</v>
      </c>
      <c r="C13" s="388">
        <v>1292.5291299999999</v>
      </c>
      <c r="D13" s="389">
        <v>-68.470992870377003</v>
      </c>
      <c r="E13" s="395">
        <v>0.94969067840599997</v>
      </c>
      <c r="F13" s="388">
        <v>1230</v>
      </c>
      <c r="G13" s="389">
        <v>205</v>
      </c>
      <c r="H13" s="391">
        <v>53.6905</v>
      </c>
      <c r="I13" s="388">
        <v>115.56297000000001</v>
      </c>
      <c r="J13" s="389">
        <v>-89.437029999999993</v>
      </c>
      <c r="K13" s="396">
        <v>9.3953634145999998E-2</v>
      </c>
    </row>
    <row r="14" spans="1:11" ht="14.4" customHeight="1" thickBot="1" x14ac:dyDescent="0.35">
      <c r="A14" s="405" t="s">
        <v>272</v>
      </c>
      <c r="B14" s="383">
        <v>900.00008125153602</v>
      </c>
      <c r="C14" s="383">
        <v>868.87531000000104</v>
      </c>
      <c r="D14" s="384">
        <v>-31.124771251535002</v>
      </c>
      <c r="E14" s="385">
        <v>0.96541692395300005</v>
      </c>
      <c r="F14" s="383">
        <v>800</v>
      </c>
      <c r="G14" s="384">
        <v>133.333333333333</v>
      </c>
      <c r="H14" s="386">
        <v>31.708749999999998</v>
      </c>
      <c r="I14" s="383">
        <v>60.964010000000002</v>
      </c>
      <c r="J14" s="384">
        <v>-72.369323333333</v>
      </c>
      <c r="K14" s="387">
        <v>7.6205012500000002E-2</v>
      </c>
    </row>
    <row r="15" spans="1:11" ht="14.4" customHeight="1" thickBot="1" x14ac:dyDescent="0.35">
      <c r="A15" s="405" t="s">
        <v>273</v>
      </c>
      <c r="B15" s="383">
        <v>80.000007222357993</v>
      </c>
      <c r="C15" s="383">
        <v>149.10729000000001</v>
      </c>
      <c r="D15" s="384">
        <v>69.107282777641004</v>
      </c>
      <c r="E15" s="385">
        <v>1.8638409567330001</v>
      </c>
      <c r="F15" s="383">
        <v>150</v>
      </c>
      <c r="G15" s="384">
        <v>25</v>
      </c>
      <c r="H15" s="386">
        <v>8.3842599999999994</v>
      </c>
      <c r="I15" s="383">
        <v>24.096340000000001</v>
      </c>
      <c r="J15" s="384">
        <v>-0.90366000000000002</v>
      </c>
      <c r="K15" s="387">
        <v>0.16064226666600001</v>
      </c>
    </row>
    <row r="16" spans="1:11" ht="14.4" customHeight="1" thickBot="1" x14ac:dyDescent="0.35">
      <c r="A16" s="405" t="s">
        <v>274</v>
      </c>
      <c r="B16" s="383">
        <v>36.000003250060999</v>
      </c>
      <c r="C16" s="383">
        <v>30.69979</v>
      </c>
      <c r="D16" s="384">
        <v>-5.3002132500609997</v>
      </c>
      <c r="E16" s="385">
        <v>0.85277186745599998</v>
      </c>
      <c r="F16" s="383">
        <v>30</v>
      </c>
      <c r="G16" s="384">
        <v>5</v>
      </c>
      <c r="H16" s="386">
        <v>3.6442000000000001</v>
      </c>
      <c r="I16" s="383">
        <v>6.7678000000000003</v>
      </c>
      <c r="J16" s="384">
        <v>1.7678</v>
      </c>
      <c r="K16" s="387">
        <v>0.225593333333</v>
      </c>
    </row>
    <row r="17" spans="1:11" ht="14.4" customHeight="1" thickBot="1" x14ac:dyDescent="0.35">
      <c r="A17" s="405" t="s">
        <v>275</v>
      </c>
      <c r="B17" s="383">
        <v>300.000027083845</v>
      </c>
      <c r="C17" s="383">
        <v>196.72647000000001</v>
      </c>
      <c r="D17" s="384">
        <v>-103.27355708384501</v>
      </c>
      <c r="E17" s="385">
        <v>0.65575484079799995</v>
      </c>
      <c r="F17" s="383">
        <v>200</v>
      </c>
      <c r="G17" s="384">
        <v>33.333333333333002</v>
      </c>
      <c r="H17" s="386">
        <v>8.2972900000000003</v>
      </c>
      <c r="I17" s="383">
        <v>16.223839999999999</v>
      </c>
      <c r="J17" s="384">
        <v>-17.109493333332999</v>
      </c>
      <c r="K17" s="387">
        <v>8.1119200000000002E-2</v>
      </c>
    </row>
    <row r="18" spans="1:11" ht="14.4" customHeight="1" thickBot="1" x14ac:dyDescent="0.35">
      <c r="A18" s="405" t="s">
        <v>276</v>
      </c>
      <c r="B18" s="383">
        <v>0</v>
      </c>
      <c r="C18" s="383">
        <v>0.48499999999999999</v>
      </c>
      <c r="D18" s="384">
        <v>0.48499999999999999</v>
      </c>
      <c r="E18" s="393" t="s">
        <v>262</v>
      </c>
      <c r="F18" s="383">
        <v>0</v>
      </c>
      <c r="G18" s="384">
        <v>0</v>
      </c>
      <c r="H18" s="386">
        <v>0</v>
      </c>
      <c r="I18" s="383">
        <v>0</v>
      </c>
      <c r="J18" s="384">
        <v>0</v>
      </c>
      <c r="K18" s="394" t="s">
        <v>262</v>
      </c>
    </row>
    <row r="19" spans="1:11" ht="14.4" customHeight="1" thickBot="1" x14ac:dyDescent="0.35">
      <c r="A19" s="405" t="s">
        <v>277</v>
      </c>
      <c r="B19" s="383">
        <v>45.000004062575996</v>
      </c>
      <c r="C19" s="383">
        <v>46.082059999999998</v>
      </c>
      <c r="D19" s="384">
        <v>1.0820559374230001</v>
      </c>
      <c r="E19" s="385">
        <v>1.0240456853269999</v>
      </c>
      <c r="F19" s="383">
        <v>50</v>
      </c>
      <c r="G19" s="384">
        <v>8.333333333333</v>
      </c>
      <c r="H19" s="386">
        <v>1.6559999999999999</v>
      </c>
      <c r="I19" s="383">
        <v>7.51098</v>
      </c>
      <c r="J19" s="384">
        <v>-0.82235333333299998</v>
      </c>
      <c r="K19" s="387">
        <v>0.15021960000000001</v>
      </c>
    </row>
    <row r="20" spans="1:11" ht="14.4" customHeight="1" thickBot="1" x14ac:dyDescent="0.35">
      <c r="A20" s="405" t="s">
        <v>278</v>
      </c>
      <c r="B20" s="383">
        <v>0</v>
      </c>
      <c r="C20" s="383">
        <v>0.55320999999999998</v>
      </c>
      <c r="D20" s="384">
        <v>0.55320999999999998</v>
      </c>
      <c r="E20" s="393" t="s">
        <v>279</v>
      </c>
      <c r="F20" s="383">
        <v>0</v>
      </c>
      <c r="G20" s="384">
        <v>0</v>
      </c>
      <c r="H20" s="386">
        <v>0</v>
      </c>
      <c r="I20" s="383">
        <v>0</v>
      </c>
      <c r="J20" s="384">
        <v>0</v>
      </c>
      <c r="K20" s="394" t="s">
        <v>262</v>
      </c>
    </row>
    <row r="21" spans="1:11" ht="14.4" customHeight="1" thickBot="1" x14ac:dyDescent="0.35">
      <c r="A21" s="404" t="s">
        <v>280</v>
      </c>
      <c r="B21" s="388">
        <v>268.16542325867198</v>
      </c>
      <c r="C21" s="388">
        <v>238.42966999999999</v>
      </c>
      <c r="D21" s="389">
        <v>-29.735753258671998</v>
      </c>
      <c r="E21" s="395">
        <v>0.88911414119900001</v>
      </c>
      <c r="F21" s="388">
        <v>244.09756632445499</v>
      </c>
      <c r="G21" s="389">
        <v>40.682927720742001</v>
      </c>
      <c r="H21" s="391">
        <v>12.521380000000001</v>
      </c>
      <c r="I21" s="388">
        <v>30.099730000000001</v>
      </c>
      <c r="J21" s="389">
        <v>-10.583197720742</v>
      </c>
      <c r="K21" s="396">
        <v>0.12331024210200001</v>
      </c>
    </row>
    <row r="22" spans="1:11" ht="14.4" customHeight="1" thickBot="1" x14ac:dyDescent="0.35">
      <c r="A22" s="405" t="s">
        <v>281</v>
      </c>
      <c r="B22" s="383">
        <v>13.155458314963001</v>
      </c>
      <c r="C22" s="383">
        <v>5.7520699999999998</v>
      </c>
      <c r="D22" s="384">
        <v>-7.4033883149630002</v>
      </c>
      <c r="E22" s="385">
        <v>0.43723828256500002</v>
      </c>
      <c r="F22" s="383">
        <v>6</v>
      </c>
      <c r="G22" s="384">
        <v>1</v>
      </c>
      <c r="H22" s="386">
        <v>0.44586999999999999</v>
      </c>
      <c r="I22" s="383">
        <v>0.88800999999999997</v>
      </c>
      <c r="J22" s="384">
        <v>-0.11199000000000001</v>
      </c>
      <c r="K22" s="387">
        <v>0.14800166666600001</v>
      </c>
    </row>
    <row r="23" spans="1:11" ht="14.4" customHeight="1" thickBot="1" x14ac:dyDescent="0.35">
      <c r="A23" s="405" t="s">
        <v>282</v>
      </c>
      <c r="B23" s="383">
        <v>24.005969206056001</v>
      </c>
      <c r="C23" s="383">
        <v>37.225700000000003</v>
      </c>
      <c r="D23" s="384">
        <v>13.219730793943</v>
      </c>
      <c r="E23" s="385">
        <v>1.5506851517</v>
      </c>
      <c r="F23" s="383">
        <v>37.473788317093003</v>
      </c>
      <c r="G23" s="384">
        <v>6.2456313861819996</v>
      </c>
      <c r="H23" s="386">
        <v>0</v>
      </c>
      <c r="I23" s="383">
        <v>0.91161000000000003</v>
      </c>
      <c r="J23" s="384">
        <v>-5.3340213861820001</v>
      </c>
      <c r="K23" s="387">
        <v>2.4326603765E-2</v>
      </c>
    </row>
    <row r="24" spans="1:11" ht="14.4" customHeight="1" thickBot="1" x14ac:dyDescent="0.35">
      <c r="A24" s="405" t="s">
        <v>283</v>
      </c>
      <c r="B24" s="383">
        <v>43.543038246305997</v>
      </c>
      <c r="C24" s="383">
        <v>41.454940000000001</v>
      </c>
      <c r="D24" s="384">
        <v>-2.088098246306</v>
      </c>
      <c r="E24" s="385">
        <v>0.95204518723499998</v>
      </c>
      <c r="F24" s="383">
        <v>40</v>
      </c>
      <c r="G24" s="384">
        <v>6.6666666666659999</v>
      </c>
      <c r="H24" s="386">
        <v>3.6402100000000002</v>
      </c>
      <c r="I24" s="383">
        <v>8.4746100000000002</v>
      </c>
      <c r="J24" s="384">
        <v>1.8079433333329999</v>
      </c>
      <c r="K24" s="387">
        <v>0.21186525</v>
      </c>
    </row>
    <row r="25" spans="1:11" ht="14.4" customHeight="1" thickBot="1" x14ac:dyDescent="0.35">
      <c r="A25" s="405" t="s">
        <v>284</v>
      </c>
      <c r="B25" s="383">
        <v>4.2929669561999999E-2</v>
      </c>
      <c r="C25" s="383">
        <v>0</v>
      </c>
      <c r="D25" s="384">
        <v>-4.2929669561999999E-2</v>
      </c>
      <c r="E25" s="385">
        <v>0</v>
      </c>
      <c r="F25" s="383">
        <v>0</v>
      </c>
      <c r="G25" s="384">
        <v>0</v>
      </c>
      <c r="H25" s="386">
        <v>0</v>
      </c>
      <c r="I25" s="383">
        <v>0</v>
      </c>
      <c r="J25" s="384">
        <v>0</v>
      </c>
      <c r="K25" s="387">
        <v>2</v>
      </c>
    </row>
    <row r="26" spans="1:11" ht="14.4" customHeight="1" thickBot="1" x14ac:dyDescent="0.35">
      <c r="A26" s="405" t="s">
        <v>285</v>
      </c>
      <c r="B26" s="383">
        <v>0</v>
      </c>
      <c r="C26" s="383">
        <v>1.4930000000000001</v>
      </c>
      <c r="D26" s="384">
        <v>1.4930000000000001</v>
      </c>
      <c r="E26" s="393" t="s">
        <v>262</v>
      </c>
      <c r="F26" s="383">
        <v>0</v>
      </c>
      <c r="G26" s="384">
        <v>0</v>
      </c>
      <c r="H26" s="386">
        <v>0</v>
      </c>
      <c r="I26" s="383">
        <v>0</v>
      </c>
      <c r="J26" s="384">
        <v>0</v>
      </c>
      <c r="K26" s="394" t="s">
        <v>262</v>
      </c>
    </row>
    <row r="27" spans="1:11" ht="14.4" customHeight="1" thickBot="1" x14ac:dyDescent="0.35">
      <c r="A27" s="405" t="s">
        <v>286</v>
      </c>
      <c r="B27" s="383">
        <v>17.780185850355998</v>
      </c>
      <c r="C27" s="383">
        <v>21.99372</v>
      </c>
      <c r="D27" s="384">
        <v>4.2135341496430003</v>
      </c>
      <c r="E27" s="385">
        <v>1.236979196117</v>
      </c>
      <c r="F27" s="383">
        <v>30.623778007361</v>
      </c>
      <c r="G27" s="384">
        <v>5.103963001226</v>
      </c>
      <c r="H27" s="386">
        <v>1.22322</v>
      </c>
      <c r="I27" s="383">
        <v>4.1579699999999997</v>
      </c>
      <c r="J27" s="384">
        <v>-0.94599300122600005</v>
      </c>
      <c r="K27" s="387">
        <v>0.135775866681</v>
      </c>
    </row>
    <row r="28" spans="1:11" ht="14.4" customHeight="1" thickBot="1" x14ac:dyDescent="0.35">
      <c r="A28" s="405" t="s">
        <v>287</v>
      </c>
      <c r="B28" s="383">
        <v>0</v>
      </c>
      <c r="C28" s="383">
        <v>1.6214999999999999</v>
      </c>
      <c r="D28" s="384">
        <v>1.6214999999999999</v>
      </c>
      <c r="E28" s="393" t="s">
        <v>279</v>
      </c>
      <c r="F28" s="383">
        <v>0</v>
      </c>
      <c r="G28" s="384">
        <v>0</v>
      </c>
      <c r="H28" s="386">
        <v>0</v>
      </c>
      <c r="I28" s="383">
        <v>0</v>
      </c>
      <c r="J28" s="384">
        <v>0</v>
      </c>
      <c r="K28" s="394" t="s">
        <v>262</v>
      </c>
    </row>
    <row r="29" spans="1:11" ht="14.4" customHeight="1" thickBot="1" x14ac:dyDescent="0.35">
      <c r="A29" s="405" t="s">
        <v>288</v>
      </c>
      <c r="B29" s="383">
        <v>64.574267611745995</v>
      </c>
      <c r="C29" s="383">
        <v>72.418040000000005</v>
      </c>
      <c r="D29" s="384">
        <v>7.8437723882529999</v>
      </c>
      <c r="E29" s="385">
        <v>1.1214690104639999</v>
      </c>
      <c r="F29" s="383">
        <v>70</v>
      </c>
      <c r="G29" s="384">
        <v>11.666666666666</v>
      </c>
      <c r="H29" s="386">
        <v>5.0340800000000003</v>
      </c>
      <c r="I29" s="383">
        <v>5.57613</v>
      </c>
      <c r="J29" s="384">
        <v>-6.0905366666659999</v>
      </c>
      <c r="K29" s="387">
        <v>7.9658999999999994E-2</v>
      </c>
    </row>
    <row r="30" spans="1:11" ht="14.4" customHeight="1" thickBot="1" x14ac:dyDescent="0.35">
      <c r="A30" s="405" t="s">
        <v>289</v>
      </c>
      <c r="B30" s="383">
        <v>105.063574359679</v>
      </c>
      <c r="C30" s="383">
        <v>56.470700000000001</v>
      </c>
      <c r="D30" s="384">
        <v>-48.592874359679001</v>
      </c>
      <c r="E30" s="385">
        <v>0.53749075589799999</v>
      </c>
      <c r="F30" s="383">
        <v>60</v>
      </c>
      <c r="G30" s="384">
        <v>10</v>
      </c>
      <c r="H30" s="386">
        <v>2.1779999999999999</v>
      </c>
      <c r="I30" s="383">
        <v>10.0914</v>
      </c>
      <c r="J30" s="384">
        <v>9.1399999999000003E-2</v>
      </c>
      <c r="K30" s="387">
        <v>0.16819000000000001</v>
      </c>
    </row>
    <row r="31" spans="1:11" ht="14.4" customHeight="1" thickBot="1" x14ac:dyDescent="0.35">
      <c r="A31" s="404" t="s">
        <v>290</v>
      </c>
      <c r="B31" s="388">
        <v>112.36169439323</v>
      </c>
      <c r="C31" s="388">
        <v>117.54712000000001</v>
      </c>
      <c r="D31" s="389">
        <v>5.18542560677</v>
      </c>
      <c r="E31" s="395">
        <v>1.0461494073640001</v>
      </c>
      <c r="F31" s="388">
        <v>121.097988247101</v>
      </c>
      <c r="G31" s="389">
        <v>20.182998041183001</v>
      </c>
      <c r="H31" s="391">
        <v>0</v>
      </c>
      <c r="I31" s="388">
        <v>0</v>
      </c>
      <c r="J31" s="389">
        <v>-20.182998041183001</v>
      </c>
      <c r="K31" s="396">
        <v>0</v>
      </c>
    </row>
    <row r="32" spans="1:11" ht="14.4" customHeight="1" thickBot="1" x14ac:dyDescent="0.35">
      <c r="A32" s="405" t="s">
        <v>291</v>
      </c>
      <c r="B32" s="383">
        <v>0</v>
      </c>
      <c r="C32" s="383">
        <v>20.314</v>
      </c>
      <c r="D32" s="384">
        <v>20.314</v>
      </c>
      <c r="E32" s="393" t="s">
        <v>279</v>
      </c>
      <c r="F32" s="383">
        <v>18.145612621403998</v>
      </c>
      <c r="G32" s="384">
        <v>3.0242687702339999</v>
      </c>
      <c r="H32" s="386">
        <v>0</v>
      </c>
      <c r="I32" s="383">
        <v>0</v>
      </c>
      <c r="J32" s="384">
        <v>-3.0242687702339999</v>
      </c>
      <c r="K32" s="387">
        <v>0</v>
      </c>
    </row>
    <row r="33" spans="1:11" ht="14.4" customHeight="1" thickBot="1" x14ac:dyDescent="0.35">
      <c r="A33" s="405" t="s">
        <v>292</v>
      </c>
      <c r="B33" s="383">
        <v>112.36169439323</v>
      </c>
      <c r="C33" s="383">
        <v>94.193920000000006</v>
      </c>
      <c r="D33" s="384">
        <v>-18.167774393228999</v>
      </c>
      <c r="E33" s="385">
        <v>0.83830989296299996</v>
      </c>
      <c r="F33" s="383">
        <v>102.95237562569601</v>
      </c>
      <c r="G33" s="384">
        <v>17.158729270948999</v>
      </c>
      <c r="H33" s="386">
        <v>0</v>
      </c>
      <c r="I33" s="383">
        <v>0</v>
      </c>
      <c r="J33" s="384">
        <v>-17.158729270948999</v>
      </c>
      <c r="K33" s="387">
        <v>0</v>
      </c>
    </row>
    <row r="34" spans="1:11" ht="14.4" customHeight="1" thickBot="1" x14ac:dyDescent="0.35">
      <c r="A34" s="405" t="s">
        <v>293</v>
      </c>
      <c r="B34" s="383">
        <v>0</v>
      </c>
      <c r="C34" s="383">
        <v>3.0392000000000001</v>
      </c>
      <c r="D34" s="384">
        <v>3.0392000000000001</v>
      </c>
      <c r="E34" s="393" t="s">
        <v>279</v>
      </c>
      <c r="F34" s="383">
        <v>0</v>
      </c>
      <c r="G34" s="384">
        <v>0</v>
      </c>
      <c r="H34" s="386">
        <v>0</v>
      </c>
      <c r="I34" s="383">
        <v>0</v>
      </c>
      <c r="J34" s="384">
        <v>0</v>
      </c>
      <c r="K34" s="394" t="s">
        <v>262</v>
      </c>
    </row>
    <row r="35" spans="1:11" ht="14.4" customHeight="1" thickBot="1" x14ac:dyDescent="0.35">
      <c r="A35" s="404" t="s">
        <v>294</v>
      </c>
      <c r="B35" s="388">
        <v>14.109734547853</v>
      </c>
      <c r="C35" s="388">
        <v>26.75328</v>
      </c>
      <c r="D35" s="389">
        <v>12.643545452146</v>
      </c>
      <c r="E35" s="395">
        <v>1.896086698815</v>
      </c>
      <c r="F35" s="388">
        <v>35</v>
      </c>
      <c r="G35" s="389">
        <v>5.833333333333</v>
      </c>
      <c r="H35" s="391">
        <v>2.2639</v>
      </c>
      <c r="I35" s="388">
        <v>3.5234999999999999</v>
      </c>
      <c r="J35" s="389">
        <v>-2.3098333333330001</v>
      </c>
      <c r="K35" s="396">
        <v>0.100671428571</v>
      </c>
    </row>
    <row r="36" spans="1:11" ht="14.4" customHeight="1" thickBot="1" x14ac:dyDescent="0.35">
      <c r="A36" s="405" t="s">
        <v>295</v>
      </c>
      <c r="B36" s="383">
        <v>0</v>
      </c>
      <c r="C36" s="383">
        <v>13.39207</v>
      </c>
      <c r="D36" s="384">
        <v>13.39207</v>
      </c>
      <c r="E36" s="393" t="s">
        <v>262</v>
      </c>
      <c r="F36" s="383">
        <v>21</v>
      </c>
      <c r="G36" s="384">
        <v>3.5</v>
      </c>
      <c r="H36" s="386">
        <v>2.2639</v>
      </c>
      <c r="I36" s="383">
        <v>3.5234999999999999</v>
      </c>
      <c r="J36" s="384">
        <v>2.3499999999000001E-2</v>
      </c>
      <c r="K36" s="387">
        <v>0.167785714285</v>
      </c>
    </row>
    <row r="37" spans="1:11" ht="14.4" customHeight="1" thickBot="1" x14ac:dyDescent="0.35">
      <c r="A37" s="405" t="s">
        <v>296</v>
      </c>
      <c r="B37" s="383">
        <v>0.41976352313499998</v>
      </c>
      <c r="C37" s="383">
        <v>0</v>
      </c>
      <c r="D37" s="384">
        <v>-0.41976352313499998</v>
      </c>
      <c r="E37" s="385">
        <v>0</v>
      </c>
      <c r="F37" s="383">
        <v>0</v>
      </c>
      <c r="G37" s="384">
        <v>0</v>
      </c>
      <c r="H37" s="386">
        <v>0</v>
      </c>
      <c r="I37" s="383">
        <v>0</v>
      </c>
      <c r="J37" s="384">
        <v>0</v>
      </c>
      <c r="K37" s="387">
        <v>2</v>
      </c>
    </row>
    <row r="38" spans="1:11" ht="14.4" customHeight="1" thickBot="1" x14ac:dyDescent="0.35">
      <c r="A38" s="405" t="s">
        <v>297</v>
      </c>
      <c r="B38" s="383">
        <v>9.8538645470940001</v>
      </c>
      <c r="C38" s="383">
        <v>10.05561</v>
      </c>
      <c r="D38" s="384">
        <v>0.20174545290500001</v>
      </c>
      <c r="E38" s="385">
        <v>1.0204737392050001</v>
      </c>
      <c r="F38" s="383">
        <v>10</v>
      </c>
      <c r="G38" s="384">
        <v>1.6666666666659999</v>
      </c>
      <c r="H38" s="386">
        <v>0</v>
      </c>
      <c r="I38" s="383">
        <v>0</v>
      </c>
      <c r="J38" s="384">
        <v>-1.6666666666659999</v>
      </c>
      <c r="K38" s="387">
        <v>0</v>
      </c>
    </row>
    <row r="39" spans="1:11" ht="14.4" customHeight="1" thickBot="1" x14ac:dyDescent="0.35">
      <c r="A39" s="405" t="s">
        <v>298</v>
      </c>
      <c r="B39" s="383">
        <v>3.8361064776229998</v>
      </c>
      <c r="C39" s="383">
        <v>3.3056000000000001</v>
      </c>
      <c r="D39" s="384">
        <v>-0.53050647762299996</v>
      </c>
      <c r="E39" s="385">
        <v>0.86170705095900002</v>
      </c>
      <c r="F39" s="383">
        <v>4</v>
      </c>
      <c r="G39" s="384">
        <v>0.66666666666600005</v>
      </c>
      <c r="H39" s="386">
        <v>0</v>
      </c>
      <c r="I39" s="383">
        <v>0</v>
      </c>
      <c r="J39" s="384">
        <v>-0.66666666666600005</v>
      </c>
      <c r="K39" s="387">
        <v>0</v>
      </c>
    </row>
    <row r="40" spans="1:11" ht="14.4" customHeight="1" thickBot="1" x14ac:dyDescent="0.35">
      <c r="A40" s="404" t="s">
        <v>299</v>
      </c>
      <c r="B40" s="388">
        <v>0</v>
      </c>
      <c r="C40" s="388">
        <v>5.4257</v>
      </c>
      <c r="D40" s="389">
        <v>5.4257</v>
      </c>
      <c r="E40" s="390" t="s">
        <v>279</v>
      </c>
      <c r="F40" s="388">
        <v>0</v>
      </c>
      <c r="G40" s="389">
        <v>0</v>
      </c>
      <c r="H40" s="391">
        <v>0</v>
      </c>
      <c r="I40" s="388">
        <v>0</v>
      </c>
      <c r="J40" s="389">
        <v>0</v>
      </c>
      <c r="K40" s="392" t="s">
        <v>262</v>
      </c>
    </row>
    <row r="41" spans="1:11" ht="14.4" customHeight="1" thickBot="1" x14ac:dyDescent="0.35">
      <c r="A41" s="405" t="s">
        <v>300</v>
      </c>
      <c r="B41" s="383">
        <v>0</v>
      </c>
      <c r="C41" s="383">
        <v>5.4257</v>
      </c>
      <c r="D41" s="384">
        <v>5.4257</v>
      </c>
      <c r="E41" s="393" t="s">
        <v>279</v>
      </c>
      <c r="F41" s="383">
        <v>0</v>
      </c>
      <c r="G41" s="384">
        <v>0</v>
      </c>
      <c r="H41" s="386">
        <v>0</v>
      </c>
      <c r="I41" s="383">
        <v>0</v>
      </c>
      <c r="J41" s="384">
        <v>0</v>
      </c>
      <c r="K41" s="394" t="s">
        <v>262</v>
      </c>
    </row>
    <row r="42" spans="1:11" ht="14.4" customHeight="1" thickBot="1" x14ac:dyDescent="0.35">
      <c r="A42" s="406" t="s">
        <v>301</v>
      </c>
      <c r="B42" s="388">
        <v>595.67119884711497</v>
      </c>
      <c r="C42" s="388">
        <v>965.06128000000103</v>
      </c>
      <c r="D42" s="389">
        <v>369.39008115288601</v>
      </c>
      <c r="E42" s="395">
        <v>1.620124125302</v>
      </c>
      <c r="F42" s="388">
        <v>694.824088345002</v>
      </c>
      <c r="G42" s="389">
        <v>115.804014724167</v>
      </c>
      <c r="H42" s="391">
        <v>45.294690000000003</v>
      </c>
      <c r="I42" s="388">
        <v>124.37477</v>
      </c>
      <c r="J42" s="389">
        <v>8.5707552758329992</v>
      </c>
      <c r="K42" s="396">
        <v>0.17900181079800001</v>
      </c>
    </row>
    <row r="43" spans="1:11" ht="14.4" customHeight="1" thickBot="1" x14ac:dyDescent="0.35">
      <c r="A43" s="403" t="s">
        <v>31</v>
      </c>
      <c r="B43" s="383">
        <v>133.88864348784</v>
      </c>
      <c r="C43" s="383">
        <v>103.74714</v>
      </c>
      <c r="D43" s="384">
        <v>-30.141503487839</v>
      </c>
      <c r="E43" s="385">
        <v>0.77487632481199997</v>
      </c>
      <c r="F43" s="383">
        <v>81.70063127057</v>
      </c>
      <c r="G43" s="384">
        <v>13.616771878428001</v>
      </c>
      <c r="H43" s="386">
        <v>2.105</v>
      </c>
      <c r="I43" s="383">
        <v>16.4619</v>
      </c>
      <c r="J43" s="384">
        <v>2.8451281215709998</v>
      </c>
      <c r="K43" s="387">
        <v>0.20149048720900001</v>
      </c>
    </row>
    <row r="44" spans="1:11" ht="14.4" customHeight="1" thickBot="1" x14ac:dyDescent="0.35">
      <c r="A44" s="407" t="s">
        <v>302</v>
      </c>
      <c r="B44" s="383">
        <v>133.88864348784</v>
      </c>
      <c r="C44" s="383">
        <v>103.74714</v>
      </c>
      <c r="D44" s="384">
        <v>-30.141503487839</v>
      </c>
      <c r="E44" s="385">
        <v>0.77487632481199997</v>
      </c>
      <c r="F44" s="383">
        <v>81.70063127057</v>
      </c>
      <c r="G44" s="384">
        <v>13.616771878428001</v>
      </c>
      <c r="H44" s="386">
        <v>2.105</v>
      </c>
      <c r="I44" s="383">
        <v>16.4619</v>
      </c>
      <c r="J44" s="384">
        <v>2.8451281215709998</v>
      </c>
      <c r="K44" s="387">
        <v>0.20149048720900001</v>
      </c>
    </row>
    <row r="45" spans="1:11" ht="14.4" customHeight="1" thickBot="1" x14ac:dyDescent="0.35">
      <c r="A45" s="405" t="s">
        <v>303</v>
      </c>
      <c r="B45" s="383">
        <v>45.798463349392001</v>
      </c>
      <c r="C45" s="383">
        <v>96.655789999999996</v>
      </c>
      <c r="D45" s="384">
        <v>50.857326650607</v>
      </c>
      <c r="E45" s="385">
        <v>2.1104592366469999</v>
      </c>
      <c r="F45" s="383">
        <v>75.259379083368998</v>
      </c>
      <c r="G45" s="384">
        <v>12.543229847228</v>
      </c>
      <c r="H45" s="386">
        <v>2.105</v>
      </c>
      <c r="I45" s="383">
        <v>16.4619</v>
      </c>
      <c r="J45" s="384">
        <v>3.9186701527709999</v>
      </c>
      <c r="K45" s="387">
        <v>0.21873552772400001</v>
      </c>
    </row>
    <row r="46" spans="1:11" ht="14.4" customHeight="1" thickBot="1" x14ac:dyDescent="0.35">
      <c r="A46" s="405" t="s">
        <v>304</v>
      </c>
      <c r="B46" s="383">
        <v>0</v>
      </c>
      <c r="C46" s="383">
        <v>0.66600000000000004</v>
      </c>
      <c r="D46" s="384">
        <v>0.66600000000000004</v>
      </c>
      <c r="E46" s="393" t="s">
        <v>279</v>
      </c>
      <c r="F46" s="383">
        <v>0</v>
      </c>
      <c r="G46" s="384">
        <v>0</v>
      </c>
      <c r="H46" s="386">
        <v>0</v>
      </c>
      <c r="I46" s="383">
        <v>0</v>
      </c>
      <c r="J46" s="384">
        <v>0</v>
      </c>
      <c r="K46" s="394" t="s">
        <v>262</v>
      </c>
    </row>
    <row r="47" spans="1:11" ht="14.4" customHeight="1" thickBot="1" x14ac:dyDescent="0.35">
      <c r="A47" s="405" t="s">
        <v>305</v>
      </c>
      <c r="B47" s="383">
        <v>84.654960200022998</v>
      </c>
      <c r="C47" s="383">
        <v>1.58883</v>
      </c>
      <c r="D47" s="384">
        <v>-83.066130200022997</v>
      </c>
      <c r="E47" s="385">
        <v>1.8768303667E-2</v>
      </c>
      <c r="F47" s="383">
        <v>1.4412521871999999</v>
      </c>
      <c r="G47" s="384">
        <v>0.24020869786599999</v>
      </c>
      <c r="H47" s="386">
        <v>0</v>
      </c>
      <c r="I47" s="383">
        <v>0</v>
      </c>
      <c r="J47" s="384">
        <v>-0.24020869786599999</v>
      </c>
      <c r="K47" s="387">
        <v>0</v>
      </c>
    </row>
    <row r="48" spans="1:11" ht="14.4" customHeight="1" thickBot="1" x14ac:dyDescent="0.35">
      <c r="A48" s="405" t="s">
        <v>306</v>
      </c>
      <c r="B48" s="383">
        <v>3.4352199384230002</v>
      </c>
      <c r="C48" s="383">
        <v>4.8365200000000002</v>
      </c>
      <c r="D48" s="384">
        <v>1.4013000615760001</v>
      </c>
      <c r="E48" s="385">
        <v>1.4079214975150001</v>
      </c>
      <c r="F48" s="383">
        <v>4.9999999999989999</v>
      </c>
      <c r="G48" s="384">
        <v>0.83333333333299997</v>
      </c>
      <c r="H48" s="386">
        <v>0</v>
      </c>
      <c r="I48" s="383">
        <v>0</v>
      </c>
      <c r="J48" s="384">
        <v>-0.83333333333299997</v>
      </c>
      <c r="K48" s="387">
        <v>0</v>
      </c>
    </row>
    <row r="49" spans="1:11" ht="14.4" customHeight="1" thickBot="1" x14ac:dyDescent="0.35">
      <c r="A49" s="408" t="s">
        <v>32</v>
      </c>
      <c r="B49" s="388">
        <v>0</v>
      </c>
      <c r="C49" s="388">
        <v>162.77600000000001</v>
      </c>
      <c r="D49" s="389">
        <v>162.77600000000001</v>
      </c>
      <c r="E49" s="390" t="s">
        <v>262</v>
      </c>
      <c r="F49" s="388">
        <v>0</v>
      </c>
      <c r="G49" s="389">
        <v>0</v>
      </c>
      <c r="H49" s="391">
        <v>3.7389999999999999</v>
      </c>
      <c r="I49" s="388">
        <v>7.1379999999999999</v>
      </c>
      <c r="J49" s="389">
        <v>7.1379999999999999</v>
      </c>
      <c r="K49" s="392" t="s">
        <v>262</v>
      </c>
    </row>
    <row r="50" spans="1:11" ht="14.4" customHeight="1" thickBot="1" x14ac:dyDescent="0.35">
      <c r="A50" s="404" t="s">
        <v>307</v>
      </c>
      <c r="B50" s="388">
        <v>0</v>
      </c>
      <c r="C50" s="388">
        <v>55.177999999999997</v>
      </c>
      <c r="D50" s="389">
        <v>55.177999999999997</v>
      </c>
      <c r="E50" s="390" t="s">
        <v>262</v>
      </c>
      <c r="F50" s="388">
        <v>0</v>
      </c>
      <c r="G50" s="389">
        <v>0</v>
      </c>
      <c r="H50" s="391">
        <v>3.7389999999999999</v>
      </c>
      <c r="I50" s="388">
        <v>7.1379999999999999</v>
      </c>
      <c r="J50" s="389">
        <v>7.1379999999999999</v>
      </c>
      <c r="K50" s="392" t="s">
        <v>262</v>
      </c>
    </row>
    <row r="51" spans="1:11" ht="14.4" customHeight="1" thickBot="1" x14ac:dyDescent="0.35">
      <c r="A51" s="405" t="s">
        <v>308</v>
      </c>
      <c r="B51" s="383">
        <v>0</v>
      </c>
      <c r="C51" s="383">
        <v>51.817999999999998</v>
      </c>
      <c r="D51" s="384">
        <v>51.817999999999998</v>
      </c>
      <c r="E51" s="393" t="s">
        <v>262</v>
      </c>
      <c r="F51" s="383">
        <v>0</v>
      </c>
      <c r="G51" s="384">
        <v>0</v>
      </c>
      <c r="H51" s="386">
        <v>3.7389999999999999</v>
      </c>
      <c r="I51" s="383">
        <v>7.1379999999999999</v>
      </c>
      <c r="J51" s="384">
        <v>7.1379999999999999</v>
      </c>
      <c r="K51" s="394" t="s">
        <v>262</v>
      </c>
    </row>
    <row r="52" spans="1:11" ht="14.4" customHeight="1" thickBot="1" x14ac:dyDescent="0.35">
      <c r="A52" s="405" t="s">
        <v>309</v>
      </c>
      <c r="B52" s="383">
        <v>0</v>
      </c>
      <c r="C52" s="383">
        <v>3.36</v>
      </c>
      <c r="D52" s="384">
        <v>3.36</v>
      </c>
      <c r="E52" s="393" t="s">
        <v>279</v>
      </c>
      <c r="F52" s="383">
        <v>0</v>
      </c>
      <c r="G52" s="384">
        <v>0</v>
      </c>
      <c r="H52" s="386">
        <v>0</v>
      </c>
      <c r="I52" s="383">
        <v>0</v>
      </c>
      <c r="J52" s="384">
        <v>0</v>
      </c>
      <c r="K52" s="394" t="s">
        <v>262</v>
      </c>
    </row>
    <row r="53" spans="1:11" ht="14.4" customHeight="1" thickBot="1" x14ac:dyDescent="0.35">
      <c r="A53" s="404" t="s">
        <v>310</v>
      </c>
      <c r="B53" s="388">
        <v>0</v>
      </c>
      <c r="C53" s="388">
        <v>107.598</v>
      </c>
      <c r="D53" s="389">
        <v>107.598</v>
      </c>
      <c r="E53" s="390" t="s">
        <v>262</v>
      </c>
      <c r="F53" s="388">
        <v>0</v>
      </c>
      <c r="G53" s="389">
        <v>0</v>
      </c>
      <c r="H53" s="391">
        <v>0</v>
      </c>
      <c r="I53" s="388">
        <v>0</v>
      </c>
      <c r="J53" s="389">
        <v>0</v>
      </c>
      <c r="K53" s="392" t="s">
        <v>262</v>
      </c>
    </row>
    <row r="54" spans="1:11" ht="14.4" customHeight="1" thickBot="1" x14ac:dyDescent="0.35">
      <c r="A54" s="405" t="s">
        <v>311</v>
      </c>
      <c r="B54" s="383">
        <v>0</v>
      </c>
      <c r="C54" s="383">
        <v>107.598</v>
      </c>
      <c r="D54" s="384">
        <v>107.598</v>
      </c>
      <c r="E54" s="393" t="s">
        <v>262</v>
      </c>
      <c r="F54" s="383">
        <v>0</v>
      </c>
      <c r="G54" s="384">
        <v>0</v>
      </c>
      <c r="H54" s="386">
        <v>0</v>
      </c>
      <c r="I54" s="383">
        <v>0</v>
      </c>
      <c r="J54" s="384">
        <v>0</v>
      </c>
      <c r="K54" s="394" t="s">
        <v>262</v>
      </c>
    </row>
    <row r="55" spans="1:11" ht="14.4" customHeight="1" thickBot="1" x14ac:dyDescent="0.35">
      <c r="A55" s="403" t="s">
        <v>33</v>
      </c>
      <c r="B55" s="383">
        <v>461.78255535927502</v>
      </c>
      <c r="C55" s="383">
        <v>698.53814000000102</v>
      </c>
      <c r="D55" s="384">
        <v>236.755584640726</v>
      </c>
      <c r="E55" s="385">
        <v>1.512699282147</v>
      </c>
      <c r="F55" s="383">
        <v>613.12345707443205</v>
      </c>
      <c r="G55" s="384">
        <v>102.18724284573899</v>
      </c>
      <c r="H55" s="386">
        <v>39.450690000000002</v>
      </c>
      <c r="I55" s="383">
        <v>100.77487000000001</v>
      </c>
      <c r="J55" s="384">
        <v>-1.412372845738</v>
      </c>
      <c r="K55" s="387">
        <v>0.16436309659500001</v>
      </c>
    </row>
    <row r="56" spans="1:11" ht="14.4" customHeight="1" thickBot="1" x14ac:dyDescent="0.35">
      <c r="A56" s="404" t="s">
        <v>312</v>
      </c>
      <c r="B56" s="388">
        <v>0.630457904322</v>
      </c>
      <c r="C56" s="388">
        <v>0</v>
      </c>
      <c r="D56" s="389">
        <v>-0.630457904322</v>
      </c>
      <c r="E56" s="395">
        <v>0</v>
      </c>
      <c r="F56" s="388">
        <v>0</v>
      </c>
      <c r="G56" s="389">
        <v>0</v>
      </c>
      <c r="H56" s="391">
        <v>0</v>
      </c>
      <c r="I56" s="388">
        <v>0</v>
      </c>
      <c r="J56" s="389">
        <v>0</v>
      </c>
      <c r="K56" s="396">
        <v>2</v>
      </c>
    </row>
    <row r="57" spans="1:11" ht="14.4" customHeight="1" thickBot="1" x14ac:dyDescent="0.35">
      <c r="A57" s="405" t="s">
        <v>313</v>
      </c>
      <c r="B57" s="383">
        <v>0.630457904322</v>
      </c>
      <c r="C57" s="383">
        <v>0</v>
      </c>
      <c r="D57" s="384">
        <v>-0.630457904322</v>
      </c>
      <c r="E57" s="385">
        <v>0</v>
      </c>
      <c r="F57" s="383">
        <v>0</v>
      </c>
      <c r="G57" s="384">
        <v>0</v>
      </c>
      <c r="H57" s="386">
        <v>0</v>
      </c>
      <c r="I57" s="383">
        <v>0</v>
      </c>
      <c r="J57" s="384">
        <v>0</v>
      </c>
      <c r="K57" s="387">
        <v>2</v>
      </c>
    </row>
    <row r="58" spans="1:11" ht="14.4" customHeight="1" thickBot="1" x14ac:dyDescent="0.35">
      <c r="A58" s="404" t="s">
        <v>314</v>
      </c>
      <c r="B58" s="388">
        <v>33.571121687847999</v>
      </c>
      <c r="C58" s="388">
        <v>85.344790000000003</v>
      </c>
      <c r="D58" s="389">
        <v>51.773668312151003</v>
      </c>
      <c r="E58" s="395">
        <v>2.5422084729110002</v>
      </c>
      <c r="F58" s="388">
        <v>84.224787969637006</v>
      </c>
      <c r="G58" s="389">
        <v>14.037464661606</v>
      </c>
      <c r="H58" s="391">
        <v>0.50722</v>
      </c>
      <c r="I58" s="388">
        <v>0.49529000000000001</v>
      </c>
      <c r="J58" s="389">
        <v>-13.542174661605999</v>
      </c>
      <c r="K58" s="396">
        <v>5.8805728330000003E-3</v>
      </c>
    </row>
    <row r="59" spans="1:11" ht="14.4" customHeight="1" thickBot="1" x14ac:dyDescent="0.35">
      <c r="A59" s="405" t="s">
        <v>315</v>
      </c>
      <c r="B59" s="383">
        <v>0</v>
      </c>
      <c r="C59" s="383">
        <v>2.4851999999999999</v>
      </c>
      <c r="D59" s="384">
        <v>2.4851999999999999</v>
      </c>
      <c r="E59" s="393" t="s">
        <v>279</v>
      </c>
      <c r="F59" s="383">
        <v>0.23569054459800001</v>
      </c>
      <c r="G59" s="384">
        <v>3.9281757432999997E-2</v>
      </c>
      <c r="H59" s="386">
        <v>0</v>
      </c>
      <c r="I59" s="383">
        <v>0</v>
      </c>
      <c r="J59" s="384">
        <v>-3.9281757432999997E-2</v>
      </c>
      <c r="K59" s="387">
        <v>0</v>
      </c>
    </row>
    <row r="60" spans="1:11" ht="14.4" customHeight="1" thickBot="1" x14ac:dyDescent="0.35">
      <c r="A60" s="405" t="s">
        <v>316</v>
      </c>
      <c r="B60" s="383">
        <v>29.397518870990002</v>
      </c>
      <c r="C60" s="383">
        <v>79.007999999999996</v>
      </c>
      <c r="D60" s="384">
        <v>49.610481129009003</v>
      </c>
      <c r="E60" s="385">
        <v>2.6875737488840001</v>
      </c>
      <c r="F60" s="383">
        <v>79.599406528188993</v>
      </c>
      <c r="G60" s="384">
        <v>13.266567754698</v>
      </c>
      <c r="H60" s="386">
        <v>0</v>
      </c>
      <c r="I60" s="383">
        <v>0</v>
      </c>
      <c r="J60" s="384">
        <v>-13.266567754698</v>
      </c>
      <c r="K60" s="387">
        <v>0</v>
      </c>
    </row>
    <row r="61" spans="1:11" ht="14.4" customHeight="1" thickBot="1" x14ac:dyDescent="0.35">
      <c r="A61" s="405" t="s">
        <v>317</v>
      </c>
      <c r="B61" s="383">
        <v>4.1736028168569996</v>
      </c>
      <c r="C61" s="383">
        <v>3.8515899999999998</v>
      </c>
      <c r="D61" s="384">
        <v>-0.32201281685700001</v>
      </c>
      <c r="E61" s="385">
        <v>0.92284536143200002</v>
      </c>
      <c r="F61" s="383">
        <v>4.3896908968480002</v>
      </c>
      <c r="G61" s="384">
        <v>0.73161514947399997</v>
      </c>
      <c r="H61" s="386">
        <v>0.50722</v>
      </c>
      <c r="I61" s="383">
        <v>0.49529000000000001</v>
      </c>
      <c r="J61" s="384">
        <v>-0.23632514947399999</v>
      </c>
      <c r="K61" s="387">
        <v>0.11283026792500001</v>
      </c>
    </row>
    <row r="62" spans="1:11" ht="14.4" customHeight="1" thickBot="1" x14ac:dyDescent="0.35">
      <c r="A62" s="404" t="s">
        <v>318</v>
      </c>
      <c r="B62" s="388">
        <v>21.718331485444999</v>
      </c>
      <c r="C62" s="388">
        <v>43.899549999999998</v>
      </c>
      <c r="D62" s="389">
        <v>22.181218514554001</v>
      </c>
      <c r="E62" s="395">
        <v>2.0213131947730001</v>
      </c>
      <c r="F62" s="388">
        <v>52</v>
      </c>
      <c r="G62" s="389">
        <v>8.6666666666659999</v>
      </c>
      <c r="H62" s="391">
        <v>0.58950999999999998</v>
      </c>
      <c r="I62" s="388">
        <v>31.578060000000001</v>
      </c>
      <c r="J62" s="389">
        <v>22.911393333332999</v>
      </c>
      <c r="K62" s="396">
        <v>0.60727038461500005</v>
      </c>
    </row>
    <row r="63" spans="1:11" ht="14.4" customHeight="1" thickBot="1" x14ac:dyDescent="0.35">
      <c r="A63" s="405" t="s">
        <v>319</v>
      </c>
      <c r="B63" s="383">
        <v>1.999996816928</v>
      </c>
      <c r="C63" s="383">
        <v>1.62</v>
      </c>
      <c r="D63" s="384">
        <v>-0.37999681692800003</v>
      </c>
      <c r="E63" s="385">
        <v>0.81000128914500003</v>
      </c>
      <c r="F63" s="383">
        <v>2</v>
      </c>
      <c r="G63" s="384">
        <v>0.33333333333300003</v>
      </c>
      <c r="H63" s="386">
        <v>0</v>
      </c>
      <c r="I63" s="383">
        <v>0.40500000000000003</v>
      </c>
      <c r="J63" s="384">
        <v>7.1666666665999995E-2</v>
      </c>
      <c r="K63" s="387">
        <v>0.20250000000000001</v>
      </c>
    </row>
    <row r="64" spans="1:11" ht="14.4" customHeight="1" thickBot="1" x14ac:dyDescent="0.35">
      <c r="A64" s="405" t="s">
        <v>320</v>
      </c>
      <c r="B64" s="383">
        <v>19.718334668516</v>
      </c>
      <c r="C64" s="383">
        <v>42.27955</v>
      </c>
      <c r="D64" s="384">
        <v>22.561215331483002</v>
      </c>
      <c r="E64" s="385">
        <v>2.1441744807940002</v>
      </c>
      <c r="F64" s="383">
        <v>50</v>
      </c>
      <c r="G64" s="384">
        <v>8.333333333333</v>
      </c>
      <c r="H64" s="386">
        <v>0.58950999999999998</v>
      </c>
      <c r="I64" s="383">
        <v>31.17306</v>
      </c>
      <c r="J64" s="384">
        <v>22.839726666665999</v>
      </c>
      <c r="K64" s="387">
        <v>0.62346119999899996</v>
      </c>
    </row>
    <row r="65" spans="1:11" ht="14.4" customHeight="1" thickBot="1" x14ac:dyDescent="0.35">
      <c r="A65" s="404" t="s">
        <v>321</v>
      </c>
      <c r="B65" s="388">
        <v>47.907786841951001</v>
      </c>
      <c r="C65" s="388">
        <v>47.377270000000003</v>
      </c>
      <c r="D65" s="389">
        <v>-0.53051684195100002</v>
      </c>
      <c r="E65" s="395">
        <v>0.98892629200899995</v>
      </c>
      <c r="F65" s="388">
        <v>59.092288392816002</v>
      </c>
      <c r="G65" s="389">
        <v>9.8487147321359991</v>
      </c>
      <c r="H65" s="391">
        <v>3.7544599999999999</v>
      </c>
      <c r="I65" s="388">
        <v>7.79948</v>
      </c>
      <c r="J65" s="389">
        <v>-2.049234732136</v>
      </c>
      <c r="K65" s="396">
        <v>0.13198811912899999</v>
      </c>
    </row>
    <row r="66" spans="1:11" ht="14.4" customHeight="1" thickBot="1" x14ac:dyDescent="0.35">
      <c r="A66" s="405" t="s">
        <v>322</v>
      </c>
      <c r="B66" s="383">
        <v>0.41070779633799998</v>
      </c>
      <c r="C66" s="383">
        <v>0</v>
      </c>
      <c r="D66" s="384">
        <v>-0.41070779633799998</v>
      </c>
      <c r="E66" s="385">
        <v>0</v>
      </c>
      <c r="F66" s="383">
        <v>0</v>
      </c>
      <c r="G66" s="384">
        <v>0</v>
      </c>
      <c r="H66" s="386">
        <v>0</v>
      </c>
      <c r="I66" s="383">
        <v>0</v>
      </c>
      <c r="J66" s="384">
        <v>0</v>
      </c>
      <c r="K66" s="387">
        <v>2</v>
      </c>
    </row>
    <row r="67" spans="1:11" ht="14.4" customHeight="1" thickBot="1" x14ac:dyDescent="0.35">
      <c r="A67" s="405" t="s">
        <v>323</v>
      </c>
      <c r="B67" s="383">
        <v>47.497079045612999</v>
      </c>
      <c r="C67" s="383">
        <v>47.377270000000003</v>
      </c>
      <c r="D67" s="384">
        <v>-0.119809045613</v>
      </c>
      <c r="E67" s="385">
        <v>0.99747754918700005</v>
      </c>
      <c r="F67" s="383">
        <v>59.092288392816002</v>
      </c>
      <c r="G67" s="384">
        <v>9.8487147321359991</v>
      </c>
      <c r="H67" s="386">
        <v>3.7544599999999999</v>
      </c>
      <c r="I67" s="383">
        <v>7.79948</v>
      </c>
      <c r="J67" s="384">
        <v>-2.049234732136</v>
      </c>
      <c r="K67" s="387">
        <v>0.13198811912899999</v>
      </c>
    </row>
    <row r="68" spans="1:11" ht="14.4" customHeight="1" thickBot="1" x14ac:dyDescent="0.35">
      <c r="A68" s="404" t="s">
        <v>324</v>
      </c>
      <c r="B68" s="388">
        <v>313.61543848599001</v>
      </c>
      <c r="C68" s="388">
        <v>427.13511000000102</v>
      </c>
      <c r="D68" s="389">
        <v>113.51967151401099</v>
      </c>
      <c r="E68" s="395">
        <v>1.361970928669</v>
      </c>
      <c r="F68" s="388">
        <v>329.22162144200797</v>
      </c>
      <c r="G68" s="389">
        <v>54.870270240334001</v>
      </c>
      <c r="H68" s="391">
        <v>13.721399999999999</v>
      </c>
      <c r="I68" s="388">
        <v>29.981940000000002</v>
      </c>
      <c r="J68" s="389">
        <v>-24.888330240334</v>
      </c>
      <c r="K68" s="396">
        <v>9.1069170574000005E-2</v>
      </c>
    </row>
    <row r="69" spans="1:11" ht="14.4" customHeight="1" thickBot="1" x14ac:dyDescent="0.35">
      <c r="A69" s="405" t="s">
        <v>325</v>
      </c>
      <c r="B69" s="383">
        <v>243.292535137735</v>
      </c>
      <c r="C69" s="383">
        <v>352.509150000001</v>
      </c>
      <c r="D69" s="384">
        <v>109.216614862265</v>
      </c>
      <c r="E69" s="385">
        <v>1.44891066962</v>
      </c>
      <c r="F69" s="383">
        <v>242.75385941127499</v>
      </c>
      <c r="G69" s="384">
        <v>40.458976568544998</v>
      </c>
      <c r="H69" s="386">
        <v>13.721399999999999</v>
      </c>
      <c r="I69" s="383">
        <v>24.415949999999999</v>
      </c>
      <c r="J69" s="384">
        <v>-16.043026568544999</v>
      </c>
      <c r="K69" s="387">
        <v>0.10057903944</v>
      </c>
    </row>
    <row r="70" spans="1:11" ht="14.4" customHeight="1" thickBot="1" x14ac:dyDescent="0.35">
      <c r="A70" s="405" t="s">
        <v>326</v>
      </c>
      <c r="B70" s="383">
        <v>67.344750077707005</v>
      </c>
      <c r="C70" s="383">
        <v>74.625960000000006</v>
      </c>
      <c r="D70" s="384">
        <v>7.2812099222919997</v>
      </c>
      <c r="E70" s="385">
        <v>1.1081184489339999</v>
      </c>
      <c r="F70" s="383">
        <v>86.467762030732004</v>
      </c>
      <c r="G70" s="384">
        <v>14.411293671788</v>
      </c>
      <c r="H70" s="386">
        <v>0</v>
      </c>
      <c r="I70" s="383">
        <v>5.5659900000000002</v>
      </c>
      <c r="J70" s="384">
        <v>-8.8453036717880007</v>
      </c>
      <c r="K70" s="387">
        <v>6.4370695727999999E-2</v>
      </c>
    </row>
    <row r="71" spans="1:11" ht="14.4" customHeight="1" thickBot="1" x14ac:dyDescent="0.35">
      <c r="A71" s="405" t="s">
        <v>327</v>
      </c>
      <c r="B71" s="383">
        <v>2.9781532705470002</v>
      </c>
      <c r="C71" s="383">
        <v>0</v>
      </c>
      <c r="D71" s="384">
        <v>-2.9781532705470002</v>
      </c>
      <c r="E71" s="385">
        <v>0</v>
      </c>
      <c r="F71" s="383">
        <v>0</v>
      </c>
      <c r="G71" s="384">
        <v>0</v>
      </c>
      <c r="H71" s="386">
        <v>0</v>
      </c>
      <c r="I71" s="383">
        <v>0</v>
      </c>
      <c r="J71" s="384">
        <v>0</v>
      </c>
      <c r="K71" s="387">
        <v>2</v>
      </c>
    </row>
    <row r="72" spans="1:11" ht="14.4" customHeight="1" thickBot="1" x14ac:dyDescent="0.35">
      <c r="A72" s="404" t="s">
        <v>328</v>
      </c>
      <c r="B72" s="388">
        <v>44.339418953717001</v>
      </c>
      <c r="C72" s="388">
        <v>94.781419999999997</v>
      </c>
      <c r="D72" s="389">
        <v>50.442001046283004</v>
      </c>
      <c r="E72" s="395">
        <v>2.1376333347740002</v>
      </c>
      <c r="F72" s="388">
        <v>88.584759269969993</v>
      </c>
      <c r="G72" s="389">
        <v>14.764126544994999</v>
      </c>
      <c r="H72" s="391">
        <v>20.8781</v>
      </c>
      <c r="I72" s="388">
        <v>30.920100000000001</v>
      </c>
      <c r="J72" s="389">
        <v>16.155973455005</v>
      </c>
      <c r="K72" s="396">
        <v>0.34904536914399997</v>
      </c>
    </row>
    <row r="73" spans="1:11" ht="14.4" customHeight="1" thickBot="1" x14ac:dyDescent="0.35">
      <c r="A73" s="405" t="s">
        <v>329</v>
      </c>
      <c r="B73" s="383">
        <v>0</v>
      </c>
      <c r="C73" s="383">
        <v>61.698999999999998</v>
      </c>
      <c r="D73" s="384">
        <v>61.698999999999998</v>
      </c>
      <c r="E73" s="393" t="s">
        <v>279</v>
      </c>
      <c r="F73" s="383">
        <v>0</v>
      </c>
      <c r="G73" s="384">
        <v>0</v>
      </c>
      <c r="H73" s="386">
        <v>0</v>
      </c>
      <c r="I73" s="383">
        <v>9.67</v>
      </c>
      <c r="J73" s="384">
        <v>9.67</v>
      </c>
      <c r="K73" s="394" t="s">
        <v>262</v>
      </c>
    </row>
    <row r="74" spans="1:11" ht="14.4" customHeight="1" thickBot="1" x14ac:dyDescent="0.35">
      <c r="A74" s="405" t="s">
        <v>330</v>
      </c>
      <c r="B74" s="383">
        <v>0</v>
      </c>
      <c r="C74" s="383">
        <v>5.60297</v>
      </c>
      <c r="D74" s="384">
        <v>5.60297</v>
      </c>
      <c r="E74" s="393" t="s">
        <v>279</v>
      </c>
      <c r="F74" s="383">
        <v>8.5847592699700002</v>
      </c>
      <c r="G74" s="384">
        <v>1.430793211661</v>
      </c>
      <c r="H74" s="386">
        <v>1.38</v>
      </c>
      <c r="I74" s="383">
        <v>1.38</v>
      </c>
      <c r="J74" s="384">
        <v>-5.0793211661000003E-2</v>
      </c>
      <c r="K74" s="387">
        <v>0.16074999386700001</v>
      </c>
    </row>
    <row r="75" spans="1:11" ht="14.4" customHeight="1" thickBot="1" x14ac:dyDescent="0.35">
      <c r="A75" s="405" t="s">
        <v>331</v>
      </c>
      <c r="B75" s="383">
        <v>39.339426911394</v>
      </c>
      <c r="C75" s="383">
        <v>23.244450000000001</v>
      </c>
      <c r="D75" s="384">
        <v>-16.094976911393999</v>
      </c>
      <c r="E75" s="385">
        <v>0.59086905491399999</v>
      </c>
      <c r="F75" s="383">
        <v>40</v>
      </c>
      <c r="G75" s="384">
        <v>6.6666666666659999</v>
      </c>
      <c r="H75" s="386">
        <v>19.498100000000001</v>
      </c>
      <c r="I75" s="383">
        <v>19.870100000000001</v>
      </c>
      <c r="J75" s="384">
        <v>13.203433333333001</v>
      </c>
      <c r="K75" s="387">
        <v>0.49675249999999999</v>
      </c>
    </row>
    <row r="76" spans="1:11" ht="14.4" customHeight="1" thickBot="1" x14ac:dyDescent="0.35">
      <c r="A76" s="405" t="s">
        <v>332</v>
      </c>
      <c r="B76" s="383">
        <v>4.9999920423219999</v>
      </c>
      <c r="C76" s="383">
        <v>4.2350000000000003</v>
      </c>
      <c r="D76" s="384">
        <v>-0.76499204232200002</v>
      </c>
      <c r="E76" s="385">
        <v>0.847001348032</v>
      </c>
      <c r="F76" s="383">
        <v>40</v>
      </c>
      <c r="G76" s="384">
        <v>6.6666666666659999</v>
      </c>
      <c r="H76" s="386">
        <v>0</v>
      </c>
      <c r="I76" s="383">
        <v>0</v>
      </c>
      <c r="J76" s="384">
        <v>-6.6666666666659999</v>
      </c>
      <c r="K76" s="387">
        <v>0</v>
      </c>
    </row>
    <row r="77" spans="1:11" ht="14.4" customHeight="1" thickBot="1" x14ac:dyDescent="0.35">
      <c r="A77" s="402" t="s">
        <v>34</v>
      </c>
      <c r="B77" s="383">
        <v>17169.001550008601</v>
      </c>
      <c r="C77" s="383">
        <v>19258.51298</v>
      </c>
      <c r="D77" s="384">
        <v>2089.5114299913898</v>
      </c>
      <c r="E77" s="385">
        <v>1.121702559342</v>
      </c>
      <c r="F77" s="383">
        <v>18811</v>
      </c>
      <c r="G77" s="384">
        <v>3135.1666666666702</v>
      </c>
      <c r="H77" s="386">
        <v>1520.0193300000001</v>
      </c>
      <c r="I77" s="383">
        <v>3035.62077</v>
      </c>
      <c r="J77" s="384">
        <v>-99.545896666665996</v>
      </c>
      <c r="K77" s="387">
        <v>0.16137476848599999</v>
      </c>
    </row>
    <row r="78" spans="1:11" ht="14.4" customHeight="1" thickBot="1" x14ac:dyDescent="0.35">
      <c r="A78" s="408" t="s">
        <v>333</v>
      </c>
      <c r="B78" s="388">
        <v>13033.001176612601</v>
      </c>
      <c r="C78" s="388">
        <v>14253.125</v>
      </c>
      <c r="D78" s="389">
        <v>1220.1238233873701</v>
      </c>
      <c r="E78" s="395">
        <v>1.0936180244939999</v>
      </c>
      <c r="F78" s="388">
        <v>14151</v>
      </c>
      <c r="G78" s="389">
        <v>2358.5</v>
      </c>
      <c r="H78" s="391">
        <v>1119.3869999999999</v>
      </c>
      <c r="I78" s="388">
        <v>2238.9989999999998</v>
      </c>
      <c r="J78" s="389">
        <v>-119.50100000000199</v>
      </c>
      <c r="K78" s="396">
        <v>0.15822196311200001</v>
      </c>
    </row>
    <row r="79" spans="1:11" ht="14.4" customHeight="1" thickBot="1" x14ac:dyDescent="0.35">
      <c r="A79" s="404" t="s">
        <v>334</v>
      </c>
      <c r="B79" s="388">
        <v>11650.0010517561</v>
      </c>
      <c r="C79" s="388">
        <v>13041.726000000001</v>
      </c>
      <c r="D79" s="389">
        <v>1391.7249482439099</v>
      </c>
      <c r="E79" s="395">
        <v>1.119461358163</v>
      </c>
      <c r="F79" s="388">
        <v>12945</v>
      </c>
      <c r="G79" s="389">
        <v>2157.5</v>
      </c>
      <c r="H79" s="391">
        <v>1025.867</v>
      </c>
      <c r="I79" s="388">
        <v>2036.367</v>
      </c>
      <c r="J79" s="389">
        <v>-121.133000000001</v>
      </c>
      <c r="K79" s="396">
        <v>0.157309154113</v>
      </c>
    </row>
    <row r="80" spans="1:11" ht="14.4" customHeight="1" thickBot="1" x14ac:dyDescent="0.35">
      <c r="A80" s="405" t="s">
        <v>335</v>
      </c>
      <c r="B80" s="383">
        <v>11650.0010517561</v>
      </c>
      <c r="C80" s="383">
        <v>13041.726000000001</v>
      </c>
      <c r="D80" s="384">
        <v>1391.7249482439099</v>
      </c>
      <c r="E80" s="385">
        <v>1.119461358163</v>
      </c>
      <c r="F80" s="383">
        <v>12945</v>
      </c>
      <c r="G80" s="384">
        <v>2157.5</v>
      </c>
      <c r="H80" s="386">
        <v>1025.867</v>
      </c>
      <c r="I80" s="383">
        <v>2036.367</v>
      </c>
      <c r="J80" s="384">
        <v>-121.133000000001</v>
      </c>
      <c r="K80" s="387">
        <v>0.157309154113</v>
      </c>
    </row>
    <row r="81" spans="1:11" ht="14.4" customHeight="1" thickBot="1" x14ac:dyDescent="0.35">
      <c r="A81" s="404" t="s">
        <v>336</v>
      </c>
      <c r="B81" s="388">
        <v>1350.00012187732</v>
      </c>
      <c r="C81" s="388">
        <v>1167.3699999999999</v>
      </c>
      <c r="D81" s="389">
        <v>-182.63012187731599</v>
      </c>
      <c r="E81" s="395">
        <v>0.86471844045199997</v>
      </c>
      <c r="F81" s="388">
        <v>1170</v>
      </c>
      <c r="G81" s="389">
        <v>195</v>
      </c>
      <c r="H81" s="391">
        <v>93.52</v>
      </c>
      <c r="I81" s="388">
        <v>191.09</v>
      </c>
      <c r="J81" s="389">
        <v>-3.9099999999990001</v>
      </c>
      <c r="K81" s="396">
        <v>0.16332478632399999</v>
      </c>
    </row>
    <row r="82" spans="1:11" ht="14.4" customHeight="1" thickBot="1" x14ac:dyDescent="0.35">
      <c r="A82" s="405" t="s">
        <v>337</v>
      </c>
      <c r="B82" s="383">
        <v>1350.00012187732</v>
      </c>
      <c r="C82" s="383">
        <v>1167.3699999999999</v>
      </c>
      <c r="D82" s="384">
        <v>-182.63012187731599</v>
      </c>
      <c r="E82" s="385">
        <v>0.86471844045199997</v>
      </c>
      <c r="F82" s="383">
        <v>1170</v>
      </c>
      <c r="G82" s="384">
        <v>195</v>
      </c>
      <c r="H82" s="386">
        <v>93.52</v>
      </c>
      <c r="I82" s="383">
        <v>191.09</v>
      </c>
      <c r="J82" s="384">
        <v>-3.9099999999990001</v>
      </c>
      <c r="K82" s="387">
        <v>0.16332478632399999</v>
      </c>
    </row>
    <row r="83" spans="1:11" ht="14.4" customHeight="1" thickBot="1" x14ac:dyDescent="0.35">
      <c r="A83" s="404" t="s">
        <v>338</v>
      </c>
      <c r="B83" s="388">
        <v>33.000002979222998</v>
      </c>
      <c r="C83" s="388">
        <v>44.029000000000003</v>
      </c>
      <c r="D83" s="389">
        <v>11.028997020776</v>
      </c>
      <c r="E83" s="395">
        <v>1.33421200076</v>
      </c>
      <c r="F83" s="388">
        <v>36</v>
      </c>
      <c r="G83" s="389">
        <v>6</v>
      </c>
      <c r="H83" s="391">
        <v>0</v>
      </c>
      <c r="I83" s="388">
        <v>11.542</v>
      </c>
      <c r="J83" s="389">
        <v>5.5419999999989997</v>
      </c>
      <c r="K83" s="396">
        <v>0.32061111111099999</v>
      </c>
    </row>
    <row r="84" spans="1:11" ht="14.4" customHeight="1" thickBot="1" x14ac:dyDescent="0.35">
      <c r="A84" s="405" t="s">
        <v>339</v>
      </c>
      <c r="B84" s="383">
        <v>33.000002979222998</v>
      </c>
      <c r="C84" s="383">
        <v>44.029000000000003</v>
      </c>
      <c r="D84" s="384">
        <v>11.028997020776</v>
      </c>
      <c r="E84" s="385">
        <v>1.33421200076</v>
      </c>
      <c r="F84" s="383">
        <v>36</v>
      </c>
      <c r="G84" s="384">
        <v>6</v>
      </c>
      <c r="H84" s="386">
        <v>0</v>
      </c>
      <c r="I84" s="383">
        <v>11.542</v>
      </c>
      <c r="J84" s="384">
        <v>5.5419999999989997</v>
      </c>
      <c r="K84" s="387">
        <v>0.32061111111099999</v>
      </c>
    </row>
    <row r="85" spans="1:11" ht="14.4" customHeight="1" thickBot="1" x14ac:dyDescent="0.35">
      <c r="A85" s="403" t="s">
        <v>340</v>
      </c>
      <c r="B85" s="383">
        <v>3961.00035759707</v>
      </c>
      <c r="C85" s="383">
        <v>4809.1043399999999</v>
      </c>
      <c r="D85" s="384">
        <v>848.10398240292898</v>
      </c>
      <c r="E85" s="385">
        <v>1.2141135839020001</v>
      </c>
      <c r="F85" s="383">
        <v>4400.99999999999</v>
      </c>
      <c r="G85" s="384">
        <v>733.49999999999898</v>
      </c>
      <c r="H85" s="386">
        <v>380.11543999999998</v>
      </c>
      <c r="I85" s="383">
        <v>755.66381999999999</v>
      </c>
      <c r="J85" s="384">
        <v>22.163820000000001</v>
      </c>
      <c r="K85" s="387">
        <v>0.171702753919</v>
      </c>
    </row>
    <row r="86" spans="1:11" ht="14.4" customHeight="1" thickBot="1" x14ac:dyDescent="0.35">
      <c r="A86" s="404" t="s">
        <v>341</v>
      </c>
      <c r="B86" s="388">
        <v>1049.0000947031899</v>
      </c>
      <c r="C86" s="388">
        <v>1274.0373500000001</v>
      </c>
      <c r="D86" s="389">
        <v>225.03725529681199</v>
      </c>
      <c r="E86" s="395">
        <v>1.2145254861579999</v>
      </c>
      <c r="F86" s="388">
        <v>1165</v>
      </c>
      <c r="G86" s="389">
        <v>194.166666666666</v>
      </c>
      <c r="H86" s="391">
        <v>100.61869</v>
      </c>
      <c r="I86" s="388">
        <v>200.02457000000001</v>
      </c>
      <c r="J86" s="389">
        <v>5.8579033333339998</v>
      </c>
      <c r="K86" s="396">
        <v>0.171694909871</v>
      </c>
    </row>
    <row r="87" spans="1:11" ht="14.4" customHeight="1" thickBot="1" x14ac:dyDescent="0.35">
      <c r="A87" s="405" t="s">
        <v>342</v>
      </c>
      <c r="B87" s="383">
        <v>1049.0000947031899</v>
      </c>
      <c r="C87" s="383">
        <v>1274.0373500000001</v>
      </c>
      <c r="D87" s="384">
        <v>225.03725529681199</v>
      </c>
      <c r="E87" s="385">
        <v>1.2145254861579999</v>
      </c>
      <c r="F87" s="383">
        <v>1165</v>
      </c>
      <c r="G87" s="384">
        <v>194.166666666666</v>
      </c>
      <c r="H87" s="386">
        <v>100.61869</v>
      </c>
      <c r="I87" s="383">
        <v>200.02457000000001</v>
      </c>
      <c r="J87" s="384">
        <v>5.8579033333339998</v>
      </c>
      <c r="K87" s="387">
        <v>0.171694909871</v>
      </c>
    </row>
    <row r="88" spans="1:11" ht="14.4" customHeight="1" thickBot="1" x14ac:dyDescent="0.35">
      <c r="A88" s="404" t="s">
        <v>343</v>
      </c>
      <c r="B88" s="388">
        <v>2912.0002628938801</v>
      </c>
      <c r="C88" s="388">
        <v>3535.0669899999998</v>
      </c>
      <c r="D88" s="389">
        <v>623.06672710611701</v>
      </c>
      <c r="E88" s="395">
        <v>1.2139652029029999</v>
      </c>
      <c r="F88" s="388">
        <v>3236</v>
      </c>
      <c r="G88" s="389">
        <v>539.33333333333303</v>
      </c>
      <c r="H88" s="391">
        <v>279.49675000000002</v>
      </c>
      <c r="I88" s="388">
        <v>555.63924999999995</v>
      </c>
      <c r="J88" s="389">
        <v>16.305916666666</v>
      </c>
      <c r="K88" s="396">
        <v>0.171705577873</v>
      </c>
    </row>
    <row r="89" spans="1:11" ht="14.4" customHeight="1" thickBot="1" x14ac:dyDescent="0.35">
      <c r="A89" s="405" t="s">
        <v>344</v>
      </c>
      <c r="B89" s="383">
        <v>2912.0002628938801</v>
      </c>
      <c r="C89" s="383">
        <v>3535.0669899999998</v>
      </c>
      <c r="D89" s="384">
        <v>623.06672710611701</v>
      </c>
      <c r="E89" s="385">
        <v>1.2139652029029999</v>
      </c>
      <c r="F89" s="383">
        <v>3236</v>
      </c>
      <c r="G89" s="384">
        <v>539.33333333333303</v>
      </c>
      <c r="H89" s="386">
        <v>279.49675000000002</v>
      </c>
      <c r="I89" s="383">
        <v>555.63924999999995</v>
      </c>
      <c r="J89" s="384">
        <v>16.305916666666</v>
      </c>
      <c r="K89" s="387">
        <v>0.171705577873</v>
      </c>
    </row>
    <row r="90" spans="1:11" ht="14.4" customHeight="1" thickBot="1" x14ac:dyDescent="0.35">
      <c r="A90" s="403" t="s">
        <v>345</v>
      </c>
      <c r="B90" s="383">
        <v>175.00001579891099</v>
      </c>
      <c r="C90" s="383">
        <v>196.28363999999999</v>
      </c>
      <c r="D90" s="384">
        <v>21.283624201087999</v>
      </c>
      <c r="E90" s="385">
        <v>1.1216206987399999</v>
      </c>
      <c r="F90" s="383">
        <v>259</v>
      </c>
      <c r="G90" s="384">
        <v>43.166666666666003</v>
      </c>
      <c r="H90" s="386">
        <v>20.51689</v>
      </c>
      <c r="I90" s="383">
        <v>40.957949999999997</v>
      </c>
      <c r="J90" s="384">
        <v>-2.2087166666660001</v>
      </c>
      <c r="K90" s="387">
        <v>0.15813880308799999</v>
      </c>
    </row>
    <row r="91" spans="1:11" ht="14.4" customHeight="1" thickBot="1" x14ac:dyDescent="0.35">
      <c r="A91" s="404" t="s">
        <v>346</v>
      </c>
      <c r="B91" s="388">
        <v>175.00001579891099</v>
      </c>
      <c r="C91" s="388">
        <v>196.28363999999999</v>
      </c>
      <c r="D91" s="389">
        <v>21.283624201087999</v>
      </c>
      <c r="E91" s="395">
        <v>1.1216206987399999</v>
      </c>
      <c r="F91" s="388">
        <v>259</v>
      </c>
      <c r="G91" s="389">
        <v>43.166666666666003</v>
      </c>
      <c r="H91" s="391">
        <v>20.51689</v>
      </c>
      <c r="I91" s="388">
        <v>40.957949999999997</v>
      </c>
      <c r="J91" s="389">
        <v>-2.2087166666660001</v>
      </c>
      <c r="K91" s="396">
        <v>0.15813880308799999</v>
      </c>
    </row>
    <row r="92" spans="1:11" ht="14.4" customHeight="1" thickBot="1" x14ac:dyDescent="0.35">
      <c r="A92" s="405" t="s">
        <v>347</v>
      </c>
      <c r="B92" s="383">
        <v>175.00001579891099</v>
      </c>
      <c r="C92" s="383">
        <v>196.28363999999999</v>
      </c>
      <c r="D92" s="384">
        <v>21.283624201087999</v>
      </c>
      <c r="E92" s="385">
        <v>1.1216206987399999</v>
      </c>
      <c r="F92" s="383">
        <v>259</v>
      </c>
      <c r="G92" s="384">
        <v>43.166666666666003</v>
      </c>
      <c r="H92" s="386">
        <v>20.51689</v>
      </c>
      <c r="I92" s="383">
        <v>40.957949999999997</v>
      </c>
      <c r="J92" s="384">
        <v>-2.2087166666660001</v>
      </c>
      <c r="K92" s="387">
        <v>0.15813880308799999</v>
      </c>
    </row>
    <row r="93" spans="1:11" ht="14.4" customHeight="1" thickBot="1" x14ac:dyDescent="0.35">
      <c r="A93" s="402" t="s">
        <v>348</v>
      </c>
      <c r="B93" s="383">
        <v>0</v>
      </c>
      <c r="C93" s="383">
        <v>0.25</v>
      </c>
      <c r="D93" s="384">
        <v>0.25</v>
      </c>
      <c r="E93" s="393" t="s">
        <v>279</v>
      </c>
      <c r="F93" s="383">
        <v>0</v>
      </c>
      <c r="G93" s="384">
        <v>0</v>
      </c>
      <c r="H93" s="386">
        <v>0</v>
      </c>
      <c r="I93" s="383">
        <v>0</v>
      </c>
      <c r="J93" s="384">
        <v>0</v>
      </c>
      <c r="K93" s="387">
        <v>2</v>
      </c>
    </row>
    <row r="94" spans="1:11" ht="14.4" customHeight="1" thickBot="1" x14ac:dyDescent="0.35">
      <c r="A94" s="403" t="s">
        <v>349</v>
      </c>
      <c r="B94" s="383">
        <v>0</v>
      </c>
      <c r="C94" s="383">
        <v>0.25</v>
      </c>
      <c r="D94" s="384">
        <v>0.25</v>
      </c>
      <c r="E94" s="393" t="s">
        <v>279</v>
      </c>
      <c r="F94" s="383">
        <v>0</v>
      </c>
      <c r="G94" s="384">
        <v>0</v>
      </c>
      <c r="H94" s="386">
        <v>0</v>
      </c>
      <c r="I94" s="383">
        <v>0</v>
      </c>
      <c r="J94" s="384">
        <v>0</v>
      </c>
      <c r="K94" s="387">
        <v>2</v>
      </c>
    </row>
    <row r="95" spans="1:11" ht="14.4" customHeight="1" thickBot="1" x14ac:dyDescent="0.35">
      <c r="A95" s="404" t="s">
        <v>350</v>
      </c>
      <c r="B95" s="388">
        <v>0</v>
      </c>
      <c r="C95" s="388">
        <v>0.25</v>
      </c>
      <c r="D95" s="389">
        <v>0.25</v>
      </c>
      <c r="E95" s="390" t="s">
        <v>279</v>
      </c>
      <c r="F95" s="388">
        <v>0</v>
      </c>
      <c r="G95" s="389">
        <v>0</v>
      </c>
      <c r="H95" s="391">
        <v>0</v>
      </c>
      <c r="I95" s="388">
        <v>0</v>
      </c>
      <c r="J95" s="389">
        <v>0</v>
      </c>
      <c r="K95" s="396">
        <v>2</v>
      </c>
    </row>
    <row r="96" spans="1:11" ht="14.4" customHeight="1" thickBot="1" x14ac:dyDescent="0.35">
      <c r="A96" s="405" t="s">
        <v>351</v>
      </c>
      <c r="B96" s="383">
        <v>0</v>
      </c>
      <c r="C96" s="383">
        <v>0.25</v>
      </c>
      <c r="D96" s="384">
        <v>0.25</v>
      </c>
      <c r="E96" s="393" t="s">
        <v>279</v>
      </c>
      <c r="F96" s="383">
        <v>0</v>
      </c>
      <c r="G96" s="384">
        <v>0</v>
      </c>
      <c r="H96" s="386">
        <v>0</v>
      </c>
      <c r="I96" s="383">
        <v>0</v>
      </c>
      <c r="J96" s="384">
        <v>0</v>
      </c>
      <c r="K96" s="387">
        <v>2</v>
      </c>
    </row>
    <row r="97" spans="1:11" ht="14.4" customHeight="1" thickBot="1" x14ac:dyDescent="0.35">
      <c r="A97" s="402" t="s">
        <v>352</v>
      </c>
      <c r="B97" s="383">
        <v>0</v>
      </c>
      <c r="C97" s="383">
        <v>134.1867</v>
      </c>
      <c r="D97" s="384">
        <v>134.1867</v>
      </c>
      <c r="E97" s="393" t="s">
        <v>262</v>
      </c>
      <c r="F97" s="383">
        <v>0</v>
      </c>
      <c r="G97" s="384">
        <v>0</v>
      </c>
      <c r="H97" s="386">
        <v>7.25</v>
      </c>
      <c r="I97" s="383">
        <v>7.25</v>
      </c>
      <c r="J97" s="384">
        <v>7.25</v>
      </c>
      <c r="K97" s="394" t="s">
        <v>262</v>
      </c>
    </row>
    <row r="98" spans="1:11" ht="14.4" customHeight="1" thickBot="1" x14ac:dyDescent="0.35">
      <c r="A98" s="403" t="s">
        <v>353</v>
      </c>
      <c r="B98" s="383">
        <v>0</v>
      </c>
      <c r="C98" s="383">
        <v>134.1867</v>
      </c>
      <c r="D98" s="384">
        <v>134.1867</v>
      </c>
      <c r="E98" s="393" t="s">
        <v>262</v>
      </c>
      <c r="F98" s="383">
        <v>0</v>
      </c>
      <c r="G98" s="384">
        <v>0</v>
      </c>
      <c r="H98" s="386">
        <v>7.25</v>
      </c>
      <c r="I98" s="383">
        <v>7.25</v>
      </c>
      <c r="J98" s="384">
        <v>7.25</v>
      </c>
      <c r="K98" s="394" t="s">
        <v>262</v>
      </c>
    </row>
    <row r="99" spans="1:11" ht="14.4" customHeight="1" thickBot="1" x14ac:dyDescent="0.35">
      <c r="A99" s="404" t="s">
        <v>354</v>
      </c>
      <c r="B99" s="388">
        <v>0</v>
      </c>
      <c r="C99" s="388">
        <v>28.287700000000001</v>
      </c>
      <c r="D99" s="389">
        <v>28.287700000000001</v>
      </c>
      <c r="E99" s="390" t="s">
        <v>262</v>
      </c>
      <c r="F99" s="388">
        <v>0</v>
      </c>
      <c r="G99" s="389">
        <v>0</v>
      </c>
      <c r="H99" s="391">
        <v>7.25</v>
      </c>
      <c r="I99" s="388">
        <v>7.25</v>
      </c>
      <c r="J99" s="389">
        <v>7.25</v>
      </c>
      <c r="K99" s="392" t="s">
        <v>262</v>
      </c>
    </row>
    <row r="100" spans="1:11" ht="14.4" customHeight="1" thickBot="1" x14ac:dyDescent="0.35">
      <c r="A100" s="405" t="s">
        <v>355</v>
      </c>
      <c r="B100" s="383">
        <v>0</v>
      </c>
      <c r="C100" s="383">
        <v>-3.2673000000000001</v>
      </c>
      <c r="D100" s="384">
        <v>-3.2673000000000001</v>
      </c>
      <c r="E100" s="393" t="s">
        <v>262</v>
      </c>
      <c r="F100" s="383">
        <v>0</v>
      </c>
      <c r="G100" s="384">
        <v>0</v>
      </c>
      <c r="H100" s="386">
        <v>0</v>
      </c>
      <c r="I100" s="383">
        <v>0</v>
      </c>
      <c r="J100" s="384">
        <v>0</v>
      </c>
      <c r="K100" s="394" t="s">
        <v>262</v>
      </c>
    </row>
    <row r="101" spans="1:11" ht="14.4" customHeight="1" thickBot="1" x14ac:dyDescent="0.35">
      <c r="A101" s="405" t="s">
        <v>356</v>
      </c>
      <c r="B101" s="383">
        <v>0</v>
      </c>
      <c r="C101" s="383">
        <v>30.84</v>
      </c>
      <c r="D101" s="384">
        <v>30.84</v>
      </c>
      <c r="E101" s="393" t="s">
        <v>279</v>
      </c>
      <c r="F101" s="383">
        <v>0</v>
      </c>
      <c r="G101" s="384">
        <v>0</v>
      </c>
      <c r="H101" s="386">
        <v>7.25</v>
      </c>
      <c r="I101" s="383">
        <v>7.25</v>
      </c>
      <c r="J101" s="384">
        <v>7.25</v>
      </c>
      <c r="K101" s="394" t="s">
        <v>262</v>
      </c>
    </row>
    <row r="102" spans="1:11" ht="14.4" customHeight="1" thickBot="1" x14ac:dyDescent="0.35">
      <c r="A102" s="405" t="s">
        <v>357</v>
      </c>
      <c r="B102" s="383">
        <v>0</v>
      </c>
      <c r="C102" s="383">
        <v>0.71499999999999997</v>
      </c>
      <c r="D102" s="384">
        <v>0.71499999999999997</v>
      </c>
      <c r="E102" s="393" t="s">
        <v>262</v>
      </c>
      <c r="F102" s="383">
        <v>0</v>
      </c>
      <c r="G102" s="384">
        <v>0</v>
      </c>
      <c r="H102" s="386">
        <v>0</v>
      </c>
      <c r="I102" s="383">
        <v>0</v>
      </c>
      <c r="J102" s="384">
        <v>0</v>
      </c>
      <c r="K102" s="394" t="s">
        <v>262</v>
      </c>
    </row>
    <row r="103" spans="1:11" ht="14.4" customHeight="1" thickBot="1" x14ac:dyDescent="0.35">
      <c r="A103" s="404" t="s">
        <v>358</v>
      </c>
      <c r="B103" s="388">
        <v>0</v>
      </c>
      <c r="C103" s="388">
        <v>52.4</v>
      </c>
      <c r="D103" s="389">
        <v>52.4</v>
      </c>
      <c r="E103" s="390" t="s">
        <v>262</v>
      </c>
      <c r="F103" s="388">
        <v>0</v>
      </c>
      <c r="G103" s="389">
        <v>0</v>
      </c>
      <c r="H103" s="391">
        <v>0</v>
      </c>
      <c r="I103" s="388">
        <v>0</v>
      </c>
      <c r="J103" s="389">
        <v>0</v>
      </c>
      <c r="K103" s="392" t="s">
        <v>262</v>
      </c>
    </row>
    <row r="104" spans="1:11" ht="14.4" customHeight="1" thickBot="1" x14ac:dyDescent="0.35">
      <c r="A104" s="405" t="s">
        <v>359</v>
      </c>
      <c r="B104" s="383">
        <v>0</v>
      </c>
      <c r="C104" s="383">
        <v>52.4</v>
      </c>
      <c r="D104" s="384">
        <v>52.4</v>
      </c>
      <c r="E104" s="393" t="s">
        <v>262</v>
      </c>
      <c r="F104" s="383">
        <v>0</v>
      </c>
      <c r="G104" s="384">
        <v>0</v>
      </c>
      <c r="H104" s="386">
        <v>0</v>
      </c>
      <c r="I104" s="383">
        <v>0</v>
      </c>
      <c r="J104" s="384">
        <v>0</v>
      </c>
      <c r="K104" s="394" t="s">
        <v>262</v>
      </c>
    </row>
    <row r="105" spans="1:11" ht="14.4" customHeight="1" thickBot="1" x14ac:dyDescent="0.35">
      <c r="A105" s="407" t="s">
        <v>360</v>
      </c>
      <c r="B105" s="383">
        <v>0</v>
      </c>
      <c r="C105" s="383">
        <v>4.9000000000000004</v>
      </c>
      <c r="D105" s="384">
        <v>4.9000000000000004</v>
      </c>
      <c r="E105" s="393" t="s">
        <v>262</v>
      </c>
      <c r="F105" s="383">
        <v>0</v>
      </c>
      <c r="G105" s="384">
        <v>0</v>
      </c>
      <c r="H105" s="386">
        <v>0</v>
      </c>
      <c r="I105" s="383">
        <v>0</v>
      </c>
      <c r="J105" s="384">
        <v>0</v>
      </c>
      <c r="K105" s="394" t="s">
        <v>262</v>
      </c>
    </row>
    <row r="106" spans="1:11" ht="14.4" customHeight="1" thickBot="1" x14ac:dyDescent="0.35">
      <c r="A106" s="405" t="s">
        <v>361</v>
      </c>
      <c r="B106" s="383">
        <v>0</v>
      </c>
      <c r="C106" s="383">
        <v>4.9000000000000004</v>
      </c>
      <c r="D106" s="384">
        <v>4.9000000000000004</v>
      </c>
      <c r="E106" s="393" t="s">
        <v>262</v>
      </c>
      <c r="F106" s="383">
        <v>0</v>
      </c>
      <c r="G106" s="384">
        <v>0</v>
      </c>
      <c r="H106" s="386">
        <v>0</v>
      </c>
      <c r="I106" s="383">
        <v>0</v>
      </c>
      <c r="J106" s="384">
        <v>0</v>
      </c>
      <c r="K106" s="394" t="s">
        <v>262</v>
      </c>
    </row>
    <row r="107" spans="1:11" ht="14.4" customHeight="1" thickBot="1" x14ac:dyDescent="0.35">
      <c r="A107" s="407" t="s">
        <v>362</v>
      </c>
      <c r="B107" s="383">
        <v>0</v>
      </c>
      <c r="C107" s="383">
        <v>10.85</v>
      </c>
      <c r="D107" s="384">
        <v>10.85</v>
      </c>
      <c r="E107" s="393" t="s">
        <v>262</v>
      </c>
      <c r="F107" s="383">
        <v>0</v>
      </c>
      <c r="G107" s="384">
        <v>0</v>
      </c>
      <c r="H107" s="386">
        <v>0</v>
      </c>
      <c r="I107" s="383">
        <v>0</v>
      </c>
      <c r="J107" s="384">
        <v>0</v>
      </c>
      <c r="K107" s="394" t="s">
        <v>262</v>
      </c>
    </row>
    <row r="108" spans="1:11" ht="14.4" customHeight="1" thickBot="1" x14ac:dyDescent="0.35">
      <c r="A108" s="405" t="s">
        <v>363</v>
      </c>
      <c r="B108" s="383">
        <v>0</v>
      </c>
      <c r="C108" s="383">
        <v>10.85</v>
      </c>
      <c r="D108" s="384">
        <v>10.85</v>
      </c>
      <c r="E108" s="393" t="s">
        <v>262</v>
      </c>
      <c r="F108" s="383">
        <v>0</v>
      </c>
      <c r="G108" s="384">
        <v>0</v>
      </c>
      <c r="H108" s="386">
        <v>0</v>
      </c>
      <c r="I108" s="383">
        <v>0</v>
      </c>
      <c r="J108" s="384">
        <v>0</v>
      </c>
      <c r="K108" s="394" t="s">
        <v>262</v>
      </c>
    </row>
    <row r="109" spans="1:11" ht="14.4" customHeight="1" thickBot="1" x14ac:dyDescent="0.35">
      <c r="A109" s="407" t="s">
        <v>364</v>
      </c>
      <c r="B109" s="383">
        <v>0</v>
      </c>
      <c r="C109" s="383">
        <v>37.749000000000002</v>
      </c>
      <c r="D109" s="384">
        <v>37.749000000000002</v>
      </c>
      <c r="E109" s="393" t="s">
        <v>262</v>
      </c>
      <c r="F109" s="383">
        <v>0</v>
      </c>
      <c r="G109" s="384">
        <v>0</v>
      </c>
      <c r="H109" s="386">
        <v>0</v>
      </c>
      <c r="I109" s="383">
        <v>0</v>
      </c>
      <c r="J109" s="384">
        <v>0</v>
      </c>
      <c r="K109" s="394" t="s">
        <v>262</v>
      </c>
    </row>
    <row r="110" spans="1:11" ht="14.4" customHeight="1" thickBot="1" x14ac:dyDescent="0.35">
      <c r="A110" s="405" t="s">
        <v>365</v>
      </c>
      <c r="B110" s="383">
        <v>0</v>
      </c>
      <c r="C110" s="383">
        <v>37.749000000000002</v>
      </c>
      <c r="D110" s="384">
        <v>37.749000000000002</v>
      </c>
      <c r="E110" s="393" t="s">
        <v>262</v>
      </c>
      <c r="F110" s="383">
        <v>0</v>
      </c>
      <c r="G110" s="384">
        <v>0</v>
      </c>
      <c r="H110" s="386">
        <v>0</v>
      </c>
      <c r="I110" s="383">
        <v>0</v>
      </c>
      <c r="J110" s="384">
        <v>0</v>
      </c>
      <c r="K110" s="394" t="s">
        <v>262</v>
      </c>
    </row>
    <row r="111" spans="1:11" ht="14.4" customHeight="1" thickBot="1" x14ac:dyDescent="0.35">
      <c r="A111" s="402" t="s">
        <v>366</v>
      </c>
      <c r="B111" s="383">
        <v>1734.00400425624</v>
      </c>
      <c r="C111" s="383">
        <v>1758.6079999999999</v>
      </c>
      <c r="D111" s="384">
        <v>24.603995743761001</v>
      </c>
      <c r="E111" s="385">
        <v>1.014189122795</v>
      </c>
      <c r="F111" s="383">
        <v>1984</v>
      </c>
      <c r="G111" s="384">
        <v>330.66666666666703</v>
      </c>
      <c r="H111" s="386">
        <v>144.53700000000001</v>
      </c>
      <c r="I111" s="383">
        <v>289.07400000000001</v>
      </c>
      <c r="J111" s="384">
        <v>-41.592666666667</v>
      </c>
      <c r="K111" s="387">
        <v>0.14570262096700001</v>
      </c>
    </row>
    <row r="112" spans="1:11" ht="14.4" customHeight="1" thickBot="1" x14ac:dyDescent="0.35">
      <c r="A112" s="403" t="s">
        <v>367</v>
      </c>
      <c r="B112" s="383">
        <v>1734.00400425624</v>
      </c>
      <c r="C112" s="383">
        <v>1734.444</v>
      </c>
      <c r="D112" s="384">
        <v>0.43999574376099998</v>
      </c>
      <c r="E112" s="385">
        <v>1.000253745517</v>
      </c>
      <c r="F112" s="383">
        <v>1984</v>
      </c>
      <c r="G112" s="384">
        <v>330.66666666666703</v>
      </c>
      <c r="H112" s="386">
        <v>144.53700000000001</v>
      </c>
      <c r="I112" s="383">
        <v>289.07400000000001</v>
      </c>
      <c r="J112" s="384">
        <v>-41.592666666667</v>
      </c>
      <c r="K112" s="387">
        <v>0.14570262096700001</v>
      </c>
    </row>
    <row r="113" spans="1:11" ht="14.4" customHeight="1" thickBot="1" x14ac:dyDescent="0.35">
      <c r="A113" s="404" t="s">
        <v>368</v>
      </c>
      <c r="B113" s="388">
        <v>1734.00400425624</v>
      </c>
      <c r="C113" s="388">
        <v>1734.444</v>
      </c>
      <c r="D113" s="389">
        <v>0.43999574376099998</v>
      </c>
      <c r="E113" s="395">
        <v>1.000253745517</v>
      </c>
      <c r="F113" s="388">
        <v>1984</v>
      </c>
      <c r="G113" s="389">
        <v>330.66666666666703</v>
      </c>
      <c r="H113" s="391">
        <v>144.53700000000001</v>
      </c>
      <c r="I113" s="388">
        <v>289.07400000000001</v>
      </c>
      <c r="J113" s="389">
        <v>-41.592666666667</v>
      </c>
      <c r="K113" s="396">
        <v>0.14570262096700001</v>
      </c>
    </row>
    <row r="114" spans="1:11" ht="14.4" customHeight="1" thickBot="1" x14ac:dyDescent="0.35">
      <c r="A114" s="405" t="s">
        <v>369</v>
      </c>
      <c r="B114" s="383">
        <v>2.0000046185190001</v>
      </c>
      <c r="C114" s="383">
        <v>1.728</v>
      </c>
      <c r="D114" s="384">
        <v>-0.27200461851899999</v>
      </c>
      <c r="E114" s="385">
        <v>0.86399800480400002</v>
      </c>
      <c r="F114" s="383">
        <v>2</v>
      </c>
      <c r="G114" s="384">
        <v>0.33333333333300003</v>
      </c>
      <c r="H114" s="386">
        <v>0.14399999999999999</v>
      </c>
      <c r="I114" s="383">
        <v>0.28799999999999998</v>
      </c>
      <c r="J114" s="384">
        <v>-4.5333333332999999E-2</v>
      </c>
      <c r="K114" s="387">
        <v>0.14399999999999999</v>
      </c>
    </row>
    <row r="115" spans="1:11" ht="14.4" customHeight="1" thickBot="1" x14ac:dyDescent="0.35">
      <c r="A115" s="405" t="s">
        <v>370</v>
      </c>
      <c r="B115" s="383">
        <v>1732.00399963772</v>
      </c>
      <c r="C115" s="383">
        <v>1732.404</v>
      </c>
      <c r="D115" s="384">
        <v>0.40000036228000002</v>
      </c>
      <c r="E115" s="385">
        <v>1.0002309465579999</v>
      </c>
      <c r="F115" s="383">
        <v>1982</v>
      </c>
      <c r="G115" s="384">
        <v>330.333333333334</v>
      </c>
      <c r="H115" s="386">
        <v>144.36699999999999</v>
      </c>
      <c r="I115" s="383">
        <v>288.73399999999998</v>
      </c>
      <c r="J115" s="384">
        <v>-41.599333333333</v>
      </c>
      <c r="K115" s="387">
        <v>0.145678102926</v>
      </c>
    </row>
    <row r="116" spans="1:11" ht="14.4" customHeight="1" thickBot="1" x14ac:dyDescent="0.35">
      <c r="A116" s="405" t="s">
        <v>371</v>
      </c>
      <c r="B116" s="383">
        <v>0</v>
      </c>
      <c r="C116" s="383">
        <v>0.312</v>
      </c>
      <c r="D116" s="384">
        <v>0.312</v>
      </c>
      <c r="E116" s="393" t="s">
        <v>262</v>
      </c>
      <c r="F116" s="383">
        <v>0</v>
      </c>
      <c r="G116" s="384">
        <v>0</v>
      </c>
      <c r="H116" s="386">
        <v>2.5999999999999999E-2</v>
      </c>
      <c r="I116" s="383">
        <v>5.1999999999999998E-2</v>
      </c>
      <c r="J116" s="384">
        <v>5.1999999999999998E-2</v>
      </c>
      <c r="K116" s="394" t="s">
        <v>262</v>
      </c>
    </row>
    <row r="117" spans="1:11" ht="14.4" customHeight="1" thickBot="1" x14ac:dyDescent="0.35">
      <c r="A117" s="403" t="s">
        <v>372</v>
      </c>
      <c r="B117" s="383">
        <v>0</v>
      </c>
      <c r="C117" s="383">
        <v>24.164000000000001</v>
      </c>
      <c r="D117" s="384">
        <v>24.164000000000001</v>
      </c>
      <c r="E117" s="393" t="s">
        <v>262</v>
      </c>
      <c r="F117" s="383">
        <v>0</v>
      </c>
      <c r="G117" s="384">
        <v>0</v>
      </c>
      <c r="H117" s="386">
        <v>0</v>
      </c>
      <c r="I117" s="383">
        <v>0</v>
      </c>
      <c r="J117" s="384">
        <v>0</v>
      </c>
      <c r="K117" s="394" t="s">
        <v>262</v>
      </c>
    </row>
    <row r="118" spans="1:11" ht="14.4" customHeight="1" thickBot="1" x14ac:dyDescent="0.35">
      <c r="A118" s="404" t="s">
        <v>373</v>
      </c>
      <c r="B118" s="388">
        <v>0</v>
      </c>
      <c r="C118" s="388">
        <v>8.8940000000000001</v>
      </c>
      <c r="D118" s="389">
        <v>8.8940000000000001</v>
      </c>
      <c r="E118" s="390" t="s">
        <v>279</v>
      </c>
      <c r="F118" s="388">
        <v>0</v>
      </c>
      <c r="G118" s="389">
        <v>0</v>
      </c>
      <c r="H118" s="391">
        <v>0</v>
      </c>
      <c r="I118" s="388">
        <v>0</v>
      </c>
      <c r="J118" s="389">
        <v>0</v>
      </c>
      <c r="K118" s="392" t="s">
        <v>262</v>
      </c>
    </row>
    <row r="119" spans="1:11" ht="14.4" customHeight="1" thickBot="1" x14ac:dyDescent="0.35">
      <c r="A119" s="405" t="s">
        <v>374</v>
      </c>
      <c r="B119" s="383">
        <v>0</v>
      </c>
      <c r="C119" s="383">
        <v>-3.00685</v>
      </c>
      <c r="D119" s="384">
        <v>-3.00685</v>
      </c>
      <c r="E119" s="393" t="s">
        <v>279</v>
      </c>
      <c r="F119" s="383">
        <v>0</v>
      </c>
      <c r="G119" s="384">
        <v>0</v>
      </c>
      <c r="H119" s="386">
        <v>0</v>
      </c>
      <c r="I119" s="383">
        <v>0</v>
      </c>
      <c r="J119" s="384">
        <v>0</v>
      </c>
      <c r="K119" s="394" t="s">
        <v>262</v>
      </c>
    </row>
    <row r="120" spans="1:11" ht="14.4" customHeight="1" thickBot="1" x14ac:dyDescent="0.35">
      <c r="A120" s="405" t="s">
        <v>375</v>
      </c>
      <c r="B120" s="383">
        <v>0</v>
      </c>
      <c r="C120" s="383">
        <v>3.8119999999999998</v>
      </c>
      <c r="D120" s="384">
        <v>3.8119999999999998</v>
      </c>
      <c r="E120" s="393" t="s">
        <v>279</v>
      </c>
      <c r="F120" s="383">
        <v>0</v>
      </c>
      <c r="G120" s="384">
        <v>0</v>
      </c>
      <c r="H120" s="386">
        <v>0</v>
      </c>
      <c r="I120" s="383">
        <v>0</v>
      </c>
      <c r="J120" s="384">
        <v>0</v>
      </c>
      <c r="K120" s="387">
        <v>2</v>
      </c>
    </row>
    <row r="121" spans="1:11" ht="14.4" customHeight="1" thickBot="1" x14ac:dyDescent="0.35">
      <c r="A121" s="405" t="s">
        <v>376</v>
      </c>
      <c r="B121" s="383">
        <v>0</v>
      </c>
      <c r="C121" s="383">
        <v>8.0888500000000008</v>
      </c>
      <c r="D121" s="384">
        <v>8.0888500000000008</v>
      </c>
      <c r="E121" s="393" t="s">
        <v>279</v>
      </c>
      <c r="F121" s="383">
        <v>0</v>
      </c>
      <c r="G121" s="384">
        <v>0</v>
      </c>
      <c r="H121" s="386">
        <v>0</v>
      </c>
      <c r="I121" s="383">
        <v>0</v>
      </c>
      <c r="J121" s="384">
        <v>0</v>
      </c>
      <c r="K121" s="394" t="s">
        <v>262</v>
      </c>
    </row>
    <row r="122" spans="1:11" ht="14.4" customHeight="1" thickBot="1" x14ac:dyDescent="0.35">
      <c r="A122" s="404" t="s">
        <v>377</v>
      </c>
      <c r="B122" s="388">
        <v>0</v>
      </c>
      <c r="C122" s="388">
        <v>15.27</v>
      </c>
      <c r="D122" s="389">
        <v>15.27</v>
      </c>
      <c r="E122" s="390" t="s">
        <v>279</v>
      </c>
      <c r="F122" s="388">
        <v>0</v>
      </c>
      <c r="G122" s="389">
        <v>0</v>
      </c>
      <c r="H122" s="391">
        <v>0</v>
      </c>
      <c r="I122" s="388">
        <v>0</v>
      </c>
      <c r="J122" s="389">
        <v>0</v>
      </c>
      <c r="K122" s="392" t="s">
        <v>262</v>
      </c>
    </row>
    <row r="123" spans="1:11" ht="14.4" customHeight="1" thickBot="1" x14ac:dyDescent="0.35">
      <c r="A123" s="405" t="s">
        <v>378</v>
      </c>
      <c r="B123" s="383">
        <v>0</v>
      </c>
      <c r="C123" s="383">
        <v>15.27</v>
      </c>
      <c r="D123" s="384">
        <v>15.27</v>
      </c>
      <c r="E123" s="393" t="s">
        <v>279</v>
      </c>
      <c r="F123" s="383">
        <v>0</v>
      </c>
      <c r="G123" s="384">
        <v>0</v>
      </c>
      <c r="H123" s="386">
        <v>0</v>
      </c>
      <c r="I123" s="383">
        <v>0</v>
      </c>
      <c r="J123" s="384">
        <v>0</v>
      </c>
      <c r="K123" s="394" t="s">
        <v>262</v>
      </c>
    </row>
    <row r="124" spans="1:11" ht="14.4" customHeight="1" thickBot="1" x14ac:dyDescent="0.35">
      <c r="A124" s="402" t="s">
        <v>379</v>
      </c>
      <c r="B124" s="383">
        <v>0</v>
      </c>
      <c r="C124" s="383">
        <v>0.45029999999999998</v>
      </c>
      <c r="D124" s="384">
        <v>0.45029999999999998</v>
      </c>
      <c r="E124" s="393" t="s">
        <v>262</v>
      </c>
      <c r="F124" s="383">
        <v>0</v>
      </c>
      <c r="G124" s="384">
        <v>0</v>
      </c>
      <c r="H124" s="386">
        <v>0</v>
      </c>
      <c r="I124" s="383">
        <v>0</v>
      </c>
      <c r="J124" s="384">
        <v>0</v>
      </c>
      <c r="K124" s="394" t="s">
        <v>262</v>
      </c>
    </row>
    <row r="125" spans="1:11" ht="14.4" customHeight="1" thickBot="1" x14ac:dyDescent="0.35">
      <c r="A125" s="403" t="s">
        <v>380</v>
      </c>
      <c r="B125" s="383">
        <v>0</v>
      </c>
      <c r="C125" s="383">
        <v>0.45029999999999998</v>
      </c>
      <c r="D125" s="384">
        <v>0.45029999999999998</v>
      </c>
      <c r="E125" s="393" t="s">
        <v>262</v>
      </c>
      <c r="F125" s="383">
        <v>0</v>
      </c>
      <c r="G125" s="384">
        <v>0</v>
      </c>
      <c r="H125" s="386">
        <v>0</v>
      </c>
      <c r="I125" s="383">
        <v>0</v>
      </c>
      <c r="J125" s="384">
        <v>0</v>
      </c>
      <c r="K125" s="394" t="s">
        <v>262</v>
      </c>
    </row>
    <row r="126" spans="1:11" ht="14.4" customHeight="1" thickBot="1" x14ac:dyDescent="0.35">
      <c r="A126" s="404" t="s">
        <v>381</v>
      </c>
      <c r="B126" s="388">
        <v>0</v>
      </c>
      <c r="C126" s="388">
        <v>0.45029999999999998</v>
      </c>
      <c r="D126" s="389">
        <v>0.45029999999999998</v>
      </c>
      <c r="E126" s="390" t="s">
        <v>262</v>
      </c>
      <c r="F126" s="388">
        <v>0</v>
      </c>
      <c r="G126" s="389">
        <v>0</v>
      </c>
      <c r="H126" s="391">
        <v>0</v>
      </c>
      <c r="I126" s="388">
        <v>0</v>
      </c>
      <c r="J126" s="389">
        <v>0</v>
      </c>
      <c r="K126" s="392" t="s">
        <v>262</v>
      </c>
    </row>
    <row r="127" spans="1:11" ht="14.4" customHeight="1" thickBot="1" x14ac:dyDescent="0.35">
      <c r="A127" s="405" t="s">
        <v>382</v>
      </c>
      <c r="B127" s="383">
        <v>0</v>
      </c>
      <c r="C127" s="383">
        <v>0.45029999999999998</v>
      </c>
      <c r="D127" s="384">
        <v>0.45029999999999998</v>
      </c>
      <c r="E127" s="393" t="s">
        <v>262</v>
      </c>
      <c r="F127" s="383">
        <v>0</v>
      </c>
      <c r="G127" s="384">
        <v>0</v>
      </c>
      <c r="H127" s="386">
        <v>0</v>
      </c>
      <c r="I127" s="383">
        <v>0</v>
      </c>
      <c r="J127" s="384">
        <v>0</v>
      </c>
      <c r="K127" s="394" t="s">
        <v>262</v>
      </c>
    </row>
    <row r="128" spans="1:11" ht="14.4" customHeight="1" thickBot="1" x14ac:dyDescent="0.35">
      <c r="A128" s="401" t="s">
        <v>383</v>
      </c>
      <c r="B128" s="383">
        <v>25469.354388343902</v>
      </c>
      <c r="C128" s="383">
        <v>26029.703799999999</v>
      </c>
      <c r="D128" s="384">
        <v>560.34941165611599</v>
      </c>
      <c r="E128" s="385">
        <v>1.0220009271970001</v>
      </c>
      <c r="F128" s="383">
        <v>28467.7949620703</v>
      </c>
      <c r="G128" s="384">
        <v>4744.6324936783803</v>
      </c>
      <c r="H128" s="386">
        <v>2588.5231399999998</v>
      </c>
      <c r="I128" s="383">
        <v>5757.5564599999998</v>
      </c>
      <c r="J128" s="384">
        <v>1012.92396632162</v>
      </c>
      <c r="K128" s="387">
        <v>0.20224806549499999</v>
      </c>
    </row>
    <row r="129" spans="1:11" ht="14.4" customHeight="1" thickBot="1" x14ac:dyDescent="0.35">
      <c r="A129" s="402" t="s">
        <v>384</v>
      </c>
      <c r="B129" s="383">
        <v>25401.004190260399</v>
      </c>
      <c r="C129" s="383">
        <v>25505.50229</v>
      </c>
      <c r="D129" s="384">
        <v>104.49809973956501</v>
      </c>
      <c r="E129" s="385">
        <v>1.00411393577</v>
      </c>
      <c r="F129" s="383">
        <v>27962.5438420461</v>
      </c>
      <c r="G129" s="384">
        <v>4660.4239736743402</v>
      </c>
      <c r="H129" s="386">
        <v>2502.3255399999998</v>
      </c>
      <c r="I129" s="383">
        <v>5532.3280199999999</v>
      </c>
      <c r="J129" s="384">
        <v>871.90404632565605</v>
      </c>
      <c r="K129" s="387">
        <v>0.19784780852700001</v>
      </c>
    </row>
    <row r="130" spans="1:11" ht="14.4" customHeight="1" thickBot="1" x14ac:dyDescent="0.35">
      <c r="A130" s="403" t="s">
        <v>385</v>
      </c>
      <c r="B130" s="383">
        <v>24002.774293791801</v>
      </c>
      <c r="C130" s="383">
        <v>23489.128939999999</v>
      </c>
      <c r="D130" s="384">
        <v>-513.64535379178801</v>
      </c>
      <c r="E130" s="385">
        <v>0.97860058393600002</v>
      </c>
      <c r="F130" s="383">
        <v>25944.045196758201</v>
      </c>
      <c r="G130" s="384">
        <v>4324.0075327930299</v>
      </c>
      <c r="H130" s="386">
        <v>2353.3453199999999</v>
      </c>
      <c r="I130" s="383">
        <v>5204.1546699999999</v>
      </c>
      <c r="J130" s="384">
        <v>880.14713720696705</v>
      </c>
      <c r="K130" s="387">
        <v>0.20059148951200001</v>
      </c>
    </row>
    <row r="131" spans="1:11" ht="14.4" customHeight="1" thickBot="1" x14ac:dyDescent="0.35">
      <c r="A131" s="404" t="s">
        <v>386</v>
      </c>
      <c r="B131" s="388">
        <v>889.874720365852</v>
      </c>
      <c r="C131" s="388">
        <v>1353.2795699999999</v>
      </c>
      <c r="D131" s="389">
        <v>463.404849634149</v>
      </c>
      <c r="E131" s="395">
        <v>1.520752909402</v>
      </c>
      <c r="F131" s="388">
        <v>1194</v>
      </c>
      <c r="G131" s="389">
        <v>199</v>
      </c>
      <c r="H131" s="391">
        <v>102.82769999999999</v>
      </c>
      <c r="I131" s="388">
        <v>214.32104000000001</v>
      </c>
      <c r="J131" s="389">
        <v>15.32104</v>
      </c>
      <c r="K131" s="396">
        <v>0.179498358458</v>
      </c>
    </row>
    <row r="132" spans="1:11" ht="14.4" customHeight="1" thickBot="1" x14ac:dyDescent="0.35">
      <c r="A132" s="405" t="s">
        <v>387</v>
      </c>
      <c r="B132" s="383">
        <v>11.795628231437</v>
      </c>
      <c r="C132" s="383">
        <v>150.11272</v>
      </c>
      <c r="D132" s="384">
        <v>138.31709176856199</v>
      </c>
      <c r="E132" s="385">
        <v>12.726131839244999</v>
      </c>
      <c r="F132" s="383">
        <v>150</v>
      </c>
      <c r="G132" s="384">
        <v>25</v>
      </c>
      <c r="H132" s="386">
        <v>1.2097199999999999</v>
      </c>
      <c r="I132" s="383">
        <v>4.8404400000000001</v>
      </c>
      <c r="J132" s="384">
        <v>-20.159559999999999</v>
      </c>
      <c r="K132" s="387">
        <v>3.2269600000000002E-2</v>
      </c>
    </row>
    <row r="133" spans="1:11" ht="14.4" customHeight="1" thickBot="1" x14ac:dyDescent="0.35">
      <c r="A133" s="405" t="s">
        <v>388</v>
      </c>
      <c r="B133" s="383">
        <v>229.00092275675499</v>
      </c>
      <c r="C133" s="383">
        <v>349.35964999999999</v>
      </c>
      <c r="D133" s="384">
        <v>120.358727243245</v>
      </c>
      <c r="E133" s="385">
        <v>1.525581843925</v>
      </c>
      <c r="F133" s="383">
        <v>293</v>
      </c>
      <c r="G133" s="384">
        <v>48.833333333333002</v>
      </c>
      <c r="H133" s="386">
        <v>26.176439999999999</v>
      </c>
      <c r="I133" s="383">
        <v>63.904940000000003</v>
      </c>
      <c r="J133" s="384">
        <v>15.071606666666</v>
      </c>
      <c r="K133" s="387">
        <v>0.218105597269</v>
      </c>
    </row>
    <row r="134" spans="1:11" ht="14.4" customHeight="1" thickBot="1" x14ac:dyDescent="0.35">
      <c r="A134" s="405" t="s">
        <v>389</v>
      </c>
      <c r="B134" s="383">
        <v>0</v>
      </c>
      <c r="C134" s="383">
        <v>5.5652200000000001</v>
      </c>
      <c r="D134" s="384">
        <v>5.5652200000000001</v>
      </c>
      <c r="E134" s="393" t="s">
        <v>279</v>
      </c>
      <c r="F134" s="383">
        <v>6</v>
      </c>
      <c r="G134" s="384">
        <v>1</v>
      </c>
      <c r="H134" s="386">
        <v>0</v>
      </c>
      <c r="I134" s="383">
        <v>1.3913</v>
      </c>
      <c r="J134" s="384">
        <v>0.39129999999999998</v>
      </c>
      <c r="K134" s="387">
        <v>0.23188333333300001</v>
      </c>
    </row>
    <row r="135" spans="1:11" ht="14.4" customHeight="1" thickBot="1" x14ac:dyDescent="0.35">
      <c r="A135" s="405" t="s">
        <v>390</v>
      </c>
      <c r="B135" s="383">
        <v>27.127675222722999</v>
      </c>
      <c r="C135" s="383">
        <v>21.194299999999998</v>
      </c>
      <c r="D135" s="384">
        <v>-5.9333752227229999</v>
      </c>
      <c r="E135" s="385">
        <v>0.78127962775899995</v>
      </c>
      <c r="F135" s="383">
        <v>25</v>
      </c>
      <c r="G135" s="384">
        <v>4.1666666666659999</v>
      </c>
      <c r="H135" s="386">
        <v>0</v>
      </c>
      <c r="I135" s="383">
        <v>0.23139999999999999</v>
      </c>
      <c r="J135" s="384">
        <v>-3.9352666666660001</v>
      </c>
      <c r="K135" s="387">
        <v>9.2560000000000003E-3</v>
      </c>
    </row>
    <row r="136" spans="1:11" ht="14.4" customHeight="1" thickBot="1" x14ac:dyDescent="0.35">
      <c r="A136" s="405" t="s">
        <v>391</v>
      </c>
      <c r="B136" s="383">
        <v>621.95049415493497</v>
      </c>
      <c r="C136" s="383">
        <v>827.04768000000001</v>
      </c>
      <c r="D136" s="384">
        <v>205.09718584506501</v>
      </c>
      <c r="E136" s="385">
        <v>1.329764487322</v>
      </c>
      <c r="F136" s="383">
        <v>720</v>
      </c>
      <c r="G136" s="384">
        <v>120</v>
      </c>
      <c r="H136" s="386">
        <v>75.441540000000003</v>
      </c>
      <c r="I136" s="383">
        <v>143.95295999999999</v>
      </c>
      <c r="J136" s="384">
        <v>23.952960000000001</v>
      </c>
      <c r="K136" s="387">
        <v>0.19993466666599999</v>
      </c>
    </row>
    <row r="137" spans="1:11" ht="14.4" customHeight="1" thickBot="1" x14ac:dyDescent="0.35">
      <c r="A137" s="404" t="s">
        <v>392</v>
      </c>
      <c r="B137" s="388">
        <v>64.000006417194001</v>
      </c>
      <c r="C137" s="388">
        <v>84.314350000000005</v>
      </c>
      <c r="D137" s="389">
        <v>20.314343582805002</v>
      </c>
      <c r="E137" s="395">
        <v>1.3174115866539999</v>
      </c>
      <c r="F137" s="388">
        <v>72.045196758198998</v>
      </c>
      <c r="G137" s="389">
        <v>12.007532793033</v>
      </c>
      <c r="H137" s="391">
        <v>27.60388</v>
      </c>
      <c r="I137" s="388">
        <v>37.415880000000001</v>
      </c>
      <c r="J137" s="389">
        <v>25.408347206965999</v>
      </c>
      <c r="K137" s="396">
        <v>0.51933899390299998</v>
      </c>
    </row>
    <row r="138" spans="1:11" ht="14.4" customHeight="1" thickBot="1" x14ac:dyDescent="0.35">
      <c r="A138" s="405" t="s">
        <v>393</v>
      </c>
      <c r="B138" s="383">
        <v>64.000006417194001</v>
      </c>
      <c r="C138" s="383">
        <v>84.314350000000005</v>
      </c>
      <c r="D138" s="384">
        <v>20.314343582805002</v>
      </c>
      <c r="E138" s="385">
        <v>1.3174115866539999</v>
      </c>
      <c r="F138" s="383">
        <v>72.045196758198998</v>
      </c>
      <c r="G138" s="384">
        <v>12.007532793033</v>
      </c>
      <c r="H138" s="386">
        <v>27.60388</v>
      </c>
      <c r="I138" s="383">
        <v>37.415880000000001</v>
      </c>
      <c r="J138" s="384">
        <v>25.408347206965999</v>
      </c>
      <c r="K138" s="387">
        <v>0.51933899390299998</v>
      </c>
    </row>
    <row r="139" spans="1:11" ht="14.4" customHeight="1" thickBot="1" x14ac:dyDescent="0.35">
      <c r="A139" s="404" t="s">
        <v>394</v>
      </c>
      <c r="B139" s="388">
        <v>73.897263336343002</v>
      </c>
      <c r="C139" s="388">
        <v>24.908740000000002</v>
      </c>
      <c r="D139" s="389">
        <v>-48.988523336343</v>
      </c>
      <c r="E139" s="395">
        <v>0.33707256365600002</v>
      </c>
      <c r="F139" s="388">
        <v>108</v>
      </c>
      <c r="G139" s="389">
        <v>18</v>
      </c>
      <c r="H139" s="391">
        <v>-1.4891000000000001</v>
      </c>
      <c r="I139" s="388">
        <v>4.8242200000000004</v>
      </c>
      <c r="J139" s="389">
        <v>-13.17578</v>
      </c>
      <c r="K139" s="396">
        <v>4.4668703703000003E-2</v>
      </c>
    </row>
    <row r="140" spans="1:11" ht="14.4" customHeight="1" thickBot="1" x14ac:dyDescent="0.35">
      <c r="A140" s="405" t="s">
        <v>395</v>
      </c>
      <c r="B140" s="383">
        <v>73.897263336343002</v>
      </c>
      <c r="C140" s="383">
        <v>20.891079999999999</v>
      </c>
      <c r="D140" s="384">
        <v>-53.006183336343</v>
      </c>
      <c r="E140" s="385">
        <v>0.28270437979399998</v>
      </c>
      <c r="F140" s="383">
        <v>108</v>
      </c>
      <c r="G140" s="384">
        <v>18</v>
      </c>
      <c r="H140" s="386">
        <v>-1.4891000000000001</v>
      </c>
      <c r="I140" s="383">
        <v>4.8242200000000004</v>
      </c>
      <c r="J140" s="384">
        <v>-13.17578</v>
      </c>
      <c r="K140" s="387">
        <v>4.4668703703000003E-2</v>
      </c>
    </row>
    <row r="141" spans="1:11" ht="14.4" customHeight="1" thickBot="1" x14ac:dyDescent="0.35">
      <c r="A141" s="405" t="s">
        <v>396</v>
      </c>
      <c r="B141" s="383">
        <v>0</v>
      </c>
      <c r="C141" s="383">
        <v>4.0176600000000002</v>
      </c>
      <c r="D141" s="384">
        <v>4.0176600000000002</v>
      </c>
      <c r="E141" s="393" t="s">
        <v>262</v>
      </c>
      <c r="F141" s="383">
        <v>0</v>
      </c>
      <c r="G141" s="384">
        <v>0</v>
      </c>
      <c r="H141" s="386">
        <v>0</v>
      </c>
      <c r="I141" s="383">
        <v>0</v>
      </c>
      <c r="J141" s="384">
        <v>0</v>
      </c>
      <c r="K141" s="394" t="s">
        <v>262</v>
      </c>
    </row>
    <row r="142" spans="1:11" ht="14.4" customHeight="1" thickBot="1" x14ac:dyDescent="0.35">
      <c r="A142" s="404" t="s">
        <v>397</v>
      </c>
      <c r="B142" s="388">
        <v>22975.002303672401</v>
      </c>
      <c r="C142" s="388">
        <v>20879.46499</v>
      </c>
      <c r="D142" s="389">
        <v>-2095.5373136723902</v>
      </c>
      <c r="E142" s="395">
        <v>0.90879055044299994</v>
      </c>
      <c r="F142" s="388">
        <v>24570</v>
      </c>
      <c r="G142" s="389">
        <v>4095</v>
      </c>
      <c r="H142" s="391">
        <v>2224.3704499999999</v>
      </c>
      <c r="I142" s="388">
        <v>4947.2360699999999</v>
      </c>
      <c r="J142" s="389">
        <v>852.23607000000004</v>
      </c>
      <c r="K142" s="396">
        <v>0.201352709401</v>
      </c>
    </row>
    <row r="143" spans="1:11" ht="14.4" customHeight="1" thickBot="1" x14ac:dyDescent="0.35">
      <c r="A143" s="405" t="s">
        <v>398</v>
      </c>
      <c r="B143" s="383">
        <v>13945.001398246401</v>
      </c>
      <c r="C143" s="383">
        <v>11331.47847</v>
      </c>
      <c r="D143" s="384">
        <v>-2613.5229282464202</v>
      </c>
      <c r="E143" s="385">
        <v>0.81258353056999999</v>
      </c>
      <c r="F143" s="383">
        <v>14733</v>
      </c>
      <c r="G143" s="384">
        <v>2455.5</v>
      </c>
      <c r="H143" s="386">
        <v>1246.5460599999999</v>
      </c>
      <c r="I143" s="383">
        <v>2857.5977200000002</v>
      </c>
      <c r="J143" s="384">
        <v>402.09771999999901</v>
      </c>
      <c r="K143" s="387">
        <v>0.19395898459200001</v>
      </c>
    </row>
    <row r="144" spans="1:11" ht="14.4" customHeight="1" thickBot="1" x14ac:dyDescent="0.35">
      <c r="A144" s="405" t="s">
        <v>399</v>
      </c>
      <c r="B144" s="383">
        <v>9030.0009054259699</v>
      </c>
      <c r="C144" s="383">
        <v>9547.9865200000004</v>
      </c>
      <c r="D144" s="384">
        <v>517.98561457402695</v>
      </c>
      <c r="E144" s="385">
        <v>1.0573627422630001</v>
      </c>
      <c r="F144" s="383">
        <v>9837</v>
      </c>
      <c r="G144" s="384">
        <v>1639.5</v>
      </c>
      <c r="H144" s="386">
        <v>977.82438999999999</v>
      </c>
      <c r="I144" s="383">
        <v>2089.6383500000002</v>
      </c>
      <c r="J144" s="384">
        <v>450.13835</v>
      </c>
      <c r="K144" s="387">
        <v>0.21242638507600001</v>
      </c>
    </row>
    <row r="145" spans="1:11" ht="14.4" customHeight="1" thickBot="1" x14ac:dyDescent="0.35">
      <c r="A145" s="404" t="s">
        <v>400</v>
      </c>
      <c r="B145" s="388">
        <v>0</v>
      </c>
      <c r="C145" s="388">
        <v>1147.16129</v>
      </c>
      <c r="D145" s="389">
        <v>1147.16129</v>
      </c>
      <c r="E145" s="390" t="s">
        <v>262</v>
      </c>
      <c r="F145" s="388">
        <v>0</v>
      </c>
      <c r="G145" s="389">
        <v>0</v>
      </c>
      <c r="H145" s="391">
        <v>3.2390000000000002E-2</v>
      </c>
      <c r="I145" s="388">
        <v>0.35746</v>
      </c>
      <c r="J145" s="389">
        <v>0.35746</v>
      </c>
      <c r="K145" s="392" t="s">
        <v>262</v>
      </c>
    </row>
    <row r="146" spans="1:11" ht="14.4" customHeight="1" thickBot="1" x14ac:dyDescent="0.35">
      <c r="A146" s="405" t="s">
        <v>401</v>
      </c>
      <c r="B146" s="383">
        <v>0</v>
      </c>
      <c r="C146" s="383">
        <v>224.72207</v>
      </c>
      <c r="D146" s="384">
        <v>224.72207</v>
      </c>
      <c r="E146" s="393" t="s">
        <v>262</v>
      </c>
      <c r="F146" s="383">
        <v>0</v>
      </c>
      <c r="G146" s="384">
        <v>0</v>
      </c>
      <c r="H146" s="386">
        <v>0</v>
      </c>
      <c r="I146" s="383">
        <v>0</v>
      </c>
      <c r="J146" s="384">
        <v>0</v>
      </c>
      <c r="K146" s="394" t="s">
        <v>262</v>
      </c>
    </row>
    <row r="147" spans="1:11" ht="14.4" customHeight="1" thickBot="1" x14ac:dyDescent="0.35">
      <c r="A147" s="405" t="s">
        <v>402</v>
      </c>
      <c r="B147" s="383">
        <v>0</v>
      </c>
      <c r="C147" s="383">
        <v>922.43921999999998</v>
      </c>
      <c r="D147" s="384">
        <v>922.43921999999998</v>
      </c>
      <c r="E147" s="393" t="s">
        <v>262</v>
      </c>
      <c r="F147" s="383">
        <v>0</v>
      </c>
      <c r="G147" s="384">
        <v>0</v>
      </c>
      <c r="H147" s="386">
        <v>3.2390000000000002E-2</v>
      </c>
      <c r="I147" s="383">
        <v>0.35746</v>
      </c>
      <c r="J147" s="384">
        <v>0.35746</v>
      </c>
      <c r="K147" s="394" t="s">
        <v>262</v>
      </c>
    </row>
    <row r="148" spans="1:11" ht="14.4" customHeight="1" thickBot="1" x14ac:dyDescent="0.35">
      <c r="A148" s="408" t="s">
        <v>403</v>
      </c>
      <c r="B148" s="388">
        <v>1398.2298964686499</v>
      </c>
      <c r="C148" s="388">
        <v>2016.3733500000001</v>
      </c>
      <c r="D148" s="389">
        <v>618.14345353135298</v>
      </c>
      <c r="E148" s="395">
        <v>1.4420899989989999</v>
      </c>
      <c r="F148" s="388">
        <v>2018.49864528786</v>
      </c>
      <c r="G148" s="389">
        <v>336.41644088131</v>
      </c>
      <c r="H148" s="391">
        <v>148.98022</v>
      </c>
      <c r="I148" s="388">
        <v>328.17335000000003</v>
      </c>
      <c r="J148" s="389">
        <v>-8.2430908813089996</v>
      </c>
      <c r="K148" s="396">
        <v>0.16258289336199999</v>
      </c>
    </row>
    <row r="149" spans="1:11" ht="14.4" customHeight="1" thickBot="1" x14ac:dyDescent="0.35">
      <c r="A149" s="404" t="s">
        <v>404</v>
      </c>
      <c r="B149" s="388">
        <v>1398.2298964686499</v>
      </c>
      <c r="C149" s="388">
        <v>2016.3733500000001</v>
      </c>
      <c r="D149" s="389">
        <v>618.14345353135298</v>
      </c>
      <c r="E149" s="395">
        <v>1.4420899989989999</v>
      </c>
      <c r="F149" s="388">
        <v>2018.49864528786</v>
      </c>
      <c r="G149" s="389">
        <v>336.41644088131</v>
      </c>
      <c r="H149" s="391">
        <v>148.98022</v>
      </c>
      <c r="I149" s="388">
        <v>328.17335000000003</v>
      </c>
      <c r="J149" s="389">
        <v>-8.2430908813089996</v>
      </c>
      <c r="K149" s="396">
        <v>0.16258289336199999</v>
      </c>
    </row>
    <row r="150" spans="1:11" ht="14.4" customHeight="1" thickBot="1" x14ac:dyDescent="0.35">
      <c r="A150" s="405" t="s">
        <v>405</v>
      </c>
      <c r="B150" s="383">
        <v>0</v>
      </c>
      <c r="C150" s="383">
        <v>0</v>
      </c>
      <c r="D150" s="384">
        <v>0</v>
      </c>
      <c r="E150" s="385">
        <v>1</v>
      </c>
      <c r="F150" s="383">
        <v>0</v>
      </c>
      <c r="G150" s="384">
        <v>0</v>
      </c>
      <c r="H150" s="386">
        <v>0</v>
      </c>
      <c r="I150" s="383">
        <v>0.95</v>
      </c>
      <c r="J150" s="384">
        <v>0.95</v>
      </c>
      <c r="K150" s="394" t="s">
        <v>279</v>
      </c>
    </row>
    <row r="151" spans="1:11" ht="14.4" customHeight="1" thickBot="1" x14ac:dyDescent="0.35">
      <c r="A151" s="405" t="s">
        <v>406</v>
      </c>
      <c r="B151" s="383">
        <v>1398.2298964686499</v>
      </c>
      <c r="C151" s="383">
        <v>2016.3733500000001</v>
      </c>
      <c r="D151" s="384">
        <v>618.14345353135298</v>
      </c>
      <c r="E151" s="385">
        <v>1.4420899989989999</v>
      </c>
      <c r="F151" s="383">
        <v>2018.49864528786</v>
      </c>
      <c r="G151" s="384">
        <v>336.41644088131</v>
      </c>
      <c r="H151" s="386">
        <v>148.98022</v>
      </c>
      <c r="I151" s="383">
        <v>327.22334999999998</v>
      </c>
      <c r="J151" s="384">
        <v>-9.1930908813090007</v>
      </c>
      <c r="K151" s="387">
        <v>0.16211224652699999</v>
      </c>
    </row>
    <row r="152" spans="1:11" ht="14.4" customHeight="1" thickBot="1" x14ac:dyDescent="0.35">
      <c r="A152" s="402" t="s">
        <v>407</v>
      </c>
      <c r="B152" s="383">
        <v>68.350198083451005</v>
      </c>
      <c r="C152" s="383">
        <v>524.06100000000004</v>
      </c>
      <c r="D152" s="384">
        <v>455.71080191654897</v>
      </c>
      <c r="E152" s="385">
        <v>7.6672930685600003</v>
      </c>
      <c r="F152" s="383">
        <v>505.25112002422497</v>
      </c>
      <c r="G152" s="384">
        <v>84.208520004036998</v>
      </c>
      <c r="H152" s="386">
        <v>86.222449999999995</v>
      </c>
      <c r="I152" s="383">
        <v>225.25328999999999</v>
      </c>
      <c r="J152" s="384">
        <v>141.04476999596201</v>
      </c>
      <c r="K152" s="387">
        <v>0.44582442487000001</v>
      </c>
    </row>
    <row r="153" spans="1:11" ht="14.4" customHeight="1" thickBot="1" x14ac:dyDescent="0.35">
      <c r="A153" s="403" t="s">
        <v>408</v>
      </c>
      <c r="B153" s="383">
        <v>0</v>
      </c>
      <c r="C153" s="383">
        <v>5.4257</v>
      </c>
      <c r="D153" s="384">
        <v>5.4257</v>
      </c>
      <c r="E153" s="393" t="s">
        <v>279</v>
      </c>
      <c r="F153" s="383">
        <v>0</v>
      </c>
      <c r="G153" s="384">
        <v>0</v>
      </c>
      <c r="H153" s="386">
        <v>0</v>
      </c>
      <c r="I153" s="383">
        <v>0</v>
      </c>
      <c r="J153" s="384">
        <v>0</v>
      </c>
      <c r="K153" s="394" t="s">
        <v>262</v>
      </c>
    </row>
    <row r="154" spans="1:11" ht="14.4" customHeight="1" thickBot="1" x14ac:dyDescent="0.35">
      <c r="A154" s="404" t="s">
        <v>409</v>
      </c>
      <c r="B154" s="388">
        <v>0</v>
      </c>
      <c r="C154" s="388">
        <v>5.4257</v>
      </c>
      <c r="D154" s="389">
        <v>5.4257</v>
      </c>
      <c r="E154" s="390" t="s">
        <v>279</v>
      </c>
      <c r="F154" s="388">
        <v>0</v>
      </c>
      <c r="G154" s="389">
        <v>0</v>
      </c>
      <c r="H154" s="391">
        <v>0</v>
      </c>
      <c r="I154" s="388">
        <v>0</v>
      </c>
      <c r="J154" s="389">
        <v>0</v>
      </c>
      <c r="K154" s="392" t="s">
        <v>262</v>
      </c>
    </row>
    <row r="155" spans="1:11" ht="14.4" customHeight="1" thickBot="1" x14ac:dyDescent="0.35">
      <c r="A155" s="405" t="s">
        <v>410</v>
      </c>
      <c r="B155" s="383">
        <v>0</v>
      </c>
      <c r="C155" s="383">
        <v>5.4257</v>
      </c>
      <c r="D155" s="384">
        <v>5.4257</v>
      </c>
      <c r="E155" s="393" t="s">
        <v>279</v>
      </c>
      <c r="F155" s="383">
        <v>0</v>
      </c>
      <c r="G155" s="384">
        <v>0</v>
      </c>
      <c r="H155" s="386">
        <v>0</v>
      </c>
      <c r="I155" s="383">
        <v>0</v>
      </c>
      <c r="J155" s="384">
        <v>0</v>
      </c>
      <c r="K155" s="394" t="s">
        <v>262</v>
      </c>
    </row>
    <row r="156" spans="1:11" ht="14.4" customHeight="1" thickBot="1" x14ac:dyDescent="0.35">
      <c r="A156" s="408" t="s">
        <v>411</v>
      </c>
      <c r="B156" s="388">
        <v>68.350198083451005</v>
      </c>
      <c r="C156" s="388">
        <v>518.63530000000003</v>
      </c>
      <c r="D156" s="389">
        <v>450.28510191654902</v>
      </c>
      <c r="E156" s="395">
        <v>7.5879121720580001</v>
      </c>
      <c r="F156" s="388">
        <v>505.25112002422497</v>
      </c>
      <c r="G156" s="389">
        <v>84.208520004036998</v>
      </c>
      <c r="H156" s="391">
        <v>86.222449999999995</v>
      </c>
      <c r="I156" s="388">
        <v>225.25328999999999</v>
      </c>
      <c r="J156" s="389">
        <v>141.04476999596201</v>
      </c>
      <c r="K156" s="396">
        <v>0.44582442487000001</v>
      </c>
    </row>
    <row r="157" spans="1:11" ht="14.4" customHeight="1" thickBot="1" x14ac:dyDescent="0.35">
      <c r="A157" s="404" t="s">
        <v>412</v>
      </c>
      <c r="B157" s="388">
        <v>0</v>
      </c>
      <c r="C157" s="388">
        <v>0.59580999999999995</v>
      </c>
      <c r="D157" s="389">
        <v>0.59580999999999995</v>
      </c>
      <c r="E157" s="390" t="s">
        <v>262</v>
      </c>
      <c r="F157" s="388">
        <v>0</v>
      </c>
      <c r="G157" s="389">
        <v>0</v>
      </c>
      <c r="H157" s="391">
        <v>3.6450000000000003E-2</v>
      </c>
      <c r="I157" s="388">
        <v>8.1290000000000001E-2</v>
      </c>
      <c r="J157" s="389">
        <v>8.1290000000000001E-2</v>
      </c>
      <c r="K157" s="392" t="s">
        <v>262</v>
      </c>
    </row>
    <row r="158" spans="1:11" ht="14.4" customHeight="1" thickBot="1" x14ac:dyDescent="0.35">
      <c r="A158" s="405" t="s">
        <v>413</v>
      </c>
      <c r="B158" s="383">
        <v>0</v>
      </c>
      <c r="C158" s="383">
        <v>0.59580999999999995</v>
      </c>
      <c r="D158" s="384">
        <v>0.59580999999999995</v>
      </c>
      <c r="E158" s="393" t="s">
        <v>262</v>
      </c>
      <c r="F158" s="383">
        <v>0</v>
      </c>
      <c r="G158" s="384">
        <v>0</v>
      </c>
      <c r="H158" s="386">
        <v>3.6450000000000003E-2</v>
      </c>
      <c r="I158" s="383">
        <v>8.1290000000000001E-2</v>
      </c>
      <c r="J158" s="384">
        <v>8.1290000000000001E-2</v>
      </c>
      <c r="K158" s="394" t="s">
        <v>262</v>
      </c>
    </row>
    <row r="159" spans="1:11" ht="14.4" customHeight="1" thickBot="1" x14ac:dyDescent="0.35">
      <c r="A159" s="404" t="s">
        <v>414</v>
      </c>
      <c r="B159" s="388">
        <v>68.350198083451005</v>
      </c>
      <c r="C159" s="388">
        <v>518.03949</v>
      </c>
      <c r="D159" s="389">
        <v>449.689291916549</v>
      </c>
      <c r="E159" s="395">
        <v>7.5791951526970003</v>
      </c>
      <c r="F159" s="388">
        <v>505.25112002422497</v>
      </c>
      <c r="G159" s="389">
        <v>84.208520004036998</v>
      </c>
      <c r="H159" s="391">
        <v>86.186000000000007</v>
      </c>
      <c r="I159" s="388">
        <v>225.172</v>
      </c>
      <c r="J159" s="389">
        <v>140.96347999596199</v>
      </c>
      <c r="K159" s="396">
        <v>0.44566353457899999</v>
      </c>
    </row>
    <row r="160" spans="1:11" ht="14.4" customHeight="1" thickBot="1" x14ac:dyDescent="0.35">
      <c r="A160" s="405" t="s">
        <v>415</v>
      </c>
      <c r="B160" s="383">
        <v>22.305418200798002</v>
      </c>
      <c r="C160" s="383">
        <v>465.80500000000001</v>
      </c>
      <c r="D160" s="384">
        <v>443.49958179920202</v>
      </c>
      <c r="E160" s="385">
        <v>20.883042667333999</v>
      </c>
      <c r="F160" s="383">
        <v>491.29660133345698</v>
      </c>
      <c r="G160" s="384">
        <v>81.882766888909003</v>
      </c>
      <c r="H160" s="386">
        <v>85.35</v>
      </c>
      <c r="I160" s="383">
        <v>223.5</v>
      </c>
      <c r="J160" s="384">
        <v>141.61723311109</v>
      </c>
      <c r="K160" s="387">
        <v>0.45491867721700002</v>
      </c>
    </row>
    <row r="161" spans="1:11" ht="14.4" customHeight="1" thickBot="1" x14ac:dyDescent="0.35">
      <c r="A161" s="405" t="s">
        <v>416</v>
      </c>
      <c r="B161" s="383">
        <v>2.189576340066</v>
      </c>
      <c r="C161" s="383">
        <v>12.234</v>
      </c>
      <c r="D161" s="384">
        <v>10.044423659933001</v>
      </c>
      <c r="E161" s="385">
        <v>5.5873822602730003</v>
      </c>
      <c r="F161" s="383">
        <v>13.954518690767999</v>
      </c>
      <c r="G161" s="384">
        <v>2.3257531151280002</v>
      </c>
      <c r="H161" s="386">
        <v>0.83599999999999997</v>
      </c>
      <c r="I161" s="383">
        <v>1.6719999999999999</v>
      </c>
      <c r="J161" s="384">
        <v>-0.65375311512800005</v>
      </c>
      <c r="K161" s="387">
        <v>0.119817819378</v>
      </c>
    </row>
    <row r="162" spans="1:11" ht="14.4" customHeight="1" thickBot="1" x14ac:dyDescent="0.35">
      <c r="A162" s="405" t="s">
        <v>417</v>
      </c>
      <c r="B162" s="383">
        <v>43.855203542585997</v>
      </c>
      <c r="C162" s="383">
        <v>40.000489999999999</v>
      </c>
      <c r="D162" s="384">
        <v>-3.854713542586</v>
      </c>
      <c r="E162" s="385">
        <v>0.91210362211899998</v>
      </c>
      <c r="F162" s="383">
        <v>0</v>
      </c>
      <c r="G162" s="384">
        <v>0</v>
      </c>
      <c r="H162" s="386">
        <v>0</v>
      </c>
      <c r="I162" s="383">
        <v>0</v>
      </c>
      <c r="J162" s="384">
        <v>0</v>
      </c>
      <c r="K162" s="394" t="s">
        <v>262</v>
      </c>
    </row>
    <row r="163" spans="1:11" ht="14.4" customHeight="1" thickBot="1" x14ac:dyDescent="0.35">
      <c r="A163" s="402" t="s">
        <v>418</v>
      </c>
      <c r="B163" s="383">
        <v>0</v>
      </c>
      <c r="C163" s="383">
        <v>0.14051</v>
      </c>
      <c r="D163" s="384">
        <v>0.14051</v>
      </c>
      <c r="E163" s="393" t="s">
        <v>262</v>
      </c>
      <c r="F163" s="383">
        <v>0</v>
      </c>
      <c r="G163" s="384">
        <v>0</v>
      </c>
      <c r="H163" s="386">
        <v>-2.4850000000000001E-2</v>
      </c>
      <c r="I163" s="383">
        <v>-2.4850000000000001E-2</v>
      </c>
      <c r="J163" s="384">
        <v>-2.4850000000000001E-2</v>
      </c>
      <c r="K163" s="394" t="s">
        <v>262</v>
      </c>
    </row>
    <row r="164" spans="1:11" ht="14.4" customHeight="1" thickBot="1" x14ac:dyDescent="0.35">
      <c r="A164" s="408" t="s">
        <v>419</v>
      </c>
      <c r="B164" s="388">
        <v>0</v>
      </c>
      <c r="C164" s="388">
        <v>0.14051</v>
      </c>
      <c r="D164" s="389">
        <v>0.14051</v>
      </c>
      <c r="E164" s="390" t="s">
        <v>262</v>
      </c>
      <c r="F164" s="388">
        <v>0</v>
      </c>
      <c r="G164" s="389">
        <v>0</v>
      </c>
      <c r="H164" s="391">
        <v>-2.4850000000000001E-2</v>
      </c>
      <c r="I164" s="388">
        <v>-2.4850000000000001E-2</v>
      </c>
      <c r="J164" s="389">
        <v>-2.4850000000000001E-2</v>
      </c>
      <c r="K164" s="392" t="s">
        <v>262</v>
      </c>
    </row>
    <row r="165" spans="1:11" ht="14.4" customHeight="1" thickBot="1" x14ac:dyDescent="0.35">
      <c r="A165" s="404" t="s">
        <v>420</v>
      </c>
      <c r="B165" s="388">
        <v>0</v>
      </c>
      <c r="C165" s="388">
        <v>0.14051</v>
      </c>
      <c r="D165" s="389">
        <v>0.14051</v>
      </c>
      <c r="E165" s="390" t="s">
        <v>262</v>
      </c>
      <c r="F165" s="388">
        <v>0</v>
      </c>
      <c r="G165" s="389">
        <v>0</v>
      </c>
      <c r="H165" s="391">
        <v>-2.4850000000000001E-2</v>
      </c>
      <c r="I165" s="388">
        <v>-2.4850000000000001E-2</v>
      </c>
      <c r="J165" s="389">
        <v>-2.4850000000000001E-2</v>
      </c>
      <c r="K165" s="392" t="s">
        <v>262</v>
      </c>
    </row>
    <row r="166" spans="1:11" ht="14.4" customHeight="1" thickBot="1" x14ac:dyDescent="0.35">
      <c r="A166" s="405" t="s">
        <v>421</v>
      </c>
      <c r="B166" s="383">
        <v>0</v>
      </c>
      <c r="C166" s="383">
        <v>0.14051</v>
      </c>
      <c r="D166" s="384">
        <v>0.14051</v>
      </c>
      <c r="E166" s="393" t="s">
        <v>262</v>
      </c>
      <c r="F166" s="383">
        <v>0</v>
      </c>
      <c r="G166" s="384">
        <v>0</v>
      </c>
      <c r="H166" s="386">
        <v>-2.4850000000000001E-2</v>
      </c>
      <c r="I166" s="383">
        <v>-2.4850000000000001E-2</v>
      </c>
      <c r="J166" s="384">
        <v>-2.4850000000000001E-2</v>
      </c>
      <c r="K166" s="394" t="s">
        <v>262</v>
      </c>
    </row>
    <row r="167" spans="1:11" ht="14.4" customHeight="1" thickBot="1" x14ac:dyDescent="0.35">
      <c r="A167" s="401" t="s">
        <v>422</v>
      </c>
      <c r="B167" s="383">
        <v>3013.7666599491999</v>
      </c>
      <c r="C167" s="383">
        <v>3022.8273199999999</v>
      </c>
      <c r="D167" s="384">
        <v>9.0606600507970008</v>
      </c>
      <c r="E167" s="385">
        <v>1.0030064238780001</v>
      </c>
      <c r="F167" s="383">
        <v>0</v>
      </c>
      <c r="G167" s="384">
        <v>0</v>
      </c>
      <c r="H167" s="386">
        <v>202.82026999999999</v>
      </c>
      <c r="I167" s="383">
        <v>411.23183</v>
      </c>
      <c r="J167" s="384">
        <v>411.23183</v>
      </c>
      <c r="K167" s="394" t="s">
        <v>279</v>
      </c>
    </row>
    <row r="168" spans="1:11" ht="14.4" customHeight="1" thickBot="1" x14ac:dyDescent="0.35">
      <c r="A168" s="406" t="s">
        <v>423</v>
      </c>
      <c r="B168" s="388">
        <v>3013.7666599491999</v>
      </c>
      <c r="C168" s="388">
        <v>3022.8273199999999</v>
      </c>
      <c r="D168" s="389">
        <v>9.0606600507970008</v>
      </c>
      <c r="E168" s="395">
        <v>1.0030064238780001</v>
      </c>
      <c r="F168" s="388">
        <v>0</v>
      </c>
      <c r="G168" s="389">
        <v>0</v>
      </c>
      <c r="H168" s="391">
        <v>202.82026999999999</v>
      </c>
      <c r="I168" s="388">
        <v>411.23183</v>
      </c>
      <c r="J168" s="389">
        <v>411.23183</v>
      </c>
      <c r="K168" s="392" t="s">
        <v>279</v>
      </c>
    </row>
    <row r="169" spans="1:11" ht="14.4" customHeight="1" thickBot="1" x14ac:dyDescent="0.35">
      <c r="A169" s="408" t="s">
        <v>40</v>
      </c>
      <c r="B169" s="388">
        <v>3013.7666599491999</v>
      </c>
      <c r="C169" s="388">
        <v>3022.8273199999999</v>
      </c>
      <c r="D169" s="389">
        <v>9.0606600507970008</v>
      </c>
      <c r="E169" s="395">
        <v>1.0030064238780001</v>
      </c>
      <c r="F169" s="388">
        <v>0</v>
      </c>
      <c r="G169" s="389">
        <v>0</v>
      </c>
      <c r="H169" s="391">
        <v>202.82026999999999</v>
      </c>
      <c r="I169" s="388">
        <v>411.23183</v>
      </c>
      <c r="J169" s="389">
        <v>411.23183</v>
      </c>
      <c r="K169" s="392" t="s">
        <v>279</v>
      </c>
    </row>
    <row r="170" spans="1:11" ht="14.4" customHeight="1" thickBot="1" x14ac:dyDescent="0.35">
      <c r="A170" s="407" t="s">
        <v>424</v>
      </c>
      <c r="B170" s="383">
        <v>0</v>
      </c>
      <c r="C170" s="383">
        <v>0</v>
      </c>
      <c r="D170" s="384">
        <v>0</v>
      </c>
      <c r="E170" s="385">
        <v>1</v>
      </c>
      <c r="F170" s="383">
        <v>0</v>
      </c>
      <c r="G170" s="384">
        <v>0</v>
      </c>
      <c r="H170" s="386">
        <v>2.5930000000000002E-2</v>
      </c>
      <c r="I170" s="383">
        <v>2.5930000000000002E-2</v>
      </c>
      <c r="J170" s="384">
        <v>2.5930000000000002E-2</v>
      </c>
      <c r="K170" s="394" t="s">
        <v>279</v>
      </c>
    </row>
    <row r="171" spans="1:11" ht="14.4" customHeight="1" thickBot="1" x14ac:dyDescent="0.35">
      <c r="A171" s="405" t="s">
        <v>425</v>
      </c>
      <c r="B171" s="383">
        <v>0</v>
      </c>
      <c r="C171" s="383">
        <v>0</v>
      </c>
      <c r="D171" s="384">
        <v>0</v>
      </c>
      <c r="E171" s="385">
        <v>1</v>
      </c>
      <c r="F171" s="383">
        <v>0</v>
      </c>
      <c r="G171" s="384">
        <v>0</v>
      </c>
      <c r="H171" s="386">
        <v>2.5930000000000002E-2</v>
      </c>
      <c r="I171" s="383">
        <v>2.5930000000000002E-2</v>
      </c>
      <c r="J171" s="384">
        <v>2.5930000000000002E-2</v>
      </c>
      <c r="K171" s="394" t="s">
        <v>279</v>
      </c>
    </row>
    <row r="172" spans="1:11" ht="14.4" customHeight="1" thickBot="1" x14ac:dyDescent="0.35">
      <c r="A172" s="404" t="s">
        <v>426</v>
      </c>
      <c r="B172" s="388">
        <v>6.3831925316399998</v>
      </c>
      <c r="C172" s="388">
        <v>6.6162999999999998</v>
      </c>
      <c r="D172" s="389">
        <v>0.23310746835900001</v>
      </c>
      <c r="E172" s="395">
        <v>1.0365189467810001</v>
      </c>
      <c r="F172" s="388">
        <v>0</v>
      </c>
      <c r="G172" s="389">
        <v>0</v>
      </c>
      <c r="H172" s="391">
        <v>0.43806</v>
      </c>
      <c r="I172" s="388">
        <v>0.92610000000000003</v>
      </c>
      <c r="J172" s="389">
        <v>0.92610000000000003</v>
      </c>
      <c r="K172" s="392" t="s">
        <v>279</v>
      </c>
    </row>
    <row r="173" spans="1:11" ht="14.4" customHeight="1" thickBot="1" x14ac:dyDescent="0.35">
      <c r="A173" s="405" t="s">
        <v>427</v>
      </c>
      <c r="B173" s="383">
        <v>0.39852451546500001</v>
      </c>
      <c r="C173" s="383">
        <v>8.9499999999999996E-2</v>
      </c>
      <c r="D173" s="384">
        <v>-0.30902451546499998</v>
      </c>
      <c r="E173" s="385">
        <v>0.22457840490700001</v>
      </c>
      <c r="F173" s="383">
        <v>0</v>
      </c>
      <c r="G173" s="384">
        <v>0</v>
      </c>
      <c r="H173" s="386">
        <v>0</v>
      </c>
      <c r="I173" s="383">
        <v>0</v>
      </c>
      <c r="J173" s="384">
        <v>0</v>
      </c>
      <c r="K173" s="387">
        <v>2</v>
      </c>
    </row>
    <row r="174" spans="1:11" ht="14.4" customHeight="1" thickBot="1" x14ac:dyDescent="0.35">
      <c r="A174" s="405" t="s">
        <v>428</v>
      </c>
      <c r="B174" s="383">
        <v>5.984668016174</v>
      </c>
      <c r="C174" s="383">
        <v>6.5267999999999997</v>
      </c>
      <c r="D174" s="384">
        <v>0.54213198382500005</v>
      </c>
      <c r="E174" s="385">
        <v>1.0905868098880001</v>
      </c>
      <c r="F174" s="383">
        <v>0</v>
      </c>
      <c r="G174" s="384">
        <v>0</v>
      </c>
      <c r="H174" s="386">
        <v>0.43806</v>
      </c>
      <c r="I174" s="383">
        <v>0.92610000000000003</v>
      </c>
      <c r="J174" s="384">
        <v>0.92610000000000003</v>
      </c>
      <c r="K174" s="394" t="s">
        <v>279</v>
      </c>
    </row>
    <row r="175" spans="1:11" ht="14.4" customHeight="1" thickBot="1" x14ac:dyDescent="0.35">
      <c r="A175" s="404" t="s">
        <v>429</v>
      </c>
      <c r="B175" s="388">
        <v>70.111577909374006</v>
      </c>
      <c r="C175" s="388">
        <v>71.313509999999994</v>
      </c>
      <c r="D175" s="389">
        <v>1.2019320906249999</v>
      </c>
      <c r="E175" s="395">
        <v>1.017143132795</v>
      </c>
      <c r="F175" s="388">
        <v>0</v>
      </c>
      <c r="G175" s="389">
        <v>0</v>
      </c>
      <c r="H175" s="391">
        <v>5.5765099999999999</v>
      </c>
      <c r="I175" s="388">
        <v>11.027710000000001</v>
      </c>
      <c r="J175" s="389">
        <v>11.027710000000001</v>
      </c>
      <c r="K175" s="392" t="s">
        <v>279</v>
      </c>
    </row>
    <row r="176" spans="1:11" ht="14.4" customHeight="1" thickBot="1" x14ac:dyDescent="0.35">
      <c r="A176" s="405" t="s">
        <v>430</v>
      </c>
      <c r="B176" s="383">
        <v>70.111577909374006</v>
      </c>
      <c r="C176" s="383">
        <v>71.313509999999994</v>
      </c>
      <c r="D176" s="384">
        <v>1.2019320906249999</v>
      </c>
      <c r="E176" s="385">
        <v>1.017143132795</v>
      </c>
      <c r="F176" s="383">
        <v>0</v>
      </c>
      <c r="G176" s="384">
        <v>0</v>
      </c>
      <c r="H176" s="386">
        <v>5.5765099999999999</v>
      </c>
      <c r="I176" s="383">
        <v>11.027710000000001</v>
      </c>
      <c r="J176" s="384">
        <v>11.027710000000001</v>
      </c>
      <c r="K176" s="394" t="s">
        <v>279</v>
      </c>
    </row>
    <row r="177" spans="1:11" ht="14.4" customHeight="1" thickBot="1" x14ac:dyDescent="0.35">
      <c r="A177" s="404" t="s">
        <v>431</v>
      </c>
      <c r="B177" s="388">
        <v>0</v>
      </c>
      <c r="C177" s="388">
        <v>1.1200000000000001</v>
      </c>
      <c r="D177" s="389">
        <v>1.1200000000000001</v>
      </c>
      <c r="E177" s="390" t="s">
        <v>279</v>
      </c>
      <c r="F177" s="388">
        <v>0</v>
      </c>
      <c r="G177" s="389">
        <v>0</v>
      </c>
      <c r="H177" s="391">
        <v>0</v>
      </c>
      <c r="I177" s="388">
        <v>0</v>
      </c>
      <c r="J177" s="389">
        <v>0</v>
      </c>
      <c r="K177" s="396">
        <v>2</v>
      </c>
    </row>
    <row r="178" spans="1:11" ht="14.4" customHeight="1" thickBot="1" x14ac:dyDescent="0.35">
      <c r="A178" s="405" t="s">
        <v>432</v>
      </c>
      <c r="B178" s="383">
        <v>0</v>
      </c>
      <c r="C178" s="383">
        <v>1.1200000000000001</v>
      </c>
      <c r="D178" s="384">
        <v>1.1200000000000001</v>
      </c>
      <c r="E178" s="393" t="s">
        <v>279</v>
      </c>
      <c r="F178" s="383">
        <v>0</v>
      </c>
      <c r="G178" s="384">
        <v>0</v>
      </c>
      <c r="H178" s="386">
        <v>0</v>
      </c>
      <c r="I178" s="383">
        <v>0</v>
      </c>
      <c r="J178" s="384">
        <v>0</v>
      </c>
      <c r="K178" s="387">
        <v>2</v>
      </c>
    </row>
    <row r="179" spans="1:11" ht="14.4" customHeight="1" thickBot="1" x14ac:dyDescent="0.35">
      <c r="A179" s="404" t="s">
        <v>433</v>
      </c>
      <c r="B179" s="388">
        <v>1003.80602064177</v>
      </c>
      <c r="C179" s="388">
        <v>960.42938000000004</v>
      </c>
      <c r="D179" s="389">
        <v>-43.376640641765</v>
      </c>
      <c r="E179" s="395">
        <v>0.95678782578499999</v>
      </c>
      <c r="F179" s="388">
        <v>0</v>
      </c>
      <c r="G179" s="389">
        <v>0</v>
      </c>
      <c r="H179" s="391">
        <v>60.224969999999999</v>
      </c>
      <c r="I179" s="388">
        <v>123.38579</v>
      </c>
      <c r="J179" s="389">
        <v>123.38579</v>
      </c>
      <c r="K179" s="392" t="s">
        <v>279</v>
      </c>
    </row>
    <row r="180" spans="1:11" ht="14.4" customHeight="1" thickBot="1" x14ac:dyDescent="0.35">
      <c r="A180" s="405" t="s">
        <v>434</v>
      </c>
      <c r="B180" s="383">
        <v>1003.80602064177</v>
      </c>
      <c r="C180" s="383">
        <v>960.42938000000004</v>
      </c>
      <c r="D180" s="384">
        <v>-43.376640641765</v>
      </c>
      <c r="E180" s="385">
        <v>0.95678782578499999</v>
      </c>
      <c r="F180" s="383">
        <v>0</v>
      </c>
      <c r="G180" s="384">
        <v>0</v>
      </c>
      <c r="H180" s="386">
        <v>60.224969999999999</v>
      </c>
      <c r="I180" s="383">
        <v>123.38579</v>
      </c>
      <c r="J180" s="384">
        <v>123.38579</v>
      </c>
      <c r="K180" s="394" t="s">
        <v>279</v>
      </c>
    </row>
    <row r="181" spans="1:11" ht="14.4" customHeight="1" thickBot="1" x14ac:dyDescent="0.35">
      <c r="A181" s="404" t="s">
        <v>435</v>
      </c>
      <c r="B181" s="388">
        <v>0</v>
      </c>
      <c r="C181" s="388">
        <v>2.2040000000000002</v>
      </c>
      <c r="D181" s="389">
        <v>2.2040000000000002</v>
      </c>
      <c r="E181" s="390" t="s">
        <v>279</v>
      </c>
      <c r="F181" s="388">
        <v>0</v>
      </c>
      <c r="G181" s="389">
        <v>0</v>
      </c>
      <c r="H181" s="391">
        <v>0</v>
      </c>
      <c r="I181" s="388">
        <v>0</v>
      </c>
      <c r="J181" s="389">
        <v>0</v>
      </c>
      <c r="K181" s="396">
        <v>2</v>
      </c>
    </row>
    <row r="182" spans="1:11" ht="14.4" customHeight="1" thickBot="1" x14ac:dyDescent="0.35">
      <c r="A182" s="405" t="s">
        <v>436</v>
      </c>
      <c r="B182" s="383">
        <v>0</v>
      </c>
      <c r="C182" s="383">
        <v>2.2040000000000002</v>
      </c>
      <c r="D182" s="384">
        <v>2.2040000000000002</v>
      </c>
      <c r="E182" s="393" t="s">
        <v>279</v>
      </c>
      <c r="F182" s="383">
        <v>0</v>
      </c>
      <c r="G182" s="384">
        <v>0</v>
      </c>
      <c r="H182" s="386">
        <v>0</v>
      </c>
      <c r="I182" s="383">
        <v>0</v>
      </c>
      <c r="J182" s="384">
        <v>0</v>
      </c>
      <c r="K182" s="387">
        <v>2</v>
      </c>
    </row>
    <row r="183" spans="1:11" ht="14.4" customHeight="1" thickBot="1" x14ac:dyDescent="0.35">
      <c r="A183" s="404" t="s">
        <v>437</v>
      </c>
      <c r="B183" s="388">
        <v>1933.4658688664199</v>
      </c>
      <c r="C183" s="388">
        <v>1981.1441299999999</v>
      </c>
      <c r="D183" s="389">
        <v>47.678261133577998</v>
      </c>
      <c r="E183" s="395">
        <v>1.0246594790729999</v>
      </c>
      <c r="F183" s="388">
        <v>0</v>
      </c>
      <c r="G183" s="389">
        <v>0</v>
      </c>
      <c r="H183" s="391">
        <v>136.5548</v>
      </c>
      <c r="I183" s="388">
        <v>275.86630000000002</v>
      </c>
      <c r="J183" s="389">
        <v>275.86630000000002</v>
      </c>
      <c r="K183" s="392" t="s">
        <v>279</v>
      </c>
    </row>
    <row r="184" spans="1:11" ht="14.4" customHeight="1" thickBot="1" x14ac:dyDescent="0.35">
      <c r="A184" s="405" t="s">
        <v>438</v>
      </c>
      <c r="B184" s="383">
        <v>1933.4658688664199</v>
      </c>
      <c r="C184" s="383">
        <v>1981.1441299999999</v>
      </c>
      <c r="D184" s="384">
        <v>47.678261133577998</v>
      </c>
      <c r="E184" s="385">
        <v>1.0246594790729999</v>
      </c>
      <c r="F184" s="383">
        <v>0</v>
      </c>
      <c r="G184" s="384">
        <v>0</v>
      </c>
      <c r="H184" s="386">
        <v>136.5548</v>
      </c>
      <c r="I184" s="383">
        <v>275.86630000000002</v>
      </c>
      <c r="J184" s="384">
        <v>275.86630000000002</v>
      </c>
      <c r="K184" s="394" t="s">
        <v>279</v>
      </c>
    </row>
    <row r="185" spans="1:11" ht="14.4" customHeight="1" thickBot="1" x14ac:dyDescent="0.35">
      <c r="A185" s="409" t="s">
        <v>439</v>
      </c>
      <c r="B185" s="388">
        <v>0</v>
      </c>
      <c r="C185" s="388">
        <v>6.8779999999999994E-2</v>
      </c>
      <c r="D185" s="389">
        <v>6.8779999999999994E-2</v>
      </c>
      <c r="E185" s="390" t="s">
        <v>279</v>
      </c>
      <c r="F185" s="388">
        <v>0</v>
      </c>
      <c r="G185" s="389">
        <v>0</v>
      </c>
      <c r="H185" s="391">
        <v>0</v>
      </c>
      <c r="I185" s="388">
        <v>0</v>
      </c>
      <c r="J185" s="389">
        <v>0</v>
      </c>
      <c r="K185" s="396">
        <v>2</v>
      </c>
    </row>
    <row r="186" spans="1:11" ht="14.4" customHeight="1" thickBot="1" x14ac:dyDescent="0.35">
      <c r="A186" s="406" t="s">
        <v>440</v>
      </c>
      <c r="B186" s="388">
        <v>0</v>
      </c>
      <c r="C186" s="388">
        <v>6.8779999999999994E-2</v>
      </c>
      <c r="D186" s="389">
        <v>6.8779999999999994E-2</v>
      </c>
      <c r="E186" s="390" t="s">
        <v>279</v>
      </c>
      <c r="F186" s="388">
        <v>0</v>
      </c>
      <c r="G186" s="389">
        <v>0</v>
      </c>
      <c r="H186" s="391">
        <v>0</v>
      </c>
      <c r="I186" s="388">
        <v>0</v>
      </c>
      <c r="J186" s="389">
        <v>0</v>
      </c>
      <c r="K186" s="396">
        <v>2</v>
      </c>
    </row>
    <row r="187" spans="1:11" ht="14.4" customHeight="1" thickBot="1" x14ac:dyDescent="0.35">
      <c r="A187" s="408" t="s">
        <v>441</v>
      </c>
      <c r="B187" s="388">
        <v>0</v>
      </c>
      <c r="C187" s="388">
        <v>6.8779999999999994E-2</v>
      </c>
      <c r="D187" s="389">
        <v>6.8779999999999994E-2</v>
      </c>
      <c r="E187" s="390" t="s">
        <v>279</v>
      </c>
      <c r="F187" s="388">
        <v>0</v>
      </c>
      <c r="G187" s="389">
        <v>0</v>
      </c>
      <c r="H187" s="391">
        <v>0</v>
      </c>
      <c r="I187" s="388">
        <v>0</v>
      </c>
      <c r="J187" s="389">
        <v>0</v>
      </c>
      <c r="K187" s="396">
        <v>2</v>
      </c>
    </row>
    <row r="188" spans="1:11" ht="14.4" customHeight="1" thickBot="1" x14ac:dyDescent="0.35">
      <c r="A188" s="404" t="s">
        <v>442</v>
      </c>
      <c r="B188" s="388">
        <v>0</v>
      </c>
      <c r="C188" s="388">
        <v>6.8779999999999994E-2</v>
      </c>
      <c r="D188" s="389">
        <v>6.8779999999999994E-2</v>
      </c>
      <c r="E188" s="390" t="s">
        <v>279</v>
      </c>
      <c r="F188" s="388">
        <v>0</v>
      </c>
      <c r="G188" s="389">
        <v>0</v>
      </c>
      <c r="H188" s="391">
        <v>0</v>
      </c>
      <c r="I188" s="388">
        <v>0</v>
      </c>
      <c r="J188" s="389">
        <v>0</v>
      </c>
      <c r="K188" s="396">
        <v>2</v>
      </c>
    </row>
    <row r="189" spans="1:11" ht="14.4" customHeight="1" thickBot="1" x14ac:dyDescent="0.35">
      <c r="A189" s="405" t="s">
        <v>443</v>
      </c>
      <c r="B189" s="383">
        <v>0</v>
      </c>
      <c r="C189" s="383">
        <v>6.8779999999999994E-2</v>
      </c>
      <c r="D189" s="384">
        <v>6.8779999999999994E-2</v>
      </c>
      <c r="E189" s="393" t="s">
        <v>279</v>
      </c>
      <c r="F189" s="383">
        <v>0</v>
      </c>
      <c r="G189" s="384">
        <v>0</v>
      </c>
      <c r="H189" s="386">
        <v>0</v>
      </c>
      <c r="I189" s="383">
        <v>0</v>
      </c>
      <c r="J189" s="384">
        <v>0</v>
      </c>
      <c r="K189" s="387">
        <v>2</v>
      </c>
    </row>
    <row r="190" spans="1:11" ht="14.4" customHeight="1" thickBot="1" x14ac:dyDescent="0.35">
      <c r="A190" s="410"/>
      <c r="B190" s="383">
        <v>1172.2739975944601</v>
      </c>
      <c r="C190" s="383">
        <v>-798.46439000001203</v>
      </c>
      <c r="D190" s="384">
        <v>-1970.7383875944799</v>
      </c>
      <c r="E190" s="385">
        <v>-0.68112437163799999</v>
      </c>
      <c r="F190" s="383">
        <v>5337.7753191537204</v>
      </c>
      <c r="G190" s="384">
        <v>889.62921985895298</v>
      </c>
      <c r="H190" s="386">
        <v>599.41143</v>
      </c>
      <c r="I190" s="383">
        <v>1739.41445</v>
      </c>
      <c r="J190" s="384">
        <v>849.78523014104599</v>
      </c>
      <c r="K190" s="387">
        <v>0.32586880226199999</v>
      </c>
    </row>
    <row r="191" spans="1:11" ht="14.4" customHeight="1" thickBot="1" x14ac:dyDescent="0.35">
      <c r="A191" s="411" t="s">
        <v>52</v>
      </c>
      <c r="B191" s="397">
        <v>1172.2739975944601</v>
      </c>
      <c r="C191" s="397">
        <v>-798.46439000001203</v>
      </c>
      <c r="D191" s="398">
        <v>-1970.7383875944799</v>
      </c>
      <c r="E191" s="399" t="s">
        <v>279</v>
      </c>
      <c r="F191" s="397">
        <v>5337.7753191537204</v>
      </c>
      <c r="G191" s="398">
        <v>889.62921985895298</v>
      </c>
      <c r="H191" s="397">
        <v>599.41143</v>
      </c>
      <c r="I191" s="397">
        <v>1739.41445</v>
      </c>
      <c r="J191" s="398">
        <v>849.78523014104599</v>
      </c>
      <c r="K191" s="400">
        <v>0.32586880226199999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44" t="s">
        <v>115</v>
      </c>
      <c r="B1" s="345"/>
      <c r="C1" s="345"/>
      <c r="D1" s="345"/>
      <c r="E1" s="345"/>
      <c r="F1" s="345"/>
      <c r="G1" s="315"/>
      <c r="H1" s="346"/>
      <c r="I1" s="346"/>
    </row>
    <row r="2" spans="1:10" ht="14.4" customHeight="1" thickBot="1" x14ac:dyDescent="0.35">
      <c r="A2" s="203" t="s">
        <v>261</v>
      </c>
      <c r="B2" s="179"/>
      <c r="C2" s="179"/>
      <c r="D2" s="179"/>
      <c r="E2" s="179"/>
      <c r="F2" s="179"/>
    </row>
    <row r="3" spans="1:10" ht="14.4" customHeight="1" thickBot="1" x14ac:dyDescent="0.35">
      <c r="A3" s="203"/>
      <c r="B3" s="307"/>
      <c r="C3" s="306">
        <v>2015</v>
      </c>
      <c r="D3" s="264">
        <v>2016</v>
      </c>
      <c r="E3" s="7"/>
      <c r="F3" s="323">
        <v>2017</v>
      </c>
      <c r="G3" s="341"/>
      <c r="H3" s="341"/>
      <c r="I3" s="324"/>
    </row>
    <row r="4" spans="1:10" ht="14.4" customHeight="1" thickBot="1" x14ac:dyDescent="0.35">
      <c r="A4" s="268" t="s">
        <v>0</v>
      </c>
      <c r="B4" s="269" t="s">
        <v>200</v>
      </c>
      <c r="C4" s="342" t="s">
        <v>59</v>
      </c>
      <c r="D4" s="343"/>
      <c r="E4" s="270"/>
      <c r="F4" s="265" t="s">
        <v>59</v>
      </c>
      <c r="G4" s="266" t="s">
        <v>60</v>
      </c>
      <c r="H4" s="266" t="s">
        <v>54</v>
      </c>
      <c r="I4" s="267" t="s">
        <v>61</v>
      </c>
    </row>
    <row r="5" spans="1:10" ht="14.4" customHeight="1" x14ac:dyDescent="0.3">
      <c r="A5" s="412" t="s">
        <v>444</v>
      </c>
      <c r="B5" s="413" t="s">
        <v>445</v>
      </c>
      <c r="C5" s="414" t="s">
        <v>446</v>
      </c>
      <c r="D5" s="414" t="s">
        <v>446</v>
      </c>
      <c r="E5" s="414"/>
      <c r="F5" s="414" t="s">
        <v>446</v>
      </c>
      <c r="G5" s="414" t="s">
        <v>446</v>
      </c>
      <c r="H5" s="414" t="s">
        <v>446</v>
      </c>
      <c r="I5" s="415" t="s">
        <v>446</v>
      </c>
      <c r="J5" s="416" t="s">
        <v>55</v>
      </c>
    </row>
    <row r="6" spans="1:10" ht="14.4" customHeight="1" x14ac:dyDescent="0.3">
      <c r="A6" s="412" t="s">
        <v>444</v>
      </c>
      <c r="B6" s="413" t="s">
        <v>270</v>
      </c>
      <c r="C6" s="414">
        <v>0</v>
      </c>
      <c r="D6" s="414">
        <v>0</v>
      </c>
      <c r="E6" s="414"/>
      <c r="F6" s="414">
        <v>1.4043399999999999</v>
      </c>
      <c r="G6" s="414">
        <v>1.6666666666666667</v>
      </c>
      <c r="H6" s="414">
        <v>-0.26232666666666682</v>
      </c>
      <c r="I6" s="415">
        <v>0.84260399999999991</v>
      </c>
      <c r="J6" s="416" t="s">
        <v>1</v>
      </c>
    </row>
    <row r="7" spans="1:10" ht="14.4" customHeight="1" x14ac:dyDescent="0.3">
      <c r="A7" s="412" t="s">
        <v>444</v>
      </c>
      <c r="B7" s="413" t="s">
        <v>447</v>
      </c>
      <c r="C7" s="414">
        <v>0</v>
      </c>
      <c r="D7" s="414" t="s">
        <v>446</v>
      </c>
      <c r="E7" s="414"/>
      <c r="F7" s="414" t="s">
        <v>446</v>
      </c>
      <c r="G7" s="414" t="s">
        <v>446</v>
      </c>
      <c r="H7" s="414" t="s">
        <v>446</v>
      </c>
      <c r="I7" s="415" t="s">
        <v>446</v>
      </c>
      <c r="J7" s="416" t="s">
        <v>1</v>
      </c>
    </row>
    <row r="8" spans="1:10" ht="14.4" customHeight="1" x14ac:dyDescent="0.3">
      <c r="A8" s="412" t="s">
        <v>444</v>
      </c>
      <c r="B8" s="413" t="s">
        <v>448</v>
      </c>
      <c r="C8" s="414">
        <v>0</v>
      </c>
      <c r="D8" s="414">
        <v>0</v>
      </c>
      <c r="E8" s="414"/>
      <c r="F8" s="414">
        <v>1.4043399999999999</v>
      </c>
      <c r="G8" s="414">
        <v>1.6666666666666667</v>
      </c>
      <c r="H8" s="414">
        <v>-0.26232666666666682</v>
      </c>
      <c r="I8" s="415">
        <v>0.84260399999999991</v>
      </c>
      <c r="J8" s="416" t="s">
        <v>449</v>
      </c>
    </row>
    <row r="10" spans="1:10" ht="14.4" customHeight="1" x14ac:dyDescent="0.3">
      <c r="A10" s="412" t="s">
        <v>444</v>
      </c>
      <c r="B10" s="413" t="s">
        <v>445</v>
      </c>
      <c r="C10" s="414" t="s">
        <v>446</v>
      </c>
      <c r="D10" s="414" t="s">
        <v>446</v>
      </c>
      <c r="E10" s="414"/>
      <c r="F10" s="414" t="s">
        <v>446</v>
      </c>
      <c r="G10" s="414" t="s">
        <v>446</v>
      </c>
      <c r="H10" s="414" t="s">
        <v>446</v>
      </c>
      <c r="I10" s="415" t="s">
        <v>446</v>
      </c>
      <c r="J10" s="416" t="s">
        <v>55</v>
      </c>
    </row>
    <row r="11" spans="1:10" ht="14.4" customHeight="1" x14ac:dyDescent="0.3">
      <c r="A11" s="412" t="s">
        <v>450</v>
      </c>
      <c r="B11" s="413" t="s">
        <v>451</v>
      </c>
      <c r="C11" s="414" t="s">
        <v>446</v>
      </c>
      <c r="D11" s="414" t="s">
        <v>446</v>
      </c>
      <c r="E11" s="414"/>
      <c r="F11" s="414" t="s">
        <v>446</v>
      </c>
      <c r="G11" s="414" t="s">
        <v>446</v>
      </c>
      <c r="H11" s="414" t="s">
        <v>446</v>
      </c>
      <c r="I11" s="415" t="s">
        <v>446</v>
      </c>
      <c r="J11" s="416" t="s">
        <v>0</v>
      </c>
    </row>
    <row r="12" spans="1:10" ht="14.4" customHeight="1" x14ac:dyDescent="0.3">
      <c r="A12" s="412" t="s">
        <v>450</v>
      </c>
      <c r="B12" s="413" t="s">
        <v>270</v>
      </c>
      <c r="C12" s="414">
        <v>0</v>
      </c>
      <c r="D12" s="414">
        <v>0</v>
      </c>
      <c r="E12" s="414"/>
      <c r="F12" s="414">
        <v>1.4043399999999999</v>
      </c>
      <c r="G12" s="414">
        <v>1.6666666666666667</v>
      </c>
      <c r="H12" s="414">
        <v>-0.26232666666666682</v>
      </c>
      <c r="I12" s="415">
        <v>0.84260399999999991</v>
      </c>
      <c r="J12" s="416" t="s">
        <v>1</v>
      </c>
    </row>
    <row r="13" spans="1:10" ht="14.4" customHeight="1" x14ac:dyDescent="0.3">
      <c r="A13" s="412" t="s">
        <v>450</v>
      </c>
      <c r="B13" s="413" t="s">
        <v>447</v>
      </c>
      <c r="C13" s="414">
        <v>0</v>
      </c>
      <c r="D13" s="414" t="s">
        <v>446</v>
      </c>
      <c r="E13" s="414"/>
      <c r="F13" s="414" t="s">
        <v>446</v>
      </c>
      <c r="G13" s="414" t="s">
        <v>446</v>
      </c>
      <c r="H13" s="414" t="s">
        <v>446</v>
      </c>
      <c r="I13" s="415" t="s">
        <v>446</v>
      </c>
      <c r="J13" s="416" t="s">
        <v>1</v>
      </c>
    </row>
    <row r="14" spans="1:10" ht="14.4" customHeight="1" x14ac:dyDescent="0.3">
      <c r="A14" s="412" t="s">
        <v>450</v>
      </c>
      <c r="B14" s="413" t="s">
        <v>452</v>
      </c>
      <c r="C14" s="414">
        <v>0</v>
      </c>
      <c r="D14" s="414">
        <v>0</v>
      </c>
      <c r="E14" s="414"/>
      <c r="F14" s="414">
        <v>1.4043399999999999</v>
      </c>
      <c r="G14" s="414">
        <v>1.6666666666666667</v>
      </c>
      <c r="H14" s="414">
        <v>-0.26232666666666682</v>
      </c>
      <c r="I14" s="415">
        <v>0.84260399999999991</v>
      </c>
      <c r="J14" s="416" t="s">
        <v>453</v>
      </c>
    </row>
    <row r="15" spans="1:10" ht="14.4" customHeight="1" x14ac:dyDescent="0.3">
      <c r="A15" s="412" t="s">
        <v>446</v>
      </c>
      <c r="B15" s="413" t="s">
        <v>446</v>
      </c>
      <c r="C15" s="414" t="s">
        <v>446</v>
      </c>
      <c r="D15" s="414" t="s">
        <v>446</v>
      </c>
      <c r="E15" s="414"/>
      <c r="F15" s="414" t="s">
        <v>446</v>
      </c>
      <c r="G15" s="414" t="s">
        <v>446</v>
      </c>
      <c r="H15" s="414" t="s">
        <v>446</v>
      </c>
      <c r="I15" s="415" t="s">
        <v>446</v>
      </c>
      <c r="J15" s="416" t="s">
        <v>454</v>
      </c>
    </row>
    <row r="16" spans="1:10" ht="14.4" customHeight="1" x14ac:dyDescent="0.3">
      <c r="A16" s="412" t="s">
        <v>444</v>
      </c>
      <c r="B16" s="413" t="s">
        <v>448</v>
      </c>
      <c r="C16" s="414">
        <v>0</v>
      </c>
      <c r="D16" s="414">
        <v>0</v>
      </c>
      <c r="E16" s="414"/>
      <c r="F16" s="414">
        <v>1.4043399999999999</v>
      </c>
      <c r="G16" s="414">
        <v>1.6666666666666667</v>
      </c>
      <c r="H16" s="414">
        <v>-0.26232666666666682</v>
      </c>
      <c r="I16" s="415">
        <v>0.84260399999999991</v>
      </c>
      <c r="J16" s="416" t="s">
        <v>449</v>
      </c>
    </row>
  </sheetData>
  <mergeCells count="3">
    <mergeCell ref="F3:I3"/>
    <mergeCell ref="C4:D4"/>
    <mergeCell ref="A1:I1"/>
  </mergeCells>
  <conditionalFormatting sqref="F9 F17:F65537">
    <cfRule type="cellIs" dxfId="43" priority="18" stopIfTrue="1" operator="greaterThan">
      <formula>1</formula>
    </cfRule>
  </conditionalFormatting>
  <conditionalFormatting sqref="H5:H8">
    <cfRule type="expression" dxfId="42" priority="14">
      <formula>$H5&gt;0</formula>
    </cfRule>
  </conditionalFormatting>
  <conditionalFormatting sqref="I5:I8">
    <cfRule type="expression" dxfId="41" priority="15">
      <formula>$I5&gt;1</formula>
    </cfRule>
  </conditionalFormatting>
  <conditionalFormatting sqref="B5:B8">
    <cfRule type="expression" dxfId="40" priority="11">
      <formula>OR($J5="NS",$J5="SumaNS",$J5="Účet")</formula>
    </cfRule>
  </conditionalFormatting>
  <conditionalFormatting sqref="B5:D8 F5:I8">
    <cfRule type="expression" dxfId="39" priority="17">
      <formula>AND($J5&lt;&gt;"",$J5&lt;&gt;"mezeraKL")</formula>
    </cfRule>
  </conditionalFormatting>
  <conditionalFormatting sqref="B5:D8 F5:I8">
    <cfRule type="expression" dxfId="38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37" priority="13">
      <formula>OR($J5="SumaNS",$J5="NS")</formula>
    </cfRule>
  </conditionalFormatting>
  <conditionalFormatting sqref="A5:A8">
    <cfRule type="expression" dxfId="36" priority="9">
      <formula>AND($J5&lt;&gt;"mezeraKL",$J5&lt;&gt;"")</formula>
    </cfRule>
  </conditionalFormatting>
  <conditionalFormatting sqref="A5:A8">
    <cfRule type="expression" dxfId="35" priority="10">
      <formula>AND($J5&lt;&gt;"",$J5&lt;&gt;"mezeraKL")</formula>
    </cfRule>
  </conditionalFormatting>
  <conditionalFormatting sqref="H10:H16">
    <cfRule type="expression" dxfId="34" priority="5">
      <formula>$H10&gt;0</formula>
    </cfRule>
  </conditionalFormatting>
  <conditionalFormatting sqref="A10:A16">
    <cfRule type="expression" dxfId="33" priority="2">
      <formula>AND($J10&lt;&gt;"mezeraKL",$J10&lt;&gt;"")</formula>
    </cfRule>
  </conditionalFormatting>
  <conditionalFormatting sqref="I10:I16">
    <cfRule type="expression" dxfId="32" priority="6">
      <formula>$I10&gt;1</formula>
    </cfRule>
  </conditionalFormatting>
  <conditionalFormatting sqref="B10:B16">
    <cfRule type="expression" dxfId="31" priority="1">
      <formula>OR($J10="NS",$J10="SumaNS",$J10="Účet")</formula>
    </cfRule>
  </conditionalFormatting>
  <conditionalFormatting sqref="A10:D16 F10:I16">
    <cfRule type="expression" dxfId="30" priority="8">
      <formula>AND($J10&lt;&gt;"",$J10&lt;&gt;"mezeraKL")</formula>
    </cfRule>
  </conditionalFormatting>
  <conditionalFormatting sqref="B10:D16 F10:I16">
    <cfRule type="expression" dxfId="29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28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2.6640625" style="180" customWidth="1"/>
    <col min="15" max="16384" width="8.88671875" style="104"/>
  </cols>
  <sheetData>
    <row r="1" spans="1:14" ht="18.600000000000001" customHeight="1" thickBot="1" x14ac:dyDescent="0.4">
      <c r="A1" s="351" t="s">
        <v>131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</row>
    <row r="2" spans="1:14" ht="14.4" customHeight="1" thickBot="1" x14ac:dyDescent="0.35">
      <c r="A2" s="203" t="s">
        <v>261</v>
      </c>
      <c r="B2" s="57"/>
      <c r="C2" s="184"/>
      <c r="D2" s="184"/>
      <c r="E2" s="184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47"/>
      <c r="D3" s="348"/>
      <c r="E3" s="348"/>
      <c r="F3" s="348"/>
      <c r="G3" s="348"/>
      <c r="H3" s="348"/>
      <c r="I3" s="348"/>
      <c r="J3" s="349" t="s">
        <v>112</v>
      </c>
      <c r="K3" s="350"/>
      <c r="L3" s="74">
        <f>IF(M3&lt;&gt;0,N3/M3,0)</f>
        <v>351.08466646435323</v>
      </c>
      <c r="M3" s="74">
        <f>SUBTOTAL(9,M5:M1048576)</f>
        <v>4</v>
      </c>
      <c r="N3" s="75">
        <f>SUBTOTAL(9,N5:N1048576)</f>
        <v>1404.3386658574129</v>
      </c>
    </row>
    <row r="4" spans="1:14" s="181" customFormat="1" ht="14.4" customHeight="1" thickBot="1" x14ac:dyDescent="0.35">
      <c r="A4" s="417" t="s">
        <v>4</v>
      </c>
      <c r="B4" s="418" t="s">
        <v>5</v>
      </c>
      <c r="C4" s="418" t="s">
        <v>0</v>
      </c>
      <c r="D4" s="418" t="s">
        <v>6</v>
      </c>
      <c r="E4" s="418" t="s">
        <v>7</v>
      </c>
      <c r="F4" s="418" t="s">
        <v>1</v>
      </c>
      <c r="G4" s="418" t="s">
        <v>8</v>
      </c>
      <c r="H4" s="418" t="s">
        <v>9</v>
      </c>
      <c r="I4" s="418" t="s">
        <v>10</v>
      </c>
      <c r="J4" s="419" t="s">
        <v>11</v>
      </c>
      <c r="K4" s="419" t="s">
        <v>12</v>
      </c>
      <c r="L4" s="420" t="s">
        <v>119</v>
      </c>
      <c r="M4" s="420" t="s">
        <v>13</v>
      </c>
      <c r="N4" s="421" t="s">
        <v>127</v>
      </c>
    </row>
    <row r="5" spans="1:14" ht="14.4" customHeight="1" x14ac:dyDescent="0.3">
      <c r="A5" s="422" t="s">
        <v>444</v>
      </c>
      <c r="B5" s="423" t="s">
        <v>445</v>
      </c>
      <c r="C5" s="424" t="s">
        <v>450</v>
      </c>
      <c r="D5" s="425" t="s">
        <v>468</v>
      </c>
      <c r="E5" s="424" t="s">
        <v>455</v>
      </c>
      <c r="F5" s="425" t="s">
        <v>469</v>
      </c>
      <c r="G5" s="424" t="s">
        <v>456</v>
      </c>
      <c r="H5" s="424" t="s">
        <v>457</v>
      </c>
      <c r="I5" s="424" t="s">
        <v>458</v>
      </c>
      <c r="J5" s="424" t="s">
        <v>459</v>
      </c>
      <c r="K5" s="424" t="s">
        <v>460</v>
      </c>
      <c r="L5" s="426">
        <v>292.33</v>
      </c>
      <c r="M5" s="426">
        <v>1</v>
      </c>
      <c r="N5" s="427">
        <v>292.33</v>
      </c>
    </row>
    <row r="6" spans="1:14" ht="14.4" customHeight="1" x14ac:dyDescent="0.3">
      <c r="A6" s="428" t="s">
        <v>444</v>
      </c>
      <c r="B6" s="429" t="s">
        <v>445</v>
      </c>
      <c r="C6" s="430" t="s">
        <v>450</v>
      </c>
      <c r="D6" s="431" t="s">
        <v>468</v>
      </c>
      <c r="E6" s="430" t="s">
        <v>455</v>
      </c>
      <c r="F6" s="431" t="s">
        <v>469</v>
      </c>
      <c r="G6" s="430" t="s">
        <v>456</v>
      </c>
      <c r="H6" s="430" t="s">
        <v>461</v>
      </c>
      <c r="I6" s="430" t="s">
        <v>462</v>
      </c>
      <c r="J6" s="430" t="s">
        <v>463</v>
      </c>
      <c r="K6" s="430" t="s">
        <v>464</v>
      </c>
      <c r="L6" s="432">
        <v>344.84933292870647</v>
      </c>
      <c r="M6" s="432">
        <v>2</v>
      </c>
      <c r="N6" s="433">
        <v>689.69866585741295</v>
      </c>
    </row>
    <row r="7" spans="1:14" ht="14.4" customHeight="1" thickBot="1" x14ac:dyDescent="0.35">
      <c r="A7" s="434" t="s">
        <v>444</v>
      </c>
      <c r="B7" s="435" t="s">
        <v>445</v>
      </c>
      <c r="C7" s="436" t="s">
        <v>450</v>
      </c>
      <c r="D7" s="437" t="s">
        <v>468</v>
      </c>
      <c r="E7" s="436" t="s">
        <v>455</v>
      </c>
      <c r="F7" s="437" t="s">
        <v>469</v>
      </c>
      <c r="G7" s="436" t="s">
        <v>456</v>
      </c>
      <c r="H7" s="436" t="s">
        <v>465</v>
      </c>
      <c r="I7" s="436" t="s">
        <v>465</v>
      </c>
      <c r="J7" s="436" t="s">
        <v>466</v>
      </c>
      <c r="K7" s="436" t="s">
        <v>467</v>
      </c>
      <c r="L7" s="438">
        <v>422.31</v>
      </c>
      <c r="M7" s="438">
        <v>1</v>
      </c>
      <c r="N7" s="439">
        <v>422.31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3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4"/>
  </cols>
  <sheetData>
    <row r="1" spans="1:17" ht="18.600000000000001" customHeight="1" thickBot="1" x14ac:dyDescent="0.4">
      <c r="A1" s="352" t="s">
        <v>201</v>
      </c>
      <c r="B1" s="352"/>
      <c r="C1" s="352"/>
      <c r="D1" s="352"/>
      <c r="E1" s="352"/>
      <c r="F1" s="315"/>
      <c r="G1" s="315"/>
      <c r="H1" s="315"/>
      <c r="I1" s="315"/>
      <c r="J1" s="346"/>
      <c r="K1" s="346"/>
      <c r="L1" s="346"/>
      <c r="M1" s="346"/>
      <c r="N1" s="346"/>
      <c r="O1" s="346"/>
      <c r="P1" s="346"/>
      <c r="Q1" s="346"/>
    </row>
    <row r="2" spans="1:17" ht="14.4" customHeight="1" thickBot="1" x14ac:dyDescent="0.35">
      <c r="A2" s="203" t="s">
        <v>261</v>
      </c>
      <c r="B2" s="187"/>
      <c r="C2" s="187"/>
      <c r="D2" s="187"/>
      <c r="E2" s="187"/>
    </row>
    <row r="3" spans="1:17" ht="14.4" customHeight="1" thickBot="1" x14ac:dyDescent="0.35">
      <c r="A3" s="272" t="s">
        <v>3</v>
      </c>
      <c r="B3" s="276">
        <f>SUM(B6:B1048576)</f>
        <v>16</v>
      </c>
      <c r="C3" s="277">
        <f>SUM(C6:C1048576)</f>
        <v>0</v>
      </c>
      <c r="D3" s="277">
        <f>SUM(D6:D1048576)</f>
        <v>0</v>
      </c>
      <c r="E3" s="278">
        <f>SUM(E6:E1048576)</f>
        <v>0</v>
      </c>
      <c r="F3" s="275">
        <f>IF(SUM($B3:$E3)=0,"",B3/SUM($B3:$E3))</f>
        <v>1</v>
      </c>
      <c r="G3" s="273">
        <f t="shared" ref="G3:I3" si="0">IF(SUM($B3:$E3)=0,"",C3/SUM($B3:$E3))</f>
        <v>0</v>
      </c>
      <c r="H3" s="273">
        <f t="shared" si="0"/>
        <v>0</v>
      </c>
      <c r="I3" s="274">
        <f t="shared" si="0"/>
        <v>0</v>
      </c>
      <c r="J3" s="277">
        <f>SUM(J6:J1048576)</f>
        <v>3</v>
      </c>
      <c r="K3" s="277">
        <f>SUM(K6:K1048576)</f>
        <v>0</v>
      </c>
      <c r="L3" s="277">
        <f>SUM(L6:L1048576)</f>
        <v>0</v>
      </c>
      <c r="M3" s="278">
        <f>SUM(M6:M1048576)</f>
        <v>0</v>
      </c>
      <c r="N3" s="275">
        <f>IF(SUM($J3:$M3)=0,"",J3/SUM($J3:$M3))</f>
        <v>1</v>
      </c>
      <c r="O3" s="273">
        <f t="shared" ref="O3:Q3" si="1">IF(SUM($J3:$M3)=0,"",K3/SUM($J3:$M3))</f>
        <v>0</v>
      </c>
      <c r="P3" s="273">
        <f t="shared" si="1"/>
        <v>0</v>
      </c>
      <c r="Q3" s="274">
        <f t="shared" si="1"/>
        <v>0</v>
      </c>
    </row>
    <row r="4" spans="1:17" ht="14.4" customHeight="1" thickBot="1" x14ac:dyDescent="0.35">
      <c r="A4" s="271"/>
      <c r="B4" s="356" t="s">
        <v>203</v>
      </c>
      <c r="C4" s="357"/>
      <c r="D4" s="357"/>
      <c r="E4" s="358"/>
      <c r="F4" s="353" t="s">
        <v>208</v>
      </c>
      <c r="G4" s="354"/>
      <c r="H4" s="354"/>
      <c r="I4" s="355"/>
      <c r="J4" s="356" t="s">
        <v>209</v>
      </c>
      <c r="K4" s="357"/>
      <c r="L4" s="357"/>
      <c r="M4" s="358"/>
      <c r="N4" s="353" t="s">
        <v>210</v>
      </c>
      <c r="O4" s="354"/>
      <c r="P4" s="354"/>
      <c r="Q4" s="355"/>
    </row>
    <row r="5" spans="1:17" ht="14.4" customHeight="1" thickBot="1" x14ac:dyDescent="0.35">
      <c r="A5" s="440" t="s">
        <v>202</v>
      </c>
      <c r="B5" s="441" t="s">
        <v>204</v>
      </c>
      <c r="C5" s="441" t="s">
        <v>205</v>
      </c>
      <c r="D5" s="441" t="s">
        <v>206</v>
      </c>
      <c r="E5" s="442" t="s">
        <v>207</v>
      </c>
      <c r="F5" s="443" t="s">
        <v>204</v>
      </c>
      <c r="G5" s="444" t="s">
        <v>205</v>
      </c>
      <c r="H5" s="444" t="s">
        <v>206</v>
      </c>
      <c r="I5" s="445" t="s">
        <v>207</v>
      </c>
      <c r="J5" s="441" t="s">
        <v>204</v>
      </c>
      <c r="K5" s="441" t="s">
        <v>205</v>
      </c>
      <c r="L5" s="441" t="s">
        <v>206</v>
      </c>
      <c r="M5" s="442" t="s">
        <v>207</v>
      </c>
      <c r="N5" s="443" t="s">
        <v>204</v>
      </c>
      <c r="O5" s="444" t="s">
        <v>205</v>
      </c>
      <c r="P5" s="444" t="s">
        <v>206</v>
      </c>
      <c r="Q5" s="445" t="s">
        <v>207</v>
      </c>
    </row>
    <row r="6" spans="1:17" ht="14.4" customHeight="1" x14ac:dyDescent="0.3">
      <c r="A6" s="451" t="s">
        <v>470</v>
      </c>
      <c r="B6" s="455"/>
      <c r="C6" s="426"/>
      <c r="D6" s="426"/>
      <c r="E6" s="427"/>
      <c r="F6" s="453"/>
      <c r="G6" s="447"/>
      <c r="H6" s="447"/>
      <c r="I6" s="457"/>
      <c r="J6" s="455"/>
      <c r="K6" s="426"/>
      <c r="L6" s="426"/>
      <c r="M6" s="427"/>
      <c r="N6" s="453"/>
      <c r="O6" s="447"/>
      <c r="P6" s="447"/>
      <c r="Q6" s="448"/>
    </row>
    <row r="7" spans="1:17" ht="14.4" customHeight="1" thickBot="1" x14ac:dyDescent="0.35">
      <c r="A7" s="452" t="s">
        <v>471</v>
      </c>
      <c r="B7" s="456">
        <v>16</v>
      </c>
      <c r="C7" s="438"/>
      <c r="D7" s="438"/>
      <c r="E7" s="439"/>
      <c r="F7" s="454">
        <v>1</v>
      </c>
      <c r="G7" s="449">
        <v>0</v>
      </c>
      <c r="H7" s="449">
        <v>0</v>
      </c>
      <c r="I7" s="458">
        <v>0</v>
      </c>
      <c r="J7" s="456">
        <v>3</v>
      </c>
      <c r="K7" s="438"/>
      <c r="L7" s="438"/>
      <c r="M7" s="439"/>
      <c r="N7" s="454">
        <v>1</v>
      </c>
      <c r="O7" s="449">
        <v>0</v>
      </c>
      <c r="P7" s="449">
        <v>0</v>
      </c>
      <c r="Q7" s="45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1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2017-03-31T13:20:17Z</dcterms:modified>
</cp:coreProperties>
</file>