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K20" i="419" l="1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K18" i="419" l="1"/>
  <c r="B25" i="419"/>
  <c r="B27" i="419" l="1"/>
  <c r="A8" i="414"/>
  <c r="A7" i="414"/>
  <c r="J21" i="419" l="1"/>
  <c r="I21" i="419"/>
  <c r="H21" i="419"/>
  <c r="H22" i="419" s="1"/>
  <c r="G21" i="419"/>
  <c r="J20" i="419"/>
  <c r="I20" i="419"/>
  <c r="H20" i="419"/>
  <c r="G20" i="419"/>
  <c r="J19" i="419"/>
  <c r="I19" i="419"/>
  <c r="H19" i="419"/>
  <c r="G19" i="419"/>
  <c r="J17" i="419"/>
  <c r="I17" i="419"/>
  <c r="H17" i="419"/>
  <c r="G17" i="419"/>
  <c r="J16" i="419"/>
  <c r="I16" i="419"/>
  <c r="H16" i="419"/>
  <c r="G16" i="419"/>
  <c r="J14" i="419"/>
  <c r="I14" i="419"/>
  <c r="H14" i="419"/>
  <c r="G14" i="419"/>
  <c r="J13" i="419"/>
  <c r="I13" i="419"/>
  <c r="H13" i="419"/>
  <c r="G13" i="419"/>
  <c r="J12" i="419"/>
  <c r="I12" i="419"/>
  <c r="H12" i="419"/>
  <c r="G12" i="419"/>
  <c r="J11" i="419"/>
  <c r="I11" i="419"/>
  <c r="H11" i="419"/>
  <c r="G11" i="419"/>
  <c r="G18" i="419" l="1"/>
  <c r="H18" i="419"/>
  <c r="I23" i="419"/>
  <c r="J23" i="419"/>
  <c r="G23" i="419"/>
  <c r="H23" i="419"/>
  <c r="I18" i="419"/>
  <c r="J18" i="419"/>
  <c r="I22" i="419"/>
  <c r="J22" i="419"/>
  <c r="G22" i="419"/>
  <c r="N3" i="418"/>
  <c r="F21" i="419" l="1"/>
  <c r="F22" i="419" s="1"/>
  <c r="E21" i="419"/>
  <c r="C21" i="419"/>
  <c r="C22" i="419" s="1"/>
  <c r="F20" i="419"/>
  <c r="E20" i="419"/>
  <c r="C20" i="419"/>
  <c r="F19" i="419"/>
  <c r="E19" i="419"/>
  <c r="C19" i="419"/>
  <c r="F17" i="419"/>
  <c r="E17" i="419"/>
  <c r="C17" i="419"/>
  <c r="F16" i="419"/>
  <c r="E16" i="419"/>
  <c r="C16" i="419"/>
  <c r="F14" i="419"/>
  <c r="E14" i="419"/>
  <c r="C14" i="419"/>
  <c r="F13" i="419"/>
  <c r="E13" i="419"/>
  <c r="C13" i="419"/>
  <c r="F12" i="419"/>
  <c r="E12" i="419"/>
  <c r="C12" i="419"/>
  <c r="F11" i="419"/>
  <c r="E11" i="419"/>
  <c r="C11" i="419"/>
  <c r="E18" i="419" l="1"/>
  <c r="E23" i="419"/>
  <c r="C18" i="419"/>
  <c r="F18" i="419"/>
  <c r="F23" i="419"/>
  <c r="E22" i="419"/>
  <c r="C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D6" i="419" l="1"/>
  <c r="J6" i="419"/>
  <c r="G6" i="419"/>
  <c r="F6" i="419"/>
  <c r="H6" i="419"/>
  <c r="K6" i="419"/>
  <c r="I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<sst xmlns="http://schemas.openxmlformats.org/spreadsheetml/2006/main" count="2830" uniqueCount="759">
  <si>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</si>
  <si>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</si>
  <si>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</si>
  <si>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</si>
  <si>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</si>
  <si>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</si>
  <si>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</si>
  <si>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</si>
  <si>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</si>
  <si>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</si>
  <si>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</si>
  <si>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</si>
  <si>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</si>
  <si>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</si>
  <si>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</si>
  <si>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</si>
  <si>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</si>
  <si>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</si>
  <si>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</si>
  <si>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</si>
  <si>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</si>
  <si>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</si>
  <si>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</si>
  <si>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</si>
  <si>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</si>
  <si>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</si>
  <si>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</si>
  <si>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</si>
  <si>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</si>
  <si>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</si>
  <si>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</si>
  <si>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</si>
  <si>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</si>
  <si>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</si>
  <si>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</si>
  <si>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</si>
  <si>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</si>
  <si>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</si>
  <si>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</si>
  <si>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</si>
  <si>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</si>
  <si>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</si>
  <si>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</si>
  <si>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</si>
  <si>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</si>
  <si>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</si>
  <si>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</si>
  <si>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</si>
  <si>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</si>
  <si>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</si>
  <si>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</si>
  <si>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</si>
  <si>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</si>
  <si>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</si>
  <si>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</si>
  <si>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</si>
  <si>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</si>
  <si>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</si>
  <si>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</si>
  <si>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</si>
  <si>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</si>
  <si>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</si>
  <si>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</si>
  <si>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</si>
  <si>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</si>
  <si>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</si>
  <si>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</si>
  <si>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</si>
  <si>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</si>
  <si>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</si>
  <si>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</si>
  <si>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</si>
  <si>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</si>
  <si>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</si>
  <si>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</si>
  <si>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</si>
  <si>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</si>
  <si>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</si>
  <si>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</si>
  <si>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</si>
  <si>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</si>
  <si>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</si>
  <si>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</si>
  <si>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</si>
  <si>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</si>
  <si>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</si>
  <si>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</si>
  <si>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</si>
  <si>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</si>
  <si>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</si>
  <si>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</si>
  <si>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</si>
  <si>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</si>
  <si>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</si>
  <si>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</si>
  <si>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</si>
  <si>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</si>
  <si>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</si>
  <si>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</si>
  <si>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</si>
  <si>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</si>
  <si>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</si>
  <si>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</si>
  <si>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</si>
  <si>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</si>
  <si>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</si>
  <si>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</si>
  <si>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</si>
  <si>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</si>
  <si>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</si>
  <si>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</si>
  <si>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</si>
  <si>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</si>
  <si>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</si>
  <si>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</si>
  <si>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</si>
  <si>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</si>
  <si>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</si>
  <si>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</si>
  <si>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</si>
  <si>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</si>
  <si>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</si>
  <si>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</si>
  <si>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</si>
  <si>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</si>
  <si>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</si>
  <si>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</si>
  <si>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</si>
  <si>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</si>
  <si>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</si>
  <si>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</si>
  <si>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</si>
  <si>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</si>
  <si>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</si>
  <si>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</si>
  <si>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</si>
  <si>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</si>
  <si>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</si>
  <si>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</si>
  <si>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</si>
  <si>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</si>
  <si>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</si>
  <si>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</si>
  <si>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</si>
  <si>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</si>
  <si>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</si>
  <si>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</si>
  <si>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</si>
  <si>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</si>
  <si>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</si>
  <si>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</si>
  <si>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</si>
  <si>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</si>
  <si>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</si>
  <si>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</si>
  <si>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</si>
  <si>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</si>
  <si>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</si>
  <si>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</si>
  <si>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</si>
  <si>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</si>
  <si>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</si>
  <si>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</si>
  <si>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</si>
  <si>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</si>
  <si>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</si>
  <si>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</si>
  <si>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</si>
  <si>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</si>
  <si>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</si>
  <si>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</si>
  <si>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</si>
  <si>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</si>
  <si>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</si>
  <si>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</si>
  <si>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</si>
  <si>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</si>
  <si>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</si>
  <si>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</si>
  <si>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</si>
  <si>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</si>
  <si>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</si>
  <si>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</si>
  <si>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</si>
  <si>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</si>
  <si>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</si>
  <si>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</si>
  <si>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</si>
  <si>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</si>
  <si>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</si>
  <si>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</si>
  <si>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zubní lékaři specialisti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</si>
  <si>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</si>
  <si>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</si>
  <si>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</si>
  <si>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</si>
  <si>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</si>
  <si>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</si>
  <si>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</si>
  <si>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</si>
  <si>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</si>
  <si>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</si>
  <si>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</si>
  <si>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</si>
  <si>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</si>
  <si>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</si>
  <si>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</si>
  <si>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</si>
  <si>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</si>
  <si>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</si>
  <si>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</si>
  <si>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</si>
  <si>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</si>
  <si>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</si>
  <si>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</si>
  <si>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</si>
  <si>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</si>
  <si>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</si>
  <si>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</si>
  <si>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</si>
  <si>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</si>
  <si>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</si>
  <si>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</si>
  <si>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</si>
  <si>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</si>
  <si>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</si>
  <si>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</si>
  <si>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</si>
  <si>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</si>
  <si>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</si>
  <si>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</si>
  <si>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</si>
  <si>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</si>
  <si>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</si>
  <si>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</si>
  <si>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</si>
  <si>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</si>
  <si>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</si>
  <si>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</si>
  <si>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</si>
  <si>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</si>
  <si>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</si>
  <si>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</si>
  <si>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</si>
  <si>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</si>
  <si>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</si>
  <si>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</si>
  <si>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</si>
  <si>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</si>
  <si>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</si>
  <si>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</si>
  <si>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</si>
  <si>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</si>
  <si>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</si>
  <si>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</si>
  <si>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</si>
  <si>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</si>
  <si>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</si>
  <si>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</si>
  <si>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</si>
  <si>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</si>
  <si>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</si>
  <si>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</si>
  <si>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</si>
  <si>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</si>
  <si>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</si>
  <si>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</si>
  <si>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</si>
  <si>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</si>
  <si>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</si>
  <si>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</si>
  <si>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</si>
  <si>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</si>
  <si>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</si>
  <si>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</si>
  <si>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</si>
  <si>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</si>
  <si>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</si>
  <si>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</si>
  <si>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</si>
  <si>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</si>
  <si>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</si>
  <si>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</si>
  <si>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</si>
  <si>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</si>
  <si>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</si>
  <si>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</si>
  <si>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</si>
  <si>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</si>
  <si>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</si>
  <si>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</si>
  <si>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</si>
  <si>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</si>
  <si>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</si>
  <si>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</si>
  <si>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</si>
  <si>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</si>
  <si>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</si>
  <si>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</si>
  <si>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</si>
  <si>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</si>
  <si>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</si>
  <si>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</si>
  <si>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</si>
  <si>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</si>
  <si>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</si>
  <si>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</si>
  <si>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</si>
  <si>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</si>
  <si>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</si>
  <si>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</si>
  <si>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</si>
  <si>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</si>
  <si>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</si>
  <si>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</si>
  <si>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</si>
  <si>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</si>
  <si>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</si>
  <si>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</si>
  <si>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</si>
  <si>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</si>
  <si>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</si>
  <si>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</si>
  <si>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</si>
  <si>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</si>
  <si>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</si>
  <si>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</si>
  <si>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</si>
  <si>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</si>
  <si>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</si>
  <si>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</si>
  <si>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</si>
  <si>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</si>
  <si>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</si>
  <si>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</si>
  <si>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</si>
  <si>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</si>
  <si>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</si>
  <si>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</si>
  <si>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</si>
  <si>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</si>
  <si>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</si>
  <si>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</si>
  <si>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</si>
  <si>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</si>
  <si>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</si>
  <si>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</si>
  <si>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</si>
  <si>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</si>
  <si>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</si>
  <si>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</si>
  <si>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</si>
  <si>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</si>
  <si>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</si>
  <si>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</si>
  <si>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</si>
  <si>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</si>
  <si>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</si>
  <si>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</si>
  <si>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</si>
  <si>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</si>
  <si>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</si>
  <si>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</si>
  <si>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</si>
  <si>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</si>
  <si>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</si>
  <si>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</si>
  <si>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</si>
  <si>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</si>
  <si>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</si>
  <si>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</si>
  <si>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</si>
  <si>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</si>
  <si>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</si>
  <si>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</si>
  <si>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</si>
  <si>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</si>
  <si>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</si>
  <si>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</si>
  <si>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</si>
  <si>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</si>
  <si>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</si>
  <si>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</si>
  <si>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</si>
  <si>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</si>
  <si>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</si>
  <si>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</si>
  <si>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</si>
  <si>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</si>
  <si>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</si>
  <si>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</si>
  <si>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</si>
  <si>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</si>
  <si>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</si>
  <si>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</si>
  <si>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</si>
  <si>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</si>
  <si>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</si>
  <si>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</si>
  <si>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</si>
  <si>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</si>
  <si>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</si>
  <si>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</si>
  <si>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</si>
  <si>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</si>
  <si>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</si>
  <si>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</si>
  <si>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</si>
  <si>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</si>
  <si>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</si>
  <si>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</si>
  <si>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</si>
  <si>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</si>
  <si>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</si>
  <si>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</si>
  <si>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</si>
  <si>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</si>
  <si>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</si>
  <si>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</si>
  <si>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</si>
  <si>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</si>
  <si>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SOUD: Ústav soudního lékařství a medicín. práva</t>
  </si>
  <si>
    <t/>
  </si>
  <si>
    <t>50113190    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</si>
  <si>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</si>
  <si>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</si>
  <si>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</si>
  <si>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</si>
  <si>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</si>
  <si>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</si>
  <si>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</si>
  <si>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</si>
  <si>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</si>
  <si>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</si>
  <si>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</si>
  <si>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</si>
  <si>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</si>
  <si>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145310</t>
  </si>
  <si>
    <t>45310</t>
  </si>
  <si>
    <t>ANACID</t>
  </si>
  <si>
    <t>SUS 12X5ML(SACKY)</t>
  </si>
  <si>
    <t>162320</t>
  </si>
  <si>
    <t>62320</t>
  </si>
  <si>
    <t>BETADINE</t>
  </si>
  <si>
    <t>UNG 1X20GM</t>
  </si>
  <si>
    <t>846629</t>
  </si>
  <si>
    <t>100013</t>
  </si>
  <si>
    <t>IBALGIN 400 TBL 24</t>
  </si>
  <si>
    <t xml:space="preserve">POR TBL FLM 24X400MG </t>
  </si>
  <si>
    <t>848950</t>
  </si>
  <si>
    <t>155148</t>
  </si>
  <si>
    <t>PARALEN 500</t>
  </si>
  <si>
    <t>POR TBL NOB 12X500MG</t>
  </si>
  <si>
    <t>162315</t>
  </si>
  <si>
    <t>62315</t>
  </si>
  <si>
    <t>BETADINE - zelená</t>
  </si>
  <si>
    <t>LIQ 1X30ML</t>
  </si>
  <si>
    <t>920170</t>
  </si>
  <si>
    <t>0</t>
  </si>
  <si>
    <t>DZ TRIXO 500 ML</t>
  </si>
  <si>
    <t>184256</t>
  </si>
  <si>
    <t>84256</t>
  </si>
  <si>
    <t>ACYLPYRIN</t>
  </si>
  <si>
    <t>TBL 10X500MG</t>
  </si>
  <si>
    <t>849997</t>
  </si>
  <si>
    <t>500278</t>
  </si>
  <si>
    <t>OPRYMEA 0,7 MG</t>
  </si>
  <si>
    <t>POR TBL NOB 30X0.7MG</t>
  </si>
  <si>
    <t>920136</t>
  </si>
  <si>
    <t>KL ETHANOLUM BENZINO DEN. 4 kg</t>
  </si>
  <si>
    <t>UN 1170</t>
  </si>
  <si>
    <t>202924</t>
  </si>
  <si>
    <t>ENDIARON</t>
  </si>
  <si>
    <t>POR TBL FLM 10X250MG</t>
  </si>
  <si>
    <t>501596</t>
  </si>
  <si>
    <t>ECOLAV Výplach očí 100ml</t>
  </si>
  <si>
    <t>100 ml</t>
  </si>
  <si>
    <t>194718</t>
  </si>
  <si>
    <t>BRINTELLIX 5 MG</t>
  </si>
  <si>
    <t>TBL FLM 28X5MG</t>
  </si>
  <si>
    <t>Ústav soudního lékařství a medicínského práva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</si>
  <si>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</si>
  <si>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</si>
  <si>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</si>
  <si>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</si>
  <si>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</si>
  <si>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</si>
  <si>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</si>
  <si>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ZA751</t>
  </si>
  <si>
    <t>Papír filtrační archy 50 x 50 cm bal. 12,5 kg PPER2R/80G/50X50</t>
  </si>
  <si>
    <t>ZA788</t>
  </si>
  <si>
    <t>Stříkačka injekční 2-dílná 20 ml L Inject Solo 4606205V</t>
  </si>
  <si>
    <t>ZA817</t>
  </si>
  <si>
    <t>Zkumavka PS 10 ml sterilní modrá zátka bal. á 20 ks 400914</t>
  </si>
  <si>
    <t>ZC757</t>
  </si>
  <si>
    <t>Čepelka skalpelová 24 BB524</t>
  </si>
  <si>
    <t>ZC768</t>
  </si>
  <si>
    <t>Zkumavka 10 ml sterilní bal. á 1250 ks 1009/TE/SG/ES</t>
  </si>
  <si>
    <t>ZE159</t>
  </si>
  <si>
    <t>Nádoba na kontaminovaný odpad 2 l 15-0003</t>
  </si>
  <si>
    <t>ZF159</t>
  </si>
  <si>
    <t>Nádoba na kontaminovaný odpad 1 l 15-0002</t>
  </si>
  <si>
    <t>ZI182</t>
  </si>
  <si>
    <t>Zkumavka + aplikátor s chem.stabilizátorem UriSwab žlutá 802CE.A</t>
  </si>
  <si>
    <t>ZK679</t>
  </si>
  <si>
    <t>Nádoba na kontaminovaný odpad SC 60 l jednoduché víko,zámek 2021800411502(I005430006)</t>
  </si>
  <si>
    <t>ZK726</t>
  </si>
  <si>
    <t>Nádoba na kontaminovaný odpad PBS 12 l 2041300431302 (I003501400)</t>
  </si>
  <si>
    <t>ZC754</t>
  </si>
  <si>
    <t>Čepelka skalpelová 21 BB521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</si>
  <si>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</si>
  <si>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</si>
  <si>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</si>
  <si>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</si>
  <si>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ZF174</t>
  </si>
  <si>
    <t>Nádoba na histologický mat. 400 ml 333000041012</t>
  </si>
  <si>
    <t>ZF778</t>
  </si>
  <si>
    <t>Válec odměrný vysoký sklo 500 ml KAVA632432151343</t>
  </si>
  <si>
    <t>ZF709</t>
  </si>
  <si>
    <t>Žiletka mikrotomová á 50 ks JP-BN35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</si>
  <si>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</si>
  <si>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</si>
  <si>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</si>
  <si>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</si>
  <si>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</si>
  <si>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</si>
  <si>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ZA796</t>
  </si>
  <si>
    <t>Tampon odběrový 1665</t>
  </si>
  <si>
    <t>ZP077</t>
  </si>
  <si>
    <t>Zkumavka 15 ml PP 101/16,5 mm bílý šroubový uzávěr sterilní jednotlivě balená 10362/MO/SG/CS</t>
  </si>
  <si>
    <t>ZC716</t>
  </si>
  <si>
    <t>Špička žlutá pipetovací dlouhá manžeta bal. á 1000 ks 1123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</si>
  <si>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</si>
  <si>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</si>
  <si>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</si>
  <si>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</si>
  <si>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</si>
  <si>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</si>
  <si>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</si>
  <si>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bal. á 100 ks 2541.0105</t>
  </si>
  <si>
    <t>ZD325</t>
  </si>
  <si>
    <t>Válec odměrný vysoký 25 ml d710272</t>
  </si>
  <si>
    <t>ZN647</t>
  </si>
  <si>
    <t>Zkumavka se šestihrannou zábrusovou zátkou NZ12/21, zátka 032 493 503 040S-68/2015</t>
  </si>
  <si>
    <t>ZB861</t>
  </si>
  <si>
    <t>Špička pipetovací standard Tips 0,1-10 ul 0030000811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</si>
  <si>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</si>
  <si>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</si>
  <si>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</si>
  <si>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</si>
  <si>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ZD437</t>
  </si>
  <si>
    <t>Nálevka dělící 250 ml s teflonovým kohoutem GLAS149.202.04</t>
  </si>
  <si>
    <t>ZH215</t>
  </si>
  <si>
    <t>Nádobka Conwayova KAVA632491221000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</si>
  <si>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</si>
  <si>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</si>
  <si>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</si>
  <si>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</si>
  <si>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ZM292</t>
  </si>
  <si>
    <t>Rukavice nitril sempercare bez p. M bal. á 200 ks 30803</t>
  </si>
  <si>
    <t>ZM293</t>
  </si>
  <si>
    <t>Rukavice nitril sempercare bez p. L bal. á 200 ks 30804</t>
  </si>
  <si>
    <t>ZN125</t>
  </si>
  <si>
    <t>Rukavice operační gammex latex PF bez pudru 7,5 330048075</t>
  </si>
  <si>
    <t>ZK440</t>
  </si>
  <si>
    <t>Rukavice operační latexové s pudrem sempermed classic vel. 8,0 31284</t>
  </si>
  <si>
    <t>ZK439</t>
  </si>
  <si>
    <t>Rukavice operační latexové s pudrem sempermed classic vel. 7,5 31283</t>
  </si>
  <si>
    <t>ZK442</t>
  </si>
  <si>
    <t>Rukavice operační latexové s pudrem sempermed classic vel. 9,0 31286</t>
  </si>
  <si>
    <t>DG383</t>
  </si>
  <si>
    <t>Bactec PEDS</t>
  </si>
  <si>
    <t>DF571</t>
  </si>
  <si>
    <t>Formaldehyd 36-38% p.a., 5 L</t>
  </si>
  <si>
    <t>DG184</t>
  </si>
  <si>
    <t>SIRAN SODNY BEZV.,P.A.</t>
  </si>
  <si>
    <t>DB310</t>
  </si>
  <si>
    <t>Ethanolum benzino den. 4kg</t>
  </si>
  <si>
    <t>DC236</t>
  </si>
  <si>
    <t>DIETHYLETER P.A. NESTAB.</t>
  </si>
  <si>
    <t>DG229</t>
  </si>
  <si>
    <t>METHANOL P.A.</t>
  </si>
  <si>
    <t>DG226</t>
  </si>
  <si>
    <t>ETHYLESTER KYS.OCTOVE P.A.</t>
  </si>
  <si>
    <t>DG163</t>
  </si>
  <si>
    <t>HYDROXID SODNY P.A.</t>
  </si>
  <si>
    <t>DG783</t>
  </si>
  <si>
    <t>DRI Acetaminophen Calibrator Kit</t>
  </si>
  <si>
    <t>DG770</t>
  </si>
  <si>
    <t>DRI Acetaminophen</t>
  </si>
  <si>
    <t>DG190</t>
  </si>
  <si>
    <t>UHLICITAN SOD.BEZV. P.A.</t>
  </si>
  <si>
    <t>DG765</t>
  </si>
  <si>
    <t>DRI Benzodiazepines</t>
  </si>
  <si>
    <t>DF907</t>
  </si>
  <si>
    <t>BUP (buprenorfin)  test na záchyt drog v moči</t>
  </si>
  <si>
    <t>DG771</t>
  </si>
  <si>
    <t>DRI Multi-Drug Negative Calibrator</t>
  </si>
  <si>
    <t>DG111</t>
  </si>
  <si>
    <t>d,l-11-nor-delta-9-THC carboxylic acid-D9</t>
  </si>
  <si>
    <t>DG775</t>
  </si>
  <si>
    <t>DRI Multi-Drug Calibrator 3</t>
  </si>
  <si>
    <t>DF908</t>
  </si>
  <si>
    <t>MTD(methadone) test na záchyt drog v moči</t>
  </si>
  <si>
    <t>DG772</t>
  </si>
  <si>
    <t>DRI Low Urine Calibrator</t>
  </si>
  <si>
    <t>DC347</t>
  </si>
  <si>
    <t>PARAFIN UPRAVENY 56-58, 1 kg</t>
  </si>
  <si>
    <t>DH758</t>
  </si>
  <si>
    <t>Bactec Plus Aerobic-plastic</t>
  </si>
  <si>
    <t>DH759</t>
  </si>
  <si>
    <t>Bactec Lytic/ 10 Anaerobic- plastic</t>
  </si>
  <si>
    <t>DH771</t>
  </si>
  <si>
    <t>Nifedipine 1g</t>
  </si>
  <si>
    <t>DD491</t>
  </si>
  <si>
    <t>CHLORID ZELEZITY HEXAHYDRAT P.A.</t>
  </si>
  <si>
    <t>DB257</t>
  </si>
  <si>
    <t>CHLOROFORM P.A. - stab. methanolem</t>
  </si>
  <si>
    <t>DH790</t>
  </si>
  <si>
    <t>Wash solution 4,5%, 6x100 ml</t>
  </si>
  <si>
    <t>DC348</t>
  </si>
  <si>
    <t>DICHROMAN DRASELNY P.A.</t>
  </si>
  <si>
    <t>DG786</t>
  </si>
  <si>
    <t>DRI THC Control 60 ng/ml</t>
  </si>
  <si>
    <t>DG778</t>
  </si>
  <si>
    <t>DRI THC Calibrator 50</t>
  </si>
  <si>
    <t>DG779</t>
  </si>
  <si>
    <t>DRI THC Calibrator 100</t>
  </si>
  <si>
    <t>DG773</t>
  </si>
  <si>
    <t>DRI Multi-Drug Calibrator 1</t>
  </si>
  <si>
    <t>DG777</t>
  </si>
  <si>
    <t>DRI THC Calibrator 20</t>
  </si>
  <si>
    <t>DF388</t>
  </si>
  <si>
    <t>MDMA-D5 1.0 mg/mL in metanol, 1ml</t>
  </si>
  <si>
    <t>DG799</t>
  </si>
  <si>
    <t>DRI® EtG Calibrator 500 ng/ml</t>
  </si>
  <si>
    <t>DG800</t>
  </si>
  <si>
    <t>DRI® EtG Calibrator 1000 ng/ml</t>
  </si>
  <si>
    <t>DF387</t>
  </si>
  <si>
    <t>Amhetamine-D5  1.0 mg/mL in metanol, 1 ml</t>
  </si>
  <si>
    <t>DG659</t>
  </si>
  <si>
    <t>(-)-Delta-9-THC-D3, 0,1mg/ml in EtOH, 1 ml</t>
  </si>
  <si>
    <t>DG109</t>
  </si>
  <si>
    <t>d,l-Methamphetamine-D5.HCl, 1mg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</si>
  <si>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</si>
  <si>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</si>
  <si>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</si>
  <si>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</si>
  <si>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</si>
  <si>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</si>
  <si>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</si>
  <si>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</si>
  <si>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</si>
  <si>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Lékárna - SZM diagnostika</t>
  </si>
  <si>
    <t>Spotřeba zdravotnického materiálu - orientační přehled</t>
  </si>
  <si>
    <t>ON Data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</si>
  <si>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</si>
  <si>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</si>
  <si>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</si>
  <si>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</si>
  <si>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</si>
  <si>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</si>
  <si>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</si>
  <si>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</si>
  <si>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</si>
  <si>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</si>
  <si>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</si>
  <si>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</si>
  <si>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</si>
  <si>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</si>
  <si>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</si>
  <si>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</si>
  <si>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</si>
  <si>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</si>
  <si>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</si>
  <si>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</si>
  <si>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</si>
  <si>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</si>
  <si>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</si>
  <si>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</si>
  <si>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</si>
  <si>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</si>
  <si>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</si>
  <si>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</si>
  <si>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</si>
  <si>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</si>
  <si>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</si>
  <si>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</si>
  <si>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</si>
  <si>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</si>
  <si>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</si>
  <si>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</si>
  <si>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</si>
  <si>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</si>
  <si>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</si>
  <si>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</si>
  <si>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</si>
  <si>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</si>
  <si>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</si>
  <si>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</si>
  <si>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</si>
  <si>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</si>
  <si>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</si>
  <si>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</si>
  <si>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</si>
  <si>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</si>
  <si>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</si>
  <si>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</si>
  <si>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</si>
  <si>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</si>
  <si>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</si>
  <si>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</si>
  <si>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</si>
  <si>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</si>
  <si>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</si>
  <si>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</si>
  <si>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</si>
  <si>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</si>
  <si>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</si>
  <si>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</si>
  <si>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</si>
  <si>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</si>
  <si>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</si>
  <si>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</si>
  <si>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</si>
  <si>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</si>
  <si>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</si>
  <si>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</si>
  <si>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</si>
  <si>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</si>
  <si>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</si>
  <si>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</si>
  <si>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</si>
  <si>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</si>
  <si>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</si>
  <si>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</si>
  <si>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</si>
  <si>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</si>
  <si>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</si>
  <si>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</si>
  <si>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</si>
  <si>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</si>
  <si>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</si>
  <si>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</si>
  <si>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</si>
  <si>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</si>
  <si>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06</t>
  </si>
  <si>
    <t>07</t>
  </si>
  <si>
    <t>08</t>
  </si>
  <si>
    <t>10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</si>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</sst>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2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8" xfId="0" applyNumberFormat="1" applyFont="1" applyBorder="1"/>
    <xf numFmtId="173" fontId="32" fillId="0" borderId="97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99" xfId="0" applyNumberFormat="1" applyFont="1" applyFill="1" applyBorder="1" applyAlignment="1">
      <alignment horizontal="right" vertical="top"/>
    </xf>
    <xf numFmtId="3" fontId="33" fillId="9" borderId="100" xfId="0" applyNumberFormat="1" applyFont="1" applyFill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0" borderId="110" xfId="0" applyFont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0" fontId="37" fillId="10" borderId="98" xfId="0" applyFont="1" applyFill="1" applyBorder="1" applyAlignment="1">
      <alignment vertical="top"/>
    </xf>
    <xf numFmtId="0" fontId="37" fillId="10" borderId="98" xfId="0" applyFont="1" applyFill="1" applyBorder="1" applyAlignment="1">
      <alignment vertical="top" indent="2"/>
    </xf>
    <xf numFmtId="0" fontId="37" fillId="10" borderId="98" xfId="0" applyFont="1" applyFill="1" applyBorder="1" applyAlignment="1">
      <alignment vertical="top" indent="4"/>
    </xf>
    <xf numFmtId="0" fontId="38" fillId="10" borderId="103" xfId="0" applyFont="1" applyFill="1" applyBorder="1" applyAlignment="1">
      <alignment vertical="top" indent="6"/>
    </xf>
    <xf numFmtId="0" fontId="37" fillId="10" borderId="98" xfId="0" applyFont="1" applyFill="1" applyBorder="1" applyAlignment="1">
      <alignment vertical="top" indent="8"/>
    </xf>
    <xf numFmtId="0" fontId="38" fillId="10" borderId="103" xfId="0" applyFont="1" applyFill="1" applyBorder="1" applyAlignment="1">
      <alignment vertical="top" indent="2"/>
    </xf>
    <xf numFmtId="0" fontId="37" fillId="10" borderId="98" xfId="0" applyFont="1" applyFill="1" applyBorder="1" applyAlignment="1">
      <alignment vertical="top" indent="6"/>
    </xf>
    <xf numFmtId="0" fontId="38" fillId="10" borderId="103" xfId="0" applyFont="1" applyFill="1" applyBorder="1" applyAlignment="1">
      <alignment vertical="top" indent="4"/>
    </xf>
    <xf numFmtId="0" fontId="38" fillId="10" borderId="103" xfId="0" applyFont="1" applyFill="1" applyBorder="1" applyAlignment="1">
      <alignment vertical="top"/>
    </xf>
    <xf numFmtId="0" fontId="32" fillId="10" borderId="98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2" xfId="53" applyNumberFormat="1" applyFont="1" applyFill="1" applyBorder="1" applyAlignment="1">
      <alignment horizontal="left"/>
    </xf>
    <xf numFmtId="164" fontId="31" fillId="2" borderId="113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2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4" xfId="0" applyNumberFormat="1" applyFont="1" applyFill="1" applyBorder="1"/>
    <xf numFmtId="9" fontId="32" fillId="0" borderId="11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69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1.2937469818639789</c:v>
                </c:pt>
                <c:pt idx="1">
                  <c:v>1.1229076405778422</c:v>
                </c:pt>
                <c:pt idx="2">
                  <c:v>0.99248779275036991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8192"/>
        <c:axId val="10779885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0.82215684610642636</c:v>
                </c:pt>
                <c:pt idx="1">
                  <c:v>0.82215684610642636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76560"/>
        <c:axId val="1077978736"/>
      </c:scatterChart>
      <c:catAx>
        <c:axId val="107797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98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88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7978192"/>
        <c:crosses val="autoZero"/>
        <c:crossBetween val="between"/>
      </c:valAx>
      <c:valAx>
        <c:axId val="10779765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7978736"/>
        <c:crosses val="max"/>
        <c:crossBetween val="midCat"/>
      </c:valAx>
      <c:valAx>
        <c:axId val="1077978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79765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03" t="s">
        <v>227</v>
      </c>
      <c r="B2" s="41"/>
    </row>
    <row r="3" spans="1:3" ht="14.4" customHeight="1" thickBot="1" x14ac:dyDescent="0.35">
      <c r="A3" s="305" t="s">
        <v>117</v>
      </c>
      <c r="B3" s="306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229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63" t="s">
        <v>175</v>
      </c>
      <c r="C13" s="42" t="s">
        <v>185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654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08" t="s">
        <v>96</v>
      </c>
      <c r="B18" s="306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660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666</v>
      </c>
      <c r="C20" s="42" t="s">
        <v>188</v>
      </c>
    </row>
    <row r="21" spans="1:3" ht="14.4" customHeight="1" x14ac:dyDescent="0.3">
      <c r="A21" s="119" t="str">
        <f t="shared" si="4"/>
        <v>ZV Vykáz.-A Detail</v>
      </c>
      <c r="B21" s="66" t="s">
        <v>725</v>
      </c>
      <c r="C21" s="42" t="s">
        <v>108</v>
      </c>
    </row>
    <row r="22" spans="1:3" ht="14.4" customHeight="1" x14ac:dyDescent="0.3">
      <c r="A22" s="277" t="str">
        <f>HYPERLINK("#'"&amp;C22&amp;"'!A1",C22)</f>
        <v>ZV Vykáz.-A Det.Lék.</v>
      </c>
      <c r="B22" s="66" t="s">
        <v>726</v>
      </c>
      <c r="C22" s="42" t="s">
        <v>216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758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39" t="s">
        <v>116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82"/>
      <c r="C3" s="247">
        <v>2015</v>
      </c>
      <c r="D3" s="248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52" t="s">
        <v>0</v>
      </c>
      <c r="B4" s="253" t="s">
        <v>174</v>
      </c>
      <c r="C4" s="337" t="s">
        <v>59</v>
      </c>
      <c r="D4" s="338"/>
      <c r="E4" s="254"/>
      <c r="F4" s="249" t="s">
        <v>59</v>
      </c>
      <c r="G4" s="250" t="s">
        <v>60</v>
      </c>
      <c r="H4" s="250" t="s">
        <v>54</v>
      </c>
      <c r="I4" s="251" t="s">
        <v>61</v>
      </c>
    </row>
    <row r="5" spans="1:10" ht="14.4" customHeight="1" x14ac:dyDescent="0.3">
      <c r="A5" s="407" t="s">
        <v>420</v>
      </c>
      <c r="B5" s="408" t="s">
        <v>421</v>
      </c>
      <c r="C5" s="409" t="s">
        <v>422</v>
      </c>
      <c r="D5" s="409" t="s">
        <v>422</v>
      </c>
      <c r="E5" s="409"/>
      <c r="F5" s="409" t="s">
        <v>422</v>
      </c>
      <c r="G5" s="409" t="s">
        <v>422</v>
      </c>
      <c r="H5" s="409" t="s">
        <v>422</v>
      </c>
      <c r="I5" s="410" t="s">
        <v>422</v>
      </c>
      <c r="J5" s="411" t="s">
        <v>55</v>
      </c>
    </row>
    <row r="6" spans="1:10" ht="14.4" customHeight="1" x14ac:dyDescent="0.3">
      <c r="A6" s="407" t="s">
        <v>420</v>
      </c>
      <c r="B6" s="408" t="s">
        <v>238</v>
      </c>
      <c r="C6" s="409">
        <v>84.44426</v>
      </c>
      <c r="D6" s="409">
        <v>210.05725999999999</v>
      </c>
      <c r="E6" s="409"/>
      <c r="F6" s="409">
        <v>134.37457000000001</v>
      </c>
      <c r="G6" s="409">
        <v>200</v>
      </c>
      <c r="H6" s="409">
        <v>-65.625429999999994</v>
      </c>
      <c r="I6" s="410">
        <v>0.67187285000000008</v>
      </c>
      <c r="J6" s="411" t="s">
        <v>1</v>
      </c>
    </row>
    <row r="7" spans="1:10" ht="14.4" customHeight="1" x14ac:dyDescent="0.3">
      <c r="A7" s="407" t="s">
        <v>420</v>
      </c>
      <c r="B7" s="408" t="s">
        <v>239</v>
      </c>
      <c r="C7" s="409">
        <v>32.438279999999999</v>
      </c>
      <c r="D7" s="409">
        <v>17.60501</v>
      </c>
      <c r="E7" s="409"/>
      <c r="F7" s="409">
        <v>39.247109999999999</v>
      </c>
      <c r="G7" s="409">
        <v>37.5</v>
      </c>
      <c r="H7" s="409">
        <v>1.7471099999999993</v>
      </c>
      <c r="I7" s="410">
        <v>1.0465895999999999</v>
      </c>
      <c r="J7" s="411" t="s">
        <v>1</v>
      </c>
    </row>
    <row r="8" spans="1:10" ht="14.4" customHeight="1" x14ac:dyDescent="0.3">
      <c r="A8" s="407" t="s">
        <v>420</v>
      </c>
      <c r="B8" s="408" t="s">
        <v>240</v>
      </c>
      <c r="C8" s="409">
        <v>5.9869000000000003</v>
      </c>
      <c r="D8" s="409">
        <v>7.7124600000000001</v>
      </c>
      <c r="E8" s="409"/>
      <c r="F8" s="409">
        <v>10.466000000000001</v>
      </c>
      <c r="G8" s="409">
        <v>7.5</v>
      </c>
      <c r="H8" s="409">
        <v>2.9660000000000011</v>
      </c>
      <c r="I8" s="410">
        <v>1.3954666666666669</v>
      </c>
      <c r="J8" s="411" t="s">
        <v>1</v>
      </c>
    </row>
    <row r="9" spans="1:10" ht="14.4" customHeight="1" x14ac:dyDescent="0.3">
      <c r="A9" s="407" t="s">
        <v>420</v>
      </c>
      <c r="B9" s="408" t="s">
        <v>241</v>
      </c>
      <c r="C9" s="409">
        <v>28.663530000000002</v>
      </c>
      <c r="D9" s="409">
        <v>17.222149999999999</v>
      </c>
      <c r="E9" s="409"/>
      <c r="F9" s="409">
        <v>24.675799999999999</v>
      </c>
      <c r="G9" s="409">
        <v>50</v>
      </c>
      <c r="H9" s="409">
        <v>-25.324200000000001</v>
      </c>
      <c r="I9" s="410">
        <v>0.49351599999999995</v>
      </c>
      <c r="J9" s="411" t="s">
        <v>1</v>
      </c>
    </row>
    <row r="10" spans="1:10" ht="14.4" customHeight="1" x14ac:dyDescent="0.3">
      <c r="A10" s="407" t="s">
        <v>420</v>
      </c>
      <c r="B10" s="408" t="s">
        <v>242</v>
      </c>
      <c r="C10" s="409">
        <v>0</v>
      </c>
      <c r="D10" s="409">
        <v>0</v>
      </c>
      <c r="E10" s="409"/>
      <c r="F10" s="409" t="s">
        <v>422</v>
      </c>
      <c r="G10" s="409" t="s">
        <v>422</v>
      </c>
      <c r="H10" s="409" t="s">
        <v>422</v>
      </c>
      <c r="I10" s="410" t="s">
        <v>422</v>
      </c>
      <c r="J10" s="411" t="s">
        <v>1</v>
      </c>
    </row>
    <row r="11" spans="1:10" ht="14.4" customHeight="1" x14ac:dyDescent="0.3">
      <c r="A11" s="407" t="s">
        <v>420</v>
      </c>
      <c r="B11" s="408" t="s">
        <v>243</v>
      </c>
      <c r="C11" s="409">
        <v>10.321999999999999</v>
      </c>
      <c r="D11" s="409">
        <v>14.497529999999999</v>
      </c>
      <c r="E11" s="409"/>
      <c r="F11" s="409">
        <v>12.44758</v>
      </c>
      <c r="G11" s="409">
        <v>12.5</v>
      </c>
      <c r="H11" s="409">
        <v>-5.2419999999999689E-2</v>
      </c>
      <c r="I11" s="410">
        <v>0.99580639999999998</v>
      </c>
      <c r="J11" s="411" t="s">
        <v>1</v>
      </c>
    </row>
    <row r="12" spans="1:10" ht="14.4" customHeight="1" x14ac:dyDescent="0.3">
      <c r="A12" s="407" t="s">
        <v>420</v>
      </c>
      <c r="B12" s="408" t="s">
        <v>244</v>
      </c>
      <c r="C12" s="409" t="s">
        <v>422</v>
      </c>
      <c r="D12" s="409">
        <v>0</v>
      </c>
      <c r="E12" s="409"/>
      <c r="F12" s="409" t="s">
        <v>422</v>
      </c>
      <c r="G12" s="409" t="s">
        <v>422</v>
      </c>
      <c r="H12" s="409" t="s">
        <v>422</v>
      </c>
      <c r="I12" s="410" t="s">
        <v>422</v>
      </c>
      <c r="J12" s="411" t="s">
        <v>1</v>
      </c>
    </row>
    <row r="13" spans="1:10" ht="14.4" customHeight="1" x14ac:dyDescent="0.3">
      <c r="A13" s="407" t="s">
        <v>420</v>
      </c>
      <c r="B13" s="408" t="s">
        <v>424</v>
      </c>
      <c r="C13" s="409">
        <v>161.85497000000001</v>
      </c>
      <c r="D13" s="409">
        <v>267.09440999999998</v>
      </c>
      <c r="E13" s="409"/>
      <c r="F13" s="409">
        <v>221.21106</v>
      </c>
      <c r="G13" s="409">
        <v>307.5</v>
      </c>
      <c r="H13" s="409">
        <v>-86.288939999999997</v>
      </c>
      <c r="I13" s="410">
        <v>0.71938556097560979</v>
      </c>
      <c r="J13" s="411" t="s">
        <v>425</v>
      </c>
    </row>
    <row r="15" spans="1:10" ht="14.4" customHeight="1" x14ac:dyDescent="0.3">
      <c r="A15" s="407" t="s">
        <v>420</v>
      </c>
      <c r="B15" s="408" t="s">
        <v>421</v>
      </c>
      <c r="C15" s="409" t="s">
        <v>422</v>
      </c>
      <c r="D15" s="409" t="s">
        <v>422</v>
      </c>
      <c r="E15" s="409"/>
      <c r="F15" s="409" t="s">
        <v>422</v>
      </c>
      <c r="G15" s="409" t="s">
        <v>422</v>
      </c>
      <c r="H15" s="409" t="s">
        <v>422</v>
      </c>
      <c r="I15" s="410" t="s">
        <v>422</v>
      </c>
      <c r="J15" s="411" t="s">
        <v>55</v>
      </c>
    </row>
    <row r="16" spans="1:10" ht="14.4" customHeight="1" x14ac:dyDescent="0.3">
      <c r="A16" s="407" t="s">
        <v>426</v>
      </c>
      <c r="B16" s="408" t="s">
        <v>427</v>
      </c>
      <c r="C16" s="409" t="s">
        <v>422</v>
      </c>
      <c r="D16" s="409" t="s">
        <v>422</v>
      </c>
      <c r="E16" s="409"/>
      <c r="F16" s="409" t="s">
        <v>422</v>
      </c>
      <c r="G16" s="409" t="s">
        <v>422</v>
      </c>
      <c r="H16" s="409" t="s">
        <v>422</v>
      </c>
      <c r="I16" s="410" t="s">
        <v>422</v>
      </c>
      <c r="J16" s="411" t="s">
        <v>0</v>
      </c>
    </row>
    <row r="17" spans="1:10" ht="14.4" customHeight="1" x14ac:dyDescent="0.3">
      <c r="A17" s="407" t="s">
        <v>426</v>
      </c>
      <c r="B17" s="408" t="s">
        <v>238</v>
      </c>
      <c r="C17" s="409">
        <v>84.44426</v>
      </c>
      <c r="D17" s="409">
        <v>210.05725999999999</v>
      </c>
      <c r="E17" s="409"/>
      <c r="F17" s="409">
        <v>134.37457000000001</v>
      </c>
      <c r="G17" s="409">
        <v>200</v>
      </c>
      <c r="H17" s="409">
        <v>-65.625429999999994</v>
      </c>
      <c r="I17" s="410">
        <v>0.67187285000000008</v>
      </c>
      <c r="J17" s="411" t="s">
        <v>1</v>
      </c>
    </row>
    <row r="18" spans="1:10" ht="14.4" customHeight="1" x14ac:dyDescent="0.3">
      <c r="A18" s="407" t="s">
        <v>426</v>
      </c>
      <c r="B18" s="408" t="s">
        <v>239</v>
      </c>
      <c r="C18" s="409">
        <v>32.438279999999999</v>
      </c>
      <c r="D18" s="409">
        <v>17.60501</v>
      </c>
      <c r="E18" s="409"/>
      <c r="F18" s="409">
        <v>39.247109999999999</v>
      </c>
      <c r="G18" s="409">
        <v>37.5</v>
      </c>
      <c r="H18" s="409">
        <v>1.7471099999999993</v>
      </c>
      <c r="I18" s="410">
        <v>1.0465895999999999</v>
      </c>
      <c r="J18" s="411" t="s">
        <v>1</v>
      </c>
    </row>
    <row r="19" spans="1:10" ht="14.4" customHeight="1" x14ac:dyDescent="0.3">
      <c r="A19" s="407" t="s">
        <v>426</v>
      </c>
      <c r="B19" s="408" t="s">
        <v>240</v>
      </c>
      <c r="C19" s="409">
        <v>5.9869000000000003</v>
      </c>
      <c r="D19" s="409">
        <v>7.7124600000000001</v>
      </c>
      <c r="E19" s="409"/>
      <c r="F19" s="409">
        <v>10.466000000000001</v>
      </c>
      <c r="G19" s="409">
        <v>7.5</v>
      </c>
      <c r="H19" s="409">
        <v>2.9660000000000011</v>
      </c>
      <c r="I19" s="410">
        <v>1.3954666666666669</v>
      </c>
      <c r="J19" s="411" t="s">
        <v>1</v>
      </c>
    </row>
    <row r="20" spans="1:10" ht="14.4" customHeight="1" x14ac:dyDescent="0.3">
      <c r="A20" s="407" t="s">
        <v>426</v>
      </c>
      <c r="B20" s="408" t="s">
        <v>241</v>
      </c>
      <c r="C20" s="409">
        <v>28.663530000000002</v>
      </c>
      <c r="D20" s="409">
        <v>17.222149999999999</v>
      </c>
      <c r="E20" s="409"/>
      <c r="F20" s="409">
        <v>24.675799999999999</v>
      </c>
      <c r="G20" s="409">
        <v>50</v>
      </c>
      <c r="H20" s="409">
        <v>-25.324200000000001</v>
      </c>
      <c r="I20" s="410">
        <v>0.49351599999999995</v>
      </c>
      <c r="J20" s="411" t="s">
        <v>1</v>
      </c>
    </row>
    <row r="21" spans="1:10" ht="14.4" customHeight="1" x14ac:dyDescent="0.3">
      <c r="A21" s="407" t="s">
        <v>426</v>
      </c>
      <c r="B21" s="408" t="s">
        <v>242</v>
      </c>
      <c r="C21" s="409">
        <v>0</v>
      </c>
      <c r="D21" s="409">
        <v>0</v>
      </c>
      <c r="E21" s="409"/>
      <c r="F21" s="409" t="s">
        <v>422</v>
      </c>
      <c r="G21" s="409" t="s">
        <v>422</v>
      </c>
      <c r="H21" s="409" t="s">
        <v>422</v>
      </c>
      <c r="I21" s="410" t="s">
        <v>422</v>
      </c>
      <c r="J21" s="411" t="s">
        <v>1</v>
      </c>
    </row>
    <row r="22" spans="1:10" ht="14.4" customHeight="1" x14ac:dyDescent="0.3">
      <c r="A22" s="407" t="s">
        <v>426</v>
      </c>
      <c r="B22" s="408" t="s">
        <v>243</v>
      </c>
      <c r="C22" s="409">
        <v>10.321999999999999</v>
      </c>
      <c r="D22" s="409">
        <v>14.497529999999999</v>
      </c>
      <c r="E22" s="409"/>
      <c r="F22" s="409">
        <v>12.44758</v>
      </c>
      <c r="G22" s="409">
        <v>12.5</v>
      </c>
      <c r="H22" s="409">
        <v>-5.2419999999999689E-2</v>
      </c>
      <c r="I22" s="410">
        <v>0.99580639999999998</v>
      </c>
      <c r="J22" s="411" t="s">
        <v>1</v>
      </c>
    </row>
    <row r="23" spans="1:10" ht="14.4" customHeight="1" x14ac:dyDescent="0.3">
      <c r="A23" s="407" t="s">
        <v>426</v>
      </c>
      <c r="B23" s="408" t="s">
        <v>244</v>
      </c>
      <c r="C23" s="409" t="s">
        <v>422</v>
      </c>
      <c r="D23" s="409">
        <v>0</v>
      </c>
      <c r="E23" s="409"/>
      <c r="F23" s="409" t="s">
        <v>422</v>
      </c>
      <c r="G23" s="409" t="s">
        <v>422</v>
      </c>
      <c r="H23" s="409" t="s">
        <v>422</v>
      </c>
      <c r="I23" s="410" t="s">
        <v>422</v>
      </c>
      <c r="J23" s="411" t="s">
        <v>1</v>
      </c>
    </row>
    <row r="24" spans="1:10" ht="14.4" customHeight="1" x14ac:dyDescent="0.3">
      <c r="A24" s="407" t="s">
        <v>426</v>
      </c>
      <c r="B24" s="408" t="s">
        <v>428</v>
      </c>
      <c r="C24" s="409">
        <v>161.85497000000001</v>
      </c>
      <c r="D24" s="409">
        <v>267.09440999999998</v>
      </c>
      <c r="E24" s="409"/>
      <c r="F24" s="409">
        <v>221.21106</v>
      </c>
      <c r="G24" s="409">
        <v>307.5</v>
      </c>
      <c r="H24" s="409">
        <v>-86.288939999999997</v>
      </c>
      <c r="I24" s="410">
        <v>0.71938556097560979</v>
      </c>
      <c r="J24" s="411" t="s">
        <v>429</v>
      </c>
    </row>
    <row r="25" spans="1:10" ht="14.4" customHeight="1" x14ac:dyDescent="0.3">
      <c r="A25" s="407" t="s">
        <v>422</v>
      </c>
      <c r="B25" s="408" t="s">
        <v>422</v>
      </c>
      <c r="C25" s="409" t="s">
        <v>422</v>
      </c>
      <c r="D25" s="409" t="s">
        <v>422</v>
      </c>
      <c r="E25" s="409"/>
      <c r="F25" s="409" t="s">
        <v>422</v>
      </c>
      <c r="G25" s="409" t="s">
        <v>422</v>
      </c>
      <c r="H25" s="409" t="s">
        <v>422</v>
      </c>
      <c r="I25" s="410" t="s">
        <v>422</v>
      </c>
      <c r="J25" s="411" t="s">
        <v>430</v>
      </c>
    </row>
    <row r="26" spans="1:10" ht="14.4" customHeight="1" x14ac:dyDescent="0.3">
      <c r="A26" s="407" t="s">
        <v>420</v>
      </c>
      <c r="B26" s="408" t="s">
        <v>424</v>
      </c>
      <c r="C26" s="409">
        <v>161.85497000000001</v>
      </c>
      <c r="D26" s="409">
        <v>267.09440999999998</v>
      </c>
      <c r="E26" s="409"/>
      <c r="F26" s="409">
        <v>221.21106</v>
      </c>
      <c r="G26" s="409">
        <v>307.5</v>
      </c>
      <c r="H26" s="409">
        <v>-86.288939999999997</v>
      </c>
      <c r="I26" s="410">
        <v>0.71938556097560979</v>
      </c>
      <c r="J26" s="411" t="s">
        <v>425</v>
      </c>
    </row>
  </sheetData>
  <mergeCells count="3">
    <mergeCell ref="A1:I1"/>
    <mergeCell ref="F3:I3"/>
    <mergeCell ref="C4:D4"/>
  </mergeCells>
  <conditionalFormatting sqref="F14 F27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26">
    <cfRule type="expression" dxfId="17" priority="5">
      <formula>$H15&gt;0</formula>
    </cfRule>
  </conditionalFormatting>
  <conditionalFormatting sqref="A15:A26">
    <cfRule type="expression" dxfId="16" priority="2">
      <formula>AND($J15&lt;&gt;"mezeraKL",$J15&lt;&gt;"")</formula>
    </cfRule>
  </conditionalFormatting>
  <conditionalFormatting sqref="I15:I26">
    <cfRule type="expression" dxfId="15" priority="6">
      <formula>$I15&gt;1</formula>
    </cfRule>
  </conditionalFormatting>
  <conditionalFormatting sqref="B15:B26">
    <cfRule type="expression" dxfId="14" priority="1">
      <formula>OR($J15="NS",$J15="SumaNS",$J15="Účet")</formula>
    </cfRule>
  </conditionalFormatting>
  <conditionalFormatting sqref="A15:D26 F15:I26">
    <cfRule type="expression" dxfId="13" priority="8">
      <formula>AND($J15&lt;&gt;"",$J15&lt;&gt;"mezeraKL")</formula>
    </cfRule>
  </conditionalFormatting>
  <conditionalFormatting sqref="B15:D26 F15:I26">
    <cfRule type="expression" dxfId="1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26 F15:I26">
    <cfRule type="expression" dxfId="1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46" t="s">
        <v>654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42"/>
      <c r="D3" s="343"/>
      <c r="E3" s="343"/>
      <c r="F3" s="343"/>
      <c r="G3" s="343"/>
      <c r="H3" s="116" t="s">
        <v>112</v>
      </c>
      <c r="I3" s="74">
        <f>IF(J3&lt;&gt;0,K3/J3,0)</f>
        <v>4.5883939349940874</v>
      </c>
      <c r="J3" s="74">
        <f>SUBTOTAL(9,J5:J1048576)</f>
        <v>48211</v>
      </c>
      <c r="K3" s="75">
        <f>SUBTOTAL(9,K5:K1048576)</f>
        <v>221211.05999999994</v>
      </c>
    </row>
    <row r="4" spans="1:11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57</v>
      </c>
      <c r="H4" s="414" t="s">
        <v>11</v>
      </c>
      <c r="I4" s="415" t="s">
        <v>119</v>
      </c>
      <c r="J4" s="415" t="s">
        <v>13</v>
      </c>
      <c r="K4" s="416" t="s">
        <v>127</v>
      </c>
    </row>
    <row r="5" spans="1:11" ht="14.4" customHeight="1" x14ac:dyDescent="0.3">
      <c r="A5" s="417" t="s">
        <v>420</v>
      </c>
      <c r="B5" s="418" t="s">
        <v>480</v>
      </c>
      <c r="C5" s="419" t="s">
        <v>426</v>
      </c>
      <c r="D5" s="420" t="s">
        <v>427</v>
      </c>
      <c r="E5" s="419" t="s">
        <v>644</v>
      </c>
      <c r="F5" s="420" t="s">
        <v>645</v>
      </c>
      <c r="G5" s="419" t="s">
        <v>484</v>
      </c>
      <c r="H5" s="419" t="s">
        <v>485</v>
      </c>
      <c r="I5" s="421">
        <v>260.3</v>
      </c>
      <c r="J5" s="421">
        <v>38</v>
      </c>
      <c r="K5" s="422">
        <v>9891.4</v>
      </c>
    </row>
    <row r="6" spans="1:11" ht="14.4" customHeight="1" x14ac:dyDescent="0.3">
      <c r="A6" s="423" t="s">
        <v>420</v>
      </c>
      <c r="B6" s="424" t="s">
        <v>480</v>
      </c>
      <c r="C6" s="425" t="s">
        <v>426</v>
      </c>
      <c r="D6" s="426" t="s">
        <v>427</v>
      </c>
      <c r="E6" s="425" t="s">
        <v>644</v>
      </c>
      <c r="F6" s="426" t="s">
        <v>645</v>
      </c>
      <c r="G6" s="425" t="s">
        <v>486</v>
      </c>
      <c r="H6" s="425" t="s">
        <v>487</v>
      </c>
      <c r="I6" s="427">
        <v>28.73</v>
      </c>
      <c r="J6" s="427">
        <v>20</v>
      </c>
      <c r="K6" s="428">
        <v>574.6</v>
      </c>
    </row>
    <row r="7" spans="1:11" ht="14.4" customHeight="1" x14ac:dyDescent="0.3">
      <c r="A7" s="423" t="s">
        <v>420</v>
      </c>
      <c r="B7" s="424" t="s">
        <v>480</v>
      </c>
      <c r="C7" s="425" t="s">
        <v>426</v>
      </c>
      <c r="D7" s="426" t="s">
        <v>427</v>
      </c>
      <c r="E7" s="425" t="s">
        <v>646</v>
      </c>
      <c r="F7" s="426" t="s">
        <v>647</v>
      </c>
      <c r="G7" s="425" t="s">
        <v>488</v>
      </c>
      <c r="H7" s="425" t="s">
        <v>489</v>
      </c>
      <c r="I7" s="427">
        <v>90.21</v>
      </c>
      <c r="J7" s="427">
        <v>25</v>
      </c>
      <c r="K7" s="428">
        <v>2255.1999999999998</v>
      </c>
    </row>
    <row r="8" spans="1:11" ht="14.4" customHeight="1" x14ac:dyDescent="0.3">
      <c r="A8" s="423" t="s">
        <v>420</v>
      </c>
      <c r="B8" s="424" t="s">
        <v>480</v>
      </c>
      <c r="C8" s="425" t="s">
        <v>426</v>
      </c>
      <c r="D8" s="426" t="s">
        <v>427</v>
      </c>
      <c r="E8" s="425" t="s">
        <v>646</v>
      </c>
      <c r="F8" s="426" t="s">
        <v>647</v>
      </c>
      <c r="G8" s="425" t="s">
        <v>490</v>
      </c>
      <c r="H8" s="425" t="s">
        <v>491</v>
      </c>
      <c r="I8" s="427">
        <v>1.68</v>
      </c>
      <c r="J8" s="427">
        <v>100</v>
      </c>
      <c r="K8" s="428">
        <v>168</v>
      </c>
    </row>
    <row r="9" spans="1:11" ht="14.4" customHeight="1" x14ac:dyDescent="0.3">
      <c r="A9" s="423" t="s">
        <v>420</v>
      </c>
      <c r="B9" s="424" t="s">
        <v>480</v>
      </c>
      <c r="C9" s="425" t="s">
        <v>426</v>
      </c>
      <c r="D9" s="426" t="s">
        <v>427</v>
      </c>
      <c r="E9" s="425" t="s">
        <v>646</v>
      </c>
      <c r="F9" s="426" t="s">
        <v>647</v>
      </c>
      <c r="G9" s="425" t="s">
        <v>492</v>
      </c>
      <c r="H9" s="425" t="s">
        <v>493</v>
      </c>
      <c r="I9" s="427">
        <v>1.9649999999999999</v>
      </c>
      <c r="J9" s="427">
        <v>760</v>
      </c>
      <c r="K9" s="428">
        <v>1491.04</v>
      </c>
    </row>
    <row r="10" spans="1:11" ht="14.4" customHeight="1" x14ac:dyDescent="0.3">
      <c r="A10" s="423" t="s">
        <v>420</v>
      </c>
      <c r="B10" s="424" t="s">
        <v>480</v>
      </c>
      <c r="C10" s="425" t="s">
        <v>426</v>
      </c>
      <c r="D10" s="426" t="s">
        <v>427</v>
      </c>
      <c r="E10" s="425" t="s">
        <v>646</v>
      </c>
      <c r="F10" s="426" t="s">
        <v>647</v>
      </c>
      <c r="G10" s="425" t="s">
        <v>494</v>
      </c>
      <c r="H10" s="425" t="s">
        <v>495</v>
      </c>
      <c r="I10" s="427">
        <v>2.9</v>
      </c>
      <c r="J10" s="427">
        <v>100</v>
      </c>
      <c r="K10" s="428">
        <v>290</v>
      </c>
    </row>
    <row r="11" spans="1:11" ht="14.4" customHeight="1" x14ac:dyDescent="0.3">
      <c r="A11" s="423" t="s">
        <v>420</v>
      </c>
      <c r="B11" s="424" t="s">
        <v>480</v>
      </c>
      <c r="C11" s="425" t="s">
        <v>426</v>
      </c>
      <c r="D11" s="426" t="s">
        <v>427</v>
      </c>
      <c r="E11" s="425" t="s">
        <v>646</v>
      </c>
      <c r="F11" s="426" t="s">
        <v>647</v>
      </c>
      <c r="G11" s="425" t="s">
        <v>496</v>
      </c>
      <c r="H11" s="425" t="s">
        <v>497</v>
      </c>
      <c r="I11" s="427">
        <v>2.06</v>
      </c>
      <c r="J11" s="427">
        <v>100</v>
      </c>
      <c r="K11" s="428">
        <v>206</v>
      </c>
    </row>
    <row r="12" spans="1:11" ht="14.4" customHeight="1" x14ac:dyDescent="0.3">
      <c r="A12" s="423" t="s">
        <v>420</v>
      </c>
      <c r="B12" s="424" t="s">
        <v>480</v>
      </c>
      <c r="C12" s="425" t="s">
        <v>426</v>
      </c>
      <c r="D12" s="426" t="s">
        <v>427</v>
      </c>
      <c r="E12" s="425" t="s">
        <v>646</v>
      </c>
      <c r="F12" s="426" t="s">
        <v>647</v>
      </c>
      <c r="G12" s="425" t="s">
        <v>498</v>
      </c>
      <c r="H12" s="425" t="s">
        <v>499</v>
      </c>
      <c r="I12" s="427">
        <v>13.31</v>
      </c>
      <c r="J12" s="427">
        <v>10</v>
      </c>
      <c r="K12" s="428">
        <v>133.1</v>
      </c>
    </row>
    <row r="13" spans="1:11" ht="14.4" customHeight="1" x14ac:dyDescent="0.3">
      <c r="A13" s="423" t="s">
        <v>420</v>
      </c>
      <c r="B13" s="424" t="s">
        <v>480</v>
      </c>
      <c r="C13" s="425" t="s">
        <v>426</v>
      </c>
      <c r="D13" s="426" t="s">
        <v>427</v>
      </c>
      <c r="E13" s="425" t="s">
        <v>646</v>
      </c>
      <c r="F13" s="426" t="s">
        <v>647</v>
      </c>
      <c r="G13" s="425" t="s">
        <v>500</v>
      </c>
      <c r="H13" s="425" t="s">
        <v>501</v>
      </c>
      <c r="I13" s="427">
        <v>11.73</v>
      </c>
      <c r="J13" s="427">
        <v>10</v>
      </c>
      <c r="K13" s="428">
        <v>117.3</v>
      </c>
    </row>
    <row r="14" spans="1:11" ht="14.4" customHeight="1" x14ac:dyDescent="0.3">
      <c r="A14" s="423" t="s">
        <v>420</v>
      </c>
      <c r="B14" s="424" t="s">
        <v>480</v>
      </c>
      <c r="C14" s="425" t="s">
        <v>426</v>
      </c>
      <c r="D14" s="426" t="s">
        <v>427</v>
      </c>
      <c r="E14" s="425" t="s">
        <v>646</v>
      </c>
      <c r="F14" s="426" t="s">
        <v>647</v>
      </c>
      <c r="G14" s="425" t="s">
        <v>502</v>
      </c>
      <c r="H14" s="425" t="s">
        <v>503</v>
      </c>
      <c r="I14" s="427">
        <v>21.23</v>
      </c>
      <c r="J14" s="427">
        <v>10</v>
      </c>
      <c r="K14" s="428">
        <v>212.3</v>
      </c>
    </row>
    <row r="15" spans="1:11" ht="14.4" customHeight="1" x14ac:dyDescent="0.3">
      <c r="A15" s="423" t="s">
        <v>420</v>
      </c>
      <c r="B15" s="424" t="s">
        <v>480</v>
      </c>
      <c r="C15" s="425" t="s">
        <v>426</v>
      </c>
      <c r="D15" s="426" t="s">
        <v>427</v>
      </c>
      <c r="E15" s="425" t="s">
        <v>646</v>
      </c>
      <c r="F15" s="426" t="s">
        <v>647</v>
      </c>
      <c r="G15" s="425" t="s">
        <v>504</v>
      </c>
      <c r="H15" s="425" t="s">
        <v>505</v>
      </c>
      <c r="I15" s="427">
        <v>198.44</v>
      </c>
      <c r="J15" s="427">
        <v>5</v>
      </c>
      <c r="K15" s="428">
        <v>992.2</v>
      </c>
    </row>
    <row r="16" spans="1:11" ht="14.4" customHeight="1" x14ac:dyDescent="0.3">
      <c r="A16" s="423" t="s">
        <v>420</v>
      </c>
      <c r="B16" s="424" t="s">
        <v>480</v>
      </c>
      <c r="C16" s="425" t="s">
        <v>426</v>
      </c>
      <c r="D16" s="426" t="s">
        <v>427</v>
      </c>
      <c r="E16" s="425" t="s">
        <v>646</v>
      </c>
      <c r="F16" s="426" t="s">
        <v>647</v>
      </c>
      <c r="G16" s="425" t="s">
        <v>506</v>
      </c>
      <c r="H16" s="425" t="s">
        <v>507</v>
      </c>
      <c r="I16" s="427">
        <v>70.180000000000007</v>
      </c>
      <c r="J16" s="427">
        <v>5</v>
      </c>
      <c r="K16" s="428">
        <v>350.9</v>
      </c>
    </row>
    <row r="17" spans="1:11" ht="14.4" customHeight="1" x14ac:dyDescent="0.3">
      <c r="A17" s="423" t="s">
        <v>420</v>
      </c>
      <c r="B17" s="424" t="s">
        <v>480</v>
      </c>
      <c r="C17" s="425" t="s">
        <v>426</v>
      </c>
      <c r="D17" s="426" t="s">
        <v>427</v>
      </c>
      <c r="E17" s="425" t="s">
        <v>646</v>
      </c>
      <c r="F17" s="426" t="s">
        <v>647</v>
      </c>
      <c r="G17" s="425" t="s">
        <v>508</v>
      </c>
      <c r="H17" s="425" t="s">
        <v>509</v>
      </c>
      <c r="I17" s="427">
        <v>2.9</v>
      </c>
      <c r="J17" s="427">
        <v>100</v>
      </c>
      <c r="K17" s="428">
        <v>290.39999999999998</v>
      </c>
    </row>
    <row r="18" spans="1:11" ht="14.4" customHeight="1" x14ac:dyDescent="0.3">
      <c r="A18" s="423" t="s">
        <v>420</v>
      </c>
      <c r="B18" s="424" t="s">
        <v>480</v>
      </c>
      <c r="C18" s="425" t="s">
        <v>426</v>
      </c>
      <c r="D18" s="426" t="s">
        <v>427</v>
      </c>
      <c r="E18" s="425" t="s">
        <v>646</v>
      </c>
      <c r="F18" s="426" t="s">
        <v>647</v>
      </c>
      <c r="G18" s="425" t="s">
        <v>510</v>
      </c>
      <c r="H18" s="425" t="s">
        <v>511</v>
      </c>
      <c r="I18" s="427">
        <v>1.43</v>
      </c>
      <c r="J18" s="427">
        <v>2400</v>
      </c>
      <c r="K18" s="428">
        <v>3426.7200000000003</v>
      </c>
    </row>
    <row r="19" spans="1:11" ht="14.4" customHeight="1" x14ac:dyDescent="0.3">
      <c r="A19" s="423" t="s">
        <v>420</v>
      </c>
      <c r="B19" s="424" t="s">
        <v>480</v>
      </c>
      <c r="C19" s="425" t="s">
        <v>426</v>
      </c>
      <c r="D19" s="426" t="s">
        <v>427</v>
      </c>
      <c r="E19" s="425" t="s">
        <v>646</v>
      </c>
      <c r="F19" s="426" t="s">
        <v>647</v>
      </c>
      <c r="G19" s="425" t="s">
        <v>512</v>
      </c>
      <c r="H19" s="425" t="s">
        <v>513</v>
      </c>
      <c r="I19" s="427">
        <v>1.87</v>
      </c>
      <c r="J19" s="427">
        <v>2000</v>
      </c>
      <c r="K19" s="428">
        <v>3738.9</v>
      </c>
    </row>
    <row r="20" spans="1:11" ht="14.4" customHeight="1" x14ac:dyDescent="0.3">
      <c r="A20" s="423" t="s">
        <v>420</v>
      </c>
      <c r="B20" s="424" t="s">
        <v>480</v>
      </c>
      <c r="C20" s="425" t="s">
        <v>426</v>
      </c>
      <c r="D20" s="426" t="s">
        <v>427</v>
      </c>
      <c r="E20" s="425" t="s">
        <v>646</v>
      </c>
      <c r="F20" s="426" t="s">
        <v>647</v>
      </c>
      <c r="G20" s="425" t="s">
        <v>514</v>
      </c>
      <c r="H20" s="425" t="s">
        <v>515</v>
      </c>
      <c r="I20" s="427">
        <v>8.35</v>
      </c>
      <c r="J20" s="427">
        <v>200</v>
      </c>
      <c r="K20" s="428">
        <v>1669.8</v>
      </c>
    </row>
    <row r="21" spans="1:11" ht="14.4" customHeight="1" x14ac:dyDescent="0.3">
      <c r="A21" s="423" t="s">
        <v>420</v>
      </c>
      <c r="B21" s="424" t="s">
        <v>480</v>
      </c>
      <c r="C21" s="425" t="s">
        <v>426</v>
      </c>
      <c r="D21" s="426" t="s">
        <v>427</v>
      </c>
      <c r="E21" s="425" t="s">
        <v>646</v>
      </c>
      <c r="F21" s="426" t="s">
        <v>647</v>
      </c>
      <c r="G21" s="425" t="s">
        <v>516</v>
      </c>
      <c r="H21" s="425" t="s">
        <v>517</v>
      </c>
      <c r="I21" s="427">
        <v>211.75</v>
      </c>
      <c r="J21" s="427">
        <v>5</v>
      </c>
      <c r="K21" s="428">
        <v>1058.75</v>
      </c>
    </row>
    <row r="22" spans="1:11" ht="14.4" customHeight="1" x14ac:dyDescent="0.3">
      <c r="A22" s="423" t="s">
        <v>420</v>
      </c>
      <c r="B22" s="424" t="s">
        <v>480</v>
      </c>
      <c r="C22" s="425" t="s">
        <v>426</v>
      </c>
      <c r="D22" s="426" t="s">
        <v>427</v>
      </c>
      <c r="E22" s="425" t="s">
        <v>646</v>
      </c>
      <c r="F22" s="426" t="s">
        <v>647</v>
      </c>
      <c r="G22" s="425" t="s">
        <v>518</v>
      </c>
      <c r="H22" s="425" t="s">
        <v>519</v>
      </c>
      <c r="I22" s="427">
        <v>56.38</v>
      </c>
      <c r="J22" s="427">
        <v>100</v>
      </c>
      <c r="K22" s="428">
        <v>5637.87</v>
      </c>
    </row>
    <row r="23" spans="1:11" ht="14.4" customHeight="1" x14ac:dyDescent="0.3">
      <c r="A23" s="423" t="s">
        <v>420</v>
      </c>
      <c r="B23" s="424" t="s">
        <v>480</v>
      </c>
      <c r="C23" s="425" t="s">
        <v>426</v>
      </c>
      <c r="D23" s="426" t="s">
        <v>427</v>
      </c>
      <c r="E23" s="425" t="s">
        <v>646</v>
      </c>
      <c r="F23" s="426" t="s">
        <v>647</v>
      </c>
      <c r="G23" s="425" t="s">
        <v>520</v>
      </c>
      <c r="H23" s="425" t="s">
        <v>521</v>
      </c>
      <c r="I23" s="427">
        <v>2.09</v>
      </c>
      <c r="J23" s="427">
        <v>300</v>
      </c>
      <c r="K23" s="428">
        <v>627</v>
      </c>
    </row>
    <row r="24" spans="1:11" ht="14.4" customHeight="1" x14ac:dyDescent="0.3">
      <c r="A24" s="423" t="s">
        <v>420</v>
      </c>
      <c r="B24" s="424" t="s">
        <v>480</v>
      </c>
      <c r="C24" s="425" t="s">
        <v>426</v>
      </c>
      <c r="D24" s="426" t="s">
        <v>427</v>
      </c>
      <c r="E24" s="425" t="s">
        <v>646</v>
      </c>
      <c r="F24" s="426" t="s">
        <v>647</v>
      </c>
      <c r="G24" s="425" t="s">
        <v>522</v>
      </c>
      <c r="H24" s="425" t="s">
        <v>523</v>
      </c>
      <c r="I24" s="427">
        <v>4.62</v>
      </c>
      <c r="J24" s="427">
        <v>100</v>
      </c>
      <c r="K24" s="428">
        <v>462</v>
      </c>
    </row>
    <row r="25" spans="1:11" ht="14.4" customHeight="1" x14ac:dyDescent="0.3">
      <c r="A25" s="423" t="s">
        <v>420</v>
      </c>
      <c r="B25" s="424" t="s">
        <v>480</v>
      </c>
      <c r="C25" s="425" t="s">
        <v>426</v>
      </c>
      <c r="D25" s="426" t="s">
        <v>427</v>
      </c>
      <c r="E25" s="425" t="s">
        <v>646</v>
      </c>
      <c r="F25" s="426" t="s">
        <v>647</v>
      </c>
      <c r="G25" s="425" t="s">
        <v>524</v>
      </c>
      <c r="H25" s="425" t="s">
        <v>525</v>
      </c>
      <c r="I25" s="427">
        <v>3.15</v>
      </c>
      <c r="J25" s="427">
        <v>100</v>
      </c>
      <c r="K25" s="428">
        <v>315</v>
      </c>
    </row>
    <row r="26" spans="1:11" ht="14.4" customHeight="1" x14ac:dyDescent="0.3">
      <c r="A26" s="423" t="s">
        <v>420</v>
      </c>
      <c r="B26" s="424" t="s">
        <v>480</v>
      </c>
      <c r="C26" s="425" t="s">
        <v>426</v>
      </c>
      <c r="D26" s="426" t="s">
        <v>427</v>
      </c>
      <c r="E26" s="425" t="s">
        <v>646</v>
      </c>
      <c r="F26" s="426" t="s">
        <v>647</v>
      </c>
      <c r="G26" s="425" t="s">
        <v>526</v>
      </c>
      <c r="H26" s="425" t="s">
        <v>527</v>
      </c>
      <c r="I26" s="427">
        <v>4.83</v>
      </c>
      <c r="J26" s="427">
        <v>100</v>
      </c>
      <c r="K26" s="428">
        <v>483.32</v>
      </c>
    </row>
    <row r="27" spans="1:11" ht="14.4" customHeight="1" x14ac:dyDescent="0.3">
      <c r="A27" s="423" t="s">
        <v>420</v>
      </c>
      <c r="B27" s="424" t="s">
        <v>480</v>
      </c>
      <c r="C27" s="425" t="s">
        <v>426</v>
      </c>
      <c r="D27" s="426" t="s">
        <v>427</v>
      </c>
      <c r="E27" s="425" t="s">
        <v>646</v>
      </c>
      <c r="F27" s="426" t="s">
        <v>647</v>
      </c>
      <c r="G27" s="425" t="s">
        <v>528</v>
      </c>
      <c r="H27" s="425" t="s">
        <v>529</v>
      </c>
      <c r="I27" s="427">
        <v>3.75</v>
      </c>
      <c r="J27" s="427">
        <v>200</v>
      </c>
      <c r="K27" s="428">
        <v>750</v>
      </c>
    </row>
    <row r="28" spans="1:11" ht="14.4" customHeight="1" x14ac:dyDescent="0.3">
      <c r="A28" s="423" t="s">
        <v>420</v>
      </c>
      <c r="B28" s="424" t="s">
        <v>480</v>
      </c>
      <c r="C28" s="425" t="s">
        <v>426</v>
      </c>
      <c r="D28" s="426" t="s">
        <v>427</v>
      </c>
      <c r="E28" s="425" t="s">
        <v>648</v>
      </c>
      <c r="F28" s="426" t="s">
        <v>649</v>
      </c>
      <c r="G28" s="425" t="s">
        <v>530</v>
      </c>
      <c r="H28" s="425" t="s">
        <v>531</v>
      </c>
      <c r="I28" s="427">
        <v>0.27</v>
      </c>
      <c r="J28" s="427">
        <v>7000</v>
      </c>
      <c r="K28" s="428">
        <v>1863.3999999999999</v>
      </c>
    </row>
    <row r="29" spans="1:11" ht="14.4" customHeight="1" x14ac:dyDescent="0.3">
      <c r="A29" s="423" t="s">
        <v>420</v>
      </c>
      <c r="B29" s="424" t="s">
        <v>480</v>
      </c>
      <c r="C29" s="425" t="s">
        <v>426</v>
      </c>
      <c r="D29" s="426" t="s">
        <v>427</v>
      </c>
      <c r="E29" s="425" t="s">
        <v>648</v>
      </c>
      <c r="F29" s="426" t="s">
        <v>649</v>
      </c>
      <c r="G29" s="425" t="s">
        <v>532</v>
      </c>
      <c r="H29" s="425" t="s">
        <v>533</v>
      </c>
      <c r="I29" s="427">
        <v>0.27666666666666667</v>
      </c>
      <c r="J29" s="427">
        <v>4000</v>
      </c>
      <c r="K29" s="428">
        <v>1111.5</v>
      </c>
    </row>
    <row r="30" spans="1:11" ht="14.4" customHeight="1" x14ac:dyDescent="0.3">
      <c r="A30" s="423" t="s">
        <v>420</v>
      </c>
      <c r="B30" s="424" t="s">
        <v>480</v>
      </c>
      <c r="C30" s="425" t="s">
        <v>426</v>
      </c>
      <c r="D30" s="426" t="s">
        <v>427</v>
      </c>
      <c r="E30" s="425" t="s">
        <v>648</v>
      </c>
      <c r="F30" s="426" t="s">
        <v>649</v>
      </c>
      <c r="G30" s="425" t="s">
        <v>534</v>
      </c>
      <c r="H30" s="425" t="s">
        <v>535</v>
      </c>
      <c r="I30" s="427">
        <v>5.71</v>
      </c>
      <c r="J30" s="427">
        <v>1000</v>
      </c>
      <c r="K30" s="428">
        <v>5711.07</v>
      </c>
    </row>
    <row r="31" spans="1:11" ht="14.4" customHeight="1" x14ac:dyDescent="0.3">
      <c r="A31" s="423" t="s">
        <v>420</v>
      </c>
      <c r="B31" s="424" t="s">
        <v>480</v>
      </c>
      <c r="C31" s="425" t="s">
        <v>426</v>
      </c>
      <c r="D31" s="426" t="s">
        <v>427</v>
      </c>
      <c r="E31" s="425" t="s">
        <v>648</v>
      </c>
      <c r="F31" s="426" t="s">
        <v>649</v>
      </c>
      <c r="G31" s="425" t="s">
        <v>536</v>
      </c>
      <c r="H31" s="425" t="s">
        <v>537</v>
      </c>
      <c r="I31" s="427">
        <v>13.14</v>
      </c>
      <c r="J31" s="427">
        <v>100</v>
      </c>
      <c r="K31" s="428">
        <v>1314.06</v>
      </c>
    </row>
    <row r="32" spans="1:11" ht="14.4" customHeight="1" x14ac:dyDescent="0.3">
      <c r="A32" s="423" t="s">
        <v>420</v>
      </c>
      <c r="B32" s="424" t="s">
        <v>480</v>
      </c>
      <c r="C32" s="425" t="s">
        <v>426</v>
      </c>
      <c r="D32" s="426" t="s">
        <v>427</v>
      </c>
      <c r="E32" s="425" t="s">
        <v>648</v>
      </c>
      <c r="F32" s="426" t="s">
        <v>649</v>
      </c>
      <c r="G32" s="425" t="s">
        <v>538</v>
      </c>
      <c r="H32" s="425" t="s">
        <v>539</v>
      </c>
      <c r="I32" s="427">
        <v>5.7349999999999994</v>
      </c>
      <c r="J32" s="427">
        <v>1000</v>
      </c>
      <c r="K32" s="428">
        <v>5735.53</v>
      </c>
    </row>
    <row r="33" spans="1:11" ht="14.4" customHeight="1" x14ac:dyDescent="0.3">
      <c r="A33" s="423" t="s">
        <v>420</v>
      </c>
      <c r="B33" s="424" t="s">
        <v>480</v>
      </c>
      <c r="C33" s="425" t="s">
        <v>426</v>
      </c>
      <c r="D33" s="426" t="s">
        <v>427</v>
      </c>
      <c r="E33" s="425" t="s">
        <v>648</v>
      </c>
      <c r="F33" s="426" t="s">
        <v>649</v>
      </c>
      <c r="G33" s="425" t="s">
        <v>540</v>
      </c>
      <c r="H33" s="425" t="s">
        <v>541</v>
      </c>
      <c r="I33" s="427">
        <v>87.115000000000009</v>
      </c>
      <c r="J33" s="427">
        <v>5</v>
      </c>
      <c r="K33" s="428">
        <v>432.57</v>
      </c>
    </row>
    <row r="34" spans="1:11" ht="14.4" customHeight="1" x14ac:dyDescent="0.3">
      <c r="A34" s="423" t="s">
        <v>420</v>
      </c>
      <c r="B34" s="424" t="s">
        <v>480</v>
      </c>
      <c r="C34" s="425" t="s">
        <v>426</v>
      </c>
      <c r="D34" s="426" t="s">
        <v>427</v>
      </c>
      <c r="E34" s="425" t="s">
        <v>648</v>
      </c>
      <c r="F34" s="426" t="s">
        <v>649</v>
      </c>
      <c r="G34" s="425" t="s">
        <v>542</v>
      </c>
      <c r="H34" s="425" t="s">
        <v>543</v>
      </c>
      <c r="I34" s="427">
        <v>254.1</v>
      </c>
      <c r="J34" s="427">
        <v>50</v>
      </c>
      <c r="K34" s="428">
        <v>12705</v>
      </c>
    </row>
    <row r="35" spans="1:11" ht="14.4" customHeight="1" x14ac:dyDescent="0.3">
      <c r="A35" s="423" t="s">
        <v>420</v>
      </c>
      <c r="B35" s="424" t="s">
        <v>480</v>
      </c>
      <c r="C35" s="425" t="s">
        <v>426</v>
      </c>
      <c r="D35" s="426" t="s">
        <v>427</v>
      </c>
      <c r="E35" s="425" t="s">
        <v>648</v>
      </c>
      <c r="F35" s="426" t="s">
        <v>649</v>
      </c>
      <c r="G35" s="425" t="s">
        <v>544</v>
      </c>
      <c r="H35" s="425" t="s">
        <v>545</v>
      </c>
      <c r="I35" s="427">
        <v>1.52</v>
      </c>
      <c r="J35" s="427">
        <v>2000</v>
      </c>
      <c r="K35" s="428">
        <v>3040</v>
      </c>
    </row>
    <row r="36" spans="1:11" ht="14.4" customHeight="1" x14ac:dyDescent="0.3">
      <c r="A36" s="423" t="s">
        <v>420</v>
      </c>
      <c r="B36" s="424" t="s">
        <v>480</v>
      </c>
      <c r="C36" s="425" t="s">
        <v>426</v>
      </c>
      <c r="D36" s="426" t="s">
        <v>427</v>
      </c>
      <c r="E36" s="425" t="s">
        <v>648</v>
      </c>
      <c r="F36" s="426" t="s">
        <v>649</v>
      </c>
      <c r="G36" s="425" t="s">
        <v>546</v>
      </c>
      <c r="H36" s="425" t="s">
        <v>547</v>
      </c>
      <c r="I36" s="427">
        <v>53.07</v>
      </c>
      <c r="J36" s="427">
        <v>3</v>
      </c>
      <c r="K36" s="428">
        <v>159.19999999999999</v>
      </c>
    </row>
    <row r="37" spans="1:11" ht="14.4" customHeight="1" x14ac:dyDescent="0.3">
      <c r="A37" s="423" t="s">
        <v>420</v>
      </c>
      <c r="B37" s="424" t="s">
        <v>480</v>
      </c>
      <c r="C37" s="425" t="s">
        <v>426</v>
      </c>
      <c r="D37" s="426" t="s">
        <v>427</v>
      </c>
      <c r="E37" s="425" t="s">
        <v>648</v>
      </c>
      <c r="F37" s="426" t="s">
        <v>649</v>
      </c>
      <c r="G37" s="425" t="s">
        <v>548</v>
      </c>
      <c r="H37" s="425" t="s">
        <v>549</v>
      </c>
      <c r="I37" s="427">
        <v>53.07</v>
      </c>
      <c r="J37" s="427">
        <v>3</v>
      </c>
      <c r="K37" s="428">
        <v>159.19999999999999</v>
      </c>
    </row>
    <row r="38" spans="1:11" ht="14.4" customHeight="1" x14ac:dyDescent="0.3">
      <c r="A38" s="423" t="s">
        <v>420</v>
      </c>
      <c r="B38" s="424" t="s">
        <v>480</v>
      </c>
      <c r="C38" s="425" t="s">
        <v>426</v>
      </c>
      <c r="D38" s="426" t="s">
        <v>427</v>
      </c>
      <c r="E38" s="425" t="s">
        <v>648</v>
      </c>
      <c r="F38" s="426" t="s">
        <v>649</v>
      </c>
      <c r="G38" s="425" t="s">
        <v>550</v>
      </c>
      <c r="H38" s="425" t="s">
        <v>551</v>
      </c>
      <c r="I38" s="427">
        <v>1232.99</v>
      </c>
      <c r="J38" s="427">
        <v>2</v>
      </c>
      <c r="K38" s="428">
        <v>2465.98</v>
      </c>
    </row>
    <row r="39" spans="1:11" ht="14.4" customHeight="1" x14ac:dyDescent="0.3">
      <c r="A39" s="423" t="s">
        <v>420</v>
      </c>
      <c r="B39" s="424" t="s">
        <v>480</v>
      </c>
      <c r="C39" s="425" t="s">
        <v>426</v>
      </c>
      <c r="D39" s="426" t="s">
        <v>427</v>
      </c>
      <c r="E39" s="425" t="s">
        <v>648</v>
      </c>
      <c r="F39" s="426" t="s">
        <v>649</v>
      </c>
      <c r="G39" s="425" t="s">
        <v>552</v>
      </c>
      <c r="H39" s="425" t="s">
        <v>553</v>
      </c>
      <c r="I39" s="427">
        <v>227.48</v>
      </c>
      <c r="J39" s="427">
        <v>20</v>
      </c>
      <c r="K39" s="428">
        <v>4549.6000000000004</v>
      </c>
    </row>
    <row r="40" spans="1:11" ht="14.4" customHeight="1" x14ac:dyDescent="0.3">
      <c r="A40" s="423" t="s">
        <v>420</v>
      </c>
      <c r="B40" s="424" t="s">
        <v>480</v>
      </c>
      <c r="C40" s="425" t="s">
        <v>426</v>
      </c>
      <c r="D40" s="426" t="s">
        <v>427</v>
      </c>
      <c r="E40" s="425" t="s">
        <v>650</v>
      </c>
      <c r="F40" s="426" t="s">
        <v>651</v>
      </c>
      <c r="G40" s="425" t="s">
        <v>554</v>
      </c>
      <c r="H40" s="425" t="s">
        <v>555</v>
      </c>
      <c r="I40" s="427">
        <v>7.5</v>
      </c>
      <c r="J40" s="427">
        <v>0</v>
      </c>
      <c r="K40" s="428">
        <v>0</v>
      </c>
    </row>
    <row r="41" spans="1:11" ht="14.4" customHeight="1" x14ac:dyDescent="0.3">
      <c r="A41" s="423" t="s">
        <v>420</v>
      </c>
      <c r="B41" s="424" t="s">
        <v>480</v>
      </c>
      <c r="C41" s="425" t="s">
        <v>426</v>
      </c>
      <c r="D41" s="426" t="s">
        <v>427</v>
      </c>
      <c r="E41" s="425" t="s">
        <v>650</v>
      </c>
      <c r="F41" s="426" t="s">
        <v>651</v>
      </c>
      <c r="G41" s="425" t="s">
        <v>556</v>
      </c>
      <c r="H41" s="425" t="s">
        <v>557</v>
      </c>
      <c r="I41" s="427">
        <v>7.5049999999999999</v>
      </c>
      <c r="J41" s="427">
        <v>250</v>
      </c>
      <c r="K41" s="428">
        <v>1876</v>
      </c>
    </row>
    <row r="42" spans="1:11" ht="14.4" customHeight="1" x14ac:dyDescent="0.3">
      <c r="A42" s="423" t="s">
        <v>420</v>
      </c>
      <c r="B42" s="424" t="s">
        <v>480</v>
      </c>
      <c r="C42" s="425" t="s">
        <v>426</v>
      </c>
      <c r="D42" s="426" t="s">
        <v>427</v>
      </c>
      <c r="E42" s="425" t="s">
        <v>650</v>
      </c>
      <c r="F42" s="426" t="s">
        <v>651</v>
      </c>
      <c r="G42" s="425" t="s">
        <v>558</v>
      </c>
      <c r="H42" s="425" t="s">
        <v>559</v>
      </c>
      <c r="I42" s="427">
        <v>0.69</v>
      </c>
      <c r="J42" s="427">
        <v>2400</v>
      </c>
      <c r="K42" s="428">
        <v>1656</v>
      </c>
    </row>
    <row r="43" spans="1:11" ht="14.4" customHeight="1" x14ac:dyDescent="0.3">
      <c r="A43" s="423" t="s">
        <v>420</v>
      </c>
      <c r="B43" s="424" t="s">
        <v>480</v>
      </c>
      <c r="C43" s="425" t="s">
        <v>426</v>
      </c>
      <c r="D43" s="426" t="s">
        <v>427</v>
      </c>
      <c r="E43" s="425" t="s">
        <v>650</v>
      </c>
      <c r="F43" s="426" t="s">
        <v>651</v>
      </c>
      <c r="G43" s="425" t="s">
        <v>560</v>
      </c>
      <c r="H43" s="425" t="s">
        <v>561</v>
      </c>
      <c r="I43" s="427">
        <v>0.69</v>
      </c>
      <c r="J43" s="427">
        <v>8400</v>
      </c>
      <c r="K43" s="428">
        <v>5796</v>
      </c>
    </row>
    <row r="44" spans="1:11" ht="14.4" customHeight="1" x14ac:dyDescent="0.3">
      <c r="A44" s="423" t="s">
        <v>420</v>
      </c>
      <c r="B44" s="424" t="s">
        <v>480</v>
      </c>
      <c r="C44" s="425" t="s">
        <v>426</v>
      </c>
      <c r="D44" s="426" t="s">
        <v>427</v>
      </c>
      <c r="E44" s="425" t="s">
        <v>650</v>
      </c>
      <c r="F44" s="426" t="s">
        <v>651</v>
      </c>
      <c r="G44" s="425" t="s">
        <v>562</v>
      </c>
      <c r="H44" s="425" t="s">
        <v>563</v>
      </c>
      <c r="I44" s="427">
        <v>9.43</v>
      </c>
      <c r="J44" s="427">
        <v>100</v>
      </c>
      <c r="K44" s="428">
        <v>943</v>
      </c>
    </row>
    <row r="45" spans="1:11" ht="14.4" customHeight="1" x14ac:dyDescent="0.3">
      <c r="A45" s="423" t="s">
        <v>420</v>
      </c>
      <c r="B45" s="424" t="s">
        <v>480</v>
      </c>
      <c r="C45" s="425" t="s">
        <v>426</v>
      </c>
      <c r="D45" s="426" t="s">
        <v>427</v>
      </c>
      <c r="E45" s="425" t="s">
        <v>650</v>
      </c>
      <c r="F45" s="426" t="s">
        <v>651</v>
      </c>
      <c r="G45" s="425" t="s">
        <v>564</v>
      </c>
      <c r="H45" s="425" t="s">
        <v>565</v>
      </c>
      <c r="I45" s="427">
        <v>6.24</v>
      </c>
      <c r="J45" s="427">
        <v>69</v>
      </c>
      <c r="K45" s="428">
        <v>430.56</v>
      </c>
    </row>
    <row r="46" spans="1:11" ht="14.4" customHeight="1" x14ac:dyDescent="0.3">
      <c r="A46" s="423" t="s">
        <v>420</v>
      </c>
      <c r="B46" s="424" t="s">
        <v>480</v>
      </c>
      <c r="C46" s="425" t="s">
        <v>426</v>
      </c>
      <c r="D46" s="426" t="s">
        <v>427</v>
      </c>
      <c r="E46" s="425" t="s">
        <v>650</v>
      </c>
      <c r="F46" s="426" t="s">
        <v>651</v>
      </c>
      <c r="G46" s="425" t="s">
        <v>566</v>
      </c>
      <c r="H46" s="425" t="s">
        <v>567</v>
      </c>
      <c r="I46" s="427">
        <v>6.23</v>
      </c>
      <c r="J46" s="427">
        <v>140</v>
      </c>
      <c r="K46" s="428">
        <v>872.42</v>
      </c>
    </row>
    <row r="47" spans="1:11" ht="14.4" customHeight="1" x14ac:dyDescent="0.3">
      <c r="A47" s="423" t="s">
        <v>420</v>
      </c>
      <c r="B47" s="424" t="s">
        <v>480</v>
      </c>
      <c r="C47" s="425" t="s">
        <v>426</v>
      </c>
      <c r="D47" s="426" t="s">
        <v>427</v>
      </c>
      <c r="E47" s="425" t="s">
        <v>650</v>
      </c>
      <c r="F47" s="426" t="s">
        <v>651</v>
      </c>
      <c r="G47" s="425" t="s">
        <v>568</v>
      </c>
      <c r="H47" s="425" t="s">
        <v>569</v>
      </c>
      <c r="I47" s="427">
        <v>6.24</v>
      </c>
      <c r="J47" s="427">
        <v>140</v>
      </c>
      <c r="K47" s="428">
        <v>873.6</v>
      </c>
    </row>
    <row r="48" spans="1:11" ht="14.4" customHeight="1" x14ac:dyDescent="0.3">
      <c r="A48" s="423" t="s">
        <v>420</v>
      </c>
      <c r="B48" s="424" t="s">
        <v>480</v>
      </c>
      <c r="C48" s="425" t="s">
        <v>426</v>
      </c>
      <c r="D48" s="426" t="s">
        <v>427</v>
      </c>
      <c r="E48" s="425" t="s">
        <v>652</v>
      </c>
      <c r="F48" s="426" t="s">
        <v>653</v>
      </c>
      <c r="G48" s="425" t="s">
        <v>570</v>
      </c>
      <c r="H48" s="425" t="s">
        <v>571</v>
      </c>
      <c r="I48" s="427">
        <v>139.44</v>
      </c>
      <c r="J48" s="427">
        <v>1</v>
      </c>
      <c r="K48" s="428">
        <v>139.44</v>
      </c>
    </row>
    <row r="49" spans="1:11" ht="14.4" customHeight="1" x14ac:dyDescent="0.3">
      <c r="A49" s="423" t="s">
        <v>420</v>
      </c>
      <c r="B49" s="424" t="s">
        <v>480</v>
      </c>
      <c r="C49" s="425" t="s">
        <v>426</v>
      </c>
      <c r="D49" s="426" t="s">
        <v>427</v>
      </c>
      <c r="E49" s="425" t="s">
        <v>652</v>
      </c>
      <c r="F49" s="426" t="s">
        <v>653</v>
      </c>
      <c r="G49" s="425" t="s">
        <v>572</v>
      </c>
      <c r="H49" s="425" t="s">
        <v>573</v>
      </c>
      <c r="I49" s="427">
        <v>461</v>
      </c>
      <c r="J49" s="427">
        <v>15</v>
      </c>
      <c r="K49" s="428">
        <v>6915</v>
      </c>
    </row>
    <row r="50" spans="1:11" ht="14.4" customHeight="1" x14ac:dyDescent="0.3">
      <c r="A50" s="423" t="s">
        <v>420</v>
      </c>
      <c r="B50" s="424" t="s">
        <v>480</v>
      </c>
      <c r="C50" s="425" t="s">
        <v>426</v>
      </c>
      <c r="D50" s="426" t="s">
        <v>427</v>
      </c>
      <c r="E50" s="425" t="s">
        <v>652</v>
      </c>
      <c r="F50" s="426" t="s">
        <v>653</v>
      </c>
      <c r="G50" s="425" t="s">
        <v>574</v>
      </c>
      <c r="H50" s="425" t="s">
        <v>575</v>
      </c>
      <c r="I50" s="427">
        <v>0.06</v>
      </c>
      <c r="J50" s="427">
        <v>12000</v>
      </c>
      <c r="K50" s="428">
        <v>717.29</v>
      </c>
    </row>
    <row r="51" spans="1:11" ht="14.4" customHeight="1" x14ac:dyDescent="0.3">
      <c r="A51" s="423" t="s">
        <v>420</v>
      </c>
      <c r="B51" s="424" t="s">
        <v>480</v>
      </c>
      <c r="C51" s="425" t="s">
        <v>426</v>
      </c>
      <c r="D51" s="426" t="s">
        <v>427</v>
      </c>
      <c r="E51" s="425" t="s">
        <v>652</v>
      </c>
      <c r="F51" s="426" t="s">
        <v>653</v>
      </c>
      <c r="G51" s="425" t="s">
        <v>576</v>
      </c>
      <c r="H51" s="425" t="s">
        <v>577</v>
      </c>
      <c r="I51" s="427">
        <v>344.83</v>
      </c>
      <c r="J51" s="427">
        <v>6</v>
      </c>
      <c r="K51" s="428">
        <v>2069</v>
      </c>
    </row>
    <row r="52" spans="1:11" ht="14.4" customHeight="1" x14ac:dyDescent="0.3">
      <c r="A52" s="423" t="s">
        <v>420</v>
      </c>
      <c r="B52" s="424" t="s">
        <v>480</v>
      </c>
      <c r="C52" s="425" t="s">
        <v>426</v>
      </c>
      <c r="D52" s="426" t="s">
        <v>427</v>
      </c>
      <c r="E52" s="425" t="s">
        <v>652</v>
      </c>
      <c r="F52" s="426" t="s">
        <v>653</v>
      </c>
      <c r="G52" s="425" t="s">
        <v>578</v>
      </c>
      <c r="H52" s="425" t="s">
        <v>579</v>
      </c>
      <c r="I52" s="427">
        <v>261.60000000000002</v>
      </c>
      <c r="J52" s="427">
        <v>72</v>
      </c>
      <c r="K52" s="428">
        <v>18835.349999999999</v>
      </c>
    </row>
    <row r="53" spans="1:11" ht="14.4" customHeight="1" x14ac:dyDescent="0.3">
      <c r="A53" s="423" t="s">
        <v>420</v>
      </c>
      <c r="B53" s="424" t="s">
        <v>480</v>
      </c>
      <c r="C53" s="425" t="s">
        <v>426</v>
      </c>
      <c r="D53" s="426" t="s">
        <v>427</v>
      </c>
      <c r="E53" s="425" t="s">
        <v>652</v>
      </c>
      <c r="F53" s="426" t="s">
        <v>653</v>
      </c>
      <c r="G53" s="425" t="s">
        <v>580</v>
      </c>
      <c r="H53" s="425" t="s">
        <v>581</v>
      </c>
      <c r="I53" s="427">
        <v>79.5</v>
      </c>
      <c r="J53" s="427">
        <v>6</v>
      </c>
      <c r="K53" s="428">
        <v>476.98</v>
      </c>
    </row>
    <row r="54" spans="1:11" ht="14.4" customHeight="1" x14ac:dyDescent="0.3">
      <c r="A54" s="423" t="s">
        <v>420</v>
      </c>
      <c r="B54" s="424" t="s">
        <v>480</v>
      </c>
      <c r="C54" s="425" t="s">
        <v>426</v>
      </c>
      <c r="D54" s="426" t="s">
        <v>427</v>
      </c>
      <c r="E54" s="425" t="s">
        <v>652</v>
      </c>
      <c r="F54" s="426" t="s">
        <v>653</v>
      </c>
      <c r="G54" s="425" t="s">
        <v>582</v>
      </c>
      <c r="H54" s="425" t="s">
        <v>583</v>
      </c>
      <c r="I54" s="427">
        <v>115.8</v>
      </c>
      <c r="J54" s="427">
        <v>3</v>
      </c>
      <c r="K54" s="428">
        <v>347.39</v>
      </c>
    </row>
    <row r="55" spans="1:11" ht="14.4" customHeight="1" x14ac:dyDescent="0.3">
      <c r="A55" s="423" t="s">
        <v>420</v>
      </c>
      <c r="B55" s="424" t="s">
        <v>480</v>
      </c>
      <c r="C55" s="425" t="s">
        <v>426</v>
      </c>
      <c r="D55" s="426" t="s">
        <v>427</v>
      </c>
      <c r="E55" s="425" t="s">
        <v>652</v>
      </c>
      <c r="F55" s="426" t="s">
        <v>653</v>
      </c>
      <c r="G55" s="425" t="s">
        <v>584</v>
      </c>
      <c r="H55" s="425" t="s">
        <v>585</v>
      </c>
      <c r="I55" s="427">
        <v>97.66</v>
      </c>
      <c r="J55" s="427">
        <v>1</v>
      </c>
      <c r="K55" s="428">
        <v>97.66</v>
      </c>
    </row>
    <row r="56" spans="1:11" ht="14.4" customHeight="1" x14ac:dyDescent="0.3">
      <c r="A56" s="423" t="s">
        <v>420</v>
      </c>
      <c r="B56" s="424" t="s">
        <v>480</v>
      </c>
      <c r="C56" s="425" t="s">
        <v>426</v>
      </c>
      <c r="D56" s="426" t="s">
        <v>427</v>
      </c>
      <c r="E56" s="425" t="s">
        <v>652</v>
      </c>
      <c r="F56" s="426" t="s">
        <v>653</v>
      </c>
      <c r="G56" s="425" t="s">
        <v>586</v>
      </c>
      <c r="H56" s="425" t="s">
        <v>587</v>
      </c>
      <c r="I56" s="427">
        <v>2813.2550000000001</v>
      </c>
      <c r="J56" s="427">
        <v>2</v>
      </c>
      <c r="K56" s="428">
        <v>5626.51</v>
      </c>
    </row>
    <row r="57" spans="1:11" ht="14.4" customHeight="1" x14ac:dyDescent="0.3">
      <c r="A57" s="423" t="s">
        <v>420</v>
      </c>
      <c r="B57" s="424" t="s">
        <v>480</v>
      </c>
      <c r="C57" s="425" t="s">
        <v>426</v>
      </c>
      <c r="D57" s="426" t="s">
        <v>427</v>
      </c>
      <c r="E57" s="425" t="s">
        <v>652</v>
      </c>
      <c r="F57" s="426" t="s">
        <v>653</v>
      </c>
      <c r="G57" s="425" t="s">
        <v>588</v>
      </c>
      <c r="H57" s="425" t="s">
        <v>589</v>
      </c>
      <c r="I57" s="427">
        <v>7529.82</v>
      </c>
      <c r="J57" s="427">
        <v>2</v>
      </c>
      <c r="K57" s="428">
        <v>15059.64</v>
      </c>
    </row>
    <row r="58" spans="1:11" ht="14.4" customHeight="1" x14ac:dyDescent="0.3">
      <c r="A58" s="423" t="s">
        <v>420</v>
      </c>
      <c r="B58" s="424" t="s">
        <v>480</v>
      </c>
      <c r="C58" s="425" t="s">
        <v>426</v>
      </c>
      <c r="D58" s="426" t="s">
        <v>427</v>
      </c>
      <c r="E58" s="425" t="s">
        <v>652</v>
      </c>
      <c r="F58" s="426" t="s">
        <v>653</v>
      </c>
      <c r="G58" s="425" t="s">
        <v>590</v>
      </c>
      <c r="H58" s="425" t="s">
        <v>591</v>
      </c>
      <c r="I58" s="427">
        <v>0.4</v>
      </c>
      <c r="J58" s="427">
        <v>1000</v>
      </c>
      <c r="K58" s="428">
        <v>395.67</v>
      </c>
    </row>
    <row r="59" spans="1:11" ht="14.4" customHeight="1" x14ac:dyDescent="0.3">
      <c r="A59" s="423" t="s">
        <v>420</v>
      </c>
      <c r="B59" s="424" t="s">
        <v>480</v>
      </c>
      <c r="C59" s="425" t="s">
        <v>426</v>
      </c>
      <c r="D59" s="426" t="s">
        <v>427</v>
      </c>
      <c r="E59" s="425" t="s">
        <v>652</v>
      </c>
      <c r="F59" s="426" t="s">
        <v>653</v>
      </c>
      <c r="G59" s="425" t="s">
        <v>592</v>
      </c>
      <c r="H59" s="425" t="s">
        <v>593</v>
      </c>
      <c r="I59" s="427">
        <v>15427.52</v>
      </c>
      <c r="J59" s="427">
        <v>1</v>
      </c>
      <c r="K59" s="428">
        <v>15427.52</v>
      </c>
    </row>
    <row r="60" spans="1:11" ht="14.4" customHeight="1" x14ac:dyDescent="0.3">
      <c r="A60" s="423" t="s">
        <v>420</v>
      </c>
      <c r="B60" s="424" t="s">
        <v>480</v>
      </c>
      <c r="C60" s="425" t="s">
        <v>426</v>
      </c>
      <c r="D60" s="426" t="s">
        <v>427</v>
      </c>
      <c r="E60" s="425" t="s">
        <v>652</v>
      </c>
      <c r="F60" s="426" t="s">
        <v>653</v>
      </c>
      <c r="G60" s="425" t="s">
        <v>594</v>
      </c>
      <c r="H60" s="425" t="s">
        <v>595</v>
      </c>
      <c r="I60" s="427">
        <v>30.25</v>
      </c>
      <c r="J60" s="427">
        <v>70</v>
      </c>
      <c r="K60" s="428">
        <v>2117.5</v>
      </c>
    </row>
    <row r="61" spans="1:11" ht="14.4" customHeight="1" x14ac:dyDescent="0.3">
      <c r="A61" s="423" t="s">
        <v>420</v>
      </c>
      <c r="B61" s="424" t="s">
        <v>480</v>
      </c>
      <c r="C61" s="425" t="s">
        <v>426</v>
      </c>
      <c r="D61" s="426" t="s">
        <v>427</v>
      </c>
      <c r="E61" s="425" t="s">
        <v>652</v>
      </c>
      <c r="F61" s="426" t="s">
        <v>653</v>
      </c>
      <c r="G61" s="425" t="s">
        <v>596</v>
      </c>
      <c r="H61" s="425" t="s">
        <v>597</v>
      </c>
      <c r="I61" s="427">
        <v>3049.19</v>
      </c>
      <c r="J61" s="427">
        <v>1</v>
      </c>
      <c r="K61" s="428">
        <v>3049.19</v>
      </c>
    </row>
    <row r="62" spans="1:11" ht="14.4" customHeight="1" x14ac:dyDescent="0.3">
      <c r="A62" s="423" t="s">
        <v>420</v>
      </c>
      <c r="B62" s="424" t="s">
        <v>480</v>
      </c>
      <c r="C62" s="425" t="s">
        <v>426</v>
      </c>
      <c r="D62" s="426" t="s">
        <v>427</v>
      </c>
      <c r="E62" s="425" t="s">
        <v>652</v>
      </c>
      <c r="F62" s="426" t="s">
        <v>653</v>
      </c>
      <c r="G62" s="425" t="s">
        <v>598</v>
      </c>
      <c r="H62" s="425" t="s">
        <v>599</v>
      </c>
      <c r="I62" s="427">
        <v>4210.8</v>
      </c>
      <c r="J62" s="427">
        <v>1</v>
      </c>
      <c r="K62" s="428">
        <v>4210.8</v>
      </c>
    </row>
    <row r="63" spans="1:11" ht="14.4" customHeight="1" x14ac:dyDescent="0.3">
      <c r="A63" s="423" t="s">
        <v>420</v>
      </c>
      <c r="B63" s="424" t="s">
        <v>480</v>
      </c>
      <c r="C63" s="425" t="s">
        <v>426</v>
      </c>
      <c r="D63" s="426" t="s">
        <v>427</v>
      </c>
      <c r="E63" s="425" t="s">
        <v>652</v>
      </c>
      <c r="F63" s="426" t="s">
        <v>653</v>
      </c>
      <c r="G63" s="425" t="s">
        <v>600</v>
      </c>
      <c r="H63" s="425" t="s">
        <v>601</v>
      </c>
      <c r="I63" s="427">
        <v>2661.99</v>
      </c>
      <c r="J63" s="427">
        <v>1</v>
      </c>
      <c r="K63" s="428">
        <v>2661.99</v>
      </c>
    </row>
    <row r="64" spans="1:11" ht="14.4" customHeight="1" x14ac:dyDescent="0.3">
      <c r="A64" s="423" t="s">
        <v>420</v>
      </c>
      <c r="B64" s="424" t="s">
        <v>480</v>
      </c>
      <c r="C64" s="425" t="s">
        <v>426</v>
      </c>
      <c r="D64" s="426" t="s">
        <v>427</v>
      </c>
      <c r="E64" s="425" t="s">
        <v>652</v>
      </c>
      <c r="F64" s="426" t="s">
        <v>653</v>
      </c>
      <c r="G64" s="425" t="s">
        <v>602</v>
      </c>
      <c r="H64" s="425" t="s">
        <v>603</v>
      </c>
      <c r="I64" s="427">
        <v>30.25</v>
      </c>
      <c r="J64" s="427">
        <v>20</v>
      </c>
      <c r="K64" s="428">
        <v>605</v>
      </c>
    </row>
    <row r="65" spans="1:11" ht="14.4" customHeight="1" x14ac:dyDescent="0.3">
      <c r="A65" s="423" t="s">
        <v>420</v>
      </c>
      <c r="B65" s="424" t="s">
        <v>480</v>
      </c>
      <c r="C65" s="425" t="s">
        <v>426</v>
      </c>
      <c r="D65" s="426" t="s">
        <v>427</v>
      </c>
      <c r="E65" s="425" t="s">
        <v>652</v>
      </c>
      <c r="F65" s="426" t="s">
        <v>653</v>
      </c>
      <c r="G65" s="425" t="s">
        <v>604</v>
      </c>
      <c r="H65" s="425" t="s">
        <v>605</v>
      </c>
      <c r="I65" s="427">
        <v>2964.5</v>
      </c>
      <c r="J65" s="427">
        <v>1</v>
      </c>
      <c r="K65" s="428">
        <v>2964.5</v>
      </c>
    </row>
    <row r="66" spans="1:11" ht="14.4" customHeight="1" x14ac:dyDescent="0.3">
      <c r="A66" s="423" t="s">
        <v>420</v>
      </c>
      <c r="B66" s="424" t="s">
        <v>480</v>
      </c>
      <c r="C66" s="425" t="s">
        <v>426</v>
      </c>
      <c r="D66" s="426" t="s">
        <v>427</v>
      </c>
      <c r="E66" s="425" t="s">
        <v>652</v>
      </c>
      <c r="F66" s="426" t="s">
        <v>653</v>
      </c>
      <c r="G66" s="425" t="s">
        <v>606</v>
      </c>
      <c r="H66" s="425" t="s">
        <v>607</v>
      </c>
      <c r="I66" s="427">
        <v>108.9</v>
      </c>
      <c r="J66" s="427">
        <v>20</v>
      </c>
      <c r="K66" s="428">
        <v>2178</v>
      </c>
    </row>
    <row r="67" spans="1:11" ht="14.4" customHeight="1" x14ac:dyDescent="0.3">
      <c r="A67" s="423" t="s">
        <v>420</v>
      </c>
      <c r="B67" s="424" t="s">
        <v>480</v>
      </c>
      <c r="C67" s="425" t="s">
        <v>426</v>
      </c>
      <c r="D67" s="426" t="s">
        <v>427</v>
      </c>
      <c r="E67" s="425" t="s">
        <v>652</v>
      </c>
      <c r="F67" s="426" t="s">
        <v>653</v>
      </c>
      <c r="G67" s="425" t="s">
        <v>608</v>
      </c>
      <c r="H67" s="425" t="s">
        <v>609</v>
      </c>
      <c r="I67" s="427">
        <v>147.18</v>
      </c>
      <c r="J67" s="427">
        <v>1</v>
      </c>
      <c r="K67" s="428">
        <v>147.18</v>
      </c>
    </row>
    <row r="68" spans="1:11" ht="14.4" customHeight="1" x14ac:dyDescent="0.3">
      <c r="A68" s="423" t="s">
        <v>420</v>
      </c>
      <c r="B68" s="424" t="s">
        <v>480</v>
      </c>
      <c r="C68" s="425" t="s">
        <v>426</v>
      </c>
      <c r="D68" s="426" t="s">
        <v>427</v>
      </c>
      <c r="E68" s="425" t="s">
        <v>652</v>
      </c>
      <c r="F68" s="426" t="s">
        <v>653</v>
      </c>
      <c r="G68" s="425" t="s">
        <v>610</v>
      </c>
      <c r="H68" s="425" t="s">
        <v>611</v>
      </c>
      <c r="I68" s="427">
        <v>147.18</v>
      </c>
      <c r="J68" s="427">
        <v>1</v>
      </c>
      <c r="K68" s="428">
        <v>147.18</v>
      </c>
    </row>
    <row r="69" spans="1:11" ht="14.4" customHeight="1" x14ac:dyDescent="0.3">
      <c r="A69" s="423" t="s">
        <v>420</v>
      </c>
      <c r="B69" s="424" t="s">
        <v>480</v>
      </c>
      <c r="C69" s="425" t="s">
        <v>426</v>
      </c>
      <c r="D69" s="426" t="s">
        <v>427</v>
      </c>
      <c r="E69" s="425" t="s">
        <v>652</v>
      </c>
      <c r="F69" s="426" t="s">
        <v>653</v>
      </c>
      <c r="G69" s="425" t="s">
        <v>612</v>
      </c>
      <c r="H69" s="425" t="s">
        <v>613</v>
      </c>
      <c r="I69" s="427">
        <v>1643.95</v>
      </c>
      <c r="J69" s="427">
        <v>1</v>
      </c>
      <c r="K69" s="428">
        <v>1643.95</v>
      </c>
    </row>
    <row r="70" spans="1:11" ht="14.4" customHeight="1" x14ac:dyDescent="0.3">
      <c r="A70" s="423" t="s">
        <v>420</v>
      </c>
      <c r="B70" s="424" t="s">
        <v>480</v>
      </c>
      <c r="C70" s="425" t="s">
        <v>426</v>
      </c>
      <c r="D70" s="426" t="s">
        <v>427</v>
      </c>
      <c r="E70" s="425" t="s">
        <v>652</v>
      </c>
      <c r="F70" s="426" t="s">
        <v>653</v>
      </c>
      <c r="G70" s="425" t="s">
        <v>614</v>
      </c>
      <c r="H70" s="425" t="s">
        <v>615</v>
      </c>
      <c r="I70" s="427">
        <v>3.35</v>
      </c>
      <c r="J70" s="427">
        <v>500</v>
      </c>
      <c r="K70" s="428">
        <v>1677.06</v>
      </c>
    </row>
    <row r="71" spans="1:11" ht="14.4" customHeight="1" x14ac:dyDescent="0.3">
      <c r="A71" s="423" t="s">
        <v>420</v>
      </c>
      <c r="B71" s="424" t="s">
        <v>480</v>
      </c>
      <c r="C71" s="425" t="s">
        <v>426</v>
      </c>
      <c r="D71" s="426" t="s">
        <v>427</v>
      </c>
      <c r="E71" s="425" t="s">
        <v>652</v>
      </c>
      <c r="F71" s="426" t="s">
        <v>653</v>
      </c>
      <c r="G71" s="425" t="s">
        <v>616</v>
      </c>
      <c r="H71" s="425" t="s">
        <v>617</v>
      </c>
      <c r="I71" s="427">
        <v>303.875</v>
      </c>
      <c r="J71" s="427">
        <v>3</v>
      </c>
      <c r="K71" s="428">
        <v>824.25</v>
      </c>
    </row>
    <row r="72" spans="1:11" ht="14.4" customHeight="1" x14ac:dyDescent="0.3">
      <c r="A72" s="423" t="s">
        <v>420</v>
      </c>
      <c r="B72" s="424" t="s">
        <v>480</v>
      </c>
      <c r="C72" s="425" t="s">
        <v>426</v>
      </c>
      <c r="D72" s="426" t="s">
        <v>427</v>
      </c>
      <c r="E72" s="425" t="s">
        <v>652</v>
      </c>
      <c r="F72" s="426" t="s">
        <v>653</v>
      </c>
      <c r="G72" s="425" t="s">
        <v>618</v>
      </c>
      <c r="H72" s="425" t="s">
        <v>619</v>
      </c>
      <c r="I72" s="427">
        <v>1282.5999999999999</v>
      </c>
      <c r="J72" s="427">
        <v>1</v>
      </c>
      <c r="K72" s="428">
        <v>1282.5999999999999</v>
      </c>
    </row>
    <row r="73" spans="1:11" ht="14.4" customHeight="1" x14ac:dyDescent="0.3">
      <c r="A73" s="423" t="s">
        <v>420</v>
      </c>
      <c r="B73" s="424" t="s">
        <v>480</v>
      </c>
      <c r="C73" s="425" t="s">
        <v>426</v>
      </c>
      <c r="D73" s="426" t="s">
        <v>427</v>
      </c>
      <c r="E73" s="425" t="s">
        <v>652</v>
      </c>
      <c r="F73" s="426" t="s">
        <v>653</v>
      </c>
      <c r="G73" s="425" t="s">
        <v>620</v>
      </c>
      <c r="H73" s="425" t="s">
        <v>621</v>
      </c>
      <c r="I73" s="427">
        <v>1.43</v>
      </c>
      <c r="J73" s="427">
        <v>1000</v>
      </c>
      <c r="K73" s="428">
        <v>1427.8</v>
      </c>
    </row>
    <row r="74" spans="1:11" ht="14.4" customHeight="1" x14ac:dyDescent="0.3">
      <c r="A74" s="423" t="s">
        <v>420</v>
      </c>
      <c r="B74" s="424" t="s">
        <v>480</v>
      </c>
      <c r="C74" s="425" t="s">
        <v>426</v>
      </c>
      <c r="D74" s="426" t="s">
        <v>427</v>
      </c>
      <c r="E74" s="425" t="s">
        <v>652</v>
      </c>
      <c r="F74" s="426" t="s">
        <v>653</v>
      </c>
      <c r="G74" s="425" t="s">
        <v>622</v>
      </c>
      <c r="H74" s="425" t="s">
        <v>623</v>
      </c>
      <c r="I74" s="427">
        <v>1547.59</v>
      </c>
      <c r="J74" s="427">
        <v>1</v>
      </c>
      <c r="K74" s="428">
        <v>1547.59</v>
      </c>
    </row>
    <row r="75" spans="1:11" ht="14.4" customHeight="1" x14ac:dyDescent="0.3">
      <c r="A75" s="423" t="s">
        <v>420</v>
      </c>
      <c r="B75" s="424" t="s">
        <v>480</v>
      </c>
      <c r="C75" s="425" t="s">
        <v>426</v>
      </c>
      <c r="D75" s="426" t="s">
        <v>427</v>
      </c>
      <c r="E75" s="425" t="s">
        <v>652</v>
      </c>
      <c r="F75" s="426" t="s">
        <v>653</v>
      </c>
      <c r="G75" s="425" t="s">
        <v>624</v>
      </c>
      <c r="H75" s="425" t="s">
        <v>625</v>
      </c>
      <c r="I75" s="427">
        <v>2662</v>
      </c>
      <c r="J75" s="427">
        <v>1</v>
      </c>
      <c r="K75" s="428">
        <v>2662</v>
      </c>
    </row>
    <row r="76" spans="1:11" ht="14.4" customHeight="1" x14ac:dyDescent="0.3">
      <c r="A76" s="423" t="s">
        <v>420</v>
      </c>
      <c r="B76" s="424" t="s">
        <v>480</v>
      </c>
      <c r="C76" s="425" t="s">
        <v>426</v>
      </c>
      <c r="D76" s="426" t="s">
        <v>427</v>
      </c>
      <c r="E76" s="425" t="s">
        <v>652</v>
      </c>
      <c r="F76" s="426" t="s">
        <v>653</v>
      </c>
      <c r="G76" s="425" t="s">
        <v>626</v>
      </c>
      <c r="H76" s="425" t="s">
        <v>627</v>
      </c>
      <c r="I76" s="427">
        <v>2662</v>
      </c>
      <c r="J76" s="427">
        <v>1</v>
      </c>
      <c r="K76" s="428">
        <v>2662</v>
      </c>
    </row>
    <row r="77" spans="1:11" ht="14.4" customHeight="1" x14ac:dyDescent="0.3">
      <c r="A77" s="423" t="s">
        <v>420</v>
      </c>
      <c r="B77" s="424" t="s">
        <v>480</v>
      </c>
      <c r="C77" s="425" t="s">
        <v>426</v>
      </c>
      <c r="D77" s="426" t="s">
        <v>427</v>
      </c>
      <c r="E77" s="425" t="s">
        <v>652</v>
      </c>
      <c r="F77" s="426" t="s">
        <v>653</v>
      </c>
      <c r="G77" s="425" t="s">
        <v>628</v>
      </c>
      <c r="H77" s="425" t="s">
        <v>629</v>
      </c>
      <c r="I77" s="427">
        <v>2662</v>
      </c>
      <c r="J77" s="427">
        <v>1</v>
      </c>
      <c r="K77" s="428">
        <v>2662</v>
      </c>
    </row>
    <row r="78" spans="1:11" ht="14.4" customHeight="1" x14ac:dyDescent="0.3">
      <c r="A78" s="423" t="s">
        <v>420</v>
      </c>
      <c r="B78" s="424" t="s">
        <v>480</v>
      </c>
      <c r="C78" s="425" t="s">
        <v>426</v>
      </c>
      <c r="D78" s="426" t="s">
        <v>427</v>
      </c>
      <c r="E78" s="425" t="s">
        <v>652</v>
      </c>
      <c r="F78" s="426" t="s">
        <v>653</v>
      </c>
      <c r="G78" s="425" t="s">
        <v>630</v>
      </c>
      <c r="H78" s="425" t="s">
        <v>631</v>
      </c>
      <c r="I78" s="427">
        <v>2662.01</v>
      </c>
      <c r="J78" s="427">
        <v>1</v>
      </c>
      <c r="K78" s="428">
        <v>2662.01</v>
      </c>
    </row>
    <row r="79" spans="1:11" ht="14.4" customHeight="1" x14ac:dyDescent="0.3">
      <c r="A79" s="423" t="s">
        <v>420</v>
      </c>
      <c r="B79" s="424" t="s">
        <v>480</v>
      </c>
      <c r="C79" s="425" t="s">
        <v>426</v>
      </c>
      <c r="D79" s="426" t="s">
        <v>427</v>
      </c>
      <c r="E79" s="425" t="s">
        <v>652</v>
      </c>
      <c r="F79" s="426" t="s">
        <v>653</v>
      </c>
      <c r="G79" s="425" t="s">
        <v>632</v>
      </c>
      <c r="H79" s="425" t="s">
        <v>633</v>
      </c>
      <c r="I79" s="427">
        <v>4410.46</v>
      </c>
      <c r="J79" s="427">
        <v>1</v>
      </c>
      <c r="K79" s="428">
        <v>4410.46</v>
      </c>
    </row>
    <row r="80" spans="1:11" ht="14.4" customHeight="1" x14ac:dyDescent="0.3">
      <c r="A80" s="423" t="s">
        <v>420</v>
      </c>
      <c r="B80" s="424" t="s">
        <v>480</v>
      </c>
      <c r="C80" s="425" t="s">
        <v>426</v>
      </c>
      <c r="D80" s="426" t="s">
        <v>427</v>
      </c>
      <c r="E80" s="425" t="s">
        <v>652</v>
      </c>
      <c r="F80" s="426" t="s">
        <v>653</v>
      </c>
      <c r="G80" s="425" t="s">
        <v>634</v>
      </c>
      <c r="H80" s="425" t="s">
        <v>635</v>
      </c>
      <c r="I80" s="427">
        <v>4428.59</v>
      </c>
      <c r="J80" s="427">
        <v>1</v>
      </c>
      <c r="K80" s="428">
        <v>4428.59</v>
      </c>
    </row>
    <row r="81" spans="1:11" ht="14.4" customHeight="1" x14ac:dyDescent="0.3">
      <c r="A81" s="423" t="s">
        <v>420</v>
      </c>
      <c r="B81" s="424" t="s">
        <v>480</v>
      </c>
      <c r="C81" s="425" t="s">
        <v>426</v>
      </c>
      <c r="D81" s="426" t="s">
        <v>427</v>
      </c>
      <c r="E81" s="425" t="s">
        <v>652</v>
      </c>
      <c r="F81" s="426" t="s">
        <v>653</v>
      </c>
      <c r="G81" s="425" t="s">
        <v>636</v>
      </c>
      <c r="H81" s="425" t="s">
        <v>637</v>
      </c>
      <c r="I81" s="427">
        <v>4428.59</v>
      </c>
      <c r="J81" s="427">
        <v>1</v>
      </c>
      <c r="K81" s="428">
        <v>4428.59</v>
      </c>
    </row>
    <row r="82" spans="1:11" ht="14.4" customHeight="1" x14ac:dyDescent="0.3">
      <c r="A82" s="423" t="s">
        <v>420</v>
      </c>
      <c r="B82" s="424" t="s">
        <v>480</v>
      </c>
      <c r="C82" s="425" t="s">
        <v>426</v>
      </c>
      <c r="D82" s="426" t="s">
        <v>427</v>
      </c>
      <c r="E82" s="425" t="s">
        <v>652</v>
      </c>
      <c r="F82" s="426" t="s">
        <v>653</v>
      </c>
      <c r="G82" s="425" t="s">
        <v>638</v>
      </c>
      <c r="H82" s="425" t="s">
        <v>639</v>
      </c>
      <c r="I82" s="427">
        <v>5653.14</v>
      </c>
      <c r="J82" s="427">
        <v>1</v>
      </c>
      <c r="K82" s="428">
        <v>5653.14</v>
      </c>
    </row>
    <row r="83" spans="1:11" ht="14.4" customHeight="1" x14ac:dyDescent="0.3">
      <c r="A83" s="423" t="s">
        <v>420</v>
      </c>
      <c r="B83" s="424" t="s">
        <v>480</v>
      </c>
      <c r="C83" s="425" t="s">
        <v>426</v>
      </c>
      <c r="D83" s="426" t="s">
        <v>427</v>
      </c>
      <c r="E83" s="425" t="s">
        <v>652</v>
      </c>
      <c r="F83" s="426" t="s">
        <v>653</v>
      </c>
      <c r="G83" s="425" t="s">
        <v>640</v>
      </c>
      <c r="H83" s="425" t="s">
        <v>641</v>
      </c>
      <c r="I83" s="427">
        <v>5982.24</v>
      </c>
      <c r="J83" s="427">
        <v>1</v>
      </c>
      <c r="K83" s="428">
        <v>5982.24</v>
      </c>
    </row>
    <row r="84" spans="1:11" ht="14.4" customHeight="1" thickBot="1" x14ac:dyDescent="0.35">
      <c r="A84" s="429" t="s">
        <v>420</v>
      </c>
      <c r="B84" s="430" t="s">
        <v>480</v>
      </c>
      <c r="C84" s="431" t="s">
        <v>426</v>
      </c>
      <c r="D84" s="432" t="s">
        <v>427</v>
      </c>
      <c r="E84" s="431" t="s">
        <v>652</v>
      </c>
      <c r="F84" s="432" t="s">
        <v>653</v>
      </c>
      <c r="G84" s="431" t="s">
        <v>642</v>
      </c>
      <c r="H84" s="431" t="s">
        <v>643</v>
      </c>
      <c r="I84" s="433">
        <v>6231.5</v>
      </c>
      <c r="J84" s="433">
        <v>1</v>
      </c>
      <c r="K84" s="434">
        <v>6231.5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356" t="s">
        <v>92</v>
      </c>
      <c r="B1" s="356"/>
      <c r="C1" s="304"/>
      <c r="D1" s="304"/>
      <c r="E1" s="304"/>
      <c r="F1" s="304"/>
      <c r="G1" s="304"/>
      <c r="H1" s="304"/>
      <c r="I1" s="304"/>
      <c r="J1" s="304"/>
      <c r="K1" s="304"/>
      <c r="L1" s="280"/>
    </row>
    <row r="2" spans="1:12" ht="15" thickBot="1" x14ac:dyDescent="0.35">
      <c r="A2" s="203" t="s">
        <v>227</v>
      </c>
      <c r="B2" s="204"/>
      <c r="C2" s="204"/>
      <c r="D2" s="204"/>
      <c r="E2" s="204"/>
      <c r="F2" s="204"/>
      <c r="G2" s="204"/>
      <c r="H2" s="204"/>
      <c r="I2" s="204"/>
      <c r="J2" s="204"/>
      <c r="L2" s="280"/>
    </row>
    <row r="3" spans="1:12" x14ac:dyDescent="0.3">
      <c r="A3" s="220" t="s">
        <v>164</v>
      </c>
      <c r="B3" s="354" t="s">
        <v>146</v>
      </c>
      <c r="C3" s="205">
        <v>25</v>
      </c>
      <c r="D3" s="205">
        <v>30</v>
      </c>
      <c r="E3" s="205">
        <v>99</v>
      </c>
      <c r="F3" s="223">
        <v>101</v>
      </c>
      <c r="G3" s="223">
        <v>103</v>
      </c>
      <c r="H3" s="223">
        <v>409</v>
      </c>
      <c r="I3" s="223">
        <v>522</v>
      </c>
      <c r="J3" s="223">
        <v>526</v>
      </c>
      <c r="K3" s="205">
        <v>642</v>
      </c>
      <c r="L3" s="280"/>
    </row>
    <row r="4" spans="1:12" ht="36.6" outlineLevel="1" thickBot="1" x14ac:dyDescent="0.35">
      <c r="A4" s="221">
        <v>2017</v>
      </c>
      <c r="B4" s="355"/>
      <c r="C4" s="206" t="s">
        <v>148</v>
      </c>
      <c r="D4" s="206" t="s">
        <v>166</v>
      </c>
      <c r="E4" s="206" t="s">
        <v>147</v>
      </c>
      <c r="F4" s="224" t="s">
        <v>190</v>
      </c>
      <c r="G4" s="224" t="s">
        <v>191</v>
      </c>
      <c r="H4" s="224" t="s">
        <v>171</v>
      </c>
      <c r="I4" s="224" t="s">
        <v>192</v>
      </c>
      <c r="J4" s="224" t="s">
        <v>172</v>
      </c>
      <c r="K4" s="206" t="s">
        <v>173</v>
      </c>
      <c r="L4" s="280"/>
    </row>
    <row r="5" spans="1:12" x14ac:dyDescent="0.3">
      <c r="A5" s="207" t="s">
        <v>149</v>
      </c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80"/>
    </row>
    <row r="6" spans="1:12" ht="15" collapsed="1" thickBot="1" x14ac:dyDescent="0.35">
      <c r="A6" s="208" t="s">
        <v>59</v>
      </c>
      <c r="B6" s="237">
        <f xml:space="preserve">
TRUNC(IF($A$4&lt;=12,SUMIFS('ON Data'!F:F,'ON Data'!$D:$D,$A$4,'ON Data'!$E:$E,1),SUMIFS('ON Data'!F:F,'ON Data'!$E:$E,1)/'ON Data'!$D$3),1)</f>
        <v>27.2</v>
      </c>
      <c r="C6" s="238">
        <f xml:space="preserve">
TRUNC(IF($A$4&lt;=12,SUMIFS('ON Data'!H:H,'ON Data'!$D:$D,$A$4,'ON Data'!$E:$E,1),SUMIFS('ON Data'!H:H,'ON Data'!$E:$E,1)/'ON Data'!$D$3),1)</f>
        <v>0.5</v>
      </c>
      <c r="D6" s="238">
        <f xml:space="preserve">
TRUNC(IF($A$4&lt;=12,SUMIFS('ON Data'!I:I,'ON Data'!$D:$D,$A$4,'ON Data'!$E:$E,1),SUMIFS('ON Data'!I:I,'ON Data'!$E:$E,1)/'ON Data'!$D$3),1)</f>
        <v>2.5</v>
      </c>
      <c r="E6" s="238">
        <f xml:space="preserve">
TRUNC(IF($A$4&lt;=12,SUMIFS('ON Data'!J:J,'ON Data'!$D:$D,$A$4,'ON Data'!$E:$E,1),SUMIFS('ON Data'!J:J,'ON Data'!$E:$E,1)/'ON Data'!$D$3),1)</f>
        <v>1</v>
      </c>
      <c r="F6" s="238">
        <f xml:space="preserve">
TRUNC(IF($A$4&lt;=12,SUMIFS('ON Data'!L:L,'ON Data'!$D:$D,$A$4,'ON Data'!$E:$E,1),SUMIFS('ON Data'!L:L,'ON Data'!$E:$E,1)/'ON Data'!$D$3),1)</f>
        <v>4.2</v>
      </c>
      <c r="G6" s="238">
        <f xml:space="preserve">
TRUNC(IF($A$4&lt;=12,SUMIFS('ON Data'!N:N,'ON Data'!$D:$D,$A$4,'ON Data'!$E:$E,1),SUMIFS('ON Data'!N:N,'ON Data'!$E:$E,1)/'ON Data'!$D$3),1)</f>
        <v>0</v>
      </c>
      <c r="H6" s="238">
        <f xml:space="preserve">
TRUNC(IF($A$4&lt;=12,SUMIFS('ON Data'!W:W,'ON Data'!$D:$D,$A$4,'ON Data'!$E:$E,1),SUMIFS('ON Data'!W:W,'ON Data'!$E:$E,1)/'ON Data'!$D$3),1)</f>
        <v>10</v>
      </c>
      <c r="I6" s="238">
        <f xml:space="preserve">
TRUNC(IF($A$4&lt;=12,SUMIFS('ON Data'!AH:AH,'ON Data'!$D:$D,$A$4,'ON Data'!$E:$E,1),SUMIFS('ON Data'!AH:AH,'ON Data'!$E:$E,1)/'ON Data'!$D$3),1)</f>
        <v>0</v>
      </c>
      <c r="J6" s="238">
        <f xml:space="preserve">
TRUNC(IF($A$4&lt;=12,SUMIFS('ON Data'!AL:AL,'ON Data'!$D:$D,$A$4,'ON Data'!$E:$E,1),SUMIFS('ON Data'!AL:AL,'ON Data'!$E:$E,1)/'ON Data'!$D$3),1)</f>
        <v>4</v>
      </c>
      <c r="K6" s="238">
        <f xml:space="preserve">
TRUNC(IF($A$4&lt;=12,SUMIFS('ON Data'!AT:AT,'ON Data'!$D:$D,$A$4,'ON Data'!$E:$E,1),SUMIFS('ON Data'!AT:AT,'ON Data'!$E:$E,1)/'ON Data'!$D$3),1)</f>
        <v>5</v>
      </c>
      <c r="L6" s="280"/>
    </row>
    <row r="7" spans="1:12" ht="15" hidden="1" outlineLevel="1" thickBot="1" x14ac:dyDescent="0.35">
      <c r="A7" s="208" t="s">
        <v>93</v>
      </c>
      <c r="B7" s="237"/>
      <c r="C7" s="238"/>
      <c r="D7" s="238"/>
      <c r="E7" s="238"/>
      <c r="F7" s="238"/>
      <c r="G7" s="238"/>
      <c r="H7" s="238"/>
      <c r="I7" s="238"/>
      <c r="J7" s="238"/>
      <c r="K7" s="238"/>
      <c r="L7" s="280"/>
    </row>
    <row r="8" spans="1:12" ht="15" hidden="1" outlineLevel="1" thickBot="1" x14ac:dyDescent="0.35">
      <c r="A8" s="208" t="s">
        <v>61</v>
      </c>
      <c r="B8" s="237"/>
      <c r="C8" s="238"/>
      <c r="D8" s="238"/>
      <c r="E8" s="238"/>
      <c r="F8" s="238"/>
      <c r="G8" s="238"/>
      <c r="H8" s="238"/>
      <c r="I8" s="238"/>
      <c r="J8" s="238"/>
      <c r="K8" s="238"/>
      <c r="L8" s="280"/>
    </row>
    <row r="9" spans="1:12" ht="15" hidden="1" outlineLevel="1" thickBot="1" x14ac:dyDescent="0.35">
      <c r="A9" s="209" t="s">
        <v>54</v>
      </c>
      <c r="B9" s="239"/>
      <c r="C9" s="240"/>
      <c r="D9" s="240"/>
      <c r="E9" s="240"/>
      <c r="F9" s="240"/>
      <c r="G9" s="240"/>
      <c r="H9" s="240"/>
      <c r="I9" s="240"/>
      <c r="J9" s="240"/>
      <c r="K9" s="240"/>
      <c r="L9" s="280"/>
    </row>
    <row r="10" spans="1:12" x14ac:dyDescent="0.3">
      <c r="A10" s="210" t="s">
        <v>150</v>
      </c>
      <c r="B10" s="225"/>
      <c r="C10" s="226"/>
      <c r="D10" s="226"/>
      <c r="E10" s="226"/>
      <c r="F10" s="226"/>
      <c r="G10" s="226"/>
      <c r="H10" s="226"/>
      <c r="I10" s="226"/>
      <c r="J10" s="226"/>
      <c r="K10" s="226"/>
      <c r="L10" s="280"/>
    </row>
    <row r="11" spans="1:12" x14ac:dyDescent="0.3">
      <c r="A11" s="211" t="s">
        <v>151</v>
      </c>
      <c r="B11" s="227">
        <f xml:space="preserve">
IF($A$4&lt;=12,SUMIFS('ON Data'!F:F,'ON Data'!$D:$D,$A$4,'ON Data'!$E:$E,2),SUMIFS('ON Data'!F:F,'ON Data'!$E:$E,2))</f>
        <v>12044</v>
      </c>
      <c r="C11" s="228">
        <f xml:space="preserve">
IF($A$4&lt;=12,SUMIFS('ON Data'!H:H,'ON Data'!$D:$D,$A$4,'ON Data'!$E:$E,2),SUMIFS('ON Data'!H:H,'ON Data'!$E:$E,2))</f>
        <v>206</v>
      </c>
      <c r="D11" s="228"/>
      <c r="E11" s="228">
        <f xml:space="preserve">
IF($A$4&lt;=12,SUMIFS('ON Data'!J:J,'ON Data'!$D:$D,$A$4,'ON Data'!$E:$E,2),SUMIFS('ON Data'!J:J,'ON Data'!$E:$E,2))</f>
        <v>472</v>
      </c>
      <c r="F11" s="228">
        <f xml:space="preserve">
IF($A$4&lt;=12,SUMIFS('ON Data'!L:L,'ON Data'!$D:$D,$A$4,'ON Data'!$E:$E,2),SUMIFS('ON Data'!L:L,'ON Data'!$E:$E,2))</f>
        <v>2016</v>
      </c>
      <c r="G11" s="228">
        <f xml:space="preserve">
IF($A$4&lt;=12,SUMIFS('ON Data'!N:N,'ON Data'!$D:$D,$A$4,'ON Data'!$E:$E,2),SUMIFS('ON Data'!N:N,'ON Data'!$E:$E,2))</f>
        <v>0</v>
      </c>
      <c r="H11" s="228">
        <f xml:space="preserve">
IF($A$4&lt;=12,SUMIFS('ON Data'!W:W,'ON Data'!$D:$D,$A$4,'ON Data'!$E:$E,2),SUMIFS('ON Data'!W:W,'ON Data'!$E:$E,2))</f>
        <v>4004</v>
      </c>
      <c r="I11" s="228">
        <f xml:space="preserve">
IF($A$4&lt;=12,SUMIFS('ON Data'!AH:AH,'ON Data'!$D:$D,$A$4,'ON Data'!$E:$E,2),SUMIFS('ON Data'!AH:AH,'ON Data'!$E:$E,2))</f>
        <v>0</v>
      </c>
      <c r="J11" s="228">
        <f xml:space="preserve">
IF($A$4&lt;=12,SUMIFS('ON Data'!AL:AL,'ON Data'!$D:$D,$A$4,'ON Data'!$E:$E,2),SUMIFS('ON Data'!AL:AL,'ON Data'!$E:$E,2))</f>
        <v>1936</v>
      </c>
      <c r="K11" s="228">
        <f xml:space="preserve">
IF($A$4&lt;=12,SUMIFS('ON Data'!AT:AT,'ON Data'!$D:$D,$A$4,'ON Data'!$E:$E,2),SUMIFS('ON Data'!AT:AT,'ON Data'!$E:$E,2))</f>
        <v>2212</v>
      </c>
      <c r="L11" s="280"/>
    </row>
    <row r="12" spans="1:12" x14ac:dyDescent="0.3">
      <c r="A12" s="211" t="s">
        <v>152</v>
      </c>
      <c r="B12" s="227">
        <f xml:space="preserve">
IF($A$4&lt;=12,SUMIFS('ON Data'!F:F,'ON Data'!$D:$D,$A$4,'ON Data'!$E:$E,3),SUMIFS('ON Data'!F:F,'ON Data'!$E:$E,3))</f>
        <v>192</v>
      </c>
      <c r="C12" s="228">
        <f xml:space="preserve">
IF($A$4&lt;=12,SUMIFS('ON Data'!H:H,'ON Data'!$D:$D,$A$4,'ON Data'!$E:$E,3),SUMIFS('ON Data'!H:H,'ON Data'!$E:$E,3))</f>
        <v>0</v>
      </c>
      <c r="D12" s="228"/>
      <c r="E12" s="228">
        <f xml:space="preserve">
IF($A$4&lt;=12,SUMIFS('ON Data'!J:J,'ON Data'!$D:$D,$A$4,'ON Data'!$E:$E,3),SUMIFS('ON Data'!J:J,'ON Data'!$E:$E,3))</f>
        <v>0</v>
      </c>
      <c r="F12" s="228">
        <f xml:space="preserve">
IF($A$4&lt;=12,SUMIFS('ON Data'!L:L,'ON Data'!$D:$D,$A$4,'ON Data'!$E:$E,3),SUMIFS('ON Data'!L:L,'ON Data'!$E:$E,3))</f>
        <v>0</v>
      </c>
      <c r="G12" s="228">
        <f xml:space="preserve">
IF($A$4&lt;=12,SUMIFS('ON Data'!N:N,'ON Data'!$D:$D,$A$4,'ON Data'!$E:$E,3),SUMIFS('ON Data'!N:N,'ON Data'!$E:$E,3))</f>
        <v>0</v>
      </c>
      <c r="H12" s="228">
        <f xml:space="preserve">
IF($A$4&lt;=12,SUMIFS('ON Data'!W:W,'ON Data'!$D:$D,$A$4,'ON Data'!$E:$E,3),SUMIFS('ON Data'!W:W,'ON Data'!$E:$E,3))</f>
        <v>0</v>
      </c>
      <c r="I12" s="228">
        <f xml:space="preserve">
IF($A$4&lt;=12,SUMIFS('ON Data'!AH:AH,'ON Data'!$D:$D,$A$4,'ON Data'!$E:$E,3),SUMIFS('ON Data'!AH:AH,'ON Data'!$E:$E,3))</f>
        <v>0</v>
      </c>
      <c r="J12" s="228">
        <f xml:space="preserve">
IF($A$4&lt;=12,SUMIFS('ON Data'!AL:AL,'ON Data'!$D:$D,$A$4,'ON Data'!$E:$E,3),SUMIFS('ON Data'!AL:AL,'ON Data'!$E:$E,3))</f>
        <v>192</v>
      </c>
      <c r="K12" s="228">
        <f xml:space="preserve">
IF($A$4&lt;=12,SUMIFS('ON Data'!AT:AT,'ON Data'!$D:$D,$A$4,'ON Data'!$E:$E,3),SUMIFS('ON Data'!AT:AT,'ON Data'!$E:$E,3))</f>
        <v>0</v>
      </c>
      <c r="L12" s="280"/>
    </row>
    <row r="13" spans="1:12" x14ac:dyDescent="0.3">
      <c r="A13" s="211" t="s">
        <v>159</v>
      </c>
      <c r="B13" s="227">
        <f xml:space="preserve">
IF($A$4&lt;=12,SUMIFS('ON Data'!F:F,'ON Data'!$D:$D,$A$4,'ON Data'!$E:$E,4),SUMIFS('ON Data'!F:F,'ON Data'!$E:$E,4))</f>
        <v>331.90000000000003</v>
      </c>
      <c r="C13" s="228">
        <f xml:space="preserve">
IF($A$4&lt;=12,SUMIFS('ON Data'!H:H,'ON Data'!$D:$D,$A$4,'ON Data'!$E:$E,4),SUMIFS('ON Data'!H:H,'ON Data'!$E:$E,4))</f>
        <v>0</v>
      </c>
      <c r="D13" s="228"/>
      <c r="E13" s="228">
        <f xml:space="preserve">
IF($A$4&lt;=12,SUMIFS('ON Data'!J:J,'ON Data'!$D:$D,$A$4,'ON Data'!$E:$E,4),SUMIFS('ON Data'!J:J,'ON Data'!$E:$E,4))</f>
        <v>0</v>
      </c>
      <c r="F13" s="228">
        <f xml:space="preserve">
IF($A$4&lt;=12,SUMIFS('ON Data'!L:L,'ON Data'!$D:$D,$A$4,'ON Data'!$E:$E,4),SUMIFS('ON Data'!L:L,'ON Data'!$E:$E,4))</f>
        <v>0</v>
      </c>
      <c r="G13" s="228">
        <f xml:space="preserve">
IF($A$4&lt;=12,SUMIFS('ON Data'!N:N,'ON Data'!$D:$D,$A$4,'ON Data'!$E:$E,4),SUMIFS('ON Data'!N:N,'ON Data'!$E:$E,4))</f>
        <v>0</v>
      </c>
      <c r="H13" s="228">
        <f xml:space="preserve">
IF($A$4&lt;=12,SUMIFS('ON Data'!W:W,'ON Data'!$D:$D,$A$4,'ON Data'!$E:$E,4),SUMIFS('ON Data'!W:W,'ON Data'!$E:$E,4))</f>
        <v>0</v>
      </c>
      <c r="I13" s="228">
        <f xml:space="preserve">
IF($A$4&lt;=12,SUMIFS('ON Data'!AH:AH,'ON Data'!$D:$D,$A$4,'ON Data'!$E:$E,4),SUMIFS('ON Data'!AH:AH,'ON Data'!$E:$E,4))</f>
        <v>0</v>
      </c>
      <c r="J13" s="228">
        <f xml:space="preserve">
IF($A$4&lt;=12,SUMIFS('ON Data'!AL:AL,'ON Data'!$D:$D,$A$4,'ON Data'!$E:$E,4),SUMIFS('ON Data'!AL:AL,'ON Data'!$E:$E,4))</f>
        <v>294.40000000000003</v>
      </c>
      <c r="K13" s="228">
        <f xml:space="preserve">
IF($A$4&lt;=12,SUMIFS('ON Data'!AT:AT,'ON Data'!$D:$D,$A$4,'ON Data'!$E:$E,4),SUMIFS('ON Data'!AT:AT,'ON Data'!$E:$E,4))</f>
        <v>37.5</v>
      </c>
      <c r="L13" s="280"/>
    </row>
    <row r="14" spans="1:12" ht="15" thickBot="1" x14ac:dyDescent="0.35">
      <c r="A14" s="212" t="s">
        <v>153</v>
      </c>
      <c r="B14" s="229">
        <f xml:space="preserve">
IF($A$4&lt;=12,SUMIFS('ON Data'!F:F,'ON Data'!$D:$D,$A$4,'ON Data'!$E:$E,5),SUMIFS('ON Data'!F:F,'ON Data'!$E:$E,5))</f>
        <v>2480</v>
      </c>
      <c r="C14" s="230">
        <f xml:space="preserve">
IF($A$4&lt;=12,SUMIFS('ON Data'!H:H,'ON Data'!$D:$D,$A$4,'ON Data'!$E:$E,5),SUMIFS('ON Data'!H:H,'ON Data'!$E:$E,5))</f>
        <v>0</v>
      </c>
      <c r="D14" s="230"/>
      <c r="E14" s="230">
        <f xml:space="preserve">
IF($A$4&lt;=12,SUMIFS('ON Data'!J:J,'ON Data'!$D:$D,$A$4,'ON Data'!$E:$E,5),SUMIFS('ON Data'!J:J,'ON Data'!$E:$E,5))</f>
        <v>0</v>
      </c>
      <c r="F14" s="230">
        <f xml:space="preserve">
IF($A$4&lt;=12,SUMIFS('ON Data'!L:L,'ON Data'!$D:$D,$A$4,'ON Data'!$E:$E,5),SUMIFS('ON Data'!L:L,'ON Data'!$E:$E,5))</f>
        <v>0</v>
      </c>
      <c r="G14" s="230">
        <f xml:space="preserve">
IF($A$4&lt;=12,SUMIFS('ON Data'!N:N,'ON Data'!$D:$D,$A$4,'ON Data'!$E:$E,5),SUMIFS('ON Data'!N:N,'ON Data'!$E:$E,5))</f>
        <v>0</v>
      </c>
      <c r="H14" s="230">
        <f xml:space="preserve">
IF($A$4&lt;=12,SUMIFS('ON Data'!W:W,'ON Data'!$D:$D,$A$4,'ON Data'!$E:$E,5),SUMIFS('ON Data'!W:W,'ON Data'!$E:$E,5))</f>
        <v>0</v>
      </c>
      <c r="I14" s="230">
        <f xml:space="preserve">
IF($A$4&lt;=12,SUMIFS('ON Data'!AH:AH,'ON Data'!$D:$D,$A$4,'ON Data'!$E:$E,5),SUMIFS('ON Data'!AH:AH,'ON Data'!$E:$E,5))</f>
        <v>0</v>
      </c>
      <c r="J14" s="230">
        <f xml:space="preserve">
IF($A$4&lt;=12,SUMIFS('ON Data'!AL:AL,'ON Data'!$D:$D,$A$4,'ON Data'!$E:$E,5),SUMIFS('ON Data'!AL:AL,'ON Data'!$E:$E,5))</f>
        <v>1116</v>
      </c>
      <c r="K14" s="230">
        <f xml:space="preserve">
IF($A$4&lt;=12,SUMIFS('ON Data'!AT:AT,'ON Data'!$D:$D,$A$4,'ON Data'!$E:$E,5),SUMIFS('ON Data'!AT:AT,'ON Data'!$E:$E,5))</f>
        <v>1364</v>
      </c>
      <c r="L14" s="280"/>
    </row>
    <row r="15" spans="1:12" x14ac:dyDescent="0.3">
      <c r="A15" s="135" t="s">
        <v>163</v>
      </c>
      <c r="B15" s="231"/>
      <c r="C15" s="232"/>
      <c r="D15" s="232"/>
      <c r="E15" s="232"/>
      <c r="F15" s="232"/>
      <c r="G15" s="232"/>
      <c r="H15" s="232"/>
      <c r="I15" s="232"/>
      <c r="J15" s="232"/>
      <c r="K15" s="232"/>
      <c r="L15" s="280"/>
    </row>
    <row r="16" spans="1:12" x14ac:dyDescent="0.3">
      <c r="A16" s="213" t="s">
        <v>154</v>
      </c>
      <c r="B16" s="227">
        <f xml:space="preserve">
IF($A$4&lt;=12,SUMIFS('ON Data'!F:F,'ON Data'!$D:$D,$A$4,'ON Data'!$E:$E,7),SUMIFS('ON Data'!F:F,'ON Data'!$E:$E,7))</f>
        <v>0</v>
      </c>
      <c r="C16" s="228">
        <f xml:space="preserve">
IF($A$4&lt;=12,SUMIFS('ON Data'!H:H,'ON Data'!$D:$D,$A$4,'ON Data'!$E:$E,7),SUMIFS('ON Data'!H:H,'ON Data'!$E:$E,7))</f>
        <v>0</v>
      </c>
      <c r="D16" s="228"/>
      <c r="E16" s="228">
        <f xml:space="preserve">
IF($A$4&lt;=12,SUMIFS('ON Data'!J:J,'ON Data'!$D:$D,$A$4,'ON Data'!$E:$E,7),SUMIFS('ON Data'!J:J,'ON Data'!$E:$E,7))</f>
        <v>0</v>
      </c>
      <c r="F16" s="228">
        <f xml:space="preserve">
IF($A$4&lt;=12,SUMIFS('ON Data'!L:L,'ON Data'!$D:$D,$A$4,'ON Data'!$E:$E,7),SUMIFS('ON Data'!L:L,'ON Data'!$E:$E,7))</f>
        <v>0</v>
      </c>
      <c r="G16" s="228">
        <f xml:space="preserve">
IF($A$4&lt;=12,SUMIFS('ON Data'!N:N,'ON Data'!$D:$D,$A$4,'ON Data'!$E:$E,7),SUMIFS('ON Data'!N:N,'ON Data'!$E:$E,7))</f>
        <v>0</v>
      </c>
      <c r="H16" s="228">
        <f xml:space="preserve">
IF($A$4&lt;=12,SUMIFS('ON Data'!W:W,'ON Data'!$D:$D,$A$4,'ON Data'!$E:$E,7),SUMIFS('ON Data'!W:W,'ON Data'!$E:$E,7))</f>
        <v>0</v>
      </c>
      <c r="I16" s="228">
        <f xml:space="preserve">
IF($A$4&lt;=12,SUMIFS('ON Data'!AH:AH,'ON Data'!$D:$D,$A$4,'ON Data'!$E:$E,7),SUMIFS('ON Data'!AH:AH,'ON Data'!$E:$E,7))</f>
        <v>0</v>
      </c>
      <c r="J16" s="228">
        <f xml:space="preserve">
IF($A$4&lt;=12,SUMIFS('ON Data'!AL:AL,'ON Data'!$D:$D,$A$4,'ON Data'!$E:$E,7),SUMIFS('ON Data'!AL:AL,'ON Data'!$E:$E,7))</f>
        <v>0</v>
      </c>
      <c r="K16" s="228">
        <f xml:space="preserve">
IF($A$4&lt;=12,SUMIFS('ON Data'!AT:AT,'ON Data'!$D:$D,$A$4,'ON Data'!$E:$E,7),SUMIFS('ON Data'!AT:AT,'ON Data'!$E:$E,7))</f>
        <v>0</v>
      </c>
      <c r="L16" s="280"/>
    </row>
    <row r="17" spans="1:46" x14ac:dyDescent="0.3">
      <c r="A17" s="213" t="s">
        <v>155</v>
      </c>
      <c r="B17" s="227">
        <f xml:space="preserve">
IF($A$4&lt;=12,SUMIFS('ON Data'!F:F,'ON Data'!$D:$D,$A$4,'ON Data'!$E:$E,8),SUMIFS('ON Data'!F:F,'ON Data'!$E:$E,8))</f>
        <v>0</v>
      </c>
      <c r="C17" s="228">
        <f xml:space="preserve">
IF($A$4&lt;=12,SUMIFS('ON Data'!H:H,'ON Data'!$D:$D,$A$4,'ON Data'!$E:$E,8),SUMIFS('ON Data'!H:H,'ON Data'!$E:$E,8))</f>
        <v>0</v>
      </c>
      <c r="D17" s="228"/>
      <c r="E17" s="228">
        <f xml:space="preserve">
IF($A$4&lt;=12,SUMIFS('ON Data'!J:J,'ON Data'!$D:$D,$A$4,'ON Data'!$E:$E,8),SUMIFS('ON Data'!J:J,'ON Data'!$E:$E,8))</f>
        <v>0</v>
      </c>
      <c r="F17" s="228">
        <f xml:space="preserve">
IF($A$4&lt;=12,SUMIFS('ON Data'!L:L,'ON Data'!$D:$D,$A$4,'ON Data'!$E:$E,8),SUMIFS('ON Data'!L:L,'ON Data'!$E:$E,8))</f>
        <v>0</v>
      </c>
      <c r="G17" s="228">
        <f xml:space="preserve">
IF($A$4&lt;=12,SUMIFS('ON Data'!N:N,'ON Data'!$D:$D,$A$4,'ON Data'!$E:$E,8),SUMIFS('ON Data'!N:N,'ON Data'!$E:$E,8))</f>
        <v>0</v>
      </c>
      <c r="H17" s="228">
        <f xml:space="preserve">
IF($A$4&lt;=12,SUMIFS('ON Data'!W:W,'ON Data'!$D:$D,$A$4,'ON Data'!$E:$E,8),SUMIFS('ON Data'!W:W,'ON Data'!$E:$E,8))</f>
        <v>0</v>
      </c>
      <c r="I17" s="228">
        <f xml:space="preserve">
IF($A$4&lt;=12,SUMIFS('ON Data'!AH:AH,'ON Data'!$D:$D,$A$4,'ON Data'!$E:$E,8),SUMIFS('ON Data'!AH:AH,'ON Data'!$E:$E,8))</f>
        <v>0</v>
      </c>
      <c r="J17" s="228">
        <f xml:space="preserve">
IF($A$4&lt;=12,SUMIFS('ON Data'!AL:AL,'ON Data'!$D:$D,$A$4,'ON Data'!$E:$E,8),SUMIFS('ON Data'!AL:AL,'ON Data'!$E:$E,8))</f>
        <v>0</v>
      </c>
      <c r="K17" s="228">
        <f xml:space="preserve">
IF($A$4&lt;=12,SUMIFS('ON Data'!AT:AT,'ON Data'!$D:$D,$A$4,'ON Data'!$E:$E,8),SUMIFS('ON Data'!AT:AT,'ON Data'!$E:$E,8))</f>
        <v>0</v>
      </c>
      <c r="L17" s="280"/>
    </row>
    <row r="18" spans="1:46" x14ac:dyDescent="0.3">
      <c r="A18" s="213" t="s">
        <v>156</v>
      </c>
      <c r="B18" s="227">
        <f xml:space="preserve">
B19-B16-B17</f>
        <v>139002</v>
      </c>
      <c r="C18" s="228">
        <f t="shared" ref="C18:F18" si="0" xml:space="preserve">
C19-C16-C17</f>
        <v>0</v>
      </c>
      <c r="D18" s="228"/>
      <c r="E18" s="228">
        <f t="shared" si="0"/>
        <v>0</v>
      </c>
      <c r="F18" s="228">
        <f t="shared" si="0"/>
        <v>92658</v>
      </c>
      <c r="G18" s="228">
        <f t="shared" ref="G18:J18" si="1" xml:space="preserve">
G19-G16-G17</f>
        <v>3474</v>
      </c>
      <c r="H18" s="228">
        <f t="shared" si="1"/>
        <v>0</v>
      </c>
      <c r="I18" s="228">
        <f t="shared" si="1"/>
        <v>1158</v>
      </c>
      <c r="J18" s="228">
        <f t="shared" si="1"/>
        <v>26319</v>
      </c>
      <c r="K18" s="228">
        <f t="shared" ref="K18" si="2" xml:space="preserve">
K19-K16-K17</f>
        <v>6850</v>
      </c>
      <c r="L18" s="280"/>
    </row>
    <row r="19" spans="1:46" ht="15" thickBot="1" x14ac:dyDescent="0.35">
      <c r="A19" s="214" t="s">
        <v>157</v>
      </c>
      <c r="B19" s="233">
        <f xml:space="preserve">
IF($A$4&lt;=12,SUMIFS('ON Data'!F:F,'ON Data'!$D:$D,$A$4,'ON Data'!$E:$E,9),SUMIFS('ON Data'!F:F,'ON Data'!$E:$E,9))</f>
        <v>139002</v>
      </c>
      <c r="C19" s="234">
        <f xml:space="preserve">
IF($A$4&lt;=12,SUMIFS('ON Data'!H:H,'ON Data'!$D:$D,$A$4,'ON Data'!$E:$E,9),SUMIFS('ON Data'!H:H,'ON Data'!$E:$E,9))</f>
        <v>0</v>
      </c>
      <c r="D19" s="234"/>
      <c r="E19" s="234">
        <f xml:space="preserve">
IF($A$4&lt;=12,SUMIFS('ON Data'!J:J,'ON Data'!$D:$D,$A$4,'ON Data'!$E:$E,9),SUMIFS('ON Data'!J:J,'ON Data'!$E:$E,9))</f>
        <v>0</v>
      </c>
      <c r="F19" s="234">
        <f xml:space="preserve">
IF($A$4&lt;=12,SUMIFS('ON Data'!L:L,'ON Data'!$D:$D,$A$4,'ON Data'!$E:$E,9),SUMIFS('ON Data'!L:L,'ON Data'!$E:$E,9))</f>
        <v>92658</v>
      </c>
      <c r="G19" s="234">
        <f xml:space="preserve">
IF($A$4&lt;=12,SUMIFS('ON Data'!N:N,'ON Data'!$D:$D,$A$4,'ON Data'!$E:$E,9),SUMIFS('ON Data'!N:N,'ON Data'!$E:$E,9))</f>
        <v>3474</v>
      </c>
      <c r="H19" s="234">
        <f xml:space="preserve">
IF($A$4&lt;=12,SUMIFS('ON Data'!W:W,'ON Data'!$D:$D,$A$4,'ON Data'!$E:$E,9),SUMIFS('ON Data'!W:W,'ON Data'!$E:$E,9))</f>
        <v>0</v>
      </c>
      <c r="I19" s="234">
        <f xml:space="preserve">
IF($A$4&lt;=12,SUMIFS('ON Data'!AH:AH,'ON Data'!$D:$D,$A$4,'ON Data'!$E:$E,9),SUMIFS('ON Data'!AH:AH,'ON Data'!$E:$E,9))</f>
        <v>1158</v>
      </c>
      <c r="J19" s="234">
        <f xml:space="preserve">
IF($A$4&lt;=12,SUMIFS('ON Data'!AL:AL,'ON Data'!$D:$D,$A$4,'ON Data'!$E:$E,9),SUMIFS('ON Data'!AL:AL,'ON Data'!$E:$E,9))</f>
        <v>26319</v>
      </c>
      <c r="K19" s="234">
        <f xml:space="preserve">
IF($A$4&lt;=12,SUMIFS('ON Data'!AT:AT,'ON Data'!$D:$D,$A$4,'ON Data'!$E:$E,9),SUMIFS('ON Data'!AT:AT,'ON Data'!$E:$E,9))</f>
        <v>6850</v>
      </c>
      <c r="L19" s="280"/>
    </row>
    <row r="20" spans="1:46" ht="15" collapsed="1" thickBot="1" x14ac:dyDescent="0.35">
      <c r="A20" s="215" t="s">
        <v>59</v>
      </c>
      <c r="B20" s="300">
        <f xml:space="preserve">
IF($A$4&lt;=12,SUMIFS('ON Data'!F:F,'ON Data'!$D:$D,$A$4,'ON Data'!$E:$E,6),SUMIFS('ON Data'!F:F,'ON Data'!$E:$E,6))</f>
        <v>3462003</v>
      </c>
      <c r="C20" s="286">
        <f xml:space="preserve">
IF($A$4&lt;=12,SUMIFS('ON Data'!H:H,'ON Data'!$D:$D,$A$4,'ON Data'!$E:$E,6),SUMIFS('ON Data'!H:H,'ON Data'!$E:$E,6))</f>
        <v>32975</v>
      </c>
      <c r="D20" s="286"/>
      <c r="E20" s="286">
        <f xml:space="preserve">
IF($A$4&lt;=12,SUMIFS('ON Data'!J:J,'ON Data'!$D:$D,$A$4,'ON Data'!$E:$E,6),SUMIFS('ON Data'!J:J,'ON Data'!$E:$E,6))</f>
        <v>105504</v>
      </c>
      <c r="F20" s="286">
        <f xml:space="preserve">
IF($A$4&lt;=12,SUMIFS('ON Data'!L:L,'ON Data'!$D:$D,$A$4,'ON Data'!$E:$E,6),SUMIFS('ON Data'!L:L,'ON Data'!$E:$E,6))</f>
        <v>832756</v>
      </c>
      <c r="G20" s="286">
        <f xml:space="preserve">
IF($A$4&lt;=12,SUMIFS('ON Data'!N:N,'ON Data'!$D:$D,$A$4,'ON Data'!$E:$E,6),SUMIFS('ON Data'!N:N,'ON Data'!$E:$E,6))</f>
        <v>3474</v>
      </c>
      <c r="H20" s="286">
        <f xml:space="preserve">
IF($A$4&lt;=12,SUMIFS('ON Data'!W:W,'ON Data'!$D:$D,$A$4,'ON Data'!$E:$E,6),SUMIFS('ON Data'!W:W,'ON Data'!$E:$E,6))</f>
        <v>830378</v>
      </c>
      <c r="I20" s="286">
        <f xml:space="preserve">
IF($A$4&lt;=12,SUMIFS('ON Data'!AH:AH,'ON Data'!$D:$D,$A$4,'ON Data'!$E:$E,6),SUMIFS('ON Data'!AH:AH,'ON Data'!$E:$E,6))</f>
        <v>1158</v>
      </c>
      <c r="J20" s="286">
        <f xml:space="preserve">
IF($A$4&lt;=12,SUMIFS('ON Data'!AL:AL,'ON Data'!$D:$D,$A$4,'ON Data'!$E:$E,6),SUMIFS('ON Data'!AL:AL,'ON Data'!$E:$E,6))</f>
        <v>985816</v>
      </c>
      <c r="K20" s="286">
        <f xml:space="preserve">
IF($A$4&lt;=12,SUMIFS('ON Data'!AT:AT,'ON Data'!$D:$D,$A$4,'ON Data'!$E:$E,6),SUMIFS('ON Data'!AT:AT,'ON Data'!$E:$E,6))</f>
        <v>458545</v>
      </c>
      <c r="L20" s="280"/>
    </row>
    <row r="21" spans="1:46" ht="15" hidden="1" outlineLevel="1" thickBot="1" x14ac:dyDescent="0.35">
      <c r="A21" s="208" t="s">
        <v>93</v>
      </c>
      <c r="B21" s="301">
        <f xml:space="preserve">
IF($A$4&lt;=12,SUMIFS('ON Data'!F:F,'ON Data'!$D:$D,$A$4,'ON Data'!$E:$E,12),SUMIFS('ON Data'!F:F,'ON Data'!$E:$E,12))</f>
        <v>0</v>
      </c>
      <c r="C21" s="285">
        <f xml:space="preserve">
IF($A$4&lt;=12,SUMIFS('ON Data'!H:H,'ON Data'!$D:$D,$A$4,'ON Data'!$E:$E,12),SUMIFS('ON Data'!H:H,'ON Data'!$E:$E,12))</f>
        <v>0</v>
      </c>
      <c r="D21" s="285"/>
      <c r="E21" s="285">
        <f xml:space="preserve">
IF($A$4&lt;=12,SUMIFS('ON Data'!J:J,'ON Data'!$D:$D,$A$4,'ON Data'!$E:$E,12),SUMIFS('ON Data'!J:J,'ON Data'!$E:$E,12))</f>
        <v>0</v>
      </c>
      <c r="F21" s="285">
        <f xml:space="preserve">
IF($A$4&lt;=12,SUMIFS('ON Data'!L:L,'ON Data'!$D:$D,$A$4,'ON Data'!$E:$E,12),SUMIFS('ON Data'!L:L,'ON Data'!$E:$E,12))</f>
        <v>0</v>
      </c>
      <c r="G21" s="285">
        <f xml:space="preserve">
IF($A$4&lt;=12,SUMIFS('ON Data'!N:N,'ON Data'!$D:$D,$A$4,'ON Data'!$E:$E,12),SUMIFS('ON Data'!N:N,'ON Data'!$E:$E,12))</f>
        <v>0</v>
      </c>
      <c r="H21" s="285">
        <f xml:space="preserve">
IF($A$4&lt;=12,SUMIFS('ON Data'!W:W,'ON Data'!$D:$D,$A$4,'ON Data'!$E:$E,12),SUMIFS('ON Data'!W:W,'ON Data'!$E:$E,12))</f>
        <v>0</v>
      </c>
      <c r="I21" s="285">
        <f xml:space="preserve">
IF($A$4&lt;=12,SUMIFS('ON Data'!AH:AH,'ON Data'!$D:$D,$A$4,'ON Data'!$E:$E,12),SUMIFS('ON Data'!AH:AH,'ON Data'!$E:$E,12))</f>
        <v>0</v>
      </c>
      <c r="J21" s="285">
        <f xml:space="preserve">
IF($A$4&lt;=12,SUMIFS('ON Data'!AL:AL,'ON Data'!$D:$D,$A$4,'ON Data'!$E:$E,12),SUMIFS('ON Data'!AL:AL,'ON Data'!$E:$E,12))</f>
        <v>0</v>
      </c>
      <c r="K21" s="285"/>
      <c r="L21" s="280"/>
    </row>
    <row r="22" spans="1:46" ht="15" hidden="1" outlineLevel="1" thickBot="1" x14ac:dyDescent="0.35">
      <c r="A22" s="208" t="s">
        <v>61</v>
      </c>
      <c r="B22" s="302" t="str">
        <f xml:space="preserve">
IF(OR(B21="",B21=0),"",B20/B21)</f>
        <v/>
      </c>
      <c r="C22" s="271" t="str">
        <f t="shared" ref="C22:F22" si="3" xml:space="preserve">
IF(OR(C21="",C21=0),"",C20/C21)</f>
        <v/>
      </c>
      <c r="D22" s="271"/>
      <c r="E22" s="271" t="str">
        <f t="shared" si="3"/>
        <v/>
      </c>
      <c r="F22" s="271" t="str">
        <f t="shared" si="3"/>
        <v/>
      </c>
      <c r="G22" s="271" t="str">
        <f t="shared" ref="G22:J22" si="4" xml:space="preserve">
IF(OR(G21="",G21=0),"",G20/G21)</f>
        <v/>
      </c>
      <c r="H22" s="271" t="str">
        <f t="shared" si="4"/>
        <v/>
      </c>
      <c r="I22" s="271" t="str">
        <f t="shared" si="4"/>
        <v/>
      </c>
      <c r="J22" s="271" t="str">
        <f t="shared" si="4"/>
        <v/>
      </c>
      <c r="K22" s="271"/>
      <c r="L22" s="280"/>
    </row>
    <row r="23" spans="1:46" ht="15" hidden="1" outlineLevel="1" thickBot="1" x14ac:dyDescent="0.35">
      <c r="A23" s="216" t="s">
        <v>54</v>
      </c>
      <c r="B23" s="303">
        <f xml:space="preserve">
IF(B21="","",B20-B21)</f>
        <v>3462003</v>
      </c>
      <c r="C23" s="230">
        <f t="shared" ref="C23:F23" si="5" xml:space="preserve">
IF(C21="","",C20-C21)</f>
        <v>32975</v>
      </c>
      <c r="D23" s="230"/>
      <c r="E23" s="230">
        <f t="shared" si="5"/>
        <v>105504</v>
      </c>
      <c r="F23" s="230">
        <f t="shared" si="5"/>
        <v>832756</v>
      </c>
      <c r="G23" s="230">
        <f t="shared" ref="G23:J23" si="6" xml:space="preserve">
IF(G21="","",G20-G21)</f>
        <v>3474</v>
      </c>
      <c r="H23" s="230">
        <f t="shared" si="6"/>
        <v>830378</v>
      </c>
      <c r="I23" s="230">
        <f t="shared" si="6"/>
        <v>1158</v>
      </c>
      <c r="J23" s="230">
        <f t="shared" si="6"/>
        <v>985816</v>
      </c>
      <c r="K23" s="230"/>
      <c r="L23" s="280"/>
    </row>
    <row r="24" spans="1:46" x14ac:dyDescent="0.3">
      <c r="A24" s="210" t="s">
        <v>158</v>
      </c>
      <c r="B24" s="245" t="s">
        <v>3</v>
      </c>
      <c r="C24" s="297" t="s">
        <v>224</v>
      </c>
      <c r="D24" s="298" t="s">
        <v>225</v>
      </c>
      <c r="E24" s="298" t="s">
        <v>226</v>
      </c>
      <c r="F24" s="299" t="s">
        <v>169</v>
      </c>
      <c r="AT24" s="280"/>
    </row>
    <row r="25" spans="1:46" x14ac:dyDescent="0.3">
      <c r="A25" s="211" t="s">
        <v>59</v>
      </c>
      <c r="B25" s="227">
        <f xml:space="preserve">
SUM(C25:F25)</f>
        <v>14500</v>
      </c>
      <c r="C25" s="288">
        <f xml:space="preserve">
IF($A$4&lt;=12,SUMIFS('ON Data'!$G:$G,'ON Data'!$D:$D,$A$4,'ON Data'!$E:$E,10),SUMIFS('ON Data'!$G:$G,'ON Data'!$E:$E,10))</f>
        <v>0</v>
      </c>
      <c r="D25" s="289">
        <f xml:space="preserve">
IF($A$4&lt;=12,SUMIFS('ON Data'!$J:$J,'ON Data'!$D:$D,$A$4,'ON Data'!$E:$E,10),SUMIFS('ON Data'!$J:$J,'ON Data'!$E:$E,10))</f>
        <v>14500</v>
      </c>
      <c r="E25" s="289">
        <f xml:space="preserve">
IF($A$4&lt;=12,SUMIFS('ON Data'!$H:$H,'ON Data'!$D:$D,$A$4,'ON Data'!$E:$E,10),SUMIFS('ON Data'!$H:$H,'ON Data'!$E:$E,10))</f>
        <v>0</v>
      </c>
      <c r="F25" s="290">
        <f xml:space="preserve">
IF($A$4&lt;=12,SUMIFS('ON Data'!$I:$I,'ON Data'!$D:$D,$A$4,'ON Data'!$E:$E,10),SUMIFS('ON Data'!$I:$I,'ON Data'!$E:$E,10))</f>
        <v>0</v>
      </c>
    </row>
    <row r="26" spans="1:46" x14ac:dyDescent="0.3">
      <c r="A26" s="217" t="s">
        <v>168</v>
      </c>
      <c r="B26" s="233">
        <f xml:space="preserve">
SUM(C26:F26)</f>
        <v>11892.036158683937</v>
      </c>
      <c r="C26" s="288">
        <f xml:space="preserve">
IF($A$4&lt;=12,SUMIFS('ON Data'!$G:$G,'ON Data'!$D:$D,$A$4,'ON Data'!$E:$E,11),SUMIFS('ON Data'!$G:$G,'ON Data'!$E:$E,11))</f>
        <v>5017.0361586839372</v>
      </c>
      <c r="D26" s="289">
        <f xml:space="preserve">
IF($A$4&lt;=12,SUMIFS('ON Data'!$J:$J,'ON Data'!$D:$D,$A$4,'ON Data'!$E:$E,11),SUMIFS('ON Data'!$J:$J,'ON Data'!$E:$E,11))</f>
        <v>3125</v>
      </c>
      <c r="E26" s="289">
        <f xml:space="preserve">
IF($A$4&lt;=12,SUMIFS('ON Data'!$H:$H,'ON Data'!$D:$D,$A$4,'ON Data'!$E:$E,11),SUMIFS('ON Data'!$H:$H,'ON Data'!$E:$E,11))</f>
        <v>3750</v>
      </c>
      <c r="F26" s="290">
        <f xml:space="preserve">
IF($A$4&lt;=12,SUMIFS('ON Data'!$I:$I,'ON Data'!$D:$D,$A$4,'ON Data'!$E:$E,11),SUMIFS('ON Data'!$I:$I,'ON Data'!$E:$E,11))</f>
        <v>0</v>
      </c>
    </row>
    <row r="27" spans="1:46" x14ac:dyDescent="0.3">
      <c r="A27" s="217" t="s">
        <v>61</v>
      </c>
      <c r="B27" s="246">
        <f xml:space="preserve">
IF(B26=0,0,B25/B26)</f>
        <v>1.2193033898077787</v>
      </c>
      <c r="C27" s="291">
        <f xml:space="preserve">
IF(C26=0,0,C25/C26)</f>
        <v>0</v>
      </c>
      <c r="D27" s="292">
        <f t="shared" ref="D27:E27" si="7" xml:space="preserve">
IF(D26=0,0,D25/D26)</f>
        <v>4.6399999999999997</v>
      </c>
      <c r="E27" s="292">
        <f t="shared" si="7"/>
        <v>0</v>
      </c>
      <c r="F27" s="293">
        <f xml:space="preserve">
IF(F26=0,0,F25/F26)</f>
        <v>0</v>
      </c>
    </row>
    <row r="28" spans="1:46" ht="15" thickBot="1" x14ac:dyDescent="0.35">
      <c r="A28" s="217" t="s">
        <v>167</v>
      </c>
      <c r="B28" s="233">
        <f xml:space="preserve">
SUM(C28:F28)</f>
        <v>-2607.9638413160628</v>
      </c>
      <c r="C28" s="294">
        <f xml:space="preserve">
C26-C25</f>
        <v>5017.0361586839372</v>
      </c>
      <c r="D28" s="295">
        <f t="shared" ref="D28:E28" si="8" xml:space="preserve">
D26-D25</f>
        <v>-11375</v>
      </c>
      <c r="E28" s="295">
        <f t="shared" si="8"/>
        <v>3750</v>
      </c>
      <c r="F28" s="296">
        <f xml:space="preserve">
F26-F25</f>
        <v>0</v>
      </c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6" x14ac:dyDescent="0.3">
      <c r="A29" s="218"/>
      <c r="B29" s="218"/>
      <c r="C29" s="219"/>
      <c r="D29" s="218"/>
      <c r="E29" s="218"/>
      <c r="F29" s="218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165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42" t="s">
        <v>162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</row>
    <row r="33" spans="1:1" x14ac:dyDescent="0.3">
      <c r="A33" s="244" t="s">
        <v>220</v>
      </c>
    </row>
    <row r="34" spans="1:1" x14ac:dyDescent="0.3">
      <c r="A34" s="244" t="s">
        <v>221</v>
      </c>
    </row>
    <row r="35" spans="1:1" x14ac:dyDescent="0.3">
      <c r="A35" s="244" t="s">
        <v>222</v>
      </c>
    </row>
    <row r="36" spans="1:1" x14ac:dyDescent="0.3">
      <c r="A36" s="244" t="s">
        <v>223</v>
      </c>
    </row>
    <row r="37" spans="1:1" x14ac:dyDescent="0.3">
      <c r="A37" s="244" t="s">
        <v>170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9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655</v>
      </c>
    </row>
    <row r="2" spans="1:49" x14ac:dyDescent="0.3">
      <c r="A2" s="203" t="s">
        <v>227</v>
      </c>
    </row>
    <row r="3" spans="1:49" x14ac:dyDescent="0.3">
      <c r="A3" s="199" t="s">
        <v>133</v>
      </c>
      <c r="B3" s="222">
        <v>2017</v>
      </c>
      <c r="D3" s="200">
        <f>MAX(D5:D1048576)</f>
        <v>3</v>
      </c>
      <c r="F3" s="200">
        <f>SUMIF($E5:$E1048576,"&lt;10",F5:F1048576)</f>
        <v>3616134.5</v>
      </c>
      <c r="G3" s="200">
        <f t="shared" ref="G3:AW3" si="0">SUMIF($E5:$E1048576,"&lt;10",G5:G1048576)</f>
        <v>0</v>
      </c>
      <c r="H3" s="200">
        <f t="shared" si="0"/>
        <v>33182.5</v>
      </c>
      <c r="I3" s="200">
        <f t="shared" si="0"/>
        <v>221145.5</v>
      </c>
      <c r="J3" s="200">
        <f t="shared" si="0"/>
        <v>105979</v>
      </c>
      <c r="K3" s="200">
        <f t="shared" si="0"/>
        <v>0</v>
      </c>
      <c r="L3" s="200">
        <f t="shared" si="0"/>
        <v>927442.60000000009</v>
      </c>
      <c r="M3" s="200">
        <f t="shared" si="0"/>
        <v>0</v>
      </c>
      <c r="N3" s="200">
        <f t="shared" si="0"/>
        <v>6948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834412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2316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1015685.4000000001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0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469023.5</v>
      </c>
      <c r="AU3" s="200">
        <f t="shared" si="0"/>
        <v>0</v>
      </c>
      <c r="AV3" s="200">
        <f t="shared" si="0"/>
        <v>0</v>
      </c>
      <c r="AW3" s="200">
        <f t="shared" si="0"/>
        <v>0</v>
      </c>
    </row>
    <row r="4" spans="1:49" x14ac:dyDescent="0.3">
      <c r="A4" s="199" t="s">
        <v>134</v>
      </c>
      <c r="B4" s="222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2">
        <v>2</v>
      </c>
      <c r="C5" s="199">
        <v>38</v>
      </c>
      <c r="D5" s="199">
        <v>1</v>
      </c>
      <c r="E5" s="199">
        <v>1</v>
      </c>
      <c r="F5" s="199">
        <v>27.2</v>
      </c>
      <c r="G5" s="199">
        <v>0</v>
      </c>
      <c r="H5" s="199">
        <v>0.5</v>
      </c>
      <c r="I5" s="199">
        <v>2.5</v>
      </c>
      <c r="J5" s="199">
        <v>1</v>
      </c>
      <c r="K5" s="199">
        <v>0</v>
      </c>
      <c r="L5" s="199">
        <v>4.2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10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4</v>
      </c>
      <c r="AM5" s="199">
        <v>0</v>
      </c>
      <c r="AN5" s="199">
        <v>0</v>
      </c>
      <c r="AO5" s="199">
        <v>0</v>
      </c>
      <c r="AP5" s="199">
        <v>0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0</v>
      </c>
    </row>
    <row r="6" spans="1:49" x14ac:dyDescent="0.3">
      <c r="A6" s="199" t="s">
        <v>136</v>
      </c>
      <c r="B6" s="222">
        <v>3</v>
      </c>
      <c r="C6" s="199">
        <v>38</v>
      </c>
      <c r="D6" s="199">
        <v>1</v>
      </c>
      <c r="E6" s="199">
        <v>2</v>
      </c>
      <c r="F6" s="199">
        <v>3970.4</v>
      </c>
      <c r="G6" s="199">
        <v>0</v>
      </c>
      <c r="H6" s="199">
        <v>48</v>
      </c>
      <c r="I6" s="199">
        <v>440</v>
      </c>
      <c r="J6" s="199">
        <v>176</v>
      </c>
      <c r="K6" s="199">
        <v>0</v>
      </c>
      <c r="L6" s="199">
        <v>644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1260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654.4</v>
      </c>
      <c r="AM6" s="199">
        <v>0</v>
      </c>
      <c r="AN6" s="199">
        <v>0</v>
      </c>
      <c r="AO6" s="199">
        <v>0</v>
      </c>
      <c r="AP6" s="199">
        <v>0</v>
      </c>
      <c r="AQ6" s="199">
        <v>0</v>
      </c>
      <c r="AR6" s="199">
        <v>0</v>
      </c>
      <c r="AS6" s="199">
        <v>0</v>
      </c>
      <c r="AT6" s="199">
        <v>748</v>
      </c>
      <c r="AU6" s="199">
        <v>0</v>
      </c>
      <c r="AV6" s="199">
        <v>0</v>
      </c>
      <c r="AW6" s="199">
        <v>0</v>
      </c>
    </row>
    <row r="7" spans="1:49" x14ac:dyDescent="0.3">
      <c r="A7" s="199" t="s">
        <v>137</v>
      </c>
      <c r="B7" s="222">
        <v>4</v>
      </c>
      <c r="C7" s="199">
        <v>38</v>
      </c>
      <c r="D7" s="199">
        <v>1</v>
      </c>
      <c r="E7" s="199">
        <v>3</v>
      </c>
      <c r="F7" s="199">
        <v>65.599999999999994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65.599999999999994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2">
        <v>5</v>
      </c>
      <c r="C8" s="199">
        <v>38</v>
      </c>
      <c r="D8" s="199">
        <v>1</v>
      </c>
      <c r="E8" s="199">
        <v>4</v>
      </c>
      <c r="F8" s="199">
        <v>105.9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92.4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13.5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2">
        <v>6</v>
      </c>
      <c r="C9" s="199">
        <v>38</v>
      </c>
      <c r="D9" s="199">
        <v>1</v>
      </c>
      <c r="E9" s="199">
        <v>5</v>
      </c>
      <c r="F9" s="199">
        <v>814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335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479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2">
        <v>7</v>
      </c>
      <c r="C10" s="199">
        <v>38</v>
      </c>
      <c r="D10" s="199">
        <v>1</v>
      </c>
      <c r="E10" s="199">
        <v>6</v>
      </c>
      <c r="F10" s="199">
        <v>1119612</v>
      </c>
      <c r="G10" s="199">
        <v>0</v>
      </c>
      <c r="H10" s="199">
        <v>11092</v>
      </c>
      <c r="I10" s="199">
        <v>68379</v>
      </c>
      <c r="J10" s="199">
        <v>35073</v>
      </c>
      <c r="K10" s="199">
        <v>0</v>
      </c>
      <c r="L10" s="199">
        <v>244990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284764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324119</v>
      </c>
      <c r="AM10" s="199">
        <v>0</v>
      </c>
      <c r="AN10" s="199">
        <v>0</v>
      </c>
      <c r="AO10" s="199">
        <v>0</v>
      </c>
      <c r="AP10" s="199">
        <v>0</v>
      </c>
      <c r="AQ10" s="199">
        <v>0</v>
      </c>
      <c r="AR10" s="199">
        <v>0</v>
      </c>
      <c r="AS10" s="199">
        <v>0</v>
      </c>
      <c r="AT10" s="199">
        <v>151195</v>
      </c>
      <c r="AU10" s="199">
        <v>0</v>
      </c>
      <c r="AV10" s="199">
        <v>0</v>
      </c>
      <c r="AW10" s="199">
        <v>0</v>
      </c>
    </row>
    <row r="11" spans="1:49" x14ac:dyDescent="0.3">
      <c r="A11" s="199" t="s">
        <v>141</v>
      </c>
      <c r="B11" s="222">
        <v>8</v>
      </c>
      <c r="C11" s="199">
        <v>38</v>
      </c>
      <c r="D11" s="199">
        <v>1</v>
      </c>
      <c r="E11" s="199">
        <v>9</v>
      </c>
      <c r="F11" s="199">
        <v>17698</v>
      </c>
      <c r="G11" s="199">
        <v>0</v>
      </c>
      <c r="H11" s="199">
        <v>0</v>
      </c>
      <c r="I11" s="199">
        <v>1294</v>
      </c>
      <c r="J11" s="199">
        <v>0</v>
      </c>
      <c r="K11" s="199">
        <v>0</v>
      </c>
      <c r="L11" s="199">
        <v>5805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8448</v>
      </c>
      <c r="AM11" s="199">
        <v>0</v>
      </c>
      <c r="AN11" s="199">
        <v>0</v>
      </c>
      <c r="AO11" s="199">
        <v>0</v>
      </c>
      <c r="AP11" s="199">
        <v>0</v>
      </c>
      <c r="AQ11" s="199">
        <v>0</v>
      </c>
      <c r="AR11" s="199">
        <v>0</v>
      </c>
      <c r="AS11" s="199">
        <v>0</v>
      </c>
      <c r="AT11" s="199">
        <v>2151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2">
        <v>9</v>
      </c>
      <c r="C12" s="199">
        <v>38</v>
      </c>
      <c r="D12" s="199">
        <v>1</v>
      </c>
      <c r="E12" s="199">
        <v>10</v>
      </c>
      <c r="F12" s="199">
        <v>14500</v>
      </c>
      <c r="G12" s="199">
        <v>0</v>
      </c>
      <c r="H12" s="199">
        <v>0</v>
      </c>
      <c r="I12" s="199">
        <v>0</v>
      </c>
      <c r="J12" s="199">
        <v>14500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2">
        <v>10</v>
      </c>
      <c r="C13" s="199">
        <v>38</v>
      </c>
      <c r="D13" s="199">
        <v>1</v>
      </c>
      <c r="E13" s="199">
        <v>11</v>
      </c>
      <c r="F13" s="199">
        <v>3964.0120528946463</v>
      </c>
      <c r="G13" s="199">
        <v>1672.3453862279791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2">
        <v>11</v>
      </c>
      <c r="C14" s="199">
        <v>38</v>
      </c>
      <c r="D14" s="199">
        <v>2</v>
      </c>
      <c r="E14" s="199">
        <v>1</v>
      </c>
      <c r="F14" s="199">
        <v>27.2</v>
      </c>
      <c r="G14" s="199">
        <v>0</v>
      </c>
      <c r="H14" s="199">
        <v>0.5</v>
      </c>
      <c r="I14" s="199">
        <v>2.5</v>
      </c>
      <c r="J14" s="199">
        <v>1</v>
      </c>
      <c r="K14" s="199">
        <v>0</v>
      </c>
      <c r="L14" s="199">
        <v>4.2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4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0</v>
      </c>
    </row>
    <row r="15" spans="1:49" x14ac:dyDescent="0.3">
      <c r="A15" s="199" t="s">
        <v>145</v>
      </c>
      <c r="B15" s="222">
        <v>12</v>
      </c>
      <c r="C15" s="199">
        <v>38</v>
      </c>
      <c r="D15" s="199">
        <v>2</v>
      </c>
      <c r="E15" s="199">
        <v>2</v>
      </c>
      <c r="F15" s="199">
        <v>3701.2</v>
      </c>
      <c r="G15" s="199">
        <v>0</v>
      </c>
      <c r="H15" s="199">
        <v>80</v>
      </c>
      <c r="I15" s="199">
        <v>366</v>
      </c>
      <c r="J15" s="199">
        <v>152</v>
      </c>
      <c r="K15" s="199">
        <v>0</v>
      </c>
      <c r="L15" s="199">
        <v>632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1244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587.20000000000005</v>
      </c>
      <c r="AM15" s="199">
        <v>0</v>
      </c>
      <c r="AN15" s="199">
        <v>0</v>
      </c>
      <c r="AO15" s="199">
        <v>0</v>
      </c>
      <c r="AP15" s="199">
        <v>0</v>
      </c>
      <c r="AQ15" s="199">
        <v>0</v>
      </c>
      <c r="AR15" s="199">
        <v>0</v>
      </c>
      <c r="AS15" s="199">
        <v>0</v>
      </c>
      <c r="AT15" s="199">
        <v>640</v>
      </c>
      <c r="AU15" s="199">
        <v>0</v>
      </c>
      <c r="AV15" s="199">
        <v>0</v>
      </c>
      <c r="AW15" s="199">
        <v>0</v>
      </c>
    </row>
    <row r="16" spans="1:49" x14ac:dyDescent="0.3">
      <c r="A16" s="199" t="s">
        <v>133</v>
      </c>
      <c r="B16" s="222">
        <v>2017</v>
      </c>
      <c r="C16" s="199">
        <v>38</v>
      </c>
      <c r="D16" s="199">
        <v>2</v>
      </c>
      <c r="E16" s="199">
        <v>3</v>
      </c>
      <c r="F16" s="199">
        <v>52.8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52.8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38</v>
      </c>
      <c r="D17" s="199">
        <v>2</v>
      </c>
      <c r="E17" s="199">
        <v>4</v>
      </c>
      <c r="F17" s="199">
        <v>107.2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94.2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13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38</v>
      </c>
      <c r="D18" s="199">
        <v>2</v>
      </c>
      <c r="E18" s="199">
        <v>5</v>
      </c>
      <c r="F18" s="199">
        <v>843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415</v>
      </c>
      <c r="AM18" s="199">
        <v>0</v>
      </c>
      <c r="AN18" s="199">
        <v>0</v>
      </c>
      <c r="AO18" s="199">
        <v>0</v>
      </c>
      <c r="AP18" s="199">
        <v>0</v>
      </c>
      <c r="AQ18" s="199">
        <v>0</v>
      </c>
      <c r="AR18" s="199">
        <v>0</v>
      </c>
      <c r="AS18" s="199">
        <v>0</v>
      </c>
      <c r="AT18" s="199">
        <v>428</v>
      </c>
      <c r="AU18" s="199">
        <v>0</v>
      </c>
      <c r="AV18" s="199">
        <v>0</v>
      </c>
      <c r="AW18" s="199">
        <v>0</v>
      </c>
    </row>
    <row r="19" spans="3:49" x14ac:dyDescent="0.3">
      <c r="C19" s="199">
        <v>38</v>
      </c>
      <c r="D19" s="199">
        <v>2</v>
      </c>
      <c r="E19" s="199">
        <v>6</v>
      </c>
      <c r="F19" s="199">
        <v>1119387</v>
      </c>
      <c r="G19" s="199">
        <v>0</v>
      </c>
      <c r="H19" s="199">
        <v>10865</v>
      </c>
      <c r="I19" s="199">
        <v>67853</v>
      </c>
      <c r="J19" s="199">
        <v>34930</v>
      </c>
      <c r="K19" s="199">
        <v>0</v>
      </c>
      <c r="L19" s="199">
        <v>259577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270876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325235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150051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38</v>
      </c>
      <c r="D20" s="199">
        <v>2</v>
      </c>
      <c r="E20" s="199">
        <v>9</v>
      </c>
      <c r="F20" s="199">
        <v>21099</v>
      </c>
      <c r="G20" s="199">
        <v>0</v>
      </c>
      <c r="H20" s="199">
        <v>0</v>
      </c>
      <c r="I20" s="199">
        <v>993</v>
      </c>
      <c r="J20" s="199">
        <v>0</v>
      </c>
      <c r="K20" s="199">
        <v>0</v>
      </c>
      <c r="L20" s="199">
        <v>10423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7488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2195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38</v>
      </c>
      <c r="D21" s="199">
        <v>2</v>
      </c>
      <c r="E21" s="199">
        <v>11</v>
      </c>
      <c r="F21" s="199">
        <v>3964.0120528946463</v>
      </c>
      <c r="G21" s="199">
        <v>1672.3453862279791</v>
      </c>
      <c r="H21" s="199">
        <v>1250</v>
      </c>
      <c r="I21" s="199">
        <v>0</v>
      </c>
      <c r="J21" s="199">
        <v>1041.6666666666667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  <c r="AP21" s="199">
        <v>0</v>
      </c>
      <c r="AQ21" s="199">
        <v>0</v>
      </c>
      <c r="AR21" s="199">
        <v>0</v>
      </c>
      <c r="AS21" s="199">
        <v>0</v>
      </c>
      <c r="AT21" s="199">
        <v>0</v>
      </c>
      <c r="AU21" s="199">
        <v>0</v>
      </c>
      <c r="AV21" s="199">
        <v>0</v>
      </c>
      <c r="AW21" s="199">
        <v>0</v>
      </c>
    </row>
    <row r="22" spans="3:49" x14ac:dyDescent="0.3">
      <c r="C22" s="199">
        <v>38</v>
      </c>
      <c r="D22" s="199">
        <v>3</v>
      </c>
      <c r="E22" s="199">
        <v>1</v>
      </c>
      <c r="F22" s="199">
        <v>27.2</v>
      </c>
      <c r="G22" s="199">
        <v>0</v>
      </c>
      <c r="H22" s="199">
        <v>0.5</v>
      </c>
      <c r="I22" s="199">
        <v>2.5</v>
      </c>
      <c r="J22" s="199">
        <v>1</v>
      </c>
      <c r="K22" s="199">
        <v>0</v>
      </c>
      <c r="L22" s="199">
        <v>4.2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10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4</v>
      </c>
      <c r="AM22" s="199">
        <v>0</v>
      </c>
      <c r="AN22" s="199">
        <v>0</v>
      </c>
      <c r="AO22" s="199">
        <v>0</v>
      </c>
      <c r="AP22" s="199">
        <v>0</v>
      </c>
      <c r="AQ22" s="199">
        <v>0</v>
      </c>
      <c r="AR22" s="199">
        <v>0</v>
      </c>
      <c r="AS22" s="199">
        <v>0</v>
      </c>
      <c r="AT22" s="199">
        <v>5</v>
      </c>
      <c r="AU22" s="199">
        <v>0</v>
      </c>
      <c r="AV22" s="199">
        <v>0</v>
      </c>
      <c r="AW22" s="199">
        <v>0</v>
      </c>
    </row>
    <row r="23" spans="3:49" x14ac:dyDescent="0.3">
      <c r="C23" s="199">
        <v>38</v>
      </c>
      <c r="D23" s="199">
        <v>3</v>
      </c>
      <c r="E23" s="199">
        <v>2</v>
      </c>
      <c r="F23" s="199">
        <v>4372.3999999999996</v>
      </c>
      <c r="G23" s="199">
        <v>0</v>
      </c>
      <c r="H23" s="199">
        <v>78</v>
      </c>
      <c r="I23" s="199">
        <v>392</v>
      </c>
      <c r="J23" s="199">
        <v>144</v>
      </c>
      <c r="K23" s="199">
        <v>0</v>
      </c>
      <c r="L23" s="199">
        <v>740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1500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694.4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824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38</v>
      </c>
      <c r="D24" s="199">
        <v>3</v>
      </c>
      <c r="E24" s="199">
        <v>3</v>
      </c>
      <c r="F24" s="199">
        <v>73.599999999999994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73.599999999999994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38</v>
      </c>
      <c r="D25" s="199">
        <v>3</v>
      </c>
      <c r="E25" s="199">
        <v>4</v>
      </c>
      <c r="F25" s="199">
        <v>118.80000000000001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107.80000000000001</v>
      </c>
      <c r="AM25" s="199">
        <v>0</v>
      </c>
      <c r="AN25" s="199">
        <v>0</v>
      </c>
      <c r="AO25" s="199">
        <v>0</v>
      </c>
      <c r="AP25" s="199">
        <v>0</v>
      </c>
      <c r="AQ25" s="199">
        <v>0</v>
      </c>
      <c r="AR25" s="199">
        <v>0</v>
      </c>
      <c r="AS25" s="199">
        <v>0</v>
      </c>
      <c r="AT25" s="199">
        <v>11</v>
      </c>
      <c r="AU25" s="199">
        <v>0</v>
      </c>
      <c r="AV25" s="199">
        <v>0</v>
      </c>
      <c r="AW25" s="199">
        <v>0</v>
      </c>
    </row>
    <row r="26" spans="3:49" x14ac:dyDescent="0.3">
      <c r="C26" s="199">
        <v>38</v>
      </c>
      <c r="D26" s="199">
        <v>3</v>
      </c>
      <c r="E26" s="199">
        <v>5</v>
      </c>
      <c r="F26" s="199">
        <v>823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366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99">
        <v>0</v>
      </c>
      <c r="AT26" s="199">
        <v>457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38</v>
      </c>
      <c r="D27" s="199">
        <v>3</v>
      </c>
      <c r="E27" s="199">
        <v>6</v>
      </c>
      <c r="F27" s="199">
        <v>1223004</v>
      </c>
      <c r="G27" s="199">
        <v>0</v>
      </c>
      <c r="H27" s="199">
        <v>11018</v>
      </c>
      <c r="I27" s="199">
        <v>75165</v>
      </c>
      <c r="J27" s="199">
        <v>35501</v>
      </c>
      <c r="K27" s="199">
        <v>0</v>
      </c>
      <c r="L27" s="199">
        <v>328189</v>
      </c>
      <c r="M27" s="199">
        <v>0</v>
      </c>
      <c r="N27" s="199">
        <v>3474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274738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1158</v>
      </c>
      <c r="AI27" s="199">
        <v>0</v>
      </c>
      <c r="AJ27" s="199">
        <v>0</v>
      </c>
      <c r="AK27" s="199">
        <v>0</v>
      </c>
      <c r="AL27" s="199">
        <v>336462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157299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38</v>
      </c>
      <c r="D28" s="199">
        <v>3</v>
      </c>
      <c r="E28" s="199">
        <v>9</v>
      </c>
      <c r="F28" s="199">
        <v>100205</v>
      </c>
      <c r="G28" s="199">
        <v>0</v>
      </c>
      <c r="H28" s="199">
        <v>0</v>
      </c>
      <c r="I28" s="199">
        <v>6256</v>
      </c>
      <c r="J28" s="199">
        <v>0</v>
      </c>
      <c r="K28" s="199">
        <v>0</v>
      </c>
      <c r="L28" s="199">
        <v>76430</v>
      </c>
      <c r="M28" s="199">
        <v>0</v>
      </c>
      <c r="N28" s="199">
        <v>3474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1158</v>
      </c>
      <c r="AI28" s="199">
        <v>0</v>
      </c>
      <c r="AJ28" s="199">
        <v>0</v>
      </c>
      <c r="AK28" s="199">
        <v>0</v>
      </c>
      <c r="AL28" s="199">
        <v>10383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2504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38</v>
      </c>
      <c r="D29" s="199">
        <v>3</v>
      </c>
      <c r="E29" s="199">
        <v>11</v>
      </c>
      <c r="F29" s="199">
        <v>3964.0120528946463</v>
      </c>
      <c r="G29" s="199">
        <v>1672.3453862279791</v>
      </c>
      <c r="H29" s="199">
        <v>1250</v>
      </c>
      <c r="I29" s="199">
        <v>0</v>
      </c>
      <c r="J29" s="199">
        <v>1041.6666666666667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  <c r="AP29" s="199">
        <v>0</v>
      </c>
      <c r="AQ29" s="199">
        <v>0</v>
      </c>
      <c r="AR29" s="199">
        <v>0</v>
      </c>
      <c r="AS29" s="199">
        <v>0</v>
      </c>
      <c r="AT29" s="199">
        <v>0</v>
      </c>
      <c r="AU29" s="199">
        <v>0</v>
      </c>
      <c r="AV29" s="199">
        <v>0</v>
      </c>
      <c r="AW29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7" t="s">
        <v>660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4576536</v>
      </c>
      <c r="C3" s="190">
        <f t="shared" ref="C3:Z3" si="0">SUBTOTAL(9,C6:C1048576)</f>
        <v>6</v>
      </c>
      <c r="D3" s="190"/>
      <c r="E3" s="190">
        <f>SUBTOTAL(9,E6:E1048576)/4</f>
        <v>4754126</v>
      </c>
      <c r="F3" s="190"/>
      <c r="G3" s="190">
        <f t="shared" si="0"/>
        <v>6</v>
      </c>
      <c r="H3" s="190">
        <f>SUBTOTAL(9,H6:H1048576)/4</f>
        <v>5580217</v>
      </c>
      <c r="I3" s="193">
        <f>IF(B3&lt;&gt;0,H3/B3,"")</f>
        <v>1.2193101944352671</v>
      </c>
      <c r="J3" s="191">
        <f>IF(E3&lt;&gt;0,H3/E3,"")</f>
        <v>1.173762958743626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58" t="s">
        <v>189</v>
      </c>
      <c r="B4" s="359" t="s">
        <v>85</v>
      </c>
      <c r="C4" s="360"/>
      <c r="D4" s="361"/>
      <c r="E4" s="360"/>
      <c r="F4" s="361"/>
      <c r="G4" s="360"/>
      <c r="H4" s="360"/>
      <c r="I4" s="361"/>
      <c r="J4" s="362"/>
      <c r="K4" s="359" t="s">
        <v>86</v>
      </c>
      <c r="L4" s="361"/>
      <c r="M4" s="360"/>
      <c r="N4" s="360"/>
      <c r="O4" s="361"/>
      <c r="P4" s="360"/>
      <c r="Q4" s="360"/>
      <c r="R4" s="361"/>
      <c r="S4" s="362"/>
      <c r="T4" s="359" t="s">
        <v>87</v>
      </c>
      <c r="U4" s="361"/>
      <c r="V4" s="360"/>
      <c r="W4" s="360"/>
      <c r="X4" s="361"/>
      <c r="Y4" s="360"/>
      <c r="Z4" s="360"/>
      <c r="AA4" s="361"/>
      <c r="AB4" s="362"/>
    </row>
    <row r="5" spans="1:28" ht="14.4" customHeight="1" thickBot="1" x14ac:dyDescent="0.35">
      <c r="A5" s="454"/>
      <c r="B5" s="455">
        <v>2015</v>
      </c>
      <c r="C5" s="456"/>
      <c r="D5" s="456"/>
      <c r="E5" s="456">
        <v>2016</v>
      </c>
      <c r="F5" s="456"/>
      <c r="G5" s="456"/>
      <c r="H5" s="456">
        <v>2017</v>
      </c>
      <c r="I5" s="457" t="s">
        <v>214</v>
      </c>
      <c r="J5" s="458" t="s">
        <v>2</v>
      </c>
      <c r="K5" s="455">
        <v>2015</v>
      </c>
      <c r="L5" s="456"/>
      <c r="M5" s="456"/>
      <c r="N5" s="456">
        <v>2016</v>
      </c>
      <c r="O5" s="456"/>
      <c r="P5" s="456"/>
      <c r="Q5" s="456">
        <v>2017</v>
      </c>
      <c r="R5" s="457" t="s">
        <v>214</v>
      </c>
      <c r="S5" s="458" t="s">
        <v>2</v>
      </c>
      <c r="T5" s="455">
        <v>2015</v>
      </c>
      <c r="U5" s="456"/>
      <c r="V5" s="456"/>
      <c r="W5" s="456">
        <v>2016</v>
      </c>
      <c r="X5" s="456"/>
      <c r="Y5" s="456"/>
      <c r="Z5" s="456">
        <v>2017</v>
      </c>
      <c r="AA5" s="457" t="s">
        <v>214</v>
      </c>
      <c r="AB5" s="458" t="s">
        <v>2</v>
      </c>
    </row>
    <row r="6" spans="1:28" ht="14.4" customHeight="1" x14ac:dyDescent="0.3">
      <c r="A6" s="459" t="s">
        <v>656</v>
      </c>
      <c r="B6" s="460">
        <v>3539250</v>
      </c>
      <c r="C6" s="461">
        <v>1</v>
      </c>
      <c r="D6" s="461">
        <v>1.0311589623643367</v>
      </c>
      <c r="E6" s="460">
        <v>3432303</v>
      </c>
      <c r="F6" s="461">
        <v>0.96978258105530835</v>
      </c>
      <c r="G6" s="461">
        <v>1</v>
      </c>
      <c r="H6" s="460">
        <v>4028789</v>
      </c>
      <c r="I6" s="461">
        <v>1.1383171575898849</v>
      </c>
      <c r="J6" s="461">
        <v>1.1737859390619068</v>
      </c>
      <c r="K6" s="460"/>
      <c r="L6" s="461"/>
      <c r="M6" s="461"/>
      <c r="N6" s="460"/>
      <c r="O6" s="461"/>
      <c r="P6" s="461"/>
      <c r="Q6" s="460"/>
      <c r="R6" s="461"/>
      <c r="S6" s="461"/>
      <c r="T6" s="460"/>
      <c r="U6" s="461"/>
      <c r="V6" s="461"/>
      <c r="W6" s="460"/>
      <c r="X6" s="461"/>
      <c r="Y6" s="461"/>
      <c r="Z6" s="460"/>
      <c r="AA6" s="461"/>
      <c r="AB6" s="462"/>
    </row>
    <row r="7" spans="1:28" ht="14.4" customHeight="1" x14ac:dyDescent="0.3">
      <c r="A7" s="473" t="s">
        <v>657</v>
      </c>
      <c r="B7" s="463">
        <v>3539250</v>
      </c>
      <c r="C7" s="464">
        <v>1</v>
      </c>
      <c r="D7" s="464">
        <v>1.0311589623643367</v>
      </c>
      <c r="E7" s="463">
        <v>3432303</v>
      </c>
      <c r="F7" s="464">
        <v>0.96978258105530835</v>
      </c>
      <c r="G7" s="464">
        <v>1</v>
      </c>
      <c r="H7" s="463">
        <v>4028789</v>
      </c>
      <c r="I7" s="464">
        <v>1.1383171575898849</v>
      </c>
      <c r="J7" s="464">
        <v>1.1737859390619068</v>
      </c>
      <c r="K7" s="463"/>
      <c r="L7" s="464"/>
      <c r="M7" s="464"/>
      <c r="N7" s="463"/>
      <c r="O7" s="464"/>
      <c r="P7" s="464"/>
      <c r="Q7" s="463"/>
      <c r="R7" s="464"/>
      <c r="S7" s="464"/>
      <c r="T7" s="463"/>
      <c r="U7" s="464"/>
      <c r="V7" s="464"/>
      <c r="W7" s="463"/>
      <c r="X7" s="464"/>
      <c r="Y7" s="464"/>
      <c r="Z7" s="463"/>
      <c r="AA7" s="464"/>
      <c r="AB7" s="465"/>
    </row>
    <row r="8" spans="1:28" ht="14.4" customHeight="1" x14ac:dyDescent="0.3">
      <c r="A8" s="466" t="s">
        <v>658</v>
      </c>
      <c r="B8" s="467">
        <v>1037286</v>
      </c>
      <c r="C8" s="468">
        <v>1</v>
      </c>
      <c r="D8" s="468">
        <v>0.78473895521563775</v>
      </c>
      <c r="E8" s="467">
        <v>1321823</v>
      </c>
      <c r="F8" s="468">
        <v>1.274309110505685</v>
      </c>
      <c r="G8" s="468">
        <v>1</v>
      </c>
      <c r="H8" s="467">
        <v>1551428</v>
      </c>
      <c r="I8" s="468">
        <v>1.4956607917199307</v>
      </c>
      <c r="J8" s="468">
        <v>1.173703287051292</v>
      </c>
      <c r="K8" s="467"/>
      <c r="L8" s="468"/>
      <c r="M8" s="468"/>
      <c r="N8" s="467"/>
      <c r="O8" s="468"/>
      <c r="P8" s="468"/>
      <c r="Q8" s="467"/>
      <c r="R8" s="468"/>
      <c r="S8" s="468"/>
      <c r="T8" s="467"/>
      <c r="U8" s="468"/>
      <c r="V8" s="468"/>
      <c r="W8" s="467"/>
      <c r="X8" s="468"/>
      <c r="Y8" s="468"/>
      <c r="Z8" s="467"/>
      <c r="AA8" s="468"/>
      <c r="AB8" s="469"/>
    </row>
    <row r="9" spans="1:28" ht="14.4" customHeight="1" thickBot="1" x14ac:dyDescent="0.35">
      <c r="A9" s="474" t="s">
        <v>659</v>
      </c>
      <c r="B9" s="470">
        <v>1037286</v>
      </c>
      <c r="C9" s="471">
        <v>1</v>
      </c>
      <c r="D9" s="471">
        <v>0.78473895521563775</v>
      </c>
      <c r="E9" s="470">
        <v>1321823</v>
      </c>
      <c r="F9" s="471">
        <v>1.274309110505685</v>
      </c>
      <c r="G9" s="471">
        <v>1</v>
      </c>
      <c r="H9" s="470">
        <v>1551428</v>
      </c>
      <c r="I9" s="471">
        <v>1.4956607917199307</v>
      </c>
      <c r="J9" s="471">
        <v>1.173703287051292</v>
      </c>
      <c r="K9" s="470"/>
      <c r="L9" s="471"/>
      <c r="M9" s="471"/>
      <c r="N9" s="470"/>
      <c r="O9" s="471"/>
      <c r="P9" s="471"/>
      <c r="Q9" s="470"/>
      <c r="R9" s="471"/>
      <c r="S9" s="471"/>
      <c r="T9" s="470"/>
      <c r="U9" s="471"/>
      <c r="V9" s="471"/>
      <c r="W9" s="470"/>
      <c r="X9" s="471"/>
      <c r="Y9" s="471"/>
      <c r="Z9" s="470"/>
      <c r="AA9" s="471"/>
      <c r="AB9" s="472"/>
    </row>
    <row r="10" spans="1:28" ht="14.4" customHeight="1" thickBot="1" x14ac:dyDescent="0.35"/>
    <row r="11" spans="1:28" ht="14.4" customHeight="1" x14ac:dyDescent="0.3">
      <c r="A11" s="459" t="s">
        <v>426</v>
      </c>
      <c r="B11" s="460">
        <v>4576536</v>
      </c>
      <c r="C11" s="461">
        <v>1</v>
      </c>
      <c r="D11" s="461">
        <v>0.96264507924274623</v>
      </c>
      <c r="E11" s="460">
        <v>4754126</v>
      </c>
      <c r="F11" s="461">
        <v>1.0388044582190548</v>
      </c>
      <c r="G11" s="461">
        <v>1</v>
      </c>
      <c r="H11" s="460">
        <v>5580217</v>
      </c>
      <c r="I11" s="461">
        <v>1.2193101944352671</v>
      </c>
      <c r="J11" s="462">
        <v>1.173762958743626</v>
      </c>
    </row>
    <row r="12" spans="1:28" ht="14.4" customHeight="1" thickBot="1" x14ac:dyDescent="0.35">
      <c r="A12" s="474" t="s">
        <v>661</v>
      </c>
      <c r="B12" s="470">
        <v>4576536</v>
      </c>
      <c r="C12" s="471">
        <v>1</v>
      </c>
      <c r="D12" s="471">
        <v>0.96264507924274623</v>
      </c>
      <c r="E12" s="470">
        <v>4754126</v>
      </c>
      <c r="F12" s="471">
        <v>1.0388044582190548</v>
      </c>
      <c r="G12" s="471">
        <v>1</v>
      </c>
      <c r="H12" s="470">
        <v>5580217</v>
      </c>
      <c r="I12" s="471">
        <v>1.2193101944352671</v>
      </c>
      <c r="J12" s="472">
        <v>1.173762958743626</v>
      </c>
    </row>
    <row r="13" spans="1:28" ht="14.4" customHeight="1" x14ac:dyDescent="0.3">
      <c r="A13" s="475" t="s">
        <v>662</v>
      </c>
    </row>
    <row r="14" spans="1:28" ht="14.4" customHeight="1" x14ac:dyDescent="0.3">
      <c r="A14" s="476" t="s">
        <v>663</v>
      </c>
    </row>
    <row r="15" spans="1:28" ht="14.4" customHeight="1" x14ac:dyDescent="0.3">
      <c r="A15" s="475" t="s">
        <v>664</v>
      </c>
    </row>
    <row r="16" spans="1:28" ht="14.4" customHeight="1" x14ac:dyDescent="0.3">
      <c r="A16" s="475" t="s">
        <v>665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7" t="s">
        <v>666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03" t="s">
        <v>227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84" t="s">
        <v>112</v>
      </c>
      <c r="B3" s="268">
        <f t="shared" ref="B3:G3" si="0">SUBTOTAL(9,B6:B1048576)</f>
        <v>2306</v>
      </c>
      <c r="C3" s="269">
        <f t="shared" si="0"/>
        <v>2540</v>
      </c>
      <c r="D3" s="283">
        <f t="shared" si="0"/>
        <v>2896</v>
      </c>
      <c r="E3" s="192">
        <f t="shared" si="0"/>
        <v>4576536</v>
      </c>
      <c r="F3" s="190">
        <f t="shared" si="0"/>
        <v>4754126</v>
      </c>
      <c r="G3" s="270">
        <f t="shared" si="0"/>
        <v>5580217</v>
      </c>
    </row>
    <row r="4" spans="1:7" ht="14.4" customHeight="1" x14ac:dyDescent="0.3">
      <c r="A4" s="358" t="s">
        <v>113</v>
      </c>
      <c r="B4" s="363" t="s">
        <v>187</v>
      </c>
      <c r="C4" s="361"/>
      <c r="D4" s="364"/>
      <c r="E4" s="363" t="s">
        <v>85</v>
      </c>
      <c r="F4" s="361"/>
      <c r="G4" s="364"/>
    </row>
    <row r="5" spans="1:7" ht="14.4" customHeight="1" thickBot="1" x14ac:dyDescent="0.35">
      <c r="A5" s="454"/>
      <c r="B5" s="455">
        <v>2015</v>
      </c>
      <c r="C5" s="456">
        <v>2016</v>
      </c>
      <c r="D5" s="477">
        <v>2017</v>
      </c>
      <c r="E5" s="455">
        <v>2015</v>
      </c>
      <c r="F5" s="456">
        <v>2016</v>
      </c>
      <c r="G5" s="477">
        <v>2017</v>
      </c>
    </row>
    <row r="6" spans="1:7" ht="14.4" customHeight="1" thickBot="1" x14ac:dyDescent="0.35">
      <c r="A6" s="481" t="s">
        <v>661</v>
      </c>
      <c r="B6" s="478">
        <v>2306</v>
      </c>
      <c r="C6" s="478">
        <v>2540</v>
      </c>
      <c r="D6" s="478">
        <v>2896</v>
      </c>
      <c r="E6" s="479">
        <v>4576536</v>
      </c>
      <c r="F6" s="479">
        <v>4754126</v>
      </c>
      <c r="G6" s="480">
        <v>5580217</v>
      </c>
    </row>
    <row r="7" spans="1:7" ht="14.4" customHeight="1" x14ac:dyDescent="0.3">
      <c r="A7" s="475" t="s">
        <v>662</v>
      </c>
    </row>
    <row r="8" spans="1:7" ht="14.4" customHeight="1" x14ac:dyDescent="0.3">
      <c r="A8" s="476" t="s">
        <v>663</v>
      </c>
    </row>
    <row r="9" spans="1:7" ht="14.4" customHeight="1" x14ac:dyDescent="0.3">
      <c r="A9" s="475" t="s">
        <v>664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09" t="s">
        <v>725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03" t="s">
        <v>227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2306</v>
      </c>
      <c r="H3" s="78">
        <f t="shared" si="0"/>
        <v>4576536</v>
      </c>
      <c r="I3" s="58"/>
      <c r="J3" s="58"/>
      <c r="K3" s="78">
        <f t="shared" si="0"/>
        <v>2540</v>
      </c>
      <c r="L3" s="78">
        <f t="shared" si="0"/>
        <v>4754126</v>
      </c>
      <c r="M3" s="58"/>
      <c r="N3" s="58"/>
      <c r="O3" s="78">
        <f t="shared" si="0"/>
        <v>2896</v>
      </c>
      <c r="P3" s="78">
        <f t="shared" si="0"/>
        <v>5580217</v>
      </c>
      <c r="Q3" s="59">
        <f>IF(L3=0,0,P3/L3)</f>
        <v>1.173762958743626</v>
      </c>
      <c r="R3" s="79">
        <f>IF(O3=0,0,P3/O3)</f>
        <v>1926.8705110497237</v>
      </c>
    </row>
    <row r="4" spans="1:18" ht="14.4" customHeight="1" x14ac:dyDescent="0.3">
      <c r="A4" s="365" t="s">
        <v>215</v>
      </c>
      <c r="B4" s="365" t="s">
        <v>81</v>
      </c>
      <c r="C4" s="373" t="s">
        <v>0</v>
      </c>
      <c r="D4" s="367" t="s">
        <v>82</v>
      </c>
      <c r="E4" s="372" t="s">
        <v>57</v>
      </c>
      <c r="F4" s="368" t="s">
        <v>56</v>
      </c>
      <c r="G4" s="369">
        <v>2015</v>
      </c>
      <c r="H4" s="370"/>
      <c r="I4" s="76"/>
      <c r="J4" s="76"/>
      <c r="K4" s="369">
        <v>2016</v>
      </c>
      <c r="L4" s="370"/>
      <c r="M4" s="76"/>
      <c r="N4" s="76"/>
      <c r="O4" s="369">
        <v>2017</v>
      </c>
      <c r="P4" s="370"/>
      <c r="Q4" s="371" t="s">
        <v>2</v>
      </c>
      <c r="R4" s="366" t="s">
        <v>84</v>
      </c>
    </row>
    <row r="5" spans="1:18" ht="14.4" customHeight="1" thickBot="1" x14ac:dyDescent="0.35">
      <c r="A5" s="482"/>
      <c r="B5" s="482"/>
      <c r="C5" s="483"/>
      <c r="D5" s="484"/>
      <c r="E5" s="485"/>
      <c r="F5" s="486"/>
      <c r="G5" s="487" t="s">
        <v>58</v>
      </c>
      <c r="H5" s="488" t="s">
        <v>14</v>
      </c>
      <c r="I5" s="489"/>
      <c r="J5" s="489"/>
      <c r="K5" s="487" t="s">
        <v>58</v>
      </c>
      <c r="L5" s="488" t="s">
        <v>14</v>
      </c>
      <c r="M5" s="489"/>
      <c r="N5" s="489"/>
      <c r="O5" s="487" t="s">
        <v>58</v>
      </c>
      <c r="P5" s="488" t="s">
        <v>14</v>
      </c>
      <c r="Q5" s="490"/>
      <c r="R5" s="491"/>
    </row>
    <row r="6" spans="1:18" ht="14.4" customHeight="1" x14ac:dyDescent="0.3">
      <c r="A6" s="417" t="s">
        <v>667</v>
      </c>
      <c r="B6" s="418" t="s">
        <v>668</v>
      </c>
      <c r="C6" s="418" t="s">
        <v>426</v>
      </c>
      <c r="D6" s="418" t="s">
        <v>669</v>
      </c>
      <c r="E6" s="418" t="s">
        <v>670</v>
      </c>
      <c r="F6" s="418" t="s">
        <v>671</v>
      </c>
      <c r="G6" s="421">
        <v>330</v>
      </c>
      <c r="H6" s="421">
        <v>3539250</v>
      </c>
      <c r="I6" s="418">
        <v>1.0311589623643367</v>
      </c>
      <c r="J6" s="418">
        <v>10725</v>
      </c>
      <c r="K6" s="421">
        <v>301</v>
      </c>
      <c r="L6" s="421">
        <v>3432303</v>
      </c>
      <c r="M6" s="418">
        <v>1</v>
      </c>
      <c r="N6" s="418">
        <v>11403</v>
      </c>
      <c r="O6" s="421">
        <v>353</v>
      </c>
      <c r="P6" s="421">
        <v>4028789</v>
      </c>
      <c r="Q6" s="442">
        <v>1.1737859390619068</v>
      </c>
      <c r="R6" s="422">
        <v>11413</v>
      </c>
    </row>
    <row r="7" spans="1:18" ht="14.4" customHeight="1" x14ac:dyDescent="0.3">
      <c r="A7" s="423" t="s">
        <v>667</v>
      </c>
      <c r="B7" s="424" t="s">
        <v>672</v>
      </c>
      <c r="C7" s="424" t="s">
        <v>426</v>
      </c>
      <c r="D7" s="424" t="s">
        <v>669</v>
      </c>
      <c r="E7" s="424" t="s">
        <v>673</v>
      </c>
      <c r="F7" s="424" t="s">
        <v>674</v>
      </c>
      <c r="G7" s="427">
        <v>3</v>
      </c>
      <c r="H7" s="427">
        <v>384</v>
      </c>
      <c r="I7" s="424">
        <v>0.94117647058823528</v>
      </c>
      <c r="J7" s="424">
        <v>128</v>
      </c>
      <c r="K7" s="427">
        <v>3</v>
      </c>
      <c r="L7" s="427">
        <v>408</v>
      </c>
      <c r="M7" s="424">
        <v>1</v>
      </c>
      <c r="N7" s="424">
        <v>136</v>
      </c>
      <c r="O7" s="427"/>
      <c r="P7" s="427"/>
      <c r="Q7" s="492"/>
      <c r="R7" s="428"/>
    </row>
    <row r="8" spans="1:18" ht="14.4" customHeight="1" x14ac:dyDescent="0.3">
      <c r="A8" s="423" t="s">
        <v>667</v>
      </c>
      <c r="B8" s="424" t="s">
        <v>672</v>
      </c>
      <c r="C8" s="424" t="s">
        <v>426</v>
      </c>
      <c r="D8" s="424" t="s">
        <v>669</v>
      </c>
      <c r="E8" s="424" t="s">
        <v>675</v>
      </c>
      <c r="F8" s="424" t="s">
        <v>676</v>
      </c>
      <c r="G8" s="427">
        <v>4</v>
      </c>
      <c r="H8" s="427">
        <v>4912</v>
      </c>
      <c r="I8" s="424">
        <v>0.64870575805599573</v>
      </c>
      <c r="J8" s="424">
        <v>1228</v>
      </c>
      <c r="K8" s="427">
        <v>6</v>
      </c>
      <c r="L8" s="427">
        <v>7572</v>
      </c>
      <c r="M8" s="424">
        <v>1</v>
      </c>
      <c r="N8" s="424">
        <v>1262</v>
      </c>
      <c r="O8" s="427">
        <v>3</v>
      </c>
      <c r="P8" s="427">
        <v>3786</v>
      </c>
      <c r="Q8" s="492">
        <v>0.5</v>
      </c>
      <c r="R8" s="428">
        <v>1262</v>
      </c>
    </row>
    <row r="9" spans="1:18" ht="14.4" customHeight="1" x14ac:dyDescent="0.3">
      <c r="A9" s="423" t="s">
        <v>667</v>
      </c>
      <c r="B9" s="424" t="s">
        <v>672</v>
      </c>
      <c r="C9" s="424" t="s">
        <v>426</v>
      </c>
      <c r="D9" s="424" t="s">
        <v>669</v>
      </c>
      <c r="E9" s="424" t="s">
        <v>677</v>
      </c>
      <c r="F9" s="424" t="s">
        <v>678</v>
      </c>
      <c r="G9" s="427">
        <v>10</v>
      </c>
      <c r="H9" s="427">
        <v>22360</v>
      </c>
      <c r="I9" s="424">
        <v>0.39848873681209013</v>
      </c>
      <c r="J9" s="424">
        <v>2236</v>
      </c>
      <c r="K9" s="427">
        <v>24</v>
      </c>
      <c r="L9" s="427">
        <v>56112</v>
      </c>
      <c r="M9" s="424">
        <v>1</v>
      </c>
      <c r="N9" s="424">
        <v>2338</v>
      </c>
      <c r="O9" s="427">
        <v>10</v>
      </c>
      <c r="P9" s="427">
        <v>23400</v>
      </c>
      <c r="Q9" s="492">
        <v>0.41702309666381521</v>
      </c>
      <c r="R9" s="428">
        <v>2340</v>
      </c>
    </row>
    <row r="10" spans="1:18" ht="14.4" customHeight="1" x14ac:dyDescent="0.3">
      <c r="A10" s="423" t="s">
        <v>667</v>
      </c>
      <c r="B10" s="424" t="s">
        <v>672</v>
      </c>
      <c r="C10" s="424" t="s">
        <v>426</v>
      </c>
      <c r="D10" s="424" t="s">
        <v>669</v>
      </c>
      <c r="E10" s="424" t="s">
        <v>679</v>
      </c>
      <c r="F10" s="424" t="s">
        <v>680</v>
      </c>
      <c r="G10" s="427">
        <v>4</v>
      </c>
      <c r="H10" s="427">
        <v>4172</v>
      </c>
      <c r="I10" s="424">
        <v>1.9368616527390901</v>
      </c>
      <c r="J10" s="424">
        <v>1043</v>
      </c>
      <c r="K10" s="427">
        <v>2</v>
      </c>
      <c r="L10" s="427">
        <v>2154</v>
      </c>
      <c r="M10" s="424">
        <v>1</v>
      </c>
      <c r="N10" s="424">
        <v>1077</v>
      </c>
      <c r="O10" s="427">
        <v>6</v>
      </c>
      <c r="P10" s="427">
        <v>6462</v>
      </c>
      <c r="Q10" s="492">
        <v>3</v>
      </c>
      <c r="R10" s="428">
        <v>1077</v>
      </c>
    </row>
    <row r="11" spans="1:18" ht="14.4" customHeight="1" x14ac:dyDescent="0.3">
      <c r="A11" s="423" t="s">
        <v>667</v>
      </c>
      <c r="B11" s="424" t="s">
        <v>672</v>
      </c>
      <c r="C11" s="424" t="s">
        <v>426</v>
      </c>
      <c r="D11" s="424" t="s">
        <v>669</v>
      </c>
      <c r="E11" s="424" t="s">
        <v>681</v>
      </c>
      <c r="F11" s="424" t="s">
        <v>682</v>
      </c>
      <c r="G11" s="427">
        <v>23</v>
      </c>
      <c r="H11" s="427">
        <v>85583</v>
      </c>
      <c r="I11" s="424">
        <v>0.93276440840526642</v>
      </c>
      <c r="J11" s="424">
        <v>3721</v>
      </c>
      <c r="K11" s="427">
        <v>24</v>
      </c>
      <c r="L11" s="427">
        <v>91752</v>
      </c>
      <c r="M11" s="424">
        <v>1</v>
      </c>
      <c r="N11" s="424">
        <v>3823</v>
      </c>
      <c r="O11" s="427">
        <v>18</v>
      </c>
      <c r="P11" s="427">
        <v>68850</v>
      </c>
      <c r="Q11" s="492">
        <v>0.75039236201935655</v>
      </c>
      <c r="R11" s="428">
        <v>3825</v>
      </c>
    </row>
    <row r="12" spans="1:18" ht="14.4" customHeight="1" x14ac:dyDescent="0.3">
      <c r="A12" s="423" t="s">
        <v>667</v>
      </c>
      <c r="B12" s="424" t="s">
        <v>672</v>
      </c>
      <c r="C12" s="424" t="s">
        <v>426</v>
      </c>
      <c r="D12" s="424" t="s">
        <v>669</v>
      </c>
      <c r="E12" s="424" t="s">
        <v>683</v>
      </c>
      <c r="F12" s="424" t="s">
        <v>684</v>
      </c>
      <c r="G12" s="427">
        <v>428</v>
      </c>
      <c r="H12" s="427">
        <v>187892</v>
      </c>
      <c r="I12" s="424">
        <v>1.0854221426301955</v>
      </c>
      <c r="J12" s="424">
        <v>439</v>
      </c>
      <c r="K12" s="427">
        <v>389</v>
      </c>
      <c r="L12" s="427">
        <v>173105</v>
      </c>
      <c r="M12" s="424">
        <v>1</v>
      </c>
      <c r="N12" s="424">
        <v>445</v>
      </c>
      <c r="O12" s="427">
        <v>434</v>
      </c>
      <c r="P12" s="427">
        <v>193130</v>
      </c>
      <c r="Q12" s="492">
        <v>1.1156812339331619</v>
      </c>
      <c r="R12" s="428">
        <v>445</v>
      </c>
    </row>
    <row r="13" spans="1:18" ht="14.4" customHeight="1" x14ac:dyDescent="0.3">
      <c r="A13" s="423" t="s">
        <v>667</v>
      </c>
      <c r="B13" s="424" t="s">
        <v>672</v>
      </c>
      <c r="C13" s="424" t="s">
        <v>426</v>
      </c>
      <c r="D13" s="424" t="s">
        <v>669</v>
      </c>
      <c r="E13" s="424" t="s">
        <v>685</v>
      </c>
      <c r="F13" s="424" t="s">
        <v>686</v>
      </c>
      <c r="G13" s="427">
        <v>33</v>
      </c>
      <c r="H13" s="427">
        <v>27588</v>
      </c>
      <c r="I13" s="424">
        <v>0.75214700509828514</v>
      </c>
      <c r="J13" s="424">
        <v>836</v>
      </c>
      <c r="K13" s="427">
        <v>43</v>
      </c>
      <c r="L13" s="427">
        <v>36679</v>
      </c>
      <c r="M13" s="424">
        <v>1</v>
      </c>
      <c r="N13" s="424">
        <v>853</v>
      </c>
      <c r="O13" s="427">
        <v>85</v>
      </c>
      <c r="P13" s="427">
        <v>72590</v>
      </c>
      <c r="Q13" s="492">
        <v>1.9790615883748193</v>
      </c>
      <c r="R13" s="428">
        <v>854</v>
      </c>
    </row>
    <row r="14" spans="1:18" ht="14.4" customHeight="1" x14ac:dyDescent="0.3">
      <c r="A14" s="423" t="s">
        <v>667</v>
      </c>
      <c r="B14" s="424" t="s">
        <v>672</v>
      </c>
      <c r="C14" s="424" t="s">
        <v>426</v>
      </c>
      <c r="D14" s="424" t="s">
        <v>669</v>
      </c>
      <c r="E14" s="424" t="s">
        <v>687</v>
      </c>
      <c r="F14" s="424" t="s">
        <v>688</v>
      </c>
      <c r="G14" s="427">
        <v>24</v>
      </c>
      <c r="H14" s="427">
        <v>38904</v>
      </c>
      <c r="I14" s="424">
        <v>0.65297079556898285</v>
      </c>
      <c r="J14" s="424">
        <v>1621</v>
      </c>
      <c r="K14" s="427">
        <v>36</v>
      </c>
      <c r="L14" s="427">
        <v>59580</v>
      </c>
      <c r="M14" s="424">
        <v>1</v>
      </c>
      <c r="N14" s="424">
        <v>1655</v>
      </c>
      <c r="O14" s="427">
        <v>46</v>
      </c>
      <c r="P14" s="427">
        <v>76130</v>
      </c>
      <c r="Q14" s="492">
        <v>1.2777777777777777</v>
      </c>
      <c r="R14" s="428">
        <v>1655</v>
      </c>
    </row>
    <row r="15" spans="1:18" ht="14.4" customHeight="1" x14ac:dyDescent="0.3">
      <c r="A15" s="423" t="s">
        <v>667</v>
      </c>
      <c r="B15" s="424" t="s">
        <v>672</v>
      </c>
      <c r="C15" s="424" t="s">
        <v>426</v>
      </c>
      <c r="D15" s="424" t="s">
        <v>669</v>
      </c>
      <c r="E15" s="424" t="s">
        <v>689</v>
      </c>
      <c r="F15" s="424" t="s">
        <v>690</v>
      </c>
      <c r="G15" s="427">
        <v>1</v>
      </c>
      <c r="H15" s="427">
        <v>1553</v>
      </c>
      <c r="I15" s="424"/>
      <c r="J15" s="424">
        <v>1553</v>
      </c>
      <c r="K15" s="427"/>
      <c r="L15" s="427"/>
      <c r="M15" s="424"/>
      <c r="N15" s="424"/>
      <c r="O15" s="427"/>
      <c r="P15" s="427"/>
      <c r="Q15" s="492"/>
      <c r="R15" s="428"/>
    </row>
    <row r="16" spans="1:18" ht="14.4" customHeight="1" x14ac:dyDescent="0.3">
      <c r="A16" s="423" t="s">
        <v>667</v>
      </c>
      <c r="B16" s="424" t="s">
        <v>672</v>
      </c>
      <c r="C16" s="424" t="s">
        <v>426</v>
      </c>
      <c r="D16" s="424" t="s">
        <v>669</v>
      </c>
      <c r="E16" s="424" t="s">
        <v>691</v>
      </c>
      <c r="F16" s="424" t="s">
        <v>692</v>
      </c>
      <c r="G16" s="427">
        <v>8</v>
      </c>
      <c r="H16" s="427">
        <v>6584</v>
      </c>
      <c r="I16" s="424">
        <v>0.71255411255411261</v>
      </c>
      <c r="J16" s="424">
        <v>823</v>
      </c>
      <c r="K16" s="427">
        <v>11</v>
      </c>
      <c r="L16" s="427">
        <v>9240</v>
      </c>
      <c r="M16" s="424">
        <v>1</v>
      </c>
      <c r="N16" s="424">
        <v>840</v>
      </c>
      <c r="O16" s="427">
        <v>2</v>
      </c>
      <c r="P16" s="427">
        <v>1682</v>
      </c>
      <c r="Q16" s="492">
        <v>0.18203463203463202</v>
      </c>
      <c r="R16" s="428">
        <v>841</v>
      </c>
    </row>
    <row r="17" spans="1:18" ht="14.4" customHeight="1" x14ac:dyDescent="0.3">
      <c r="A17" s="423" t="s">
        <v>667</v>
      </c>
      <c r="B17" s="424" t="s">
        <v>672</v>
      </c>
      <c r="C17" s="424" t="s">
        <v>426</v>
      </c>
      <c r="D17" s="424" t="s">
        <v>669</v>
      </c>
      <c r="E17" s="424" t="s">
        <v>693</v>
      </c>
      <c r="F17" s="424" t="s">
        <v>694</v>
      </c>
      <c r="G17" s="427">
        <v>47</v>
      </c>
      <c r="H17" s="427">
        <v>68667</v>
      </c>
      <c r="I17" s="424">
        <v>3.7572225869993434</v>
      </c>
      <c r="J17" s="424">
        <v>1461</v>
      </c>
      <c r="K17" s="427">
        <v>12</v>
      </c>
      <c r="L17" s="427">
        <v>18276</v>
      </c>
      <c r="M17" s="424">
        <v>1</v>
      </c>
      <c r="N17" s="424">
        <v>1523</v>
      </c>
      <c r="O17" s="427"/>
      <c r="P17" s="427"/>
      <c r="Q17" s="492"/>
      <c r="R17" s="428"/>
    </row>
    <row r="18" spans="1:18" ht="14.4" customHeight="1" x14ac:dyDescent="0.3">
      <c r="A18" s="423" t="s">
        <v>667</v>
      </c>
      <c r="B18" s="424" t="s">
        <v>672</v>
      </c>
      <c r="C18" s="424" t="s">
        <v>426</v>
      </c>
      <c r="D18" s="424" t="s">
        <v>669</v>
      </c>
      <c r="E18" s="424" t="s">
        <v>695</v>
      </c>
      <c r="F18" s="424" t="s">
        <v>696</v>
      </c>
      <c r="G18" s="427"/>
      <c r="H18" s="427"/>
      <c r="I18" s="424"/>
      <c r="J18" s="424"/>
      <c r="K18" s="427">
        <v>1</v>
      </c>
      <c r="L18" s="427">
        <v>3252</v>
      </c>
      <c r="M18" s="424">
        <v>1</v>
      </c>
      <c r="N18" s="424">
        <v>3252</v>
      </c>
      <c r="O18" s="427"/>
      <c r="P18" s="427"/>
      <c r="Q18" s="492"/>
      <c r="R18" s="428"/>
    </row>
    <row r="19" spans="1:18" ht="14.4" customHeight="1" x14ac:dyDescent="0.3">
      <c r="A19" s="423" t="s">
        <v>667</v>
      </c>
      <c r="B19" s="424" t="s">
        <v>672</v>
      </c>
      <c r="C19" s="424" t="s">
        <v>426</v>
      </c>
      <c r="D19" s="424" t="s">
        <v>669</v>
      </c>
      <c r="E19" s="424" t="s">
        <v>697</v>
      </c>
      <c r="F19" s="424" t="s">
        <v>698</v>
      </c>
      <c r="G19" s="427">
        <v>24</v>
      </c>
      <c r="H19" s="427">
        <v>384</v>
      </c>
      <c r="I19" s="424">
        <v>0.48060075093867333</v>
      </c>
      <c r="J19" s="424">
        <v>16</v>
      </c>
      <c r="K19" s="427">
        <v>47</v>
      </c>
      <c r="L19" s="427">
        <v>799</v>
      </c>
      <c r="M19" s="424">
        <v>1</v>
      </c>
      <c r="N19" s="424">
        <v>17</v>
      </c>
      <c r="O19" s="427">
        <v>40</v>
      </c>
      <c r="P19" s="427">
        <v>680</v>
      </c>
      <c r="Q19" s="492">
        <v>0.85106382978723405</v>
      </c>
      <c r="R19" s="428">
        <v>17</v>
      </c>
    </row>
    <row r="20" spans="1:18" ht="14.4" customHeight="1" x14ac:dyDescent="0.3">
      <c r="A20" s="423" t="s">
        <v>667</v>
      </c>
      <c r="B20" s="424" t="s">
        <v>672</v>
      </c>
      <c r="C20" s="424" t="s">
        <v>426</v>
      </c>
      <c r="D20" s="424" t="s">
        <v>669</v>
      </c>
      <c r="E20" s="424" t="s">
        <v>699</v>
      </c>
      <c r="F20" s="424" t="s">
        <v>684</v>
      </c>
      <c r="G20" s="427">
        <v>33</v>
      </c>
      <c r="H20" s="427">
        <v>22968</v>
      </c>
      <c r="I20" s="424">
        <v>0.41064149324179361</v>
      </c>
      <c r="J20" s="424">
        <v>696</v>
      </c>
      <c r="K20" s="427">
        <v>79</v>
      </c>
      <c r="L20" s="427">
        <v>55932</v>
      </c>
      <c r="M20" s="424">
        <v>1</v>
      </c>
      <c r="N20" s="424">
        <v>708</v>
      </c>
      <c r="O20" s="427">
        <v>64</v>
      </c>
      <c r="P20" s="427">
        <v>45312</v>
      </c>
      <c r="Q20" s="492">
        <v>0.810126582278481</v>
      </c>
      <c r="R20" s="428">
        <v>708</v>
      </c>
    </row>
    <row r="21" spans="1:18" ht="14.4" customHeight="1" x14ac:dyDescent="0.3">
      <c r="A21" s="423" t="s">
        <v>667</v>
      </c>
      <c r="B21" s="424" t="s">
        <v>672</v>
      </c>
      <c r="C21" s="424" t="s">
        <v>426</v>
      </c>
      <c r="D21" s="424" t="s">
        <v>669</v>
      </c>
      <c r="E21" s="424" t="s">
        <v>700</v>
      </c>
      <c r="F21" s="424" t="s">
        <v>686</v>
      </c>
      <c r="G21" s="427">
        <v>35</v>
      </c>
      <c r="H21" s="427">
        <v>48545</v>
      </c>
      <c r="I21" s="424">
        <v>0.49645136218604269</v>
      </c>
      <c r="J21" s="424">
        <v>1387</v>
      </c>
      <c r="K21" s="427">
        <v>68</v>
      </c>
      <c r="L21" s="427">
        <v>97784</v>
      </c>
      <c r="M21" s="424">
        <v>1</v>
      </c>
      <c r="N21" s="424">
        <v>1438</v>
      </c>
      <c r="O21" s="427">
        <v>31</v>
      </c>
      <c r="P21" s="427">
        <v>44609</v>
      </c>
      <c r="Q21" s="492">
        <v>0.4561993782213859</v>
      </c>
      <c r="R21" s="428">
        <v>1439</v>
      </c>
    </row>
    <row r="22" spans="1:18" ht="14.4" customHeight="1" x14ac:dyDescent="0.3">
      <c r="A22" s="423" t="s">
        <v>667</v>
      </c>
      <c r="B22" s="424" t="s">
        <v>672</v>
      </c>
      <c r="C22" s="424" t="s">
        <v>426</v>
      </c>
      <c r="D22" s="424" t="s">
        <v>669</v>
      </c>
      <c r="E22" s="424" t="s">
        <v>701</v>
      </c>
      <c r="F22" s="424" t="s">
        <v>702</v>
      </c>
      <c r="G22" s="427">
        <v>21</v>
      </c>
      <c r="H22" s="427">
        <v>49161</v>
      </c>
      <c r="I22" s="424">
        <v>0.50431883463274518</v>
      </c>
      <c r="J22" s="424">
        <v>2341</v>
      </c>
      <c r="K22" s="427">
        <v>40</v>
      </c>
      <c r="L22" s="427">
        <v>97480</v>
      </c>
      <c r="M22" s="424">
        <v>1</v>
      </c>
      <c r="N22" s="424">
        <v>2437</v>
      </c>
      <c r="O22" s="427">
        <v>30</v>
      </c>
      <c r="P22" s="427">
        <v>73140</v>
      </c>
      <c r="Q22" s="492">
        <v>0.75030775543701267</v>
      </c>
      <c r="R22" s="428">
        <v>2438</v>
      </c>
    </row>
    <row r="23" spans="1:18" ht="14.4" customHeight="1" x14ac:dyDescent="0.3">
      <c r="A23" s="423" t="s">
        <v>667</v>
      </c>
      <c r="B23" s="424" t="s">
        <v>672</v>
      </c>
      <c r="C23" s="424" t="s">
        <v>426</v>
      </c>
      <c r="D23" s="424" t="s">
        <v>669</v>
      </c>
      <c r="E23" s="424" t="s">
        <v>703</v>
      </c>
      <c r="F23" s="424" t="s">
        <v>704</v>
      </c>
      <c r="G23" s="427">
        <v>461</v>
      </c>
      <c r="H23" s="427">
        <v>30426</v>
      </c>
      <c r="I23" s="424">
        <v>0.93225480283114259</v>
      </c>
      <c r="J23" s="424">
        <v>66</v>
      </c>
      <c r="K23" s="427">
        <v>473</v>
      </c>
      <c r="L23" s="427">
        <v>32637</v>
      </c>
      <c r="M23" s="424">
        <v>1</v>
      </c>
      <c r="N23" s="424">
        <v>69</v>
      </c>
      <c r="O23" s="427">
        <v>500</v>
      </c>
      <c r="P23" s="427">
        <v>34500</v>
      </c>
      <c r="Q23" s="492">
        <v>1.0570824524312896</v>
      </c>
      <c r="R23" s="428">
        <v>69</v>
      </c>
    </row>
    <row r="24" spans="1:18" ht="14.4" customHeight="1" x14ac:dyDescent="0.3">
      <c r="A24" s="423" t="s">
        <v>667</v>
      </c>
      <c r="B24" s="424" t="s">
        <v>672</v>
      </c>
      <c r="C24" s="424" t="s">
        <v>426</v>
      </c>
      <c r="D24" s="424" t="s">
        <v>669</v>
      </c>
      <c r="E24" s="424" t="s">
        <v>705</v>
      </c>
      <c r="F24" s="424" t="s">
        <v>706</v>
      </c>
      <c r="G24" s="427">
        <v>47</v>
      </c>
      <c r="H24" s="427">
        <v>18847</v>
      </c>
      <c r="I24" s="424">
        <v>3.8589271089271091</v>
      </c>
      <c r="J24" s="424">
        <v>401</v>
      </c>
      <c r="K24" s="427">
        <v>12</v>
      </c>
      <c r="L24" s="427">
        <v>4884</v>
      </c>
      <c r="M24" s="424">
        <v>1</v>
      </c>
      <c r="N24" s="424">
        <v>407</v>
      </c>
      <c r="O24" s="427"/>
      <c r="P24" s="427"/>
      <c r="Q24" s="492"/>
      <c r="R24" s="428"/>
    </row>
    <row r="25" spans="1:18" ht="14.4" customHeight="1" x14ac:dyDescent="0.3">
      <c r="A25" s="423" t="s">
        <v>667</v>
      </c>
      <c r="B25" s="424" t="s">
        <v>672</v>
      </c>
      <c r="C25" s="424" t="s">
        <v>426</v>
      </c>
      <c r="D25" s="424" t="s">
        <v>669</v>
      </c>
      <c r="E25" s="424" t="s">
        <v>707</v>
      </c>
      <c r="F25" s="424" t="s">
        <v>708</v>
      </c>
      <c r="G25" s="427">
        <v>32</v>
      </c>
      <c r="H25" s="427">
        <v>51616</v>
      </c>
      <c r="I25" s="424">
        <v>1.2407692307692308</v>
      </c>
      <c r="J25" s="424">
        <v>1613</v>
      </c>
      <c r="K25" s="427">
        <v>25</v>
      </c>
      <c r="L25" s="427">
        <v>41600</v>
      </c>
      <c r="M25" s="424">
        <v>1</v>
      </c>
      <c r="N25" s="424">
        <v>1664</v>
      </c>
      <c r="O25" s="427">
        <v>53</v>
      </c>
      <c r="P25" s="427">
        <v>88245</v>
      </c>
      <c r="Q25" s="492">
        <v>2.1212740384615385</v>
      </c>
      <c r="R25" s="428">
        <v>1665</v>
      </c>
    </row>
    <row r="26" spans="1:18" ht="14.4" customHeight="1" x14ac:dyDescent="0.3">
      <c r="A26" s="423" t="s">
        <v>667</v>
      </c>
      <c r="B26" s="424" t="s">
        <v>672</v>
      </c>
      <c r="C26" s="424" t="s">
        <v>426</v>
      </c>
      <c r="D26" s="424" t="s">
        <v>669</v>
      </c>
      <c r="E26" s="424" t="s">
        <v>709</v>
      </c>
      <c r="F26" s="424" t="s">
        <v>710</v>
      </c>
      <c r="G26" s="427">
        <v>88</v>
      </c>
      <c r="H26" s="427">
        <v>48576</v>
      </c>
      <c r="I26" s="424">
        <v>0.39608610567514679</v>
      </c>
      <c r="J26" s="424">
        <v>552</v>
      </c>
      <c r="K26" s="427">
        <v>219</v>
      </c>
      <c r="L26" s="427">
        <v>122640</v>
      </c>
      <c r="M26" s="424">
        <v>1</v>
      </c>
      <c r="N26" s="424">
        <v>560</v>
      </c>
      <c r="O26" s="427">
        <v>193</v>
      </c>
      <c r="P26" s="427">
        <v>108080</v>
      </c>
      <c r="Q26" s="492">
        <v>0.88127853881278539</v>
      </c>
      <c r="R26" s="428">
        <v>560</v>
      </c>
    </row>
    <row r="27" spans="1:18" ht="14.4" customHeight="1" x14ac:dyDescent="0.3">
      <c r="A27" s="423" t="s">
        <v>667</v>
      </c>
      <c r="B27" s="424" t="s">
        <v>672</v>
      </c>
      <c r="C27" s="424" t="s">
        <v>426</v>
      </c>
      <c r="D27" s="424" t="s">
        <v>669</v>
      </c>
      <c r="E27" s="424" t="s">
        <v>711</v>
      </c>
      <c r="F27" s="424" t="s">
        <v>712</v>
      </c>
      <c r="G27" s="427"/>
      <c r="H27" s="427"/>
      <c r="I27" s="424"/>
      <c r="J27" s="424"/>
      <c r="K27" s="427">
        <v>1</v>
      </c>
      <c r="L27" s="427">
        <v>1266</v>
      </c>
      <c r="M27" s="424">
        <v>1</v>
      </c>
      <c r="N27" s="424">
        <v>1266</v>
      </c>
      <c r="O27" s="427"/>
      <c r="P27" s="427"/>
      <c r="Q27" s="492"/>
      <c r="R27" s="428"/>
    </row>
    <row r="28" spans="1:18" ht="14.4" customHeight="1" x14ac:dyDescent="0.3">
      <c r="A28" s="423" t="s">
        <v>667</v>
      </c>
      <c r="B28" s="424" t="s">
        <v>672</v>
      </c>
      <c r="C28" s="424" t="s">
        <v>426</v>
      </c>
      <c r="D28" s="424" t="s">
        <v>669</v>
      </c>
      <c r="E28" s="424" t="s">
        <v>713</v>
      </c>
      <c r="F28" s="424" t="s">
        <v>714</v>
      </c>
      <c r="G28" s="427">
        <v>136</v>
      </c>
      <c r="H28" s="427">
        <v>4896</v>
      </c>
      <c r="I28" s="424">
        <v>0.99491973176183701</v>
      </c>
      <c r="J28" s="424">
        <v>36</v>
      </c>
      <c r="K28" s="427">
        <v>133</v>
      </c>
      <c r="L28" s="427">
        <v>4921</v>
      </c>
      <c r="M28" s="424">
        <v>1</v>
      </c>
      <c r="N28" s="424">
        <v>37</v>
      </c>
      <c r="O28" s="427">
        <v>123</v>
      </c>
      <c r="P28" s="427">
        <v>4551</v>
      </c>
      <c r="Q28" s="492">
        <v>0.92481203007518797</v>
      </c>
      <c r="R28" s="428">
        <v>37</v>
      </c>
    </row>
    <row r="29" spans="1:18" ht="14.4" customHeight="1" x14ac:dyDescent="0.3">
      <c r="A29" s="423" t="s">
        <v>667</v>
      </c>
      <c r="B29" s="424" t="s">
        <v>672</v>
      </c>
      <c r="C29" s="424" t="s">
        <v>426</v>
      </c>
      <c r="D29" s="424" t="s">
        <v>669</v>
      </c>
      <c r="E29" s="424" t="s">
        <v>715</v>
      </c>
      <c r="F29" s="424" t="s">
        <v>716</v>
      </c>
      <c r="G29" s="427">
        <v>3</v>
      </c>
      <c r="H29" s="427">
        <v>369</v>
      </c>
      <c r="I29" s="424">
        <v>0.40863787375415284</v>
      </c>
      <c r="J29" s="424">
        <v>123</v>
      </c>
      <c r="K29" s="427">
        <v>7</v>
      </c>
      <c r="L29" s="427">
        <v>903</v>
      </c>
      <c r="M29" s="424">
        <v>1</v>
      </c>
      <c r="N29" s="424">
        <v>129</v>
      </c>
      <c r="O29" s="427">
        <v>4</v>
      </c>
      <c r="P29" s="427">
        <v>516</v>
      </c>
      <c r="Q29" s="492">
        <v>0.5714285714285714</v>
      </c>
      <c r="R29" s="428">
        <v>129</v>
      </c>
    </row>
    <row r="30" spans="1:18" ht="14.4" customHeight="1" x14ac:dyDescent="0.3">
      <c r="A30" s="423" t="s">
        <v>667</v>
      </c>
      <c r="B30" s="424" t="s">
        <v>672</v>
      </c>
      <c r="C30" s="424" t="s">
        <v>426</v>
      </c>
      <c r="D30" s="424" t="s">
        <v>669</v>
      </c>
      <c r="E30" s="424" t="s">
        <v>717</v>
      </c>
      <c r="F30" s="424" t="s">
        <v>718</v>
      </c>
      <c r="G30" s="427">
        <v>430</v>
      </c>
      <c r="H30" s="427">
        <v>183180</v>
      </c>
      <c r="I30" s="424">
        <v>0.93229914190612884</v>
      </c>
      <c r="J30" s="424">
        <v>426</v>
      </c>
      <c r="K30" s="427">
        <v>458</v>
      </c>
      <c r="L30" s="427">
        <v>196482</v>
      </c>
      <c r="M30" s="424">
        <v>1</v>
      </c>
      <c r="N30" s="424">
        <v>429</v>
      </c>
      <c r="O30" s="427">
        <v>639</v>
      </c>
      <c r="P30" s="427">
        <v>274131</v>
      </c>
      <c r="Q30" s="492">
        <v>1.3951965065502183</v>
      </c>
      <c r="R30" s="428">
        <v>429</v>
      </c>
    </row>
    <row r="31" spans="1:18" ht="14.4" customHeight="1" x14ac:dyDescent="0.3">
      <c r="A31" s="423" t="s">
        <v>667</v>
      </c>
      <c r="B31" s="424" t="s">
        <v>672</v>
      </c>
      <c r="C31" s="424" t="s">
        <v>426</v>
      </c>
      <c r="D31" s="424" t="s">
        <v>669</v>
      </c>
      <c r="E31" s="424" t="s">
        <v>719</v>
      </c>
      <c r="F31" s="424" t="s">
        <v>720</v>
      </c>
      <c r="G31" s="427">
        <v>1</v>
      </c>
      <c r="H31" s="427">
        <v>1211</v>
      </c>
      <c r="I31" s="424"/>
      <c r="J31" s="424">
        <v>1211</v>
      </c>
      <c r="K31" s="427"/>
      <c r="L31" s="427"/>
      <c r="M31" s="424"/>
      <c r="N31" s="424"/>
      <c r="O31" s="427">
        <v>1</v>
      </c>
      <c r="P31" s="427">
        <v>1245</v>
      </c>
      <c r="Q31" s="492"/>
      <c r="R31" s="428">
        <v>1245</v>
      </c>
    </row>
    <row r="32" spans="1:18" ht="14.4" customHeight="1" x14ac:dyDescent="0.3">
      <c r="A32" s="423" t="s">
        <v>667</v>
      </c>
      <c r="B32" s="424" t="s">
        <v>672</v>
      </c>
      <c r="C32" s="424" t="s">
        <v>426</v>
      </c>
      <c r="D32" s="424" t="s">
        <v>669</v>
      </c>
      <c r="E32" s="424" t="s">
        <v>721</v>
      </c>
      <c r="F32" s="424" t="s">
        <v>680</v>
      </c>
      <c r="G32" s="427">
        <v>1</v>
      </c>
      <c r="H32" s="427">
        <v>923</v>
      </c>
      <c r="I32" s="424"/>
      <c r="J32" s="424">
        <v>923</v>
      </c>
      <c r="K32" s="427"/>
      <c r="L32" s="427"/>
      <c r="M32" s="424"/>
      <c r="N32" s="424"/>
      <c r="O32" s="427"/>
      <c r="P32" s="427"/>
      <c r="Q32" s="492"/>
      <c r="R32" s="428"/>
    </row>
    <row r="33" spans="1:18" ht="14.4" customHeight="1" x14ac:dyDescent="0.3">
      <c r="A33" s="423" t="s">
        <v>667</v>
      </c>
      <c r="B33" s="424" t="s">
        <v>672</v>
      </c>
      <c r="C33" s="424" t="s">
        <v>426</v>
      </c>
      <c r="D33" s="424" t="s">
        <v>669</v>
      </c>
      <c r="E33" s="424" t="s">
        <v>722</v>
      </c>
      <c r="F33" s="424" t="s">
        <v>723</v>
      </c>
      <c r="G33" s="427">
        <v>79</v>
      </c>
      <c r="H33" s="427">
        <v>127585</v>
      </c>
      <c r="I33" s="424">
        <v>0.61896907216494845</v>
      </c>
      <c r="J33" s="424">
        <v>1615</v>
      </c>
      <c r="K33" s="427">
        <v>125</v>
      </c>
      <c r="L33" s="427">
        <v>206125</v>
      </c>
      <c r="M33" s="424">
        <v>1</v>
      </c>
      <c r="N33" s="424">
        <v>1649</v>
      </c>
      <c r="O33" s="427">
        <v>261</v>
      </c>
      <c r="P33" s="427">
        <v>430389</v>
      </c>
      <c r="Q33" s="492">
        <v>2.0880000000000001</v>
      </c>
      <c r="R33" s="428">
        <v>1649</v>
      </c>
    </row>
    <row r="34" spans="1:18" ht="14.4" customHeight="1" thickBot="1" x14ac:dyDescent="0.35">
      <c r="A34" s="429" t="s">
        <v>667</v>
      </c>
      <c r="B34" s="430" t="s">
        <v>672</v>
      </c>
      <c r="C34" s="430" t="s">
        <v>426</v>
      </c>
      <c r="D34" s="430" t="s">
        <v>669</v>
      </c>
      <c r="E34" s="430" t="s">
        <v>724</v>
      </c>
      <c r="F34" s="430" t="s">
        <v>716</v>
      </c>
      <c r="G34" s="433"/>
      <c r="H34" s="433"/>
      <c r="I34" s="430"/>
      <c r="J34" s="430"/>
      <c r="K34" s="433">
        <v>1</v>
      </c>
      <c r="L34" s="433">
        <v>240</v>
      </c>
      <c r="M34" s="430">
        <v>1</v>
      </c>
      <c r="N34" s="430">
        <v>240</v>
      </c>
      <c r="O34" s="433"/>
      <c r="P34" s="433"/>
      <c r="Q34" s="444"/>
      <c r="R34" s="434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09" t="s">
        <v>726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03" t="s">
        <v>227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2306</v>
      </c>
      <c r="I3" s="78">
        <f t="shared" si="0"/>
        <v>4576536</v>
      </c>
      <c r="J3" s="58"/>
      <c r="K3" s="58"/>
      <c r="L3" s="78">
        <f t="shared" si="0"/>
        <v>2540</v>
      </c>
      <c r="M3" s="78">
        <f t="shared" si="0"/>
        <v>4754126</v>
      </c>
      <c r="N3" s="58"/>
      <c r="O3" s="58"/>
      <c r="P3" s="78">
        <f t="shared" si="0"/>
        <v>2896</v>
      </c>
      <c r="Q3" s="78">
        <f t="shared" si="0"/>
        <v>5580217</v>
      </c>
      <c r="R3" s="59">
        <f>IF(M3=0,0,Q3/M3)</f>
        <v>1.173762958743626</v>
      </c>
      <c r="S3" s="79">
        <f>IF(P3=0,0,Q3/P3)</f>
        <v>1926.8705110497237</v>
      </c>
    </row>
    <row r="4" spans="1:19" ht="14.4" customHeight="1" x14ac:dyDescent="0.3">
      <c r="A4" s="365" t="s">
        <v>215</v>
      </c>
      <c r="B4" s="365" t="s">
        <v>81</v>
      </c>
      <c r="C4" s="373" t="s">
        <v>0</v>
      </c>
      <c r="D4" s="276" t="s">
        <v>113</v>
      </c>
      <c r="E4" s="367" t="s">
        <v>82</v>
      </c>
      <c r="F4" s="372" t="s">
        <v>57</v>
      </c>
      <c r="G4" s="368" t="s">
        <v>56</v>
      </c>
      <c r="H4" s="369">
        <v>2015</v>
      </c>
      <c r="I4" s="370"/>
      <c r="J4" s="76"/>
      <c r="K4" s="76"/>
      <c r="L4" s="369">
        <v>2016</v>
      </c>
      <c r="M4" s="370"/>
      <c r="N4" s="76"/>
      <c r="O4" s="76"/>
      <c r="P4" s="369">
        <v>2017</v>
      </c>
      <c r="Q4" s="370"/>
      <c r="R4" s="371" t="s">
        <v>2</v>
      </c>
      <c r="S4" s="366" t="s">
        <v>84</v>
      </c>
    </row>
    <row r="5" spans="1:19" ht="14.4" customHeight="1" thickBot="1" x14ac:dyDescent="0.35">
      <c r="A5" s="482"/>
      <c r="B5" s="482"/>
      <c r="C5" s="483"/>
      <c r="D5" s="493"/>
      <c r="E5" s="484"/>
      <c r="F5" s="485"/>
      <c r="G5" s="486"/>
      <c r="H5" s="487" t="s">
        <v>58</v>
      </c>
      <c r="I5" s="488" t="s">
        <v>14</v>
      </c>
      <c r="J5" s="489"/>
      <c r="K5" s="489"/>
      <c r="L5" s="487" t="s">
        <v>58</v>
      </c>
      <c r="M5" s="488" t="s">
        <v>14</v>
      </c>
      <c r="N5" s="489"/>
      <c r="O5" s="489"/>
      <c r="P5" s="487" t="s">
        <v>58</v>
      </c>
      <c r="Q5" s="488" t="s">
        <v>14</v>
      </c>
      <c r="R5" s="490"/>
      <c r="S5" s="491"/>
    </row>
    <row r="6" spans="1:19" ht="14.4" customHeight="1" x14ac:dyDescent="0.3">
      <c r="A6" s="417" t="s">
        <v>667</v>
      </c>
      <c r="B6" s="418" t="s">
        <v>668</v>
      </c>
      <c r="C6" s="418" t="s">
        <v>426</v>
      </c>
      <c r="D6" s="418" t="s">
        <v>661</v>
      </c>
      <c r="E6" s="418" t="s">
        <v>669</v>
      </c>
      <c r="F6" s="418" t="s">
        <v>670</v>
      </c>
      <c r="G6" s="418" t="s">
        <v>671</v>
      </c>
      <c r="H6" s="421">
        <v>330</v>
      </c>
      <c r="I6" s="421">
        <v>3539250</v>
      </c>
      <c r="J6" s="418">
        <v>1.0311589623643367</v>
      </c>
      <c r="K6" s="418">
        <v>10725</v>
      </c>
      <c r="L6" s="421">
        <v>301</v>
      </c>
      <c r="M6" s="421">
        <v>3432303</v>
      </c>
      <c r="N6" s="418">
        <v>1</v>
      </c>
      <c r="O6" s="418">
        <v>11403</v>
      </c>
      <c r="P6" s="421">
        <v>353</v>
      </c>
      <c r="Q6" s="421">
        <v>4028789</v>
      </c>
      <c r="R6" s="442">
        <v>1.1737859390619068</v>
      </c>
      <c r="S6" s="422">
        <v>11413</v>
      </c>
    </row>
    <row r="7" spans="1:19" ht="14.4" customHeight="1" x14ac:dyDescent="0.3">
      <c r="A7" s="423" t="s">
        <v>667</v>
      </c>
      <c r="B7" s="424" t="s">
        <v>672</v>
      </c>
      <c r="C7" s="424" t="s">
        <v>426</v>
      </c>
      <c r="D7" s="424" t="s">
        <v>661</v>
      </c>
      <c r="E7" s="424" t="s">
        <v>669</v>
      </c>
      <c r="F7" s="424" t="s">
        <v>673</v>
      </c>
      <c r="G7" s="424" t="s">
        <v>674</v>
      </c>
      <c r="H7" s="427">
        <v>3</v>
      </c>
      <c r="I7" s="427">
        <v>384</v>
      </c>
      <c r="J7" s="424">
        <v>0.94117647058823528</v>
      </c>
      <c r="K7" s="424">
        <v>128</v>
      </c>
      <c r="L7" s="427">
        <v>3</v>
      </c>
      <c r="M7" s="427">
        <v>408</v>
      </c>
      <c r="N7" s="424">
        <v>1</v>
      </c>
      <c r="O7" s="424">
        <v>136</v>
      </c>
      <c r="P7" s="427"/>
      <c r="Q7" s="427"/>
      <c r="R7" s="492"/>
      <c r="S7" s="428"/>
    </row>
    <row r="8" spans="1:19" ht="14.4" customHeight="1" x14ac:dyDescent="0.3">
      <c r="A8" s="423" t="s">
        <v>667</v>
      </c>
      <c r="B8" s="424" t="s">
        <v>672</v>
      </c>
      <c r="C8" s="424" t="s">
        <v>426</v>
      </c>
      <c r="D8" s="424" t="s">
        <v>661</v>
      </c>
      <c r="E8" s="424" t="s">
        <v>669</v>
      </c>
      <c r="F8" s="424" t="s">
        <v>675</v>
      </c>
      <c r="G8" s="424" t="s">
        <v>676</v>
      </c>
      <c r="H8" s="427">
        <v>4</v>
      </c>
      <c r="I8" s="427">
        <v>4912</v>
      </c>
      <c r="J8" s="424">
        <v>0.64870575805599573</v>
      </c>
      <c r="K8" s="424">
        <v>1228</v>
      </c>
      <c r="L8" s="427">
        <v>6</v>
      </c>
      <c r="M8" s="427">
        <v>7572</v>
      </c>
      <c r="N8" s="424">
        <v>1</v>
      </c>
      <c r="O8" s="424">
        <v>1262</v>
      </c>
      <c r="P8" s="427">
        <v>3</v>
      </c>
      <c r="Q8" s="427">
        <v>3786</v>
      </c>
      <c r="R8" s="492">
        <v>0.5</v>
      </c>
      <c r="S8" s="428">
        <v>1262</v>
      </c>
    </row>
    <row r="9" spans="1:19" ht="14.4" customHeight="1" x14ac:dyDescent="0.3">
      <c r="A9" s="423" t="s">
        <v>667</v>
      </c>
      <c r="B9" s="424" t="s">
        <v>672</v>
      </c>
      <c r="C9" s="424" t="s">
        <v>426</v>
      </c>
      <c r="D9" s="424" t="s">
        <v>661</v>
      </c>
      <c r="E9" s="424" t="s">
        <v>669</v>
      </c>
      <c r="F9" s="424" t="s">
        <v>677</v>
      </c>
      <c r="G9" s="424" t="s">
        <v>678</v>
      </c>
      <c r="H9" s="427">
        <v>10</v>
      </c>
      <c r="I9" s="427">
        <v>22360</v>
      </c>
      <c r="J9" s="424">
        <v>0.39848873681209013</v>
      </c>
      <c r="K9" s="424">
        <v>2236</v>
      </c>
      <c r="L9" s="427">
        <v>24</v>
      </c>
      <c r="M9" s="427">
        <v>56112</v>
      </c>
      <c r="N9" s="424">
        <v>1</v>
      </c>
      <c r="O9" s="424">
        <v>2338</v>
      </c>
      <c r="P9" s="427">
        <v>10</v>
      </c>
      <c r="Q9" s="427">
        <v>23400</v>
      </c>
      <c r="R9" s="492">
        <v>0.41702309666381521</v>
      </c>
      <c r="S9" s="428">
        <v>2340</v>
      </c>
    </row>
    <row r="10" spans="1:19" ht="14.4" customHeight="1" x14ac:dyDescent="0.3">
      <c r="A10" s="423" t="s">
        <v>667</v>
      </c>
      <c r="B10" s="424" t="s">
        <v>672</v>
      </c>
      <c r="C10" s="424" t="s">
        <v>426</v>
      </c>
      <c r="D10" s="424" t="s">
        <v>661</v>
      </c>
      <c r="E10" s="424" t="s">
        <v>669</v>
      </c>
      <c r="F10" s="424" t="s">
        <v>679</v>
      </c>
      <c r="G10" s="424" t="s">
        <v>680</v>
      </c>
      <c r="H10" s="427">
        <v>4</v>
      </c>
      <c r="I10" s="427">
        <v>4172</v>
      </c>
      <c r="J10" s="424">
        <v>1.9368616527390901</v>
      </c>
      <c r="K10" s="424">
        <v>1043</v>
      </c>
      <c r="L10" s="427">
        <v>2</v>
      </c>
      <c r="M10" s="427">
        <v>2154</v>
      </c>
      <c r="N10" s="424">
        <v>1</v>
      </c>
      <c r="O10" s="424">
        <v>1077</v>
      </c>
      <c r="P10" s="427">
        <v>6</v>
      </c>
      <c r="Q10" s="427">
        <v>6462</v>
      </c>
      <c r="R10" s="492">
        <v>3</v>
      </c>
      <c r="S10" s="428">
        <v>1077</v>
      </c>
    </row>
    <row r="11" spans="1:19" ht="14.4" customHeight="1" x14ac:dyDescent="0.3">
      <c r="A11" s="423" t="s">
        <v>667</v>
      </c>
      <c r="B11" s="424" t="s">
        <v>672</v>
      </c>
      <c r="C11" s="424" t="s">
        <v>426</v>
      </c>
      <c r="D11" s="424" t="s">
        <v>661</v>
      </c>
      <c r="E11" s="424" t="s">
        <v>669</v>
      </c>
      <c r="F11" s="424" t="s">
        <v>681</v>
      </c>
      <c r="G11" s="424" t="s">
        <v>682</v>
      </c>
      <c r="H11" s="427">
        <v>23</v>
      </c>
      <c r="I11" s="427">
        <v>85583</v>
      </c>
      <c r="J11" s="424">
        <v>0.93276440840526642</v>
      </c>
      <c r="K11" s="424">
        <v>3721</v>
      </c>
      <c r="L11" s="427">
        <v>24</v>
      </c>
      <c r="M11" s="427">
        <v>91752</v>
      </c>
      <c r="N11" s="424">
        <v>1</v>
      </c>
      <c r="O11" s="424">
        <v>3823</v>
      </c>
      <c r="P11" s="427">
        <v>18</v>
      </c>
      <c r="Q11" s="427">
        <v>68850</v>
      </c>
      <c r="R11" s="492">
        <v>0.75039236201935655</v>
      </c>
      <c r="S11" s="428">
        <v>3825</v>
      </c>
    </row>
    <row r="12" spans="1:19" ht="14.4" customHeight="1" x14ac:dyDescent="0.3">
      <c r="A12" s="423" t="s">
        <v>667</v>
      </c>
      <c r="B12" s="424" t="s">
        <v>672</v>
      </c>
      <c r="C12" s="424" t="s">
        <v>426</v>
      </c>
      <c r="D12" s="424" t="s">
        <v>661</v>
      </c>
      <c r="E12" s="424" t="s">
        <v>669</v>
      </c>
      <c r="F12" s="424" t="s">
        <v>683</v>
      </c>
      <c r="G12" s="424" t="s">
        <v>684</v>
      </c>
      <c r="H12" s="427">
        <v>428</v>
      </c>
      <c r="I12" s="427">
        <v>187892</v>
      </c>
      <c r="J12" s="424">
        <v>1.0854221426301955</v>
      </c>
      <c r="K12" s="424">
        <v>439</v>
      </c>
      <c r="L12" s="427">
        <v>389</v>
      </c>
      <c r="M12" s="427">
        <v>173105</v>
      </c>
      <c r="N12" s="424">
        <v>1</v>
      </c>
      <c r="O12" s="424">
        <v>445</v>
      </c>
      <c r="P12" s="427">
        <v>434</v>
      </c>
      <c r="Q12" s="427">
        <v>193130</v>
      </c>
      <c r="R12" s="492">
        <v>1.1156812339331619</v>
      </c>
      <c r="S12" s="428">
        <v>445</v>
      </c>
    </row>
    <row r="13" spans="1:19" ht="14.4" customHeight="1" x14ac:dyDescent="0.3">
      <c r="A13" s="423" t="s">
        <v>667</v>
      </c>
      <c r="B13" s="424" t="s">
        <v>672</v>
      </c>
      <c r="C13" s="424" t="s">
        <v>426</v>
      </c>
      <c r="D13" s="424" t="s">
        <v>661</v>
      </c>
      <c r="E13" s="424" t="s">
        <v>669</v>
      </c>
      <c r="F13" s="424" t="s">
        <v>685</v>
      </c>
      <c r="G13" s="424" t="s">
        <v>686</v>
      </c>
      <c r="H13" s="427">
        <v>33</v>
      </c>
      <c r="I13" s="427">
        <v>27588</v>
      </c>
      <c r="J13" s="424">
        <v>0.75214700509828514</v>
      </c>
      <c r="K13" s="424">
        <v>836</v>
      </c>
      <c r="L13" s="427">
        <v>43</v>
      </c>
      <c r="M13" s="427">
        <v>36679</v>
      </c>
      <c r="N13" s="424">
        <v>1</v>
      </c>
      <c r="O13" s="424">
        <v>853</v>
      </c>
      <c r="P13" s="427">
        <v>85</v>
      </c>
      <c r="Q13" s="427">
        <v>72590</v>
      </c>
      <c r="R13" s="492">
        <v>1.9790615883748193</v>
      </c>
      <c r="S13" s="428">
        <v>854</v>
      </c>
    </row>
    <row r="14" spans="1:19" ht="14.4" customHeight="1" x14ac:dyDescent="0.3">
      <c r="A14" s="423" t="s">
        <v>667</v>
      </c>
      <c r="B14" s="424" t="s">
        <v>672</v>
      </c>
      <c r="C14" s="424" t="s">
        <v>426</v>
      </c>
      <c r="D14" s="424" t="s">
        <v>661</v>
      </c>
      <c r="E14" s="424" t="s">
        <v>669</v>
      </c>
      <c r="F14" s="424" t="s">
        <v>687</v>
      </c>
      <c r="G14" s="424" t="s">
        <v>688</v>
      </c>
      <c r="H14" s="427">
        <v>24</v>
      </c>
      <c r="I14" s="427">
        <v>38904</v>
      </c>
      <c r="J14" s="424">
        <v>0.65297079556898285</v>
      </c>
      <c r="K14" s="424">
        <v>1621</v>
      </c>
      <c r="L14" s="427">
        <v>36</v>
      </c>
      <c r="M14" s="427">
        <v>59580</v>
      </c>
      <c r="N14" s="424">
        <v>1</v>
      </c>
      <c r="O14" s="424">
        <v>1655</v>
      </c>
      <c r="P14" s="427">
        <v>46</v>
      </c>
      <c r="Q14" s="427">
        <v>76130</v>
      </c>
      <c r="R14" s="492">
        <v>1.2777777777777777</v>
      </c>
      <c r="S14" s="428">
        <v>1655</v>
      </c>
    </row>
    <row r="15" spans="1:19" ht="14.4" customHeight="1" x14ac:dyDescent="0.3">
      <c r="A15" s="423" t="s">
        <v>667</v>
      </c>
      <c r="B15" s="424" t="s">
        <v>672</v>
      </c>
      <c r="C15" s="424" t="s">
        <v>426</v>
      </c>
      <c r="D15" s="424" t="s">
        <v>661</v>
      </c>
      <c r="E15" s="424" t="s">
        <v>669</v>
      </c>
      <c r="F15" s="424" t="s">
        <v>689</v>
      </c>
      <c r="G15" s="424" t="s">
        <v>690</v>
      </c>
      <c r="H15" s="427">
        <v>1</v>
      </c>
      <c r="I15" s="427">
        <v>1553</v>
      </c>
      <c r="J15" s="424"/>
      <c r="K15" s="424">
        <v>1553</v>
      </c>
      <c r="L15" s="427"/>
      <c r="M15" s="427"/>
      <c r="N15" s="424"/>
      <c r="O15" s="424"/>
      <c r="P15" s="427"/>
      <c r="Q15" s="427"/>
      <c r="R15" s="492"/>
      <c r="S15" s="428"/>
    </row>
    <row r="16" spans="1:19" ht="14.4" customHeight="1" x14ac:dyDescent="0.3">
      <c r="A16" s="423" t="s">
        <v>667</v>
      </c>
      <c r="B16" s="424" t="s">
        <v>672</v>
      </c>
      <c r="C16" s="424" t="s">
        <v>426</v>
      </c>
      <c r="D16" s="424" t="s">
        <v>661</v>
      </c>
      <c r="E16" s="424" t="s">
        <v>669</v>
      </c>
      <c r="F16" s="424" t="s">
        <v>691</v>
      </c>
      <c r="G16" s="424" t="s">
        <v>692</v>
      </c>
      <c r="H16" s="427">
        <v>8</v>
      </c>
      <c r="I16" s="427">
        <v>6584</v>
      </c>
      <c r="J16" s="424">
        <v>0.71255411255411261</v>
      </c>
      <c r="K16" s="424">
        <v>823</v>
      </c>
      <c r="L16" s="427">
        <v>11</v>
      </c>
      <c r="M16" s="427">
        <v>9240</v>
      </c>
      <c r="N16" s="424">
        <v>1</v>
      </c>
      <c r="O16" s="424">
        <v>840</v>
      </c>
      <c r="P16" s="427">
        <v>2</v>
      </c>
      <c r="Q16" s="427">
        <v>1682</v>
      </c>
      <c r="R16" s="492">
        <v>0.18203463203463202</v>
      </c>
      <c r="S16" s="428">
        <v>841</v>
      </c>
    </row>
    <row r="17" spans="1:19" ht="14.4" customHeight="1" x14ac:dyDescent="0.3">
      <c r="A17" s="423" t="s">
        <v>667</v>
      </c>
      <c r="B17" s="424" t="s">
        <v>672</v>
      </c>
      <c r="C17" s="424" t="s">
        <v>426</v>
      </c>
      <c r="D17" s="424" t="s">
        <v>661</v>
      </c>
      <c r="E17" s="424" t="s">
        <v>669</v>
      </c>
      <c r="F17" s="424" t="s">
        <v>693</v>
      </c>
      <c r="G17" s="424" t="s">
        <v>694</v>
      </c>
      <c r="H17" s="427">
        <v>47</v>
      </c>
      <c r="I17" s="427">
        <v>68667</v>
      </c>
      <c r="J17" s="424">
        <v>3.7572225869993434</v>
      </c>
      <c r="K17" s="424">
        <v>1461</v>
      </c>
      <c r="L17" s="427">
        <v>12</v>
      </c>
      <c r="M17" s="427">
        <v>18276</v>
      </c>
      <c r="N17" s="424">
        <v>1</v>
      </c>
      <c r="O17" s="424">
        <v>1523</v>
      </c>
      <c r="P17" s="427"/>
      <c r="Q17" s="427"/>
      <c r="R17" s="492"/>
      <c r="S17" s="428"/>
    </row>
    <row r="18" spans="1:19" ht="14.4" customHeight="1" x14ac:dyDescent="0.3">
      <c r="A18" s="423" t="s">
        <v>667</v>
      </c>
      <c r="B18" s="424" t="s">
        <v>672</v>
      </c>
      <c r="C18" s="424" t="s">
        <v>426</v>
      </c>
      <c r="D18" s="424" t="s">
        <v>661</v>
      </c>
      <c r="E18" s="424" t="s">
        <v>669</v>
      </c>
      <c r="F18" s="424" t="s">
        <v>695</v>
      </c>
      <c r="G18" s="424" t="s">
        <v>696</v>
      </c>
      <c r="H18" s="427"/>
      <c r="I18" s="427"/>
      <c r="J18" s="424"/>
      <c r="K18" s="424"/>
      <c r="L18" s="427">
        <v>1</v>
      </c>
      <c r="M18" s="427">
        <v>3252</v>
      </c>
      <c r="N18" s="424">
        <v>1</v>
      </c>
      <c r="O18" s="424">
        <v>3252</v>
      </c>
      <c r="P18" s="427"/>
      <c r="Q18" s="427"/>
      <c r="R18" s="492"/>
      <c r="S18" s="428"/>
    </row>
    <row r="19" spans="1:19" ht="14.4" customHeight="1" x14ac:dyDescent="0.3">
      <c r="A19" s="423" t="s">
        <v>667</v>
      </c>
      <c r="B19" s="424" t="s">
        <v>672</v>
      </c>
      <c r="C19" s="424" t="s">
        <v>426</v>
      </c>
      <c r="D19" s="424" t="s">
        <v>661</v>
      </c>
      <c r="E19" s="424" t="s">
        <v>669</v>
      </c>
      <c r="F19" s="424" t="s">
        <v>697</v>
      </c>
      <c r="G19" s="424" t="s">
        <v>698</v>
      </c>
      <c r="H19" s="427">
        <v>24</v>
      </c>
      <c r="I19" s="427">
        <v>384</v>
      </c>
      <c r="J19" s="424">
        <v>0.48060075093867333</v>
      </c>
      <c r="K19" s="424">
        <v>16</v>
      </c>
      <c r="L19" s="427">
        <v>47</v>
      </c>
      <c r="M19" s="427">
        <v>799</v>
      </c>
      <c r="N19" s="424">
        <v>1</v>
      </c>
      <c r="O19" s="424">
        <v>17</v>
      </c>
      <c r="P19" s="427">
        <v>40</v>
      </c>
      <c r="Q19" s="427">
        <v>680</v>
      </c>
      <c r="R19" s="492">
        <v>0.85106382978723405</v>
      </c>
      <c r="S19" s="428">
        <v>17</v>
      </c>
    </row>
    <row r="20" spans="1:19" ht="14.4" customHeight="1" x14ac:dyDescent="0.3">
      <c r="A20" s="423" t="s">
        <v>667</v>
      </c>
      <c r="B20" s="424" t="s">
        <v>672</v>
      </c>
      <c r="C20" s="424" t="s">
        <v>426</v>
      </c>
      <c r="D20" s="424" t="s">
        <v>661</v>
      </c>
      <c r="E20" s="424" t="s">
        <v>669</v>
      </c>
      <c r="F20" s="424" t="s">
        <v>699</v>
      </c>
      <c r="G20" s="424" t="s">
        <v>684</v>
      </c>
      <c r="H20" s="427">
        <v>33</v>
      </c>
      <c r="I20" s="427">
        <v>22968</v>
      </c>
      <c r="J20" s="424">
        <v>0.41064149324179361</v>
      </c>
      <c r="K20" s="424">
        <v>696</v>
      </c>
      <c r="L20" s="427">
        <v>79</v>
      </c>
      <c r="M20" s="427">
        <v>55932</v>
      </c>
      <c r="N20" s="424">
        <v>1</v>
      </c>
      <c r="O20" s="424">
        <v>708</v>
      </c>
      <c r="P20" s="427">
        <v>64</v>
      </c>
      <c r="Q20" s="427">
        <v>45312</v>
      </c>
      <c r="R20" s="492">
        <v>0.810126582278481</v>
      </c>
      <c r="S20" s="428">
        <v>708</v>
      </c>
    </row>
    <row r="21" spans="1:19" ht="14.4" customHeight="1" x14ac:dyDescent="0.3">
      <c r="A21" s="423" t="s">
        <v>667</v>
      </c>
      <c r="B21" s="424" t="s">
        <v>672</v>
      </c>
      <c r="C21" s="424" t="s">
        <v>426</v>
      </c>
      <c r="D21" s="424" t="s">
        <v>661</v>
      </c>
      <c r="E21" s="424" t="s">
        <v>669</v>
      </c>
      <c r="F21" s="424" t="s">
        <v>700</v>
      </c>
      <c r="G21" s="424" t="s">
        <v>686</v>
      </c>
      <c r="H21" s="427">
        <v>35</v>
      </c>
      <c r="I21" s="427">
        <v>48545</v>
      </c>
      <c r="J21" s="424">
        <v>0.49645136218604269</v>
      </c>
      <c r="K21" s="424">
        <v>1387</v>
      </c>
      <c r="L21" s="427">
        <v>68</v>
      </c>
      <c r="M21" s="427">
        <v>97784</v>
      </c>
      <c r="N21" s="424">
        <v>1</v>
      </c>
      <c r="O21" s="424">
        <v>1438</v>
      </c>
      <c r="P21" s="427">
        <v>31</v>
      </c>
      <c r="Q21" s="427">
        <v>44609</v>
      </c>
      <c r="R21" s="492">
        <v>0.4561993782213859</v>
      </c>
      <c r="S21" s="428">
        <v>1439</v>
      </c>
    </row>
    <row r="22" spans="1:19" ht="14.4" customHeight="1" x14ac:dyDescent="0.3">
      <c r="A22" s="423" t="s">
        <v>667</v>
      </c>
      <c r="B22" s="424" t="s">
        <v>672</v>
      </c>
      <c r="C22" s="424" t="s">
        <v>426</v>
      </c>
      <c r="D22" s="424" t="s">
        <v>661</v>
      </c>
      <c r="E22" s="424" t="s">
        <v>669</v>
      </c>
      <c r="F22" s="424" t="s">
        <v>701</v>
      </c>
      <c r="G22" s="424" t="s">
        <v>702</v>
      </c>
      <c r="H22" s="427">
        <v>21</v>
      </c>
      <c r="I22" s="427">
        <v>49161</v>
      </c>
      <c r="J22" s="424">
        <v>0.50431883463274518</v>
      </c>
      <c r="K22" s="424">
        <v>2341</v>
      </c>
      <c r="L22" s="427">
        <v>40</v>
      </c>
      <c r="M22" s="427">
        <v>97480</v>
      </c>
      <c r="N22" s="424">
        <v>1</v>
      </c>
      <c r="O22" s="424">
        <v>2437</v>
      </c>
      <c r="P22" s="427">
        <v>30</v>
      </c>
      <c r="Q22" s="427">
        <v>73140</v>
      </c>
      <c r="R22" s="492">
        <v>0.75030775543701267</v>
      </c>
      <c r="S22" s="428">
        <v>2438</v>
      </c>
    </row>
    <row r="23" spans="1:19" ht="14.4" customHeight="1" x14ac:dyDescent="0.3">
      <c r="A23" s="423" t="s">
        <v>667</v>
      </c>
      <c r="B23" s="424" t="s">
        <v>672</v>
      </c>
      <c r="C23" s="424" t="s">
        <v>426</v>
      </c>
      <c r="D23" s="424" t="s">
        <v>661</v>
      </c>
      <c r="E23" s="424" t="s">
        <v>669</v>
      </c>
      <c r="F23" s="424" t="s">
        <v>703</v>
      </c>
      <c r="G23" s="424" t="s">
        <v>704</v>
      </c>
      <c r="H23" s="427">
        <v>461</v>
      </c>
      <c r="I23" s="427">
        <v>30426</v>
      </c>
      <c r="J23" s="424">
        <v>0.93225480283114259</v>
      </c>
      <c r="K23" s="424">
        <v>66</v>
      </c>
      <c r="L23" s="427">
        <v>473</v>
      </c>
      <c r="M23" s="427">
        <v>32637</v>
      </c>
      <c r="N23" s="424">
        <v>1</v>
      </c>
      <c r="O23" s="424">
        <v>69</v>
      </c>
      <c r="P23" s="427">
        <v>500</v>
      </c>
      <c r="Q23" s="427">
        <v>34500</v>
      </c>
      <c r="R23" s="492">
        <v>1.0570824524312896</v>
      </c>
      <c r="S23" s="428">
        <v>69</v>
      </c>
    </row>
    <row r="24" spans="1:19" ht="14.4" customHeight="1" x14ac:dyDescent="0.3">
      <c r="A24" s="423" t="s">
        <v>667</v>
      </c>
      <c r="B24" s="424" t="s">
        <v>672</v>
      </c>
      <c r="C24" s="424" t="s">
        <v>426</v>
      </c>
      <c r="D24" s="424" t="s">
        <v>661</v>
      </c>
      <c r="E24" s="424" t="s">
        <v>669</v>
      </c>
      <c r="F24" s="424" t="s">
        <v>705</v>
      </c>
      <c r="G24" s="424" t="s">
        <v>706</v>
      </c>
      <c r="H24" s="427">
        <v>47</v>
      </c>
      <c r="I24" s="427">
        <v>18847</v>
      </c>
      <c r="J24" s="424">
        <v>3.8589271089271091</v>
      </c>
      <c r="K24" s="424">
        <v>401</v>
      </c>
      <c r="L24" s="427">
        <v>12</v>
      </c>
      <c r="M24" s="427">
        <v>4884</v>
      </c>
      <c r="N24" s="424">
        <v>1</v>
      </c>
      <c r="O24" s="424">
        <v>407</v>
      </c>
      <c r="P24" s="427"/>
      <c r="Q24" s="427"/>
      <c r="R24" s="492"/>
      <c r="S24" s="428"/>
    </row>
    <row r="25" spans="1:19" ht="14.4" customHeight="1" x14ac:dyDescent="0.3">
      <c r="A25" s="423" t="s">
        <v>667</v>
      </c>
      <c r="B25" s="424" t="s">
        <v>672</v>
      </c>
      <c r="C25" s="424" t="s">
        <v>426</v>
      </c>
      <c r="D25" s="424" t="s">
        <v>661</v>
      </c>
      <c r="E25" s="424" t="s">
        <v>669</v>
      </c>
      <c r="F25" s="424" t="s">
        <v>707</v>
      </c>
      <c r="G25" s="424" t="s">
        <v>708</v>
      </c>
      <c r="H25" s="427">
        <v>32</v>
      </c>
      <c r="I25" s="427">
        <v>51616</v>
      </c>
      <c r="J25" s="424">
        <v>1.2407692307692308</v>
      </c>
      <c r="K25" s="424">
        <v>1613</v>
      </c>
      <c r="L25" s="427">
        <v>25</v>
      </c>
      <c r="M25" s="427">
        <v>41600</v>
      </c>
      <c r="N25" s="424">
        <v>1</v>
      </c>
      <c r="O25" s="424">
        <v>1664</v>
      </c>
      <c r="P25" s="427">
        <v>53</v>
      </c>
      <c r="Q25" s="427">
        <v>88245</v>
      </c>
      <c r="R25" s="492">
        <v>2.1212740384615385</v>
      </c>
      <c r="S25" s="428">
        <v>1665</v>
      </c>
    </row>
    <row r="26" spans="1:19" ht="14.4" customHeight="1" x14ac:dyDescent="0.3">
      <c r="A26" s="423" t="s">
        <v>667</v>
      </c>
      <c r="B26" s="424" t="s">
        <v>672</v>
      </c>
      <c r="C26" s="424" t="s">
        <v>426</v>
      </c>
      <c r="D26" s="424" t="s">
        <v>661</v>
      </c>
      <c r="E26" s="424" t="s">
        <v>669</v>
      </c>
      <c r="F26" s="424" t="s">
        <v>709</v>
      </c>
      <c r="G26" s="424" t="s">
        <v>710</v>
      </c>
      <c r="H26" s="427">
        <v>88</v>
      </c>
      <c r="I26" s="427">
        <v>48576</v>
      </c>
      <c r="J26" s="424">
        <v>0.39608610567514679</v>
      </c>
      <c r="K26" s="424">
        <v>552</v>
      </c>
      <c r="L26" s="427">
        <v>219</v>
      </c>
      <c r="M26" s="427">
        <v>122640</v>
      </c>
      <c r="N26" s="424">
        <v>1</v>
      </c>
      <c r="O26" s="424">
        <v>560</v>
      </c>
      <c r="P26" s="427">
        <v>193</v>
      </c>
      <c r="Q26" s="427">
        <v>108080</v>
      </c>
      <c r="R26" s="492">
        <v>0.88127853881278539</v>
      </c>
      <c r="S26" s="428">
        <v>560</v>
      </c>
    </row>
    <row r="27" spans="1:19" ht="14.4" customHeight="1" x14ac:dyDescent="0.3">
      <c r="A27" s="423" t="s">
        <v>667</v>
      </c>
      <c r="B27" s="424" t="s">
        <v>672</v>
      </c>
      <c r="C27" s="424" t="s">
        <v>426</v>
      </c>
      <c r="D27" s="424" t="s">
        <v>661</v>
      </c>
      <c r="E27" s="424" t="s">
        <v>669</v>
      </c>
      <c r="F27" s="424" t="s">
        <v>711</v>
      </c>
      <c r="G27" s="424" t="s">
        <v>712</v>
      </c>
      <c r="H27" s="427"/>
      <c r="I27" s="427"/>
      <c r="J27" s="424"/>
      <c r="K27" s="424"/>
      <c r="L27" s="427">
        <v>1</v>
      </c>
      <c r="M27" s="427">
        <v>1266</v>
      </c>
      <c r="N27" s="424">
        <v>1</v>
      </c>
      <c r="O27" s="424">
        <v>1266</v>
      </c>
      <c r="P27" s="427"/>
      <c r="Q27" s="427"/>
      <c r="R27" s="492"/>
      <c r="S27" s="428"/>
    </row>
    <row r="28" spans="1:19" ht="14.4" customHeight="1" x14ac:dyDescent="0.3">
      <c r="A28" s="423" t="s">
        <v>667</v>
      </c>
      <c r="B28" s="424" t="s">
        <v>672</v>
      </c>
      <c r="C28" s="424" t="s">
        <v>426</v>
      </c>
      <c r="D28" s="424" t="s">
        <v>661</v>
      </c>
      <c r="E28" s="424" t="s">
        <v>669</v>
      </c>
      <c r="F28" s="424" t="s">
        <v>713</v>
      </c>
      <c r="G28" s="424" t="s">
        <v>714</v>
      </c>
      <c r="H28" s="427">
        <v>136</v>
      </c>
      <c r="I28" s="427">
        <v>4896</v>
      </c>
      <c r="J28" s="424">
        <v>0.99491973176183701</v>
      </c>
      <c r="K28" s="424">
        <v>36</v>
      </c>
      <c r="L28" s="427">
        <v>133</v>
      </c>
      <c r="M28" s="427">
        <v>4921</v>
      </c>
      <c r="N28" s="424">
        <v>1</v>
      </c>
      <c r="O28" s="424">
        <v>37</v>
      </c>
      <c r="P28" s="427">
        <v>123</v>
      </c>
      <c r="Q28" s="427">
        <v>4551</v>
      </c>
      <c r="R28" s="492">
        <v>0.92481203007518797</v>
      </c>
      <c r="S28" s="428">
        <v>37</v>
      </c>
    </row>
    <row r="29" spans="1:19" ht="14.4" customHeight="1" x14ac:dyDescent="0.3">
      <c r="A29" s="423" t="s">
        <v>667</v>
      </c>
      <c r="B29" s="424" t="s">
        <v>672</v>
      </c>
      <c r="C29" s="424" t="s">
        <v>426</v>
      </c>
      <c r="D29" s="424" t="s">
        <v>661</v>
      </c>
      <c r="E29" s="424" t="s">
        <v>669</v>
      </c>
      <c r="F29" s="424" t="s">
        <v>715</v>
      </c>
      <c r="G29" s="424" t="s">
        <v>716</v>
      </c>
      <c r="H29" s="427">
        <v>3</v>
      </c>
      <c r="I29" s="427">
        <v>369</v>
      </c>
      <c r="J29" s="424">
        <v>0.40863787375415284</v>
      </c>
      <c r="K29" s="424">
        <v>123</v>
      </c>
      <c r="L29" s="427">
        <v>7</v>
      </c>
      <c r="M29" s="427">
        <v>903</v>
      </c>
      <c r="N29" s="424">
        <v>1</v>
      </c>
      <c r="O29" s="424">
        <v>129</v>
      </c>
      <c r="P29" s="427">
        <v>4</v>
      </c>
      <c r="Q29" s="427">
        <v>516</v>
      </c>
      <c r="R29" s="492">
        <v>0.5714285714285714</v>
      </c>
      <c r="S29" s="428">
        <v>129</v>
      </c>
    </row>
    <row r="30" spans="1:19" ht="14.4" customHeight="1" x14ac:dyDescent="0.3">
      <c r="A30" s="423" t="s">
        <v>667</v>
      </c>
      <c r="B30" s="424" t="s">
        <v>672</v>
      </c>
      <c r="C30" s="424" t="s">
        <v>426</v>
      </c>
      <c r="D30" s="424" t="s">
        <v>661</v>
      </c>
      <c r="E30" s="424" t="s">
        <v>669</v>
      </c>
      <c r="F30" s="424" t="s">
        <v>717</v>
      </c>
      <c r="G30" s="424" t="s">
        <v>718</v>
      </c>
      <c r="H30" s="427">
        <v>430</v>
      </c>
      <c r="I30" s="427">
        <v>183180</v>
      </c>
      <c r="J30" s="424">
        <v>0.93229914190612884</v>
      </c>
      <c r="K30" s="424">
        <v>426</v>
      </c>
      <c r="L30" s="427">
        <v>458</v>
      </c>
      <c r="M30" s="427">
        <v>196482</v>
      </c>
      <c r="N30" s="424">
        <v>1</v>
      </c>
      <c r="O30" s="424">
        <v>429</v>
      </c>
      <c r="P30" s="427">
        <v>639</v>
      </c>
      <c r="Q30" s="427">
        <v>274131</v>
      </c>
      <c r="R30" s="492">
        <v>1.3951965065502183</v>
      </c>
      <c r="S30" s="428">
        <v>429</v>
      </c>
    </row>
    <row r="31" spans="1:19" ht="14.4" customHeight="1" x14ac:dyDescent="0.3">
      <c r="A31" s="423" t="s">
        <v>667</v>
      </c>
      <c r="B31" s="424" t="s">
        <v>672</v>
      </c>
      <c r="C31" s="424" t="s">
        <v>426</v>
      </c>
      <c r="D31" s="424" t="s">
        <v>661</v>
      </c>
      <c r="E31" s="424" t="s">
        <v>669</v>
      </c>
      <c r="F31" s="424" t="s">
        <v>719</v>
      </c>
      <c r="G31" s="424" t="s">
        <v>720</v>
      </c>
      <c r="H31" s="427">
        <v>1</v>
      </c>
      <c r="I31" s="427">
        <v>1211</v>
      </c>
      <c r="J31" s="424"/>
      <c r="K31" s="424">
        <v>1211</v>
      </c>
      <c r="L31" s="427"/>
      <c r="M31" s="427"/>
      <c r="N31" s="424"/>
      <c r="O31" s="424"/>
      <c r="P31" s="427">
        <v>1</v>
      </c>
      <c r="Q31" s="427">
        <v>1245</v>
      </c>
      <c r="R31" s="492"/>
      <c r="S31" s="428">
        <v>1245</v>
      </c>
    </row>
    <row r="32" spans="1:19" ht="14.4" customHeight="1" x14ac:dyDescent="0.3">
      <c r="A32" s="423" t="s">
        <v>667</v>
      </c>
      <c r="B32" s="424" t="s">
        <v>672</v>
      </c>
      <c r="C32" s="424" t="s">
        <v>426</v>
      </c>
      <c r="D32" s="424" t="s">
        <v>661</v>
      </c>
      <c r="E32" s="424" t="s">
        <v>669</v>
      </c>
      <c r="F32" s="424" t="s">
        <v>721</v>
      </c>
      <c r="G32" s="424" t="s">
        <v>680</v>
      </c>
      <c r="H32" s="427">
        <v>1</v>
      </c>
      <c r="I32" s="427">
        <v>923</v>
      </c>
      <c r="J32" s="424"/>
      <c r="K32" s="424">
        <v>923</v>
      </c>
      <c r="L32" s="427"/>
      <c r="M32" s="427"/>
      <c r="N32" s="424"/>
      <c r="O32" s="424"/>
      <c r="P32" s="427"/>
      <c r="Q32" s="427"/>
      <c r="R32" s="492"/>
      <c r="S32" s="428"/>
    </row>
    <row r="33" spans="1:19" ht="14.4" customHeight="1" x14ac:dyDescent="0.3">
      <c r="A33" s="423" t="s">
        <v>667</v>
      </c>
      <c r="B33" s="424" t="s">
        <v>672</v>
      </c>
      <c r="C33" s="424" t="s">
        <v>426</v>
      </c>
      <c r="D33" s="424" t="s">
        <v>661</v>
      </c>
      <c r="E33" s="424" t="s">
        <v>669</v>
      </c>
      <c r="F33" s="424" t="s">
        <v>722</v>
      </c>
      <c r="G33" s="424" t="s">
        <v>723</v>
      </c>
      <c r="H33" s="427">
        <v>79</v>
      </c>
      <c r="I33" s="427">
        <v>127585</v>
      </c>
      <c r="J33" s="424">
        <v>0.61896907216494845</v>
      </c>
      <c r="K33" s="424">
        <v>1615</v>
      </c>
      <c r="L33" s="427">
        <v>125</v>
      </c>
      <c r="M33" s="427">
        <v>206125</v>
      </c>
      <c r="N33" s="424">
        <v>1</v>
      </c>
      <c r="O33" s="424">
        <v>1649</v>
      </c>
      <c r="P33" s="427">
        <v>261</v>
      </c>
      <c r="Q33" s="427">
        <v>430389</v>
      </c>
      <c r="R33" s="492">
        <v>2.0880000000000001</v>
      </c>
      <c r="S33" s="428">
        <v>1649</v>
      </c>
    </row>
    <row r="34" spans="1:19" ht="14.4" customHeight="1" thickBot="1" x14ac:dyDescent="0.35">
      <c r="A34" s="429" t="s">
        <v>667</v>
      </c>
      <c r="B34" s="430" t="s">
        <v>672</v>
      </c>
      <c r="C34" s="430" t="s">
        <v>426</v>
      </c>
      <c r="D34" s="430" t="s">
        <v>661</v>
      </c>
      <c r="E34" s="430" t="s">
        <v>669</v>
      </c>
      <c r="F34" s="430" t="s">
        <v>724</v>
      </c>
      <c r="G34" s="430" t="s">
        <v>716</v>
      </c>
      <c r="H34" s="433"/>
      <c r="I34" s="433"/>
      <c r="J34" s="430"/>
      <c r="K34" s="430"/>
      <c r="L34" s="433">
        <v>1</v>
      </c>
      <c r="M34" s="433">
        <v>240</v>
      </c>
      <c r="N34" s="430">
        <v>1</v>
      </c>
      <c r="O34" s="430">
        <v>240</v>
      </c>
      <c r="P34" s="433"/>
      <c r="Q34" s="433"/>
      <c r="R34" s="444"/>
      <c r="S34" s="434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03" t="s">
        <v>227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617102</v>
      </c>
      <c r="C3" s="190">
        <f t="shared" ref="C3:R3" si="0">SUBTOTAL(9,C6:C1048576)</f>
        <v>23.901930080665462</v>
      </c>
      <c r="D3" s="190">
        <f t="shared" si="0"/>
        <v>453777</v>
      </c>
      <c r="E3" s="190">
        <f t="shared" si="0"/>
        <v>10</v>
      </c>
      <c r="F3" s="190">
        <f t="shared" si="0"/>
        <v>897066</v>
      </c>
      <c r="G3" s="193">
        <f>IF(D3&lt;&gt;0,F3/D3,"")</f>
        <v>1.9768873257128501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58" t="s">
        <v>91</v>
      </c>
      <c r="B4" s="359" t="s">
        <v>85</v>
      </c>
      <c r="C4" s="360"/>
      <c r="D4" s="360"/>
      <c r="E4" s="360"/>
      <c r="F4" s="360"/>
      <c r="G4" s="362"/>
      <c r="H4" s="359" t="s">
        <v>86</v>
      </c>
      <c r="I4" s="360"/>
      <c r="J4" s="360"/>
      <c r="K4" s="360"/>
      <c r="L4" s="360"/>
      <c r="M4" s="362"/>
      <c r="N4" s="359" t="s">
        <v>87</v>
      </c>
      <c r="O4" s="360"/>
      <c r="P4" s="360"/>
      <c r="Q4" s="360"/>
      <c r="R4" s="360"/>
      <c r="S4" s="362"/>
    </row>
    <row r="5" spans="1:19" ht="14.4" customHeight="1" thickBot="1" x14ac:dyDescent="0.35">
      <c r="A5" s="454"/>
      <c r="B5" s="455">
        <v>2015</v>
      </c>
      <c r="C5" s="456"/>
      <c r="D5" s="456">
        <v>2016</v>
      </c>
      <c r="E5" s="456"/>
      <c r="F5" s="456">
        <v>2017</v>
      </c>
      <c r="G5" s="494" t="s">
        <v>2</v>
      </c>
      <c r="H5" s="455">
        <v>2015</v>
      </c>
      <c r="I5" s="456"/>
      <c r="J5" s="456">
        <v>2016</v>
      </c>
      <c r="K5" s="456"/>
      <c r="L5" s="456">
        <v>2017</v>
      </c>
      <c r="M5" s="494" t="s">
        <v>2</v>
      </c>
      <c r="N5" s="455">
        <v>2015</v>
      </c>
      <c r="O5" s="456"/>
      <c r="P5" s="456">
        <v>2016</v>
      </c>
      <c r="Q5" s="456"/>
      <c r="R5" s="456">
        <v>2017</v>
      </c>
      <c r="S5" s="494" t="s">
        <v>2</v>
      </c>
    </row>
    <row r="6" spans="1:19" ht="14.4" customHeight="1" x14ac:dyDescent="0.3">
      <c r="A6" s="441" t="s">
        <v>727</v>
      </c>
      <c r="B6" s="495"/>
      <c r="C6" s="418"/>
      <c r="D6" s="495">
        <v>21792</v>
      </c>
      <c r="E6" s="418">
        <v>1</v>
      </c>
      <c r="F6" s="495">
        <v>5467</v>
      </c>
      <c r="G6" s="442">
        <v>0.25087187958883994</v>
      </c>
      <c r="H6" s="495"/>
      <c r="I6" s="418"/>
      <c r="J6" s="495"/>
      <c r="K6" s="418"/>
      <c r="L6" s="495"/>
      <c r="M6" s="442"/>
      <c r="N6" s="495"/>
      <c r="O6" s="418"/>
      <c r="P6" s="495"/>
      <c r="Q6" s="418"/>
      <c r="R6" s="495"/>
      <c r="S6" s="443"/>
    </row>
    <row r="7" spans="1:19" ht="14.4" customHeight="1" x14ac:dyDescent="0.3">
      <c r="A7" s="499" t="s">
        <v>728</v>
      </c>
      <c r="B7" s="496">
        <v>90337</v>
      </c>
      <c r="C7" s="424">
        <v>5.5306109954695728</v>
      </c>
      <c r="D7" s="496">
        <v>16334</v>
      </c>
      <c r="E7" s="424">
        <v>1</v>
      </c>
      <c r="F7" s="496">
        <v>74861</v>
      </c>
      <c r="G7" s="492">
        <v>4.5831394636953595</v>
      </c>
      <c r="H7" s="496"/>
      <c r="I7" s="424"/>
      <c r="J7" s="496"/>
      <c r="K7" s="424"/>
      <c r="L7" s="496"/>
      <c r="M7" s="492"/>
      <c r="N7" s="496"/>
      <c r="O7" s="424"/>
      <c r="P7" s="496"/>
      <c r="Q7" s="424"/>
      <c r="R7" s="496"/>
      <c r="S7" s="497"/>
    </row>
    <row r="8" spans="1:19" ht="14.4" customHeight="1" x14ac:dyDescent="0.3">
      <c r="A8" s="499" t="s">
        <v>729</v>
      </c>
      <c r="B8" s="496">
        <v>192604</v>
      </c>
      <c r="C8" s="424">
        <v>1.736720137780543</v>
      </c>
      <c r="D8" s="496">
        <v>110901</v>
      </c>
      <c r="E8" s="424">
        <v>1</v>
      </c>
      <c r="F8" s="496">
        <v>133231</v>
      </c>
      <c r="G8" s="492">
        <v>1.2013507542763366</v>
      </c>
      <c r="H8" s="496"/>
      <c r="I8" s="424"/>
      <c r="J8" s="496"/>
      <c r="K8" s="424"/>
      <c r="L8" s="496"/>
      <c r="M8" s="492"/>
      <c r="N8" s="496"/>
      <c r="O8" s="424"/>
      <c r="P8" s="496"/>
      <c r="Q8" s="424"/>
      <c r="R8" s="496"/>
      <c r="S8" s="497"/>
    </row>
    <row r="9" spans="1:19" ht="14.4" customHeight="1" x14ac:dyDescent="0.3">
      <c r="A9" s="499" t="s">
        <v>730</v>
      </c>
      <c r="B9" s="496">
        <v>5062</v>
      </c>
      <c r="C9" s="424">
        <v>0.16570100494287865</v>
      </c>
      <c r="D9" s="496">
        <v>30549</v>
      </c>
      <c r="E9" s="424">
        <v>1</v>
      </c>
      <c r="F9" s="496">
        <v>52357</v>
      </c>
      <c r="G9" s="492">
        <v>1.7138695210972537</v>
      </c>
      <c r="H9" s="496"/>
      <c r="I9" s="424"/>
      <c r="J9" s="496"/>
      <c r="K9" s="424"/>
      <c r="L9" s="496"/>
      <c r="M9" s="492"/>
      <c r="N9" s="496"/>
      <c r="O9" s="424"/>
      <c r="P9" s="496"/>
      <c r="Q9" s="424"/>
      <c r="R9" s="496"/>
      <c r="S9" s="497"/>
    </row>
    <row r="10" spans="1:19" ht="14.4" customHeight="1" x14ac:dyDescent="0.3">
      <c r="A10" s="499" t="s">
        <v>731</v>
      </c>
      <c r="B10" s="496">
        <v>72127</v>
      </c>
      <c r="C10" s="424">
        <v>1.3789167797809088</v>
      </c>
      <c r="D10" s="496">
        <v>52307</v>
      </c>
      <c r="E10" s="424">
        <v>1</v>
      </c>
      <c r="F10" s="496">
        <v>43306</v>
      </c>
      <c r="G10" s="492">
        <v>0.82791978129122301</v>
      </c>
      <c r="H10" s="496"/>
      <c r="I10" s="424"/>
      <c r="J10" s="496"/>
      <c r="K10" s="424"/>
      <c r="L10" s="496"/>
      <c r="M10" s="492"/>
      <c r="N10" s="496"/>
      <c r="O10" s="424"/>
      <c r="P10" s="496"/>
      <c r="Q10" s="424"/>
      <c r="R10" s="496"/>
      <c r="S10" s="497"/>
    </row>
    <row r="11" spans="1:19" ht="14.4" customHeight="1" x14ac:dyDescent="0.3">
      <c r="A11" s="499" t="s">
        <v>732</v>
      </c>
      <c r="B11" s="496">
        <v>20317</v>
      </c>
      <c r="C11" s="424"/>
      <c r="D11" s="496"/>
      <c r="E11" s="424"/>
      <c r="F11" s="496">
        <v>18225</v>
      </c>
      <c r="G11" s="492"/>
      <c r="H11" s="496"/>
      <c r="I11" s="424"/>
      <c r="J11" s="496"/>
      <c r="K11" s="424"/>
      <c r="L11" s="496"/>
      <c r="M11" s="492"/>
      <c r="N11" s="496"/>
      <c r="O11" s="424"/>
      <c r="P11" s="496"/>
      <c r="Q11" s="424"/>
      <c r="R11" s="496"/>
      <c r="S11" s="497"/>
    </row>
    <row r="12" spans="1:19" ht="14.4" customHeight="1" x14ac:dyDescent="0.3">
      <c r="A12" s="499" t="s">
        <v>733</v>
      </c>
      <c r="B12" s="496">
        <v>22967</v>
      </c>
      <c r="C12" s="424">
        <v>11.052454282964389</v>
      </c>
      <c r="D12" s="496">
        <v>2078</v>
      </c>
      <c r="E12" s="424">
        <v>1</v>
      </c>
      <c r="F12" s="496">
        <v>429</v>
      </c>
      <c r="G12" s="492">
        <v>0.20644850818094321</v>
      </c>
      <c r="H12" s="496"/>
      <c r="I12" s="424"/>
      <c r="J12" s="496"/>
      <c r="K12" s="424"/>
      <c r="L12" s="496"/>
      <c r="M12" s="492"/>
      <c r="N12" s="496"/>
      <c r="O12" s="424"/>
      <c r="P12" s="496"/>
      <c r="Q12" s="424"/>
      <c r="R12" s="496"/>
      <c r="S12" s="497"/>
    </row>
    <row r="13" spans="1:19" ht="14.4" customHeight="1" x14ac:dyDescent="0.3">
      <c r="A13" s="499" t="s">
        <v>734</v>
      </c>
      <c r="B13" s="496">
        <v>49797</v>
      </c>
      <c r="C13" s="424">
        <v>0.47281617926319786</v>
      </c>
      <c r="D13" s="496">
        <v>105320</v>
      </c>
      <c r="E13" s="424">
        <v>1</v>
      </c>
      <c r="F13" s="496">
        <v>326099</v>
      </c>
      <c r="G13" s="492">
        <v>3.0962685150018991</v>
      </c>
      <c r="H13" s="496"/>
      <c r="I13" s="424"/>
      <c r="J13" s="496"/>
      <c r="K13" s="424"/>
      <c r="L13" s="496"/>
      <c r="M13" s="492"/>
      <c r="N13" s="496"/>
      <c r="O13" s="424"/>
      <c r="P13" s="496"/>
      <c r="Q13" s="424"/>
      <c r="R13" s="496"/>
      <c r="S13" s="497"/>
    </row>
    <row r="14" spans="1:19" ht="14.4" customHeight="1" x14ac:dyDescent="0.3">
      <c r="A14" s="499" t="s">
        <v>735</v>
      </c>
      <c r="B14" s="496">
        <v>11555</v>
      </c>
      <c r="C14" s="424"/>
      <c r="D14" s="496"/>
      <c r="E14" s="424"/>
      <c r="F14" s="496"/>
      <c r="G14" s="492"/>
      <c r="H14" s="496"/>
      <c r="I14" s="424"/>
      <c r="J14" s="496"/>
      <c r="K14" s="424"/>
      <c r="L14" s="496"/>
      <c r="M14" s="492"/>
      <c r="N14" s="496"/>
      <c r="O14" s="424"/>
      <c r="P14" s="496"/>
      <c r="Q14" s="424"/>
      <c r="R14" s="496"/>
      <c r="S14" s="497"/>
    </row>
    <row r="15" spans="1:19" ht="14.4" customHeight="1" x14ac:dyDescent="0.3">
      <c r="A15" s="499" t="s">
        <v>736</v>
      </c>
      <c r="B15" s="496">
        <v>56981</v>
      </c>
      <c r="C15" s="424">
        <v>2.1222764348765315</v>
      </c>
      <c r="D15" s="496">
        <v>26849</v>
      </c>
      <c r="E15" s="424">
        <v>1</v>
      </c>
      <c r="F15" s="496">
        <v>76706</v>
      </c>
      <c r="G15" s="492">
        <v>2.8569406681813101</v>
      </c>
      <c r="H15" s="496"/>
      <c r="I15" s="424"/>
      <c r="J15" s="496"/>
      <c r="K15" s="424"/>
      <c r="L15" s="496"/>
      <c r="M15" s="492"/>
      <c r="N15" s="496"/>
      <c r="O15" s="424"/>
      <c r="P15" s="496"/>
      <c r="Q15" s="424"/>
      <c r="R15" s="496"/>
      <c r="S15" s="497"/>
    </row>
    <row r="16" spans="1:19" ht="14.4" customHeight="1" x14ac:dyDescent="0.3">
      <c r="A16" s="499" t="s">
        <v>737</v>
      </c>
      <c r="B16" s="496">
        <v>63468</v>
      </c>
      <c r="C16" s="424">
        <v>1.0353670473083196</v>
      </c>
      <c r="D16" s="496">
        <v>61300</v>
      </c>
      <c r="E16" s="424">
        <v>1</v>
      </c>
      <c r="F16" s="496">
        <v>139505</v>
      </c>
      <c r="G16" s="492">
        <v>2.275774877650897</v>
      </c>
      <c r="H16" s="496"/>
      <c r="I16" s="424"/>
      <c r="J16" s="496"/>
      <c r="K16" s="424"/>
      <c r="L16" s="496"/>
      <c r="M16" s="492"/>
      <c r="N16" s="496"/>
      <c r="O16" s="424"/>
      <c r="P16" s="496"/>
      <c r="Q16" s="424"/>
      <c r="R16" s="496"/>
      <c r="S16" s="497"/>
    </row>
    <row r="17" spans="1:19" ht="14.4" customHeight="1" x14ac:dyDescent="0.3">
      <c r="A17" s="499" t="s">
        <v>738</v>
      </c>
      <c r="B17" s="496"/>
      <c r="C17" s="424"/>
      <c r="D17" s="496"/>
      <c r="E17" s="424"/>
      <c r="F17" s="496">
        <v>1571</v>
      </c>
      <c r="G17" s="492"/>
      <c r="H17" s="496"/>
      <c r="I17" s="424"/>
      <c r="J17" s="496"/>
      <c r="K17" s="424"/>
      <c r="L17" s="496"/>
      <c r="M17" s="492"/>
      <c r="N17" s="496"/>
      <c r="O17" s="424"/>
      <c r="P17" s="496"/>
      <c r="Q17" s="424"/>
      <c r="R17" s="496"/>
      <c r="S17" s="497"/>
    </row>
    <row r="18" spans="1:19" ht="14.4" customHeight="1" x14ac:dyDescent="0.3">
      <c r="A18" s="499" t="s">
        <v>739</v>
      </c>
      <c r="B18" s="496">
        <v>10725</v>
      </c>
      <c r="C18" s="424"/>
      <c r="D18" s="496"/>
      <c r="E18" s="424"/>
      <c r="F18" s="496">
        <v>1571</v>
      </c>
      <c r="G18" s="492"/>
      <c r="H18" s="496"/>
      <c r="I18" s="424"/>
      <c r="J18" s="496"/>
      <c r="K18" s="424"/>
      <c r="L18" s="496"/>
      <c r="M18" s="492"/>
      <c r="N18" s="496"/>
      <c r="O18" s="424"/>
      <c r="P18" s="496"/>
      <c r="Q18" s="424"/>
      <c r="R18" s="496"/>
      <c r="S18" s="497"/>
    </row>
    <row r="19" spans="1:19" ht="14.4" customHeight="1" x14ac:dyDescent="0.3">
      <c r="A19" s="499" t="s">
        <v>740</v>
      </c>
      <c r="B19" s="496"/>
      <c r="C19" s="424"/>
      <c r="D19" s="496"/>
      <c r="E19" s="424"/>
      <c r="F19" s="496">
        <v>429</v>
      </c>
      <c r="G19" s="492"/>
      <c r="H19" s="496"/>
      <c r="I19" s="424"/>
      <c r="J19" s="496"/>
      <c r="K19" s="424"/>
      <c r="L19" s="496"/>
      <c r="M19" s="492"/>
      <c r="N19" s="496"/>
      <c r="O19" s="424"/>
      <c r="P19" s="496"/>
      <c r="Q19" s="424"/>
      <c r="R19" s="496"/>
      <c r="S19" s="497"/>
    </row>
    <row r="20" spans="1:19" ht="14.4" customHeight="1" x14ac:dyDescent="0.3">
      <c r="A20" s="499" t="s">
        <v>741</v>
      </c>
      <c r="B20" s="496">
        <v>10437</v>
      </c>
      <c r="C20" s="424"/>
      <c r="D20" s="496"/>
      <c r="E20" s="424"/>
      <c r="F20" s="496"/>
      <c r="G20" s="492"/>
      <c r="H20" s="496"/>
      <c r="I20" s="424"/>
      <c r="J20" s="496"/>
      <c r="K20" s="424"/>
      <c r="L20" s="496"/>
      <c r="M20" s="492"/>
      <c r="N20" s="496"/>
      <c r="O20" s="424"/>
      <c r="P20" s="496"/>
      <c r="Q20" s="424"/>
      <c r="R20" s="496"/>
      <c r="S20" s="497"/>
    </row>
    <row r="21" spans="1:19" ht="14.4" customHeight="1" thickBot="1" x14ac:dyDescent="0.35">
      <c r="A21" s="500" t="s">
        <v>742</v>
      </c>
      <c r="B21" s="498">
        <v>10725</v>
      </c>
      <c r="C21" s="430">
        <v>0.40706721827912096</v>
      </c>
      <c r="D21" s="498">
        <v>26347</v>
      </c>
      <c r="E21" s="430">
        <v>1</v>
      </c>
      <c r="F21" s="498">
        <v>23309</v>
      </c>
      <c r="G21" s="444">
        <v>0.88469275439328954</v>
      </c>
      <c r="H21" s="498"/>
      <c r="I21" s="430"/>
      <c r="J21" s="498"/>
      <c r="K21" s="430"/>
      <c r="L21" s="498"/>
      <c r="M21" s="444"/>
      <c r="N21" s="498"/>
      <c r="O21" s="430"/>
      <c r="P21" s="498"/>
      <c r="Q21" s="430"/>
      <c r="R21" s="498"/>
      <c r="S21" s="44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09" t="s">
        <v>758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03" t="s">
        <v>227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620</v>
      </c>
      <c r="G3" s="78">
        <f t="shared" si="0"/>
        <v>617102</v>
      </c>
      <c r="H3" s="78"/>
      <c r="I3" s="78"/>
      <c r="J3" s="78">
        <f t="shared" si="0"/>
        <v>398</v>
      </c>
      <c r="K3" s="78">
        <f t="shared" si="0"/>
        <v>453777</v>
      </c>
      <c r="L3" s="78"/>
      <c r="M3" s="78"/>
      <c r="N3" s="78">
        <f t="shared" si="0"/>
        <v>932</v>
      </c>
      <c r="O3" s="78">
        <f t="shared" si="0"/>
        <v>897066</v>
      </c>
      <c r="P3" s="59">
        <f>IF(K3=0,0,O3/K3)</f>
        <v>1.9768873257128501</v>
      </c>
      <c r="Q3" s="79">
        <f>IF(N3=0,0,O3/N3)</f>
        <v>962.51716738197422</v>
      </c>
    </row>
    <row r="4" spans="1:17" ht="14.4" customHeight="1" x14ac:dyDescent="0.3">
      <c r="A4" s="367" t="s">
        <v>55</v>
      </c>
      <c r="B4" s="365" t="s">
        <v>81</v>
      </c>
      <c r="C4" s="367" t="s">
        <v>82</v>
      </c>
      <c r="D4" s="376" t="s">
        <v>83</v>
      </c>
      <c r="E4" s="368" t="s">
        <v>56</v>
      </c>
      <c r="F4" s="374">
        <v>2015</v>
      </c>
      <c r="G4" s="375"/>
      <c r="H4" s="80"/>
      <c r="I4" s="80"/>
      <c r="J4" s="374">
        <v>2016</v>
      </c>
      <c r="K4" s="375"/>
      <c r="L4" s="80"/>
      <c r="M4" s="80"/>
      <c r="N4" s="374">
        <v>2017</v>
      </c>
      <c r="O4" s="375"/>
      <c r="P4" s="377" t="s">
        <v>2</v>
      </c>
      <c r="Q4" s="366" t="s">
        <v>84</v>
      </c>
    </row>
    <row r="5" spans="1:17" ht="14.4" customHeight="1" thickBot="1" x14ac:dyDescent="0.35">
      <c r="A5" s="484"/>
      <c r="B5" s="482"/>
      <c r="C5" s="484"/>
      <c r="D5" s="501"/>
      <c r="E5" s="486"/>
      <c r="F5" s="502" t="s">
        <v>58</v>
      </c>
      <c r="G5" s="503" t="s">
        <v>14</v>
      </c>
      <c r="H5" s="504"/>
      <c r="I5" s="504"/>
      <c r="J5" s="502" t="s">
        <v>58</v>
      </c>
      <c r="K5" s="503" t="s">
        <v>14</v>
      </c>
      <c r="L5" s="504"/>
      <c r="M5" s="504"/>
      <c r="N5" s="502" t="s">
        <v>58</v>
      </c>
      <c r="O5" s="503" t="s">
        <v>14</v>
      </c>
      <c r="P5" s="505"/>
      <c r="Q5" s="491"/>
    </row>
    <row r="6" spans="1:17" ht="14.4" customHeight="1" x14ac:dyDescent="0.3">
      <c r="A6" s="417" t="s">
        <v>743</v>
      </c>
      <c r="B6" s="418" t="s">
        <v>668</v>
      </c>
      <c r="C6" s="418" t="s">
        <v>669</v>
      </c>
      <c r="D6" s="418" t="s">
        <v>670</v>
      </c>
      <c r="E6" s="418" t="s">
        <v>671</v>
      </c>
      <c r="F6" s="421"/>
      <c r="G6" s="421"/>
      <c r="H6" s="421"/>
      <c r="I6" s="421"/>
      <c r="J6" s="421">
        <v>1</v>
      </c>
      <c r="K6" s="421">
        <v>11403</v>
      </c>
      <c r="L6" s="421">
        <v>1</v>
      </c>
      <c r="M6" s="421">
        <v>11403</v>
      </c>
      <c r="N6" s="421"/>
      <c r="O6" s="421"/>
      <c r="P6" s="442"/>
      <c r="Q6" s="422"/>
    </row>
    <row r="7" spans="1:17" ht="14.4" customHeight="1" x14ac:dyDescent="0.3">
      <c r="A7" s="423" t="s">
        <v>743</v>
      </c>
      <c r="B7" s="424" t="s">
        <v>672</v>
      </c>
      <c r="C7" s="424" t="s">
        <v>669</v>
      </c>
      <c r="D7" s="424" t="s">
        <v>681</v>
      </c>
      <c r="E7" s="424" t="s">
        <v>682</v>
      </c>
      <c r="F7" s="427"/>
      <c r="G7" s="427"/>
      <c r="H7" s="427"/>
      <c r="I7" s="427"/>
      <c r="J7" s="427">
        <v>1</v>
      </c>
      <c r="K7" s="427">
        <v>3823</v>
      </c>
      <c r="L7" s="427">
        <v>1</v>
      </c>
      <c r="M7" s="427">
        <v>3823</v>
      </c>
      <c r="N7" s="427"/>
      <c r="O7" s="427"/>
      <c r="P7" s="492"/>
      <c r="Q7" s="428"/>
    </row>
    <row r="8" spans="1:17" ht="14.4" customHeight="1" x14ac:dyDescent="0.3">
      <c r="A8" s="423" t="s">
        <v>743</v>
      </c>
      <c r="B8" s="424" t="s">
        <v>672</v>
      </c>
      <c r="C8" s="424" t="s">
        <v>669</v>
      </c>
      <c r="D8" s="424" t="s">
        <v>683</v>
      </c>
      <c r="E8" s="424" t="s">
        <v>684</v>
      </c>
      <c r="F8" s="427"/>
      <c r="G8" s="427"/>
      <c r="H8" s="427"/>
      <c r="I8" s="427"/>
      <c r="J8" s="427"/>
      <c r="K8" s="427"/>
      <c r="L8" s="427"/>
      <c r="M8" s="427"/>
      <c r="N8" s="427">
        <v>1</v>
      </c>
      <c r="O8" s="427">
        <v>445</v>
      </c>
      <c r="P8" s="492"/>
      <c r="Q8" s="428">
        <v>445</v>
      </c>
    </row>
    <row r="9" spans="1:17" ht="14.4" customHeight="1" x14ac:dyDescent="0.3">
      <c r="A9" s="423" t="s">
        <v>743</v>
      </c>
      <c r="B9" s="424" t="s">
        <v>672</v>
      </c>
      <c r="C9" s="424" t="s">
        <v>669</v>
      </c>
      <c r="D9" s="424" t="s">
        <v>687</v>
      </c>
      <c r="E9" s="424" t="s">
        <v>688</v>
      </c>
      <c r="F9" s="427"/>
      <c r="G9" s="427"/>
      <c r="H9" s="427"/>
      <c r="I9" s="427"/>
      <c r="J9" s="427"/>
      <c r="K9" s="427"/>
      <c r="L9" s="427"/>
      <c r="M9" s="427"/>
      <c r="N9" s="427">
        <v>1</v>
      </c>
      <c r="O9" s="427">
        <v>1655</v>
      </c>
      <c r="P9" s="492"/>
      <c r="Q9" s="428">
        <v>1655</v>
      </c>
    </row>
    <row r="10" spans="1:17" ht="14.4" customHeight="1" x14ac:dyDescent="0.3">
      <c r="A10" s="423" t="s">
        <v>743</v>
      </c>
      <c r="B10" s="424" t="s">
        <v>672</v>
      </c>
      <c r="C10" s="424" t="s">
        <v>669</v>
      </c>
      <c r="D10" s="424" t="s">
        <v>697</v>
      </c>
      <c r="E10" s="424" t="s">
        <v>698</v>
      </c>
      <c r="F10" s="427"/>
      <c r="G10" s="427"/>
      <c r="H10" s="427"/>
      <c r="I10" s="427"/>
      <c r="J10" s="427">
        <v>1</v>
      </c>
      <c r="K10" s="427">
        <v>17</v>
      </c>
      <c r="L10" s="427">
        <v>1</v>
      </c>
      <c r="M10" s="427">
        <v>17</v>
      </c>
      <c r="N10" s="427"/>
      <c r="O10" s="427"/>
      <c r="P10" s="492"/>
      <c r="Q10" s="428"/>
    </row>
    <row r="11" spans="1:17" ht="14.4" customHeight="1" x14ac:dyDescent="0.3">
      <c r="A11" s="423" t="s">
        <v>743</v>
      </c>
      <c r="B11" s="424" t="s">
        <v>672</v>
      </c>
      <c r="C11" s="424" t="s">
        <v>669</v>
      </c>
      <c r="D11" s="424" t="s">
        <v>699</v>
      </c>
      <c r="E11" s="424" t="s">
        <v>684</v>
      </c>
      <c r="F11" s="427"/>
      <c r="G11" s="427"/>
      <c r="H11" s="427"/>
      <c r="I11" s="427"/>
      <c r="J11" s="427">
        <v>2</v>
      </c>
      <c r="K11" s="427">
        <v>1416</v>
      </c>
      <c r="L11" s="427">
        <v>1</v>
      </c>
      <c r="M11" s="427">
        <v>708</v>
      </c>
      <c r="N11" s="427"/>
      <c r="O11" s="427"/>
      <c r="P11" s="492"/>
      <c r="Q11" s="428"/>
    </row>
    <row r="12" spans="1:17" ht="14.4" customHeight="1" x14ac:dyDescent="0.3">
      <c r="A12" s="423" t="s">
        <v>743</v>
      </c>
      <c r="B12" s="424" t="s">
        <v>672</v>
      </c>
      <c r="C12" s="424" t="s">
        <v>669</v>
      </c>
      <c r="D12" s="424" t="s">
        <v>700</v>
      </c>
      <c r="E12" s="424" t="s">
        <v>686</v>
      </c>
      <c r="F12" s="427"/>
      <c r="G12" s="427"/>
      <c r="H12" s="427"/>
      <c r="I12" s="427"/>
      <c r="J12" s="427">
        <v>1</v>
      </c>
      <c r="K12" s="427">
        <v>1438</v>
      </c>
      <c r="L12" s="427">
        <v>1</v>
      </c>
      <c r="M12" s="427">
        <v>1438</v>
      </c>
      <c r="N12" s="427"/>
      <c r="O12" s="427"/>
      <c r="P12" s="492"/>
      <c r="Q12" s="428"/>
    </row>
    <row r="13" spans="1:17" ht="14.4" customHeight="1" x14ac:dyDescent="0.3">
      <c r="A13" s="423" t="s">
        <v>743</v>
      </c>
      <c r="B13" s="424" t="s">
        <v>672</v>
      </c>
      <c r="C13" s="424" t="s">
        <v>669</v>
      </c>
      <c r="D13" s="424" t="s">
        <v>701</v>
      </c>
      <c r="E13" s="424" t="s">
        <v>702</v>
      </c>
      <c r="F13" s="427"/>
      <c r="G13" s="427"/>
      <c r="H13" s="427"/>
      <c r="I13" s="427"/>
      <c r="J13" s="427">
        <v>1</v>
      </c>
      <c r="K13" s="427">
        <v>2437</v>
      </c>
      <c r="L13" s="427">
        <v>1</v>
      </c>
      <c r="M13" s="427">
        <v>2437</v>
      </c>
      <c r="N13" s="427"/>
      <c r="O13" s="427"/>
      <c r="P13" s="492"/>
      <c r="Q13" s="428"/>
    </row>
    <row r="14" spans="1:17" ht="14.4" customHeight="1" x14ac:dyDescent="0.3">
      <c r="A14" s="423" t="s">
        <v>743</v>
      </c>
      <c r="B14" s="424" t="s">
        <v>672</v>
      </c>
      <c r="C14" s="424" t="s">
        <v>669</v>
      </c>
      <c r="D14" s="424" t="s">
        <v>703</v>
      </c>
      <c r="E14" s="424" t="s">
        <v>704</v>
      </c>
      <c r="F14" s="427"/>
      <c r="G14" s="427"/>
      <c r="H14" s="427"/>
      <c r="I14" s="427"/>
      <c r="J14" s="427">
        <v>2</v>
      </c>
      <c r="K14" s="427">
        <v>138</v>
      </c>
      <c r="L14" s="427">
        <v>1</v>
      </c>
      <c r="M14" s="427">
        <v>69</v>
      </c>
      <c r="N14" s="427">
        <v>1</v>
      </c>
      <c r="O14" s="427">
        <v>69</v>
      </c>
      <c r="P14" s="492">
        <v>0.5</v>
      </c>
      <c r="Q14" s="428">
        <v>69</v>
      </c>
    </row>
    <row r="15" spans="1:17" ht="14.4" customHeight="1" x14ac:dyDescent="0.3">
      <c r="A15" s="423" t="s">
        <v>743</v>
      </c>
      <c r="B15" s="424" t="s">
        <v>672</v>
      </c>
      <c r="C15" s="424" t="s">
        <v>669</v>
      </c>
      <c r="D15" s="424" t="s">
        <v>709</v>
      </c>
      <c r="E15" s="424" t="s">
        <v>710</v>
      </c>
      <c r="F15" s="427"/>
      <c r="G15" s="427"/>
      <c r="H15" s="427"/>
      <c r="I15" s="427"/>
      <c r="J15" s="427">
        <v>2</v>
      </c>
      <c r="K15" s="427">
        <v>1120</v>
      </c>
      <c r="L15" s="427">
        <v>1</v>
      </c>
      <c r="M15" s="427">
        <v>560</v>
      </c>
      <c r="N15" s="427"/>
      <c r="O15" s="427"/>
      <c r="P15" s="492"/>
      <c r="Q15" s="428"/>
    </row>
    <row r="16" spans="1:17" ht="14.4" customHeight="1" x14ac:dyDescent="0.3">
      <c r="A16" s="423" t="s">
        <v>743</v>
      </c>
      <c r="B16" s="424" t="s">
        <v>672</v>
      </c>
      <c r="C16" s="424" t="s">
        <v>669</v>
      </c>
      <c r="D16" s="424" t="s">
        <v>722</v>
      </c>
      <c r="E16" s="424" t="s">
        <v>723</v>
      </c>
      <c r="F16" s="427"/>
      <c r="G16" s="427"/>
      <c r="H16" s="427"/>
      <c r="I16" s="427"/>
      <c r="J16" s="427"/>
      <c r="K16" s="427"/>
      <c r="L16" s="427"/>
      <c r="M16" s="427"/>
      <c r="N16" s="427">
        <v>2</v>
      </c>
      <c r="O16" s="427">
        <v>3298</v>
      </c>
      <c r="P16" s="492"/>
      <c r="Q16" s="428">
        <v>1649</v>
      </c>
    </row>
    <row r="17" spans="1:17" ht="14.4" customHeight="1" x14ac:dyDescent="0.3">
      <c r="A17" s="423" t="s">
        <v>744</v>
      </c>
      <c r="B17" s="424" t="s">
        <v>668</v>
      </c>
      <c r="C17" s="424" t="s">
        <v>669</v>
      </c>
      <c r="D17" s="424" t="s">
        <v>670</v>
      </c>
      <c r="E17" s="424" t="s">
        <v>671</v>
      </c>
      <c r="F17" s="427"/>
      <c r="G17" s="427"/>
      <c r="H17" s="427"/>
      <c r="I17" s="427"/>
      <c r="J17" s="427">
        <v>1</v>
      </c>
      <c r="K17" s="427">
        <v>11403</v>
      </c>
      <c r="L17" s="427">
        <v>1</v>
      </c>
      <c r="M17" s="427">
        <v>11403</v>
      </c>
      <c r="N17" s="427"/>
      <c r="O17" s="427"/>
      <c r="P17" s="492"/>
      <c r="Q17" s="428"/>
    </row>
    <row r="18" spans="1:17" ht="14.4" customHeight="1" x14ac:dyDescent="0.3">
      <c r="A18" s="423" t="s">
        <v>744</v>
      </c>
      <c r="B18" s="424" t="s">
        <v>672</v>
      </c>
      <c r="C18" s="424" t="s">
        <v>669</v>
      </c>
      <c r="D18" s="424" t="s">
        <v>681</v>
      </c>
      <c r="E18" s="424" t="s">
        <v>682</v>
      </c>
      <c r="F18" s="427">
        <v>6</v>
      </c>
      <c r="G18" s="427">
        <v>22326</v>
      </c>
      <c r="H18" s="427"/>
      <c r="I18" s="427">
        <v>3721</v>
      </c>
      <c r="J18" s="427"/>
      <c r="K18" s="427"/>
      <c r="L18" s="427"/>
      <c r="M18" s="427"/>
      <c r="N18" s="427">
        <v>6</v>
      </c>
      <c r="O18" s="427">
        <v>22950</v>
      </c>
      <c r="P18" s="492"/>
      <c r="Q18" s="428">
        <v>3825</v>
      </c>
    </row>
    <row r="19" spans="1:17" ht="14.4" customHeight="1" x14ac:dyDescent="0.3">
      <c r="A19" s="423" t="s">
        <v>744</v>
      </c>
      <c r="B19" s="424" t="s">
        <v>672</v>
      </c>
      <c r="C19" s="424" t="s">
        <v>669</v>
      </c>
      <c r="D19" s="424" t="s">
        <v>687</v>
      </c>
      <c r="E19" s="424" t="s">
        <v>688</v>
      </c>
      <c r="F19" s="427">
        <v>4</v>
      </c>
      <c r="G19" s="427">
        <v>6484</v>
      </c>
      <c r="H19" s="427"/>
      <c r="I19" s="427">
        <v>1621</v>
      </c>
      <c r="J19" s="427"/>
      <c r="K19" s="427"/>
      <c r="L19" s="427"/>
      <c r="M19" s="427"/>
      <c r="N19" s="427">
        <v>1</v>
      </c>
      <c r="O19" s="427">
        <v>1655</v>
      </c>
      <c r="P19" s="492"/>
      <c r="Q19" s="428">
        <v>1655</v>
      </c>
    </row>
    <row r="20" spans="1:17" ht="14.4" customHeight="1" x14ac:dyDescent="0.3">
      <c r="A20" s="423" t="s">
        <v>744</v>
      </c>
      <c r="B20" s="424" t="s">
        <v>672</v>
      </c>
      <c r="C20" s="424" t="s">
        <v>669</v>
      </c>
      <c r="D20" s="424" t="s">
        <v>697</v>
      </c>
      <c r="E20" s="424" t="s">
        <v>698</v>
      </c>
      <c r="F20" s="427">
        <v>2</v>
      </c>
      <c r="G20" s="427">
        <v>32</v>
      </c>
      <c r="H20" s="427">
        <v>1.8823529411764706</v>
      </c>
      <c r="I20" s="427">
        <v>16</v>
      </c>
      <c r="J20" s="427">
        <v>1</v>
      </c>
      <c r="K20" s="427">
        <v>17</v>
      </c>
      <c r="L20" s="427">
        <v>1</v>
      </c>
      <c r="M20" s="427">
        <v>17</v>
      </c>
      <c r="N20" s="427">
        <v>3</v>
      </c>
      <c r="O20" s="427">
        <v>51</v>
      </c>
      <c r="P20" s="492">
        <v>3</v>
      </c>
      <c r="Q20" s="428">
        <v>17</v>
      </c>
    </row>
    <row r="21" spans="1:17" ht="14.4" customHeight="1" x14ac:dyDescent="0.3">
      <c r="A21" s="423" t="s">
        <v>744</v>
      </c>
      <c r="B21" s="424" t="s">
        <v>672</v>
      </c>
      <c r="C21" s="424" t="s">
        <v>669</v>
      </c>
      <c r="D21" s="424" t="s">
        <v>699</v>
      </c>
      <c r="E21" s="424" t="s">
        <v>684</v>
      </c>
      <c r="F21" s="427">
        <v>4</v>
      </c>
      <c r="G21" s="427">
        <v>2784</v>
      </c>
      <c r="H21" s="427">
        <v>1.9661016949152543</v>
      </c>
      <c r="I21" s="427">
        <v>696</v>
      </c>
      <c r="J21" s="427">
        <v>2</v>
      </c>
      <c r="K21" s="427">
        <v>1416</v>
      </c>
      <c r="L21" s="427">
        <v>1</v>
      </c>
      <c r="M21" s="427">
        <v>708</v>
      </c>
      <c r="N21" s="427">
        <v>6</v>
      </c>
      <c r="O21" s="427">
        <v>4248</v>
      </c>
      <c r="P21" s="492">
        <v>3</v>
      </c>
      <c r="Q21" s="428">
        <v>708</v>
      </c>
    </row>
    <row r="22" spans="1:17" ht="14.4" customHeight="1" x14ac:dyDescent="0.3">
      <c r="A22" s="423" t="s">
        <v>744</v>
      </c>
      <c r="B22" s="424" t="s">
        <v>672</v>
      </c>
      <c r="C22" s="424" t="s">
        <v>669</v>
      </c>
      <c r="D22" s="424" t="s">
        <v>700</v>
      </c>
      <c r="E22" s="424" t="s">
        <v>686</v>
      </c>
      <c r="F22" s="427">
        <v>17</v>
      </c>
      <c r="G22" s="427">
        <v>23579</v>
      </c>
      <c r="H22" s="427"/>
      <c r="I22" s="427">
        <v>1387</v>
      </c>
      <c r="J22" s="427"/>
      <c r="K22" s="427"/>
      <c r="L22" s="427"/>
      <c r="M22" s="427"/>
      <c r="N22" s="427">
        <v>12</v>
      </c>
      <c r="O22" s="427">
        <v>17268</v>
      </c>
      <c r="P22" s="492"/>
      <c r="Q22" s="428">
        <v>1439</v>
      </c>
    </row>
    <row r="23" spans="1:17" ht="14.4" customHeight="1" x14ac:dyDescent="0.3">
      <c r="A23" s="423" t="s">
        <v>744</v>
      </c>
      <c r="B23" s="424" t="s">
        <v>672</v>
      </c>
      <c r="C23" s="424" t="s">
        <v>669</v>
      </c>
      <c r="D23" s="424" t="s">
        <v>701</v>
      </c>
      <c r="E23" s="424" t="s">
        <v>702</v>
      </c>
      <c r="F23" s="427">
        <v>7</v>
      </c>
      <c r="G23" s="427">
        <v>16387</v>
      </c>
      <c r="H23" s="427"/>
      <c r="I23" s="427">
        <v>2341</v>
      </c>
      <c r="J23" s="427"/>
      <c r="K23" s="427"/>
      <c r="L23" s="427"/>
      <c r="M23" s="427"/>
      <c r="N23" s="427">
        <v>5</v>
      </c>
      <c r="O23" s="427">
        <v>12190</v>
      </c>
      <c r="P23" s="492"/>
      <c r="Q23" s="428">
        <v>2438</v>
      </c>
    </row>
    <row r="24" spans="1:17" ht="14.4" customHeight="1" x14ac:dyDescent="0.3">
      <c r="A24" s="423" t="s">
        <v>744</v>
      </c>
      <c r="B24" s="424" t="s">
        <v>672</v>
      </c>
      <c r="C24" s="424" t="s">
        <v>669</v>
      </c>
      <c r="D24" s="424" t="s">
        <v>703</v>
      </c>
      <c r="E24" s="424" t="s">
        <v>704</v>
      </c>
      <c r="F24" s="427">
        <v>4</v>
      </c>
      <c r="G24" s="427">
        <v>264</v>
      </c>
      <c r="H24" s="427">
        <v>1.9130434782608696</v>
      </c>
      <c r="I24" s="427">
        <v>66</v>
      </c>
      <c r="J24" s="427">
        <v>2</v>
      </c>
      <c r="K24" s="427">
        <v>138</v>
      </c>
      <c r="L24" s="427">
        <v>1</v>
      </c>
      <c r="M24" s="427">
        <v>69</v>
      </c>
      <c r="N24" s="427">
        <v>6</v>
      </c>
      <c r="O24" s="427">
        <v>414</v>
      </c>
      <c r="P24" s="492">
        <v>3</v>
      </c>
      <c r="Q24" s="428">
        <v>69</v>
      </c>
    </row>
    <row r="25" spans="1:17" ht="14.4" customHeight="1" x14ac:dyDescent="0.3">
      <c r="A25" s="423" t="s">
        <v>744</v>
      </c>
      <c r="B25" s="424" t="s">
        <v>672</v>
      </c>
      <c r="C25" s="424" t="s">
        <v>669</v>
      </c>
      <c r="D25" s="424" t="s">
        <v>709</v>
      </c>
      <c r="E25" s="424" t="s">
        <v>710</v>
      </c>
      <c r="F25" s="427">
        <v>13</v>
      </c>
      <c r="G25" s="427">
        <v>7176</v>
      </c>
      <c r="H25" s="427">
        <v>2.1357142857142857</v>
      </c>
      <c r="I25" s="427">
        <v>552</v>
      </c>
      <c r="J25" s="427">
        <v>6</v>
      </c>
      <c r="K25" s="427">
        <v>3360</v>
      </c>
      <c r="L25" s="427">
        <v>1</v>
      </c>
      <c r="M25" s="427">
        <v>560</v>
      </c>
      <c r="N25" s="427">
        <v>14</v>
      </c>
      <c r="O25" s="427">
        <v>7840</v>
      </c>
      <c r="P25" s="492">
        <v>2.3333333333333335</v>
      </c>
      <c r="Q25" s="428">
        <v>560</v>
      </c>
    </row>
    <row r="26" spans="1:17" ht="14.4" customHeight="1" x14ac:dyDescent="0.3">
      <c r="A26" s="423" t="s">
        <v>744</v>
      </c>
      <c r="B26" s="424" t="s">
        <v>672</v>
      </c>
      <c r="C26" s="424" t="s">
        <v>669</v>
      </c>
      <c r="D26" s="424" t="s">
        <v>722</v>
      </c>
      <c r="E26" s="424" t="s">
        <v>723</v>
      </c>
      <c r="F26" s="427">
        <v>7</v>
      </c>
      <c r="G26" s="427">
        <v>11305</v>
      </c>
      <c r="H26" s="427"/>
      <c r="I26" s="427">
        <v>1615</v>
      </c>
      <c r="J26" s="427"/>
      <c r="K26" s="427"/>
      <c r="L26" s="427"/>
      <c r="M26" s="427"/>
      <c r="N26" s="427">
        <v>5</v>
      </c>
      <c r="O26" s="427">
        <v>8245</v>
      </c>
      <c r="P26" s="492"/>
      <c r="Q26" s="428">
        <v>1649</v>
      </c>
    </row>
    <row r="27" spans="1:17" ht="14.4" customHeight="1" x14ac:dyDescent="0.3">
      <c r="A27" s="423" t="s">
        <v>745</v>
      </c>
      <c r="B27" s="424" t="s">
        <v>672</v>
      </c>
      <c r="C27" s="424" t="s">
        <v>669</v>
      </c>
      <c r="D27" s="424" t="s">
        <v>673</v>
      </c>
      <c r="E27" s="424" t="s">
        <v>674</v>
      </c>
      <c r="F27" s="427">
        <v>1</v>
      </c>
      <c r="G27" s="427">
        <v>128</v>
      </c>
      <c r="H27" s="427">
        <v>0.94117647058823528</v>
      </c>
      <c r="I27" s="427">
        <v>128</v>
      </c>
      <c r="J27" s="427">
        <v>1</v>
      </c>
      <c r="K27" s="427">
        <v>136</v>
      </c>
      <c r="L27" s="427">
        <v>1</v>
      </c>
      <c r="M27" s="427">
        <v>136</v>
      </c>
      <c r="N27" s="427"/>
      <c r="O27" s="427"/>
      <c r="P27" s="492"/>
      <c r="Q27" s="428"/>
    </row>
    <row r="28" spans="1:17" ht="14.4" customHeight="1" x14ac:dyDescent="0.3">
      <c r="A28" s="423" t="s">
        <v>745</v>
      </c>
      <c r="B28" s="424" t="s">
        <v>672</v>
      </c>
      <c r="C28" s="424" t="s">
        <v>669</v>
      </c>
      <c r="D28" s="424" t="s">
        <v>675</v>
      </c>
      <c r="E28" s="424" t="s">
        <v>676</v>
      </c>
      <c r="F28" s="427"/>
      <c r="G28" s="427"/>
      <c r="H28" s="427"/>
      <c r="I28" s="427"/>
      <c r="J28" s="427"/>
      <c r="K28" s="427"/>
      <c r="L28" s="427"/>
      <c r="M28" s="427"/>
      <c r="N28" s="427">
        <v>5</v>
      </c>
      <c r="O28" s="427">
        <v>6310</v>
      </c>
      <c r="P28" s="492"/>
      <c r="Q28" s="428">
        <v>1262</v>
      </c>
    </row>
    <row r="29" spans="1:17" ht="14.4" customHeight="1" x14ac:dyDescent="0.3">
      <c r="A29" s="423" t="s">
        <v>745</v>
      </c>
      <c r="B29" s="424" t="s">
        <v>672</v>
      </c>
      <c r="C29" s="424" t="s">
        <v>669</v>
      </c>
      <c r="D29" s="424" t="s">
        <v>679</v>
      </c>
      <c r="E29" s="424" t="s">
        <v>680</v>
      </c>
      <c r="F29" s="427"/>
      <c r="G29" s="427"/>
      <c r="H29" s="427"/>
      <c r="I29" s="427"/>
      <c r="J29" s="427"/>
      <c r="K29" s="427"/>
      <c r="L29" s="427"/>
      <c r="M29" s="427"/>
      <c r="N29" s="427">
        <v>3</v>
      </c>
      <c r="O29" s="427">
        <v>3231</v>
      </c>
      <c r="P29" s="492"/>
      <c r="Q29" s="428">
        <v>1077</v>
      </c>
    </row>
    <row r="30" spans="1:17" ht="14.4" customHeight="1" x14ac:dyDescent="0.3">
      <c r="A30" s="423" t="s">
        <v>745</v>
      </c>
      <c r="B30" s="424" t="s">
        <v>672</v>
      </c>
      <c r="C30" s="424" t="s">
        <v>669</v>
      </c>
      <c r="D30" s="424" t="s">
        <v>681</v>
      </c>
      <c r="E30" s="424" t="s">
        <v>682</v>
      </c>
      <c r="F30" s="427">
        <v>12</v>
      </c>
      <c r="G30" s="427">
        <v>44652</v>
      </c>
      <c r="H30" s="427">
        <v>1.6685475131721534</v>
      </c>
      <c r="I30" s="427">
        <v>3721</v>
      </c>
      <c r="J30" s="427">
        <v>7</v>
      </c>
      <c r="K30" s="427">
        <v>26761</v>
      </c>
      <c r="L30" s="427">
        <v>1</v>
      </c>
      <c r="M30" s="427">
        <v>3823</v>
      </c>
      <c r="N30" s="427">
        <v>7</v>
      </c>
      <c r="O30" s="427">
        <v>26775</v>
      </c>
      <c r="P30" s="492">
        <v>1.000523149359142</v>
      </c>
      <c r="Q30" s="428">
        <v>3825</v>
      </c>
    </row>
    <row r="31" spans="1:17" ht="14.4" customHeight="1" x14ac:dyDescent="0.3">
      <c r="A31" s="423" t="s">
        <v>745</v>
      </c>
      <c r="B31" s="424" t="s">
        <v>672</v>
      </c>
      <c r="C31" s="424" t="s">
        <v>669</v>
      </c>
      <c r="D31" s="424" t="s">
        <v>687</v>
      </c>
      <c r="E31" s="424" t="s">
        <v>688</v>
      </c>
      <c r="F31" s="427">
        <v>3</v>
      </c>
      <c r="G31" s="427">
        <v>4863</v>
      </c>
      <c r="H31" s="427">
        <v>1.4691842900302114</v>
      </c>
      <c r="I31" s="427">
        <v>1621</v>
      </c>
      <c r="J31" s="427">
        <v>2</v>
      </c>
      <c r="K31" s="427">
        <v>3310</v>
      </c>
      <c r="L31" s="427">
        <v>1</v>
      </c>
      <c r="M31" s="427">
        <v>1655</v>
      </c>
      <c r="N31" s="427">
        <v>2</v>
      </c>
      <c r="O31" s="427">
        <v>3310</v>
      </c>
      <c r="P31" s="492">
        <v>1</v>
      </c>
      <c r="Q31" s="428">
        <v>1655</v>
      </c>
    </row>
    <row r="32" spans="1:17" ht="14.4" customHeight="1" x14ac:dyDescent="0.3">
      <c r="A32" s="423" t="s">
        <v>745</v>
      </c>
      <c r="B32" s="424" t="s">
        <v>672</v>
      </c>
      <c r="C32" s="424" t="s">
        <v>669</v>
      </c>
      <c r="D32" s="424" t="s">
        <v>689</v>
      </c>
      <c r="E32" s="424" t="s">
        <v>690</v>
      </c>
      <c r="F32" s="427"/>
      <c r="G32" s="427"/>
      <c r="H32" s="427"/>
      <c r="I32" s="427"/>
      <c r="J32" s="427">
        <v>2</v>
      </c>
      <c r="K32" s="427">
        <v>3240</v>
      </c>
      <c r="L32" s="427">
        <v>1</v>
      </c>
      <c r="M32" s="427">
        <v>1620</v>
      </c>
      <c r="N32" s="427"/>
      <c r="O32" s="427"/>
      <c r="P32" s="492"/>
      <c r="Q32" s="428"/>
    </row>
    <row r="33" spans="1:17" ht="14.4" customHeight="1" x14ac:dyDescent="0.3">
      <c r="A33" s="423" t="s">
        <v>745</v>
      </c>
      <c r="B33" s="424" t="s">
        <v>672</v>
      </c>
      <c r="C33" s="424" t="s">
        <v>669</v>
      </c>
      <c r="D33" s="424" t="s">
        <v>693</v>
      </c>
      <c r="E33" s="424" t="s">
        <v>694</v>
      </c>
      <c r="F33" s="427">
        <v>4</v>
      </c>
      <c r="G33" s="427">
        <v>5844</v>
      </c>
      <c r="H33" s="427"/>
      <c r="I33" s="427">
        <v>1461</v>
      </c>
      <c r="J33" s="427"/>
      <c r="K33" s="427"/>
      <c r="L33" s="427"/>
      <c r="M33" s="427"/>
      <c r="N33" s="427"/>
      <c r="O33" s="427"/>
      <c r="P33" s="492"/>
      <c r="Q33" s="428"/>
    </row>
    <row r="34" spans="1:17" ht="14.4" customHeight="1" x14ac:dyDescent="0.3">
      <c r="A34" s="423" t="s">
        <v>745</v>
      </c>
      <c r="B34" s="424" t="s">
        <v>672</v>
      </c>
      <c r="C34" s="424" t="s">
        <v>669</v>
      </c>
      <c r="D34" s="424" t="s">
        <v>697</v>
      </c>
      <c r="E34" s="424" t="s">
        <v>698</v>
      </c>
      <c r="F34" s="427">
        <v>9</v>
      </c>
      <c r="G34" s="427">
        <v>144</v>
      </c>
      <c r="H34" s="427">
        <v>2.1176470588235294</v>
      </c>
      <c r="I34" s="427">
        <v>16</v>
      </c>
      <c r="J34" s="427">
        <v>4</v>
      </c>
      <c r="K34" s="427">
        <v>68</v>
      </c>
      <c r="L34" s="427">
        <v>1</v>
      </c>
      <c r="M34" s="427">
        <v>17</v>
      </c>
      <c r="N34" s="427">
        <v>7</v>
      </c>
      <c r="O34" s="427">
        <v>119</v>
      </c>
      <c r="P34" s="492">
        <v>1.75</v>
      </c>
      <c r="Q34" s="428">
        <v>17</v>
      </c>
    </row>
    <row r="35" spans="1:17" ht="14.4" customHeight="1" x14ac:dyDescent="0.3">
      <c r="A35" s="423" t="s">
        <v>745</v>
      </c>
      <c r="B35" s="424" t="s">
        <v>672</v>
      </c>
      <c r="C35" s="424" t="s">
        <v>669</v>
      </c>
      <c r="D35" s="424" t="s">
        <v>699</v>
      </c>
      <c r="E35" s="424" t="s">
        <v>684</v>
      </c>
      <c r="F35" s="427">
        <v>17</v>
      </c>
      <c r="G35" s="427">
        <v>11832</v>
      </c>
      <c r="H35" s="427">
        <v>2.7853107344632768</v>
      </c>
      <c r="I35" s="427">
        <v>696</v>
      </c>
      <c r="J35" s="427">
        <v>6</v>
      </c>
      <c r="K35" s="427">
        <v>4248</v>
      </c>
      <c r="L35" s="427">
        <v>1</v>
      </c>
      <c r="M35" s="427">
        <v>708</v>
      </c>
      <c r="N35" s="427">
        <v>12</v>
      </c>
      <c r="O35" s="427">
        <v>8496</v>
      </c>
      <c r="P35" s="492">
        <v>2</v>
      </c>
      <c r="Q35" s="428">
        <v>708</v>
      </c>
    </row>
    <row r="36" spans="1:17" ht="14.4" customHeight="1" x14ac:dyDescent="0.3">
      <c r="A36" s="423" t="s">
        <v>745</v>
      </c>
      <c r="B36" s="424" t="s">
        <v>672</v>
      </c>
      <c r="C36" s="424" t="s">
        <v>669</v>
      </c>
      <c r="D36" s="424" t="s">
        <v>700</v>
      </c>
      <c r="E36" s="424" t="s">
        <v>686</v>
      </c>
      <c r="F36" s="427">
        <v>34</v>
      </c>
      <c r="G36" s="427">
        <v>47158</v>
      </c>
      <c r="H36" s="427">
        <v>2.0496349095966622</v>
      </c>
      <c r="I36" s="427">
        <v>1387</v>
      </c>
      <c r="J36" s="427">
        <v>16</v>
      </c>
      <c r="K36" s="427">
        <v>23008</v>
      </c>
      <c r="L36" s="427">
        <v>1</v>
      </c>
      <c r="M36" s="427">
        <v>1438</v>
      </c>
      <c r="N36" s="427">
        <v>15</v>
      </c>
      <c r="O36" s="427">
        <v>21585</v>
      </c>
      <c r="P36" s="492">
        <v>0.93815194714881778</v>
      </c>
      <c r="Q36" s="428">
        <v>1439</v>
      </c>
    </row>
    <row r="37" spans="1:17" ht="14.4" customHeight="1" x14ac:dyDescent="0.3">
      <c r="A37" s="423" t="s">
        <v>745</v>
      </c>
      <c r="B37" s="424" t="s">
        <v>672</v>
      </c>
      <c r="C37" s="424" t="s">
        <v>669</v>
      </c>
      <c r="D37" s="424" t="s">
        <v>701</v>
      </c>
      <c r="E37" s="424" t="s">
        <v>702</v>
      </c>
      <c r="F37" s="427">
        <v>16</v>
      </c>
      <c r="G37" s="427">
        <v>37456</v>
      </c>
      <c r="H37" s="427">
        <v>1.7077463183331054</v>
      </c>
      <c r="I37" s="427">
        <v>2341</v>
      </c>
      <c r="J37" s="427">
        <v>9</v>
      </c>
      <c r="K37" s="427">
        <v>21933</v>
      </c>
      <c r="L37" s="427">
        <v>1</v>
      </c>
      <c r="M37" s="427">
        <v>2437</v>
      </c>
      <c r="N37" s="427">
        <v>12</v>
      </c>
      <c r="O37" s="427">
        <v>29256</v>
      </c>
      <c r="P37" s="492">
        <v>1.3338804541102449</v>
      </c>
      <c r="Q37" s="428">
        <v>2438</v>
      </c>
    </row>
    <row r="38" spans="1:17" ht="14.4" customHeight="1" x14ac:dyDescent="0.3">
      <c r="A38" s="423" t="s">
        <v>745</v>
      </c>
      <c r="B38" s="424" t="s">
        <v>672</v>
      </c>
      <c r="C38" s="424" t="s">
        <v>669</v>
      </c>
      <c r="D38" s="424" t="s">
        <v>703</v>
      </c>
      <c r="E38" s="424" t="s">
        <v>704</v>
      </c>
      <c r="F38" s="427">
        <v>17</v>
      </c>
      <c r="G38" s="427">
        <v>1122</v>
      </c>
      <c r="H38" s="427">
        <v>2.7101449275362319</v>
      </c>
      <c r="I38" s="427">
        <v>66</v>
      </c>
      <c r="J38" s="427">
        <v>6</v>
      </c>
      <c r="K38" s="427">
        <v>414</v>
      </c>
      <c r="L38" s="427">
        <v>1</v>
      </c>
      <c r="M38" s="427">
        <v>69</v>
      </c>
      <c r="N38" s="427">
        <v>12</v>
      </c>
      <c r="O38" s="427">
        <v>828</v>
      </c>
      <c r="P38" s="492">
        <v>2</v>
      </c>
      <c r="Q38" s="428">
        <v>69</v>
      </c>
    </row>
    <row r="39" spans="1:17" ht="14.4" customHeight="1" x14ac:dyDescent="0.3">
      <c r="A39" s="423" t="s">
        <v>745</v>
      </c>
      <c r="B39" s="424" t="s">
        <v>672</v>
      </c>
      <c r="C39" s="424" t="s">
        <v>669</v>
      </c>
      <c r="D39" s="424" t="s">
        <v>705</v>
      </c>
      <c r="E39" s="424" t="s">
        <v>706</v>
      </c>
      <c r="F39" s="427">
        <v>4</v>
      </c>
      <c r="G39" s="427">
        <v>1604</v>
      </c>
      <c r="H39" s="427"/>
      <c r="I39" s="427">
        <v>401</v>
      </c>
      <c r="J39" s="427"/>
      <c r="K39" s="427"/>
      <c r="L39" s="427"/>
      <c r="M39" s="427"/>
      <c r="N39" s="427"/>
      <c r="O39" s="427"/>
      <c r="P39" s="492"/>
      <c r="Q39" s="428"/>
    </row>
    <row r="40" spans="1:17" ht="14.4" customHeight="1" x14ac:dyDescent="0.3">
      <c r="A40" s="423" t="s">
        <v>745</v>
      </c>
      <c r="B40" s="424" t="s">
        <v>672</v>
      </c>
      <c r="C40" s="424" t="s">
        <v>669</v>
      </c>
      <c r="D40" s="424" t="s">
        <v>709</v>
      </c>
      <c r="E40" s="424" t="s">
        <v>710</v>
      </c>
      <c r="F40" s="427">
        <v>48</v>
      </c>
      <c r="G40" s="427">
        <v>26496</v>
      </c>
      <c r="H40" s="427">
        <v>1.6315270935960591</v>
      </c>
      <c r="I40" s="427">
        <v>552</v>
      </c>
      <c r="J40" s="427">
        <v>29</v>
      </c>
      <c r="K40" s="427">
        <v>16240</v>
      </c>
      <c r="L40" s="427">
        <v>1</v>
      </c>
      <c r="M40" s="427">
        <v>560</v>
      </c>
      <c r="N40" s="427">
        <v>33</v>
      </c>
      <c r="O40" s="427">
        <v>18480</v>
      </c>
      <c r="P40" s="492">
        <v>1.1379310344827587</v>
      </c>
      <c r="Q40" s="428">
        <v>560</v>
      </c>
    </row>
    <row r="41" spans="1:17" ht="14.4" customHeight="1" x14ac:dyDescent="0.3">
      <c r="A41" s="423" t="s">
        <v>745</v>
      </c>
      <c r="B41" s="424" t="s">
        <v>672</v>
      </c>
      <c r="C41" s="424" t="s">
        <v>669</v>
      </c>
      <c r="D41" s="424" t="s">
        <v>722</v>
      </c>
      <c r="E41" s="424" t="s">
        <v>723</v>
      </c>
      <c r="F41" s="427">
        <v>7</v>
      </c>
      <c r="G41" s="427">
        <v>11305</v>
      </c>
      <c r="H41" s="427">
        <v>0.97938144329896903</v>
      </c>
      <c r="I41" s="427">
        <v>1615</v>
      </c>
      <c r="J41" s="427">
        <v>7</v>
      </c>
      <c r="K41" s="427">
        <v>11543</v>
      </c>
      <c r="L41" s="427">
        <v>1</v>
      </c>
      <c r="M41" s="427">
        <v>1649</v>
      </c>
      <c r="N41" s="427">
        <v>9</v>
      </c>
      <c r="O41" s="427">
        <v>14841</v>
      </c>
      <c r="P41" s="492">
        <v>1.2857142857142858</v>
      </c>
      <c r="Q41" s="428">
        <v>1649</v>
      </c>
    </row>
    <row r="42" spans="1:17" ht="14.4" customHeight="1" x14ac:dyDescent="0.3">
      <c r="A42" s="423" t="s">
        <v>746</v>
      </c>
      <c r="B42" s="424" t="s">
        <v>668</v>
      </c>
      <c r="C42" s="424" t="s">
        <v>669</v>
      </c>
      <c r="D42" s="424" t="s">
        <v>670</v>
      </c>
      <c r="E42" s="424" t="s">
        <v>671</v>
      </c>
      <c r="F42" s="427"/>
      <c r="G42" s="427"/>
      <c r="H42" s="427"/>
      <c r="I42" s="427"/>
      <c r="J42" s="427">
        <v>2</v>
      </c>
      <c r="K42" s="427">
        <v>22806</v>
      </c>
      <c r="L42" s="427">
        <v>1</v>
      </c>
      <c r="M42" s="427">
        <v>11403</v>
      </c>
      <c r="N42" s="427"/>
      <c r="O42" s="427"/>
      <c r="P42" s="492"/>
      <c r="Q42" s="428"/>
    </row>
    <row r="43" spans="1:17" ht="14.4" customHeight="1" x14ac:dyDescent="0.3">
      <c r="A43" s="423" t="s">
        <v>746</v>
      </c>
      <c r="B43" s="424" t="s">
        <v>672</v>
      </c>
      <c r="C43" s="424" t="s">
        <v>669</v>
      </c>
      <c r="D43" s="424" t="s">
        <v>677</v>
      </c>
      <c r="E43" s="424" t="s">
        <v>678</v>
      </c>
      <c r="F43" s="427"/>
      <c r="G43" s="427"/>
      <c r="H43" s="427"/>
      <c r="I43" s="427"/>
      <c r="J43" s="427">
        <v>1</v>
      </c>
      <c r="K43" s="427">
        <v>2338</v>
      </c>
      <c r="L43" s="427">
        <v>1</v>
      </c>
      <c r="M43" s="427">
        <v>2338</v>
      </c>
      <c r="N43" s="427"/>
      <c r="O43" s="427"/>
      <c r="P43" s="492"/>
      <c r="Q43" s="428"/>
    </row>
    <row r="44" spans="1:17" ht="14.4" customHeight="1" x14ac:dyDescent="0.3">
      <c r="A44" s="423" t="s">
        <v>746</v>
      </c>
      <c r="B44" s="424" t="s">
        <v>672</v>
      </c>
      <c r="C44" s="424" t="s">
        <v>669</v>
      </c>
      <c r="D44" s="424" t="s">
        <v>679</v>
      </c>
      <c r="E44" s="424" t="s">
        <v>680</v>
      </c>
      <c r="F44" s="427"/>
      <c r="G44" s="427"/>
      <c r="H44" s="427"/>
      <c r="I44" s="427"/>
      <c r="J44" s="427">
        <v>2</v>
      </c>
      <c r="K44" s="427">
        <v>2154</v>
      </c>
      <c r="L44" s="427">
        <v>1</v>
      </c>
      <c r="M44" s="427">
        <v>1077</v>
      </c>
      <c r="N44" s="427"/>
      <c r="O44" s="427"/>
      <c r="P44" s="492"/>
      <c r="Q44" s="428"/>
    </row>
    <row r="45" spans="1:17" ht="14.4" customHeight="1" x14ac:dyDescent="0.3">
      <c r="A45" s="423" t="s">
        <v>746</v>
      </c>
      <c r="B45" s="424" t="s">
        <v>672</v>
      </c>
      <c r="C45" s="424" t="s">
        <v>669</v>
      </c>
      <c r="D45" s="424" t="s">
        <v>681</v>
      </c>
      <c r="E45" s="424" t="s">
        <v>682</v>
      </c>
      <c r="F45" s="427"/>
      <c r="G45" s="427"/>
      <c r="H45" s="427"/>
      <c r="I45" s="427"/>
      <c r="J45" s="427"/>
      <c r="K45" s="427"/>
      <c r="L45" s="427"/>
      <c r="M45" s="427"/>
      <c r="N45" s="427">
        <v>3</v>
      </c>
      <c r="O45" s="427">
        <v>11475</v>
      </c>
      <c r="P45" s="492"/>
      <c r="Q45" s="428">
        <v>3825</v>
      </c>
    </row>
    <row r="46" spans="1:17" ht="14.4" customHeight="1" x14ac:dyDescent="0.3">
      <c r="A46" s="423" t="s">
        <v>746</v>
      </c>
      <c r="B46" s="424" t="s">
        <v>672</v>
      </c>
      <c r="C46" s="424" t="s">
        <v>669</v>
      </c>
      <c r="D46" s="424" t="s">
        <v>687</v>
      </c>
      <c r="E46" s="424" t="s">
        <v>688</v>
      </c>
      <c r="F46" s="427"/>
      <c r="G46" s="427"/>
      <c r="H46" s="427"/>
      <c r="I46" s="427"/>
      <c r="J46" s="427"/>
      <c r="K46" s="427"/>
      <c r="L46" s="427"/>
      <c r="M46" s="427"/>
      <c r="N46" s="427">
        <v>1</v>
      </c>
      <c r="O46" s="427">
        <v>1655</v>
      </c>
      <c r="P46" s="492"/>
      <c r="Q46" s="428">
        <v>1655</v>
      </c>
    </row>
    <row r="47" spans="1:17" ht="14.4" customHeight="1" x14ac:dyDescent="0.3">
      <c r="A47" s="423" t="s">
        <v>746</v>
      </c>
      <c r="B47" s="424" t="s">
        <v>672</v>
      </c>
      <c r="C47" s="424" t="s">
        <v>669</v>
      </c>
      <c r="D47" s="424" t="s">
        <v>691</v>
      </c>
      <c r="E47" s="424" t="s">
        <v>692</v>
      </c>
      <c r="F47" s="427"/>
      <c r="G47" s="427"/>
      <c r="H47" s="427"/>
      <c r="I47" s="427"/>
      <c r="J47" s="427">
        <v>2</v>
      </c>
      <c r="K47" s="427">
        <v>1680</v>
      </c>
      <c r="L47" s="427">
        <v>1</v>
      </c>
      <c r="M47" s="427">
        <v>840</v>
      </c>
      <c r="N47" s="427"/>
      <c r="O47" s="427"/>
      <c r="P47" s="492"/>
      <c r="Q47" s="428"/>
    </row>
    <row r="48" spans="1:17" ht="14.4" customHeight="1" x14ac:dyDescent="0.3">
      <c r="A48" s="423" t="s">
        <v>746</v>
      </c>
      <c r="B48" s="424" t="s">
        <v>672</v>
      </c>
      <c r="C48" s="424" t="s">
        <v>669</v>
      </c>
      <c r="D48" s="424" t="s">
        <v>697</v>
      </c>
      <c r="E48" s="424" t="s">
        <v>698</v>
      </c>
      <c r="F48" s="427">
        <v>1</v>
      </c>
      <c r="G48" s="427">
        <v>16</v>
      </c>
      <c r="H48" s="427">
        <v>0.94117647058823528</v>
      </c>
      <c r="I48" s="427">
        <v>16</v>
      </c>
      <c r="J48" s="427">
        <v>1</v>
      </c>
      <c r="K48" s="427">
        <v>17</v>
      </c>
      <c r="L48" s="427">
        <v>1</v>
      </c>
      <c r="M48" s="427">
        <v>17</v>
      </c>
      <c r="N48" s="427">
        <v>3</v>
      </c>
      <c r="O48" s="427">
        <v>51</v>
      </c>
      <c r="P48" s="492">
        <v>3</v>
      </c>
      <c r="Q48" s="428">
        <v>17</v>
      </c>
    </row>
    <row r="49" spans="1:17" ht="14.4" customHeight="1" x14ac:dyDescent="0.3">
      <c r="A49" s="423" t="s">
        <v>746</v>
      </c>
      <c r="B49" s="424" t="s">
        <v>672</v>
      </c>
      <c r="C49" s="424" t="s">
        <v>669</v>
      </c>
      <c r="D49" s="424" t="s">
        <v>699</v>
      </c>
      <c r="E49" s="424" t="s">
        <v>684</v>
      </c>
      <c r="F49" s="427">
        <v>3</v>
      </c>
      <c r="G49" s="427">
        <v>2088</v>
      </c>
      <c r="H49" s="427">
        <v>1.4745762711864407</v>
      </c>
      <c r="I49" s="427">
        <v>696</v>
      </c>
      <c r="J49" s="427">
        <v>2</v>
      </c>
      <c r="K49" s="427">
        <v>1416</v>
      </c>
      <c r="L49" s="427">
        <v>1</v>
      </c>
      <c r="M49" s="427">
        <v>708</v>
      </c>
      <c r="N49" s="427">
        <v>6</v>
      </c>
      <c r="O49" s="427">
        <v>4248</v>
      </c>
      <c r="P49" s="492">
        <v>3</v>
      </c>
      <c r="Q49" s="428">
        <v>708</v>
      </c>
    </row>
    <row r="50" spans="1:17" ht="14.4" customHeight="1" x14ac:dyDescent="0.3">
      <c r="A50" s="423" t="s">
        <v>746</v>
      </c>
      <c r="B50" s="424" t="s">
        <v>672</v>
      </c>
      <c r="C50" s="424" t="s">
        <v>669</v>
      </c>
      <c r="D50" s="424" t="s">
        <v>700</v>
      </c>
      <c r="E50" s="424" t="s">
        <v>686</v>
      </c>
      <c r="F50" s="427"/>
      <c r="G50" s="427"/>
      <c r="H50" s="427"/>
      <c r="I50" s="427"/>
      <c r="J50" s="427"/>
      <c r="K50" s="427"/>
      <c r="L50" s="427"/>
      <c r="M50" s="427"/>
      <c r="N50" s="427">
        <v>5</v>
      </c>
      <c r="O50" s="427">
        <v>7195</v>
      </c>
      <c r="P50" s="492"/>
      <c r="Q50" s="428">
        <v>1439</v>
      </c>
    </row>
    <row r="51" spans="1:17" ht="14.4" customHeight="1" x14ac:dyDescent="0.3">
      <c r="A51" s="423" t="s">
        <v>746</v>
      </c>
      <c r="B51" s="424" t="s">
        <v>672</v>
      </c>
      <c r="C51" s="424" t="s">
        <v>669</v>
      </c>
      <c r="D51" s="424" t="s">
        <v>701</v>
      </c>
      <c r="E51" s="424" t="s">
        <v>702</v>
      </c>
      <c r="F51" s="427"/>
      <c r="G51" s="427"/>
      <c r="H51" s="427"/>
      <c r="I51" s="427"/>
      <c r="J51" s="427"/>
      <c r="K51" s="427"/>
      <c r="L51" s="427"/>
      <c r="M51" s="427"/>
      <c r="N51" s="427">
        <v>3</v>
      </c>
      <c r="O51" s="427">
        <v>7314</v>
      </c>
      <c r="P51" s="492"/>
      <c r="Q51" s="428">
        <v>2438</v>
      </c>
    </row>
    <row r="52" spans="1:17" ht="14.4" customHeight="1" x14ac:dyDescent="0.3">
      <c r="A52" s="423" t="s">
        <v>746</v>
      </c>
      <c r="B52" s="424" t="s">
        <v>672</v>
      </c>
      <c r="C52" s="424" t="s">
        <v>669</v>
      </c>
      <c r="D52" s="424" t="s">
        <v>703</v>
      </c>
      <c r="E52" s="424" t="s">
        <v>704</v>
      </c>
      <c r="F52" s="427">
        <v>3</v>
      </c>
      <c r="G52" s="427">
        <v>198</v>
      </c>
      <c r="H52" s="427">
        <v>1.4347826086956521</v>
      </c>
      <c r="I52" s="427">
        <v>66</v>
      </c>
      <c r="J52" s="427">
        <v>2</v>
      </c>
      <c r="K52" s="427">
        <v>138</v>
      </c>
      <c r="L52" s="427">
        <v>1</v>
      </c>
      <c r="M52" s="427">
        <v>69</v>
      </c>
      <c r="N52" s="427">
        <v>6</v>
      </c>
      <c r="O52" s="427">
        <v>414</v>
      </c>
      <c r="P52" s="492">
        <v>3</v>
      </c>
      <c r="Q52" s="428">
        <v>69</v>
      </c>
    </row>
    <row r="53" spans="1:17" ht="14.4" customHeight="1" x14ac:dyDescent="0.3">
      <c r="A53" s="423" t="s">
        <v>746</v>
      </c>
      <c r="B53" s="424" t="s">
        <v>672</v>
      </c>
      <c r="C53" s="424" t="s">
        <v>669</v>
      </c>
      <c r="D53" s="424" t="s">
        <v>709</v>
      </c>
      <c r="E53" s="424" t="s">
        <v>710</v>
      </c>
      <c r="F53" s="427">
        <v>5</v>
      </c>
      <c r="G53" s="427">
        <v>2760</v>
      </c>
      <c r="H53" s="427"/>
      <c r="I53" s="427">
        <v>552</v>
      </c>
      <c r="J53" s="427"/>
      <c r="K53" s="427"/>
      <c r="L53" s="427"/>
      <c r="M53" s="427"/>
      <c r="N53" s="427">
        <v>21</v>
      </c>
      <c r="O53" s="427">
        <v>11760</v>
      </c>
      <c r="P53" s="492"/>
      <c r="Q53" s="428">
        <v>560</v>
      </c>
    </row>
    <row r="54" spans="1:17" ht="14.4" customHeight="1" x14ac:dyDescent="0.3">
      <c r="A54" s="423" t="s">
        <v>746</v>
      </c>
      <c r="B54" s="424" t="s">
        <v>672</v>
      </c>
      <c r="C54" s="424" t="s">
        <v>669</v>
      </c>
      <c r="D54" s="424" t="s">
        <v>722</v>
      </c>
      <c r="E54" s="424" t="s">
        <v>723</v>
      </c>
      <c r="F54" s="427"/>
      <c r="G54" s="427"/>
      <c r="H54" s="427"/>
      <c r="I54" s="427"/>
      <c r="J54" s="427"/>
      <c r="K54" s="427"/>
      <c r="L54" s="427"/>
      <c r="M54" s="427"/>
      <c r="N54" s="427">
        <v>5</v>
      </c>
      <c r="O54" s="427">
        <v>8245</v>
      </c>
      <c r="P54" s="492"/>
      <c r="Q54" s="428">
        <v>1649</v>
      </c>
    </row>
    <row r="55" spans="1:17" ht="14.4" customHeight="1" x14ac:dyDescent="0.3">
      <c r="A55" s="423" t="s">
        <v>747</v>
      </c>
      <c r="B55" s="424" t="s">
        <v>668</v>
      </c>
      <c r="C55" s="424" t="s">
        <v>669</v>
      </c>
      <c r="D55" s="424" t="s">
        <v>670</v>
      </c>
      <c r="E55" s="424" t="s">
        <v>671</v>
      </c>
      <c r="F55" s="427">
        <v>3</v>
      </c>
      <c r="G55" s="427">
        <v>32175</v>
      </c>
      <c r="H55" s="427">
        <v>1.4108129439621153</v>
      </c>
      <c r="I55" s="427">
        <v>10725</v>
      </c>
      <c r="J55" s="427">
        <v>2</v>
      </c>
      <c r="K55" s="427">
        <v>22806</v>
      </c>
      <c r="L55" s="427">
        <v>1</v>
      </c>
      <c r="M55" s="427">
        <v>11403</v>
      </c>
      <c r="N55" s="427"/>
      <c r="O55" s="427"/>
      <c r="P55" s="492"/>
      <c r="Q55" s="428"/>
    </row>
    <row r="56" spans="1:17" ht="14.4" customHeight="1" x14ac:dyDescent="0.3">
      <c r="A56" s="423" t="s">
        <v>747</v>
      </c>
      <c r="B56" s="424" t="s">
        <v>672</v>
      </c>
      <c r="C56" s="424" t="s">
        <v>669</v>
      </c>
      <c r="D56" s="424" t="s">
        <v>673</v>
      </c>
      <c r="E56" s="424" t="s">
        <v>674</v>
      </c>
      <c r="F56" s="427"/>
      <c r="G56" s="427"/>
      <c r="H56" s="427"/>
      <c r="I56" s="427"/>
      <c r="J56" s="427">
        <v>1</v>
      </c>
      <c r="K56" s="427">
        <v>136</v>
      </c>
      <c r="L56" s="427">
        <v>1</v>
      </c>
      <c r="M56" s="427">
        <v>136</v>
      </c>
      <c r="N56" s="427">
        <v>1</v>
      </c>
      <c r="O56" s="427">
        <v>136</v>
      </c>
      <c r="P56" s="492">
        <v>1</v>
      </c>
      <c r="Q56" s="428">
        <v>136</v>
      </c>
    </row>
    <row r="57" spans="1:17" ht="14.4" customHeight="1" x14ac:dyDescent="0.3">
      <c r="A57" s="423" t="s">
        <v>747</v>
      </c>
      <c r="B57" s="424" t="s">
        <v>672</v>
      </c>
      <c r="C57" s="424" t="s">
        <v>669</v>
      </c>
      <c r="D57" s="424" t="s">
        <v>681</v>
      </c>
      <c r="E57" s="424" t="s">
        <v>682</v>
      </c>
      <c r="F57" s="427">
        <v>1</v>
      </c>
      <c r="G57" s="427">
        <v>3721</v>
      </c>
      <c r="H57" s="427">
        <v>0.48665969134187809</v>
      </c>
      <c r="I57" s="427">
        <v>3721</v>
      </c>
      <c r="J57" s="427">
        <v>2</v>
      </c>
      <c r="K57" s="427">
        <v>7646</v>
      </c>
      <c r="L57" s="427">
        <v>1</v>
      </c>
      <c r="M57" s="427">
        <v>3823</v>
      </c>
      <c r="N57" s="427">
        <v>2</v>
      </c>
      <c r="O57" s="427">
        <v>7650</v>
      </c>
      <c r="P57" s="492">
        <v>1.000523149359142</v>
      </c>
      <c r="Q57" s="428">
        <v>3825</v>
      </c>
    </row>
    <row r="58" spans="1:17" ht="14.4" customHeight="1" x14ac:dyDescent="0.3">
      <c r="A58" s="423" t="s">
        <v>747</v>
      </c>
      <c r="B58" s="424" t="s">
        <v>672</v>
      </c>
      <c r="C58" s="424" t="s">
        <v>669</v>
      </c>
      <c r="D58" s="424" t="s">
        <v>687</v>
      </c>
      <c r="E58" s="424" t="s">
        <v>688</v>
      </c>
      <c r="F58" s="427">
        <v>1</v>
      </c>
      <c r="G58" s="427">
        <v>1621</v>
      </c>
      <c r="H58" s="427"/>
      <c r="I58" s="427">
        <v>1621</v>
      </c>
      <c r="J58" s="427"/>
      <c r="K58" s="427"/>
      <c r="L58" s="427"/>
      <c r="M58" s="427"/>
      <c r="N58" s="427"/>
      <c r="O58" s="427"/>
      <c r="P58" s="492"/>
      <c r="Q58" s="428"/>
    </row>
    <row r="59" spans="1:17" ht="14.4" customHeight="1" x14ac:dyDescent="0.3">
      <c r="A59" s="423" t="s">
        <v>747</v>
      </c>
      <c r="B59" s="424" t="s">
        <v>672</v>
      </c>
      <c r="C59" s="424" t="s">
        <v>669</v>
      </c>
      <c r="D59" s="424" t="s">
        <v>697</v>
      </c>
      <c r="E59" s="424" t="s">
        <v>698</v>
      </c>
      <c r="F59" s="427">
        <v>3</v>
      </c>
      <c r="G59" s="427">
        <v>48</v>
      </c>
      <c r="H59" s="427"/>
      <c r="I59" s="427">
        <v>16</v>
      </c>
      <c r="J59" s="427"/>
      <c r="K59" s="427"/>
      <c r="L59" s="427"/>
      <c r="M59" s="427"/>
      <c r="N59" s="427">
        <v>4</v>
      </c>
      <c r="O59" s="427">
        <v>68</v>
      </c>
      <c r="P59" s="492"/>
      <c r="Q59" s="428">
        <v>17</v>
      </c>
    </row>
    <row r="60" spans="1:17" ht="14.4" customHeight="1" x14ac:dyDescent="0.3">
      <c r="A60" s="423" t="s">
        <v>747</v>
      </c>
      <c r="B60" s="424" t="s">
        <v>672</v>
      </c>
      <c r="C60" s="424" t="s">
        <v>669</v>
      </c>
      <c r="D60" s="424" t="s">
        <v>699</v>
      </c>
      <c r="E60" s="424" t="s">
        <v>684</v>
      </c>
      <c r="F60" s="427">
        <v>6</v>
      </c>
      <c r="G60" s="427">
        <v>4176</v>
      </c>
      <c r="H60" s="427"/>
      <c r="I60" s="427">
        <v>696</v>
      </c>
      <c r="J60" s="427"/>
      <c r="K60" s="427"/>
      <c r="L60" s="427"/>
      <c r="M60" s="427"/>
      <c r="N60" s="427">
        <v>8</v>
      </c>
      <c r="O60" s="427">
        <v>5664</v>
      </c>
      <c r="P60" s="492"/>
      <c r="Q60" s="428">
        <v>708</v>
      </c>
    </row>
    <row r="61" spans="1:17" ht="14.4" customHeight="1" x14ac:dyDescent="0.3">
      <c r="A61" s="423" t="s">
        <v>747</v>
      </c>
      <c r="B61" s="424" t="s">
        <v>672</v>
      </c>
      <c r="C61" s="424" t="s">
        <v>669</v>
      </c>
      <c r="D61" s="424" t="s">
        <v>700</v>
      </c>
      <c r="E61" s="424" t="s">
        <v>686</v>
      </c>
      <c r="F61" s="427">
        <v>7</v>
      </c>
      <c r="G61" s="427">
        <v>9709</v>
      </c>
      <c r="H61" s="427">
        <v>1.3503477051460362</v>
      </c>
      <c r="I61" s="427">
        <v>1387</v>
      </c>
      <c r="J61" s="427">
        <v>5</v>
      </c>
      <c r="K61" s="427">
        <v>7190</v>
      </c>
      <c r="L61" s="427">
        <v>1</v>
      </c>
      <c r="M61" s="427">
        <v>1438</v>
      </c>
      <c r="N61" s="427">
        <v>5</v>
      </c>
      <c r="O61" s="427">
        <v>7195</v>
      </c>
      <c r="P61" s="492">
        <v>1.0006954102920724</v>
      </c>
      <c r="Q61" s="428">
        <v>1439</v>
      </c>
    </row>
    <row r="62" spans="1:17" ht="14.4" customHeight="1" x14ac:dyDescent="0.3">
      <c r="A62" s="423" t="s">
        <v>747</v>
      </c>
      <c r="B62" s="424" t="s">
        <v>672</v>
      </c>
      <c r="C62" s="424" t="s">
        <v>669</v>
      </c>
      <c r="D62" s="424" t="s">
        <v>701</v>
      </c>
      <c r="E62" s="424" t="s">
        <v>702</v>
      </c>
      <c r="F62" s="427">
        <v>4</v>
      </c>
      <c r="G62" s="427">
        <v>9364</v>
      </c>
      <c r="H62" s="427">
        <v>1.280809738749829</v>
      </c>
      <c r="I62" s="427">
        <v>2341</v>
      </c>
      <c r="J62" s="427">
        <v>3</v>
      </c>
      <c r="K62" s="427">
        <v>7311</v>
      </c>
      <c r="L62" s="427">
        <v>1</v>
      </c>
      <c r="M62" s="427">
        <v>2437</v>
      </c>
      <c r="N62" s="427">
        <v>4</v>
      </c>
      <c r="O62" s="427">
        <v>9752</v>
      </c>
      <c r="P62" s="492">
        <v>1.3338804541102449</v>
      </c>
      <c r="Q62" s="428">
        <v>2438</v>
      </c>
    </row>
    <row r="63" spans="1:17" ht="14.4" customHeight="1" x14ac:dyDescent="0.3">
      <c r="A63" s="423" t="s">
        <v>747</v>
      </c>
      <c r="B63" s="424" t="s">
        <v>672</v>
      </c>
      <c r="C63" s="424" t="s">
        <v>669</v>
      </c>
      <c r="D63" s="424" t="s">
        <v>703</v>
      </c>
      <c r="E63" s="424" t="s">
        <v>704</v>
      </c>
      <c r="F63" s="427">
        <v>6</v>
      </c>
      <c r="G63" s="427">
        <v>396</v>
      </c>
      <c r="H63" s="427"/>
      <c r="I63" s="427">
        <v>66</v>
      </c>
      <c r="J63" s="427"/>
      <c r="K63" s="427"/>
      <c r="L63" s="427"/>
      <c r="M63" s="427"/>
      <c r="N63" s="427">
        <v>8</v>
      </c>
      <c r="O63" s="427">
        <v>552</v>
      </c>
      <c r="P63" s="492"/>
      <c r="Q63" s="428">
        <v>69</v>
      </c>
    </row>
    <row r="64" spans="1:17" ht="14.4" customHeight="1" x14ac:dyDescent="0.3">
      <c r="A64" s="423" t="s">
        <v>747</v>
      </c>
      <c r="B64" s="424" t="s">
        <v>672</v>
      </c>
      <c r="C64" s="424" t="s">
        <v>669</v>
      </c>
      <c r="D64" s="424" t="s">
        <v>709</v>
      </c>
      <c r="E64" s="424" t="s">
        <v>710</v>
      </c>
      <c r="F64" s="427">
        <v>11</v>
      </c>
      <c r="G64" s="427">
        <v>6072</v>
      </c>
      <c r="H64" s="427">
        <v>1.5489795918367346</v>
      </c>
      <c r="I64" s="427">
        <v>552</v>
      </c>
      <c r="J64" s="427">
        <v>7</v>
      </c>
      <c r="K64" s="427">
        <v>3920</v>
      </c>
      <c r="L64" s="427">
        <v>1</v>
      </c>
      <c r="M64" s="427">
        <v>560</v>
      </c>
      <c r="N64" s="427">
        <v>19</v>
      </c>
      <c r="O64" s="427">
        <v>10640</v>
      </c>
      <c r="P64" s="492">
        <v>2.7142857142857144</v>
      </c>
      <c r="Q64" s="428">
        <v>560</v>
      </c>
    </row>
    <row r="65" spans="1:17" ht="14.4" customHeight="1" x14ac:dyDescent="0.3">
      <c r="A65" s="423" t="s">
        <v>747</v>
      </c>
      <c r="B65" s="424" t="s">
        <v>672</v>
      </c>
      <c r="C65" s="424" t="s">
        <v>669</v>
      </c>
      <c r="D65" s="424" t="s">
        <v>722</v>
      </c>
      <c r="E65" s="424" t="s">
        <v>723</v>
      </c>
      <c r="F65" s="427">
        <v>3</v>
      </c>
      <c r="G65" s="427">
        <v>4845</v>
      </c>
      <c r="H65" s="427">
        <v>1.4690721649484537</v>
      </c>
      <c r="I65" s="427">
        <v>1615</v>
      </c>
      <c r="J65" s="427">
        <v>2</v>
      </c>
      <c r="K65" s="427">
        <v>3298</v>
      </c>
      <c r="L65" s="427">
        <v>1</v>
      </c>
      <c r="M65" s="427">
        <v>1649</v>
      </c>
      <c r="N65" s="427">
        <v>1</v>
      </c>
      <c r="O65" s="427">
        <v>1649</v>
      </c>
      <c r="P65" s="492">
        <v>0.5</v>
      </c>
      <c r="Q65" s="428">
        <v>1649</v>
      </c>
    </row>
    <row r="66" spans="1:17" ht="14.4" customHeight="1" x14ac:dyDescent="0.3">
      <c r="A66" s="423" t="s">
        <v>748</v>
      </c>
      <c r="B66" s="424" t="s">
        <v>672</v>
      </c>
      <c r="C66" s="424" t="s">
        <v>669</v>
      </c>
      <c r="D66" s="424" t="s">
        <v>673</v>
      </c>
      <c r="E66" s="424" t="s">
        <v>674</v>
      </c>
      <c r="F66" s="427">
        <v>2</v>
      </c>
      <c r="G66" s="427">
        <v>256</v>
      </c>
      <c r="H66" s="427"/>
      <c r="I66" s="427">
        <v>128</v>
      </c>
      <c r="J66" s="427"/>
      <c r="K66" s="427"/>
      <c r="L66" s="427"/>
      <c r="M66" s="427"/>
      <c r="N66" s="427"/>
      <c r="O66" s="427"/>
      <c r="P66" s="492"/>
      <c r="Q66" s="428"/>
    </row>
    <row r="67" spans="1:17" ht="14.4" customHeight="1" x14ac:dyDescent="0.3">
      <c r="A67" s="423" t="s">
        <v>748</v>
      </c>
      <c r="B67" s="424" t="s">
        <v>672</v>
      </c>
      <c r="C67" s="424" t="s">
        <v>669</v>
      </c>
      <c r="D67" s="424" t="s">
        <v>693</v>
      </c>
      <c r="E67" s="424" t="s">
        <v>694</v>
      </c>
      <c r="F67" s="427">
        <v>4</v>
      </c>
      <c r="G67" s="427">
        <v>5844</v>
      </c>
      <c r="H67" s="427"/>
      <c r="I67" s="427">
        <v>1461</v>
      </c>
      <c r="J67" s="427"/>
      <c r="K67" s="427"/>
      <c r="L67" s="427"/>
      <c r="M67" s="427"/>
      <c r="N67" s="427"/>
      <c r="O67" s="427"/>
      <c r="P67" s="492"/>
      <c r="Q67" s="428"/>
    </row>
    <row r="68" spans="1:17" ht="14.4" customHeight="1" x14ac:dyDescent="0.3">
      <c r="A68" s="423" t="s">
        <v>748</v>
      </c>
      <c r="B68" s="424" t="s">
        <v>672</v>
      </c>
      <c r="C68" s="424" t="s">
        <v>669</v>
      </c>
      <c r="D68" s="424" t="s">
        <v>699</v>
      </c>
      <c r="E68" s="424" t="s">
        <v>684</v>
      </c>
      <c r="F68" s="427">
        <v>1</v>
      </c>
      <c r="G68" s="427">
        <v>696</v>
      </c>
      <c r="H68" s="427"/>
      <c r="I68" s="427">
        <v>696</v>
      </c>
      <c r="J68" s="427"/>
      <c r="K68" s="427"/>
      <c r="L68" s="427"/>
      <c r="M68" s="427"/>
      <c r="N68" s="427"/>
      <c r="O68" s="427"/>
      <c r="P68" s="492"/>
      <c r="Q68" s="428"/>
    </row>
    <row r="69" spans="1:17" ht="14.4" customHeight="1" x14ac:dyDescent="0.3">
      <c r="A69" s="423" t="s">
        <v>748</v>
      </c>
      <c r="B69" s="424" t="s">
        <v>672</v>
      </c>
      <c r="C69" s="424" t="s">
        <v>669</v>
      </c>
      <c r="D69" s="424" t="s">
        <v>703</v>
      </c>
      <c r="E69" s="424" t="s">
        <v>704</v>
      </c>
      <c r="F69" s="427">
        <v>1</v>
      </c>
      <c r="G69" s="427">
        <v>66</v>
      </c>
      <c r="H69" s="427"/>
      <c r="I69" s="427">
        <v>66</v>
      </c>
      <c r="J69" s="427"/>
      <c r="K69" s="427"/>
      <c r="L69" s="427"/>
      <c r="M69" s="427"/>
      <c r="N69" s="427"/>
      <c r="O69" s="427"/>
      <c r="P69" s="492"/>
      <c r="Q69" s="428"/>
    </row>
    <row r="70" spans="1:17" ht="14.4" customHeight="1" x14ac:dyDescent="0.3">
      <c r="A70" s="423" t="s">
        <v>748</v>
      </c>
      <c r="B70" s="424" t="s">
        <v>672</v>
      </c>
      <c r="C70" s="424" t="s">
        <v>669</v>
      </c>
      <c r="D70" s="424" t="s">
        <v>705</v>
      </c>
      <c r="E70" s="424" t="s">
        <v>706</v>
      </c>
      <c r="F70" s="427">
        <v>4</v>
      </c>
      <c r="G70" s="427">
        <v>1604</v>
      </c>
      <c r="H70" s="427"/>
      <c r="I70" s="427">
        <v>401</v>
      </c>
      <c r="J70" s="427"/>
      <c r="K70" s="427"/>
      <c r="L70" s="427"/>
      <c r="M70" s="427"/>
      <c r="N70" s="427"/>
      <c r="O70" s="427"/>
      <c r="P70" s="492"/>
      <c r="Q70" s="428"/>
    </row>
    <row r="71" spans="1:17" ht="14.4" customHeight="1" x14ac:dyDescent="0.3">
      <c r="A71" s="423" t="s">
        <v>748</v>
      </c>
      <c r="B71" s="424" t="s">
        <v>672</v>
      </c>
      <c r="C71" s="424" t="s">
        <v>669</v>
      </c>
      <c r="D71" s="424" t="s">
        <v>709</v>
      </c>
      <c r="E71" s="424" t="s">
        <v>710</v>
      </c>
      <c r="F71" s="427">
        <v>17</v>
      </c>
      <c r="G71" s="427">
        <v>9384</v>
      </c>
      <c r="H71" s="427"/>
      <c r="I71" s="427">
        <v>552</v>
      </c>
      <c r="J71" s="427"/>
      <c r="K71" s="427"/>
      <c r="L71" s="427"/>
      <c r="M71" s="427"/>
      <c r="N71" s="427">
        <v>20</v>
      </c>
      <c r="O71" s="427">
        <v>11200</v>
      </c>
      <c r="P71" s="492"/>
      <c r="Q71" s="428">
        <v>560</v>
      </c>
    </row>
    <row r="72" spans="1:17" ht="14.4" customHeight="1" x14ac:dyDescent="0.3">
      <c r="A72" s="423" t="s">
        <v>748</v>
      </c>
      <c r="B72" s="424" t="s">
        <v>672</v>
      </c>
      <c r="C72" s="424" t="s">
        <v>669</v>
      </c>
      <c r="D72" s="424" t="s">
        <v>717</v>
      </c>
      <c r="E72" s="424" t="s">
        <v>718</v>
      </c>
      <c r="F72" s="427">
        <v>2</v>
      </c>
      <c r="G72" s="427">
        <v>852</v>
      </c>
      <c r="H72" s="427"/>
      <c r="I72" s="427">
        <v>426</v>
      </c>
      <c r="J72" s="427"/>
      <c r="K72" s="427"/>
      <c r="L72" s="427"/>
      <c r="M72" s="427"/>
      <c r="N72" s="427">
        <v>1</v>
      </c>
      <c r="O72" s="427">
        <v>429</v>
      </c>
      <c r="P72" s="492"/>
      <c r="Q72" s="428">
        <v>429</v>
      </c>
    </row>
    <row r="73" spans="1:17" ht="14.4" customHeight="1" x14ac:dyDescent="0.3">
      <c r="A73" s="423" t="s">
        <v>748</v>
      </c>
      <c r="B73" s="424" t="s">
        <v>672</v>
      </c>
      <c r="C73" s="424" t="s">
        <v>669</v>
      </c>
      <c r="D73" s="424" t="s">
        <v>722</v>
      </c>
      <c r="E73" s="424" t="s">
        <v>723</v>
      </c>
      <c r="F73" s="427">
        <v>1</v>
      </c>
      <c r="G73" s="427">
        <v>1615</v>
      </c>
      <c r="H73" s="427"/>
      <c r="I73" s="427">
        <v>1615</v>
      </c>
      <c r="J73" s="427"/>
      <c r="K73" s="427"/>
      <c r="L73" s="427"/>
      <c r="M73" s="427"/>
      <c r="N73" s="427">
        <v>4</v>
      </c>
      <c r="O73" s="427">
        <v>6596</v>
      </c>
      <c r="P73" s="492"/>
      <c r="Q73" s="428">
        <v>1649</v>
      </c>
    </row>
    <row r="74" spans="1:17" ht="14.4" customHeight="1" x14ac:dyDescent="0.3">
      <c r="A74" s="423" t="s">
        <v>667</v>
      </c>
      <c r="B74" s="424" t="s">
        <v>672</v>
      </c>
      <c r="C74" s="424" t="s">
        <v>669</v>
      </c>
      <c r="D74" s="424" t="s">
        <v>673</v>
      </c>
      <c r="E74" s="424" t="s">
        <v>674</v>
      </c>
      <c r="F74" s="427">
        <v>4</v>
      </c>
      <c r="G74" s="427">
        <v>512</v>
      </c>
      <c r="H74" s="427"/>
      <c r="I74" s="427">
        <v>128</v>
      </c>
      <c r="J74" s="427"/>
      <c r="K74" s="427"/>
      <c r="L74" s="427"/>
      <c r="M74" s="427"/>
      <c r="N74" s="427"/>
      <c r="O74" s="427"/>
      <c r="P74" s="492"/>
      <c r="Q74" s="428"/>
    </row>
    <row r="75" spans="1:17" ht="14.4" customHeight="1" x14ac:dyDescent="0.3">
      <c r="A75" s="423" t="s">
        <v>667</v>
      </c>
      <c r="B75" s="424" t="s">
        <v>672</v>
      </c>
      <c r="C75" s="424" t="s">
        <v>669</v>
      </c>
      <c r="D75" s="424" t="s">
        <v>693</v>
      </c>
      <c r="E75" s="424" t="s">
        <v>694</v>
      </c>
      <c r="F75" s="427">
        <v>4</v>
      </c>
      <c r="G75" s="427">
        <v>5844</v>
      </c>
      <c r="H75" s="427"/>
      <c r="I75" s="427">
        <v>1461</v>
      </c>
      <c r="J75" s="427"/>
      <c r="K75" s="427"/>
      <c r="L75" s="427"/>
      <c r="M75" s="427"/>
      <c r="N75" s="427"/>
      <c r="O75" s="427"/>
      <c r="P75" s="492"/>
      <c r="Q75" s="428"/>
    </row>
    <row r="76" spans="1:17" ht="14.4" customHeight="1" x14ac:dyDescent="0.3">
      <c r="A76" s="423" t="s">
        <v>667</v>
      </c>
      <c r="B76" s="424" t="s">
        <v>672</v>
      </c>
      <c r="C76" s="424" t="s">
        <v>669</v>
      </c>
      <c r="D76" s="424" t="s">
        <v>705</v>
      </c>
      <c r="E76" s="424" t="s">
        <v>706</v>
      </c>
      <c r="F76" s="427">
        <v>4</v>
      </c>
      <c r="G76" s="427">
        <v>1604</v>
      </c>
      <c r="H76" s="427"/>
      <c r="I76" s="427">
        <v>401</v>
      </c>
      <c r="J76" s="427"/>
      <c r="K76" s="427"/>
      <c r="L76" s="427"/>
      <c r="M76" s="427"/>
      <c r="N76" s="427"/>
      <c r="O76" s="427"/>
      <c r="P76" s="492"/>
      <c r="Q76" s="428"/>
    </row>
    <row r="77" spans="1:17" ht="14.4" customHeight="1" x14ac:dyDescent="0.3">
      <c r="A77" s="423" t="s">
        <v>667</v>
      </c>
      <c r="B77" s="424" t="s">
        <v>672</v>
      </c>
      <c r="C77" s="424" t="s">
        <v>669</v>
      </c>
      <c r="D77" s="424" t="s">
        <v>709</v>
      </c>
      <c r="E77" s="424" t="s">
        <v>710</v>
      </c>
      <c r="F77" s="427">
        <v>15</v>
      </c>
      <c r="G77" s="427">
        <v>8280</v>
      </c>
      <c r="H77" s="427"/>
      <c r="I77" s="427">
        <v>552</v>
      </c>
      <c r="J77" s="427"/>
      <c r="K77" s="427"/>
      <c r="L77" s="427"/>
      <c r="M77" s="427"/>
      <c r="N77" s="427"/>
      <c r="O77" s="427"/>
      <c r="P77" s="492"/>
      <c r="Q77" s="428"/>
    </row>
    <row r="78" spans="1:17" ht="14.4" customHeight="1" x14ac:dyDescent="0.3">
      <c r="A78" s="423" t="s">
        <v>667</v>
      </c>
      <c r="B78" s="424" t="s">
        <v>672</v>
      </c>
      <c r="C78" s="424" t="s">
        <v>669</v>
      </c>
      <c r="D78" s="424" t="s">
        <v>717</v>
      </c>
      <c r="E78" s="424" t="s">
        <v>718</v>
      </c>
      <c r="F78" s="427">
        <v>12</v>
      </c>
      <c r="G78" s="427">
        <v>5112</v>
      </c>
      <c r="H78" s="427">
        <v>11.916083916083917</v>
      </c>
      <c r="I78" s="427">
        <v>426</v>
      </c>
      <c r="J78" s="427">
        <v>1</v>
      </c>
      <c r="K78" s="427">
        <v>429</v>
      </c>
      <c r="L78" s="427">
        <v>1</v>
      </c>
      <c r="M78" s="427">
        <v>429</v>
      </c>
      <c r="N78" s="427">
        <v>1</v>
      </c>
      <c r="O78" s="427">
        <v>429</v>
      </c>
      <c r="P78" s="492">
        <v>1</v>
      </c>
      <c r="Q78" s="428">
        <v>429</v>
      </c>
    </row>
    <row r="79" spans="1:17" ht="14.4" customHeight="1" x14ac:dyDescent="0.3">
      <c r="A79" s="423" t="s">
        <v>667</v>
      </c>
      <c r="B79" s="424" t="s">
        <v>672</v>
      </c>
      <c r="C79" s="424" t="s">
        <v>669</v>
      </c>
      <c r="D79" s="424" t="s">
        <v>722</v>
      </c>
      <c r="E79" s="424" t="s">
        <v>723</v>
      </c>
      <c r="F79" s="427">
        <v>1</v>
      </c>
      <c r="G79" s="427">
        <v>1615</v>
      </c>
      <c r="H79" s="427">
        <v>0.97938144329896903</v>
      </c>
      <c r="I79" s="427">
        <v>1615</v>
      </c>
      <c r="J79" s="427">
        <v>1</v>
      </c>
      <c r="K79" s="427">
        <v>1649</v>
      </c>
      <c r="L79" s="427">
        <v>1</v>
      </c>
      <c r="M79" s="427">
        <v>1649</v>
      </c>
      <c r="N79" s="427"/>
      <c r="O79" s="427"/>
      <c r="P79" s="492"/>
      <c r="Q79" s="428"/>
    </row>
    <row r="80" spans="1:17" ht="14.4" customHeight="1" x14ac:dyDescent="0.3">
      <c r="A80" s="423" t="s">
        <v>749</v>
      </c>
      <c r="B80" s="424" t="s">
        <v>672</v>
      </c>
      <c r="C80" s="424" t="s">
        <v>669</v>
      </c>
      <c r="D80" s="424" t="s">
        <v>673</v>
      </c>
      <c r="E80" s="424" t="s">
        <v>674</v>
      </c>
      <c r="F80" s="427">
        <v>2</v>
      </c>
      <c r="G80" s="427">
        <v>256</v>
      </c>
      <c r="H80" s="427"/>
      <c r="I80" s="427">
        <v>128</v>
      </c>
      <c r="J80" s="427"/>
      <c r="K80" s="427"/>
      <c r="L80" s="427"/>
      <c r="M80" s="427"/>
      <c r="N80" s="427">
        <v>2</v>
      </c>
      <c r="O80" s="427">
        <v>272</v>
      </c>
      <c r="P80" s="492"/>
      <c r="Q80" s="428">
        <v>136</v>
      </c>
    </row>
    <row r="81" spans="1:17" ht="14.4" customHeight="1" x14ac:dyDescent="0.3">
      <c r="A81" s="423" t="s">
        <v>749</v>
      </c>
      <c r="B81" s="424" t="s">
        <v>672</v>
      </c>
      <c r="C81" s="424" t="s">
        <v>669</v>
      </c>
      <c r="D81" s="424" t="s">
        <v>681</v>
      </c>
      <c r="E81" s="424" t="s">
        <v>682</v>
      </c>
      <c r="F81" s="427"/>
      <c r="G81" s="427"/>
      <c r="H81" s="427"/>
      <c r="I81" s="427"/>
      <c r="J81" s="427">
        <v>2</v>
      </c>
      <c r="K81" s="427">
        <v>7646</v>
      </c>
      <c r="L81" s="427">
        <v>1</v>
      </c>
      <c r="M81" s="427">
        <v>3823</v>
      </c>
      <c r="N81" s="427">
        <v>9</v>
      </c>
      <c r="O81" s="427">
        <v>34425</v>
      </c>
      <c r="P81" s="492">
        <v>4.5023541721161395</v>
      </c>
      <c r="Q81" s="428">
        <v>3825</v>
      </c>
    </row>
    <row r="82" spans="1:17" ht="14.4" customHeight="1" x14ac:dyDescent="0.3">
      <c r="A82" s="423" t="s">
        <v>749</v>
      </c>
      <c r="B82" s="424" t="s">
        <v>672</v>
      </c>
      <c r="C82" s="424" t="s">
        <v>669</v>
      </c>
      <c r="D82" s="424" t="s">
        <v>683</v>
      </c>
      <c r="E82" s="424" t="s">
        <v>684</v>
      </c>
      <c r="F82" s="427">
        <v>5</v>
      </c>
      <c r="G82" s="427">
        <v>2195</v>
      </c>
      <c r="H82" s="427">
        <v>0.54806491885143571</v>
      </c>
      <c r="I82" s="427">
        <v>439</v>
      </c>
      <c r="J82" s="427">
        <v>9</v>
      </c>
      <c r="K82" s="427">
        <v>4005</v>
      </c>
      <c r="L82" s="427">
        <v>1</v>
      </c>
      <c r="M82" s="427">
        <v>445</v>
      </c>
      <c r="N82" s="427">
        <v>6</v>
      </c>
      <c r="O82" s="427">
        <v>2670</v>
      </c>
      <c r="P82" s="492">
        <v>0.66666666666666663</v>
      </c>
      <c r="Q82" s="428">
        <v>445</v>
      </c>
    </row>
    <row r="83" spans="1:17" ht="14.4" customHeight="1" x14ac:dyDescent="0.3">
      <c r="A83" s="423" t="s">
        <v>749</v>
      </c>
      <c r="B83" s="424" t="s">
        <v>672</v>
      </c>
      <c r="C83" s="424" t="s">
        <v>669</v>
      </c>
      <c r="D83" s="424" t="s">
        <v>685</v>
      </c>
      <c r="E83" s="424" t="s">
        <v>686</v>
      </c>
      <c r="F83" s="427">
        <v>4</v>
      </c>
      <c r="G83" s="427">
        <v>3344</v>
      </c>
      <c r="H83" s="427">
        <v>0.98007033997655335</v>
      </c>
      <c r="I83" s="427">
        <v>836</v>
      </c>
      <c r="J83" s="427">
        <v>4</v>
      </c>
      <c r="K83" s="427">
        <v>3412</v>
      </c>
      <c r="L83" s="427">
        <v>1</v>
      </c>
      <c r="M83" s="427">
        <v>853</v>
      </c>
      <c r="N83" s="427">
        <v>5</v>
      </c>
      <c r="O83" s="427">
        <v>4270</v>
      </c>
      <c r="P83" s="492">
        <v>1.2514654161781946</v>
      </c>
      <c r="Q83" s="428">
        <v>854</v>
      </c>
    </row>
    <row r="84" spans="1:17" ht="14.4" customHeight="1" x14ac:dyDescent="0.3">
      <c r="A84" s="423" t="s">
        <v>749</v>
      </c>
      <c r="B84" s="424" t="s">
        <v>672</v>
      </c>
      <c r="C84" s="424" t="s">
        <v>669</v>
      </c>
      <c r="D84" s="424" t="s">
        <v>687</v>
      </c>
      <c r="E84" s="424" t="s">
        <v>688</v>
      </c>
      <c r="F84" s="427">
        <v>1</v>
      </c>
      <c r="G84" s="427">
        <v>1621</v>
      </c>
      <c r="H84" s="427">
        <v>0.48972809667673717</v>
      </c>
      <c r="I84" s="427">
        <v>1621</v>
      </c>
      <c r="J84" s="427">
        <v>2</v>
      </c>
      <c r="K84" s="427">
        <v>3310</v>
      </c>
      <c r="L84" s="427">
        <v>1</v>
      </c>
      <c r="M84" s="427">
        <v>1655</v>
      </c>
      <c r="N84" s="427">
        <v>2</v>
      </c>
      <c r="O84" s="427">
        <v>3310</v>
      </c>
      <c r="P84" s="492">
        <v>1</v>
      </c>
      <c r="Q84" s="428">
        <v>1655</v>
      </c>
    </row>
    <row r="85" spans="1:17" ht="14.4" customHeight="1" x14ac:dyDescent="0.3">
      <c r="A85" s="423" t="s">
        <v>749</v>
      </c>
      <c r="B85" s="424" t="s">
        <v>672</v>
      </c>
      <c r="C85" s="424" t="s">
        <v>669</v>
      </c>
      <c r="D85" s="424" t="s">
        <v>693</v>
      </c>
      <c r="E85" s="424" t="s">
        <v>694</v>
      </c>
      <c r="F85" s="427">
        <v>6</v>
      </c>
      <c r="G85" s="427">
        <v>8766</v>
      </c>
      <c r="H85" s="427">
        <v>5.7557452396585687</v>
      </c>
      <c r="I85" s="427">
        <v>1461</v>
      </c>
      <c r="J85" s="427">
        <v>1</v>
      </c>
      <c r="K85" s="427">
        <v>1523</v>
      </c>
      <c r="L85" s="427">
        <v>1</v>
      </c>
      <c r="M85" s="427">
        <v>1523</v>
      </c>
      <c r="N85" s="427"/>
      <c r="O85" s="427"/>
      <c r="P85" s="492"/>
      <c r="Q85" s="428"/>
    </row>
    <row r="86" spans="1:17" ht="14.4" customHeight="1" x14ac:dyDescent="0.3">
      <c r="A86" s="423" t="s">
        <v>749</v>
      </c>
      <c r="B86" s="424" t="s">
        <v>672</v>
      </c>
      <c r="C86" s="424" t="s">
        <v>669</v>
      </c>
      <c r="D86" s="424" t="s">
        <v>697</v>
      </c>
      <c r="E86" s="424" t="s">
        <v>698</v>
      </c>
      <c r="F86" s="427">
        <v>5</v>
      </c>
      <c r="G86" s="427">
        <v>80</v>
      </c>
      <c r="H86" s="427">
        <v>0.94117647058823528</v>
      </c>
      <c r="I86" s="427">
        <v>16</v>
      </c>
      <c r="J86" s="427">
        <v>5</v>
      </c>
      <c r="K86" s="427">
        <v>85</v>
      </c>
      <c r="L86" s="427">
        <v>1</v>
      </c>
      <c r="M86" s="427">
        <v>17</v>
      </c>
      <c r="N86" s="427">
        <v>10</v>
      </c>
      <c r="O86" s="427">
        <v>170</v>
      </c>
      <c r="P86" s="492">
        <v>2</v>
      </c>
      <c r="Q86" s="428">
        <v>17</v>
      </c>
    </row>
    <row r="87" spans="1:17" ht="14.4" customHeight="1" x14ac:dyDescent="0.3">
      <c r="A87" s="423" t="s">
        <v>749</v>
      </c>
      <c r="B87" s="424" t="s">
        <v>672</v>
      </c>
      <c r="C87" s="424" t="s">
        <v>669</v>
      </c>
      <c r="D87" s="424" t="s">
        <v>699</v>
      </c>
      <c r="E87" s="424" t="s">
        <v>684</v>
      </c>
      <c r="F87" s="427">
        <v>6</v>
      </c>
      <c r="G87" s="427">
        <v>4176</v>
      </c>
      <c r="H87" s="427">
        <v>2.9491525423728815</v>
      </c>
      <c r="I87" s="427">
        <v>696</v>
      </c>
      <c r="J87" s="427">
        <v>2</v>
      </c>
      <c r="K87" s="427">
        <v>1416</v>
      </c>
      <c r="L87" s="427">
        <v>1</v>
      </c>
      <c r="M87" s="427">
        <v>708</v>
      </c>
      <c r="N87" s="427">
        <v>21</v>
      </c>
      <c r="O87" s="427">
        <v>14868</v>
      </c>
      <c r="P87" s="492">
        <v>10.5</v>
      </c>
      <c r="Q87" s="428">
        <v>708</v>
      </c>
    </row>
    <row r="88" spans="1:17" ht="14.4" customHeight="1" x14ac:dyDescent="0.3">
      <c r="A88" s="423" t="s">
        <v>749</v>
      </c>
      <c r="B88" s="424" t="s">
        <v>672</v>
      </c>
      <c r="C88" s="424" t="s">
        <v>669</v>
      </c>
      <c r="D88" s="424" t="s">
        <v>700</v>
      </c>
      <c r="E88" s="424" t="s">
        <v>686</v>
      </c>
      <c r="F88" s="427"/>
      <c r="G88" s="427"/>
      <c r="H88" s="427"/>
      <c r="I88" s="427"/>
      <c r="J88" s="427">
        <v>9</v>
      </c>
      <c r="K88" s="427">
        <v>12942</v>
      </c>
      <c r="L88" s="427">
        <v>1</v>
      </c>
      <c r="M88" s="427">
        <v>1438</v>
      </c>
      <c r="N88" s="427">
        <v>32</v>
      </c>
      <c r="O88" s="427">
        <v>46048</v>
      </c>
      <c r="P88" s="492">
        <v>3.5580281254829238</v>
      </c>
      <c r="Q88" s="428">
        <v>1439</v>
      </c>
    </row>
    <row r="89" spans="1:17" ht="14.4" customHeight="1" x14ac:dyDescent="0.3">
      <c r="A89" s="423" t="s">
        <v>749</v>
      </c>
      <c r="B89" s="424" t="s">
        <v>672</v>
      </c>
      <c r="C89" s="424" t="s">
        <v>669</v>
      </c>
      <c r="D89" s="424" t="s">
        <v>701</v>
      </c>
      <c r="E89" s="424" t="s">
        <v>702</v>
      </c>
      <c r="F89" s="427"/>
      <c r="G89" s="427"/>
      <c r="H89" s="427"/>
      <c r="I89" s="427"/>
      <c r="J89" s="427">
        <v>7</v>
      </c>
      <c r="K89" s="427">
        <v>17059</v>
      </c>
      <c r="L89" s="427">
        <v>1</v>
      </c>
      <c r="M89" s="427">
        <v>2437</v>
      </c>
      <c r="N89" s="427">
        <v>27</v>
      </c>
      <c r="O89" s="427">
        <v>65826</v>
      </c>
      <c r="P89" s="492">
        <v>3.8587255993903513</v>
      </c>
      <c r="Q89" s="428">
        <v>2438</v>
      </c>
    </row>
    <row r="90" spans="1:17" ht="14.4" customHeight="1" x14ac:dyDescent="0.3">
      <c r="A90" s="423" t="s">
        <v>749</v>
      </c>
      <c r="B90" s="424" t="s">
        <v>672</v>
      </c>
      <c r="C90" s="424" t="s">
        <v>669</v>
      </c>
      <c r="D90" s="424" t="s">
        <v>703</v>
      </c>
      <c r="E90" s="424" t="s">
        <v>704</v>
      </c>
      <c r="F90" s="427">
        <v>9</v>
      </c>
      <c r="G90" s="427">
        <v>594</v>
      </c>
      <c r="H90" s="427">
        <v>1.076086956521739</v>
      </c>
      <c r="I90" s="427">
        <v>66</v>
      </c>
      <c r="J90" s="427">
        <v>8</v>
      </c>
      <c r="K90" s="427">
        <v>552</v>
      </c>
      <c r="L90" s="427">
        <v>1</v>
      </c>
      <c r="M90" s="427">
        <v>69</v>
      </c>
      <c r="N90" s="427">
        <v>22</v>
      </c>
      <c r="O90" s="427">
        <v>1518</v>
      </c>
      <c r="P90" s="492">
        <v>2.75</v>
      </c>
      <c r="Q90" s="428">
        <v>69</v>
      </c>
    </row>
    <row r="91" spans="1:17" ht="14.4" customHeight="1" x14ac:dyDescent="0.3">
      <c r="A91" s="423" t="s">
        <v>749</v>
      </c>
      <c r="B91" s="424" t="s">
        <v>672</v>
      </c>
      <c r="C91" s="424" t="s">
        <v>669</v>
      </c>
      <c r="D91" s="424" t="s">
        <v>705</v>
      </c>
      <c r="E91" s="424" t="s">
        <v>706</v>
      </c>
      <c r="F91" s="427">
        <v>6</v>
      </c>
      <c r="G91" s="427">
        <v>2406</v>
      </c>
      <c r="H91" s="427">
        <v>5.9115479115479115</v>
      </c>
      <c r="I91" s="427">
        <v>401</v>
      </c>
      <c r="J91" s="427">
        <v>1</v>
      </c>
      <c r="K91" s="427">
        <v>407</v>
      </c>
      <c r="L91" s="427">
        <v>1</v>
      </c>
      <c r="M91" s="427">
        <v>407</v>
      </c>
      <c r="N91" s="427"/>
      <c r="O91" s="427"/>
      <c r="P91" s="492"/>
      <c r="Q91" s="428"/>
    </row>
    <row r="92" spans="1:17" ht="14.4" customHeight="1" x14ac:dyDescent="0.3">
      <c r="A92" s="423" t="s">
        <v>749</v>
      </c>
      <c r="B92" s="424" t="s">
        <v>672</v>
      </c>
      <c r="C92" s="424" t="s">
        <v>669</v>
      </c>
      <c r="D92" s="424" t="s">
        <v>707</v>
      </c>
      <c r="E92" s="424" t="s">
        <v>708</v>
      </c>
      <c r="F92" s="427">
        <v>1</v>
      </c>
      <c r="G92" s="427">
        <v>1613</v>
      </c>
      <c r="H92" s="427">
        <v>0.32311698717948717</v>
      </c>
      <c r="I92" s="427">
        <v>1613</v>
      </c>
      <c r="J92" s="427">
        <v>3</v>
      </c>
      <c r="K92" s="427">
        <v>4992</v>
      </c>
      <c r="L92" s="427">
        <v>1</v>
      </c>
      <c r="M92" s="427">
        <v>1664</v>
      </c>
      <c r="N92" s="427">
        <v>4</v>
      </c>
      <c r="O92" s="427">
        <v>6660</v>
      </c>
      <c r="P92" s="492">
        <v>1.3341346153846154</v>
      </c>
      <c r="Q92" s="428">
        <v>1665</v>
      </c>
    </row>
    <row r="93" spans="1:17" ht="14.4" customHeight="1" x14ac:dyDescent="0.3">
      <c r="A93" s="423" t="s">
        <v>749</v>
      </c>
      <c r="B93" s="424" t="s">
        <v>672</v>
      </c>
      <c r="C93" s="424" t="s">
        <v>669</v>
      </c>
      <c r="D93" s="424" t="s">
        <v>709</v>
      </c>
      <c r="E93" s="424" t="s">
        <v>710</v>
      </c>
      <c r="F93" s="427">
        <v>22</v>
      </c>
      <c r="G93" s="427">
        <v>12144</v>
      </c>
      <c r="H93" s="427">
        <v>0.63781512605042012</v>
      </c>
      <c r="I93" s="427">
        <v>552</v>
      </c>
      <c r="J93" s="427">
        <v>34</v>
      </c>
      <c r="K93" s="427">
        <v>19040</v>
      </c>
      <c r="L93" s="427">
        <v>1</v>
      </c>
      <c r="M93" s="427">
        <v>560</v>
      </c>
      <c r="N93" s="427">
        <v>127</v>
      </c>
      <c r="O93" s="427">
        <v>71120</v>
      </c>
      <c r="P93" s="492">
        <v>3.7352941176470589</v>
      </c>
      <c r="Q93" s="428">
        <v>560</v>
      </c>
    </row>
    <row r="94" spans="1:17" ht="14.4" customHeight="1" x14ac:dyDescent="0.3">
      <c r="A94" s="423" t="s">
        <v>749</v>
      </c>
      <c r="B94" s="424" t="s">
        <v>672</v>
      </c>
      <c r="C94" s="424" t="s">
        <v>669</v>
      </c>
      <c r="D94" s="424" t="s">
        <v>717</v>
      </c>
      <c r="E94" s="424" t="s">
        <v>718</v>
      </c>
      <c r="F94" s="427">
        <v>22</v>
      </c>
      <c r="G94" s="427">
        <v>9372</v>
      </c>
      <c r="H94" s="427">
        <v>0.75331564986737398</v>
      </c>
      <c r="I94" s="427">
        <v>426</v>
      </c>
      <c r="J94" s="427">
        <v>29</v>
      </c>
      <c r="K94" s="427">
        <v>12441</v>
      </c>
      <c r="L94" s="427">
        <v>1</v>
      </c>
      <c r="M94" s="427">
        <v>429</v>
      </c>
      <c r="N94" s="427">
        <v>44</v>
      </c>
      <c r="O94" s="427">
        <v>18876</v>
      </c>
      <c r="P94" s="492">
        <v>1.5172413793103448</v>
      </c>
      <c r="Q94" s="428">
        <v>429</v>
      </c>
    </row>
    <row r="95" spans="1:17" ht="14.4" customHeight="1" x14ac:dyDescent="0.3">
      <c r="A95" s="423" t="s">
        <v>749</v>
      </c>
      <c r="B95" s="424" t="s">
        <v>672</v>
      </c>
      <c r="C95" s="424" t="s">
        <v>669</v>
      </c>
      <c r="D95" s="424" t="s">
        <v>722</v>
      </c>
      <c r="E95" s="424" t="s">
        <v>723</v>
      </c>
      <c r="F95" s="427">
        <v>2</v>
      </c>
      <c r="G95" s="427">
        <v>3230</v>
      </c>
      <c r="H95" s="427">
        <v>0.19587628865979381</v>
      </c>
      <c r="I95" s="427">
        <v>1615</v>
      </c>
      <c r="J95" s="427">
        <v>10</v>
      </c>
      <c r="K95" s="427">
        <v>16490</v>
      </c>
      <c r="L95" s="427">
        <v>1</v>
      </c>
      <c r="M95" s="427">
        <v>1649</v>
      </c>
      <c r="N95" s="427">
        <v>34</v>
      </c>
      <c r="O95" s="427">
        <v>56066</v>
      </c>
      <c r="P95" s="492">
        <v>3.4</v>
      </c>
      <c r="Q95" s="428">
        <v>1649</v>
      </c>
    </row>
    <row r="96" spans="1:17" ht="14.4" customHeight="1" x14ac:dyDescent="0.3">
      <c r="A96" s="423" t="s">
        <v>750</v>
      </c>
      <c r="B96" s="424" t="s">
        <v>672</v>
      </c>
      <c r="C96" s="424" t="s">
        <v>669</v>
      </c>
      <c r="D96" s="424" t="s">
        <v>681</v>
      </c>
      <c r="E96" s="424" t="s">
        <v>682</v>
      </c>
      <c r="F96" s="427">
        <v>1</v>
      </c>
      <c r="G96" s="427">
        <v>3721</v>
      </c>
      <c r="H96" s="427"/>
      <c r="I96" s="427">
        <v>3721</v>
      </c>
      <c r="J96" s="427"/>
      <c r="K96" s="427"/>
      <c r="L96" s="427"/>
      <c r="M96" s="427"/>
      <c r="N96" s="427"/>
      <c r="O96" s="427"/>
      <c r="P96" s="492"/>
      <c r="Q96" s="428"/>
    </row>
    <row r="97" spans="1:17" ht="14.4" customHeight="1" x14ac:dyDescent="0.3">
      <c r="A97" s="423" t="s">
        <v>750</v>
      </c>
      <c r="B97" s="424" t="s">
        <v>672</v>
      </c>
      <c r="C97" s="424" t="s">
        <v>669</v>
      </c>
      <c r="D97" s="424" t="s">
        <v>700</v>
      </c>
      <c r="E97" s="424" t="s">
        <v>686</v>
      </c>
      <c r="F97" s="427">
        <v>2</v>
      </c>
      <c r="G97" s="427">
        <v>2774</v>
      </c>
      <c r="H97" s="427"/>
      <c r="I97" s="427">
        <v>1387</v>
      </c>
      <c r="J97" s="427"/>
      <c r="K97" s="427"/>
      <c r="L97" s="427"/>
      <c r="M97" s="427"/>
      <c r="N97" s="427"/>
      <c r="O97" s="427"/>
      <c r="P97" s="492"/>
      <c r="Q97" s="428"/>
    </row>
    <row r="98" spans="1:17" ht="14.4" customHeight="1" x14ac:dyDescent="0.3">
      <c r="A98" s="423" t="s">
        <v>750</v>
      </c>
      <c r="B98" s="424" t="s">
        <v>672</v>
      </c>
      <c r="C98" s="424" t="s">
        <v>669</v>
      </c>
      <c r="D98" s="424" t="s">
        <v>701</v>
      </c>
      <c r="E98" s="424" t="s">
        <v>702</v>
      </c>
      <c r="F98" s="427">
        <v>1</v>
      </c>
      <c r="G98" s="427">
        <v>2341</v>
      </c>
      <c r="H98" s="427"/>
      <c r="I98" s="427">
        <v>2341</v>
      </c>
      <c r="J98" s="427"/>
      <c r="K98" s="427"/>
      <c r="L98" s="427"/>
      <c r="M98" s="427"/>
      <c r="N98" s="427"/>
      <c r="O98" s="427"/>
      <c r="P98" s="492"/>
      <c r="Q98" s="428"/>
    </row>
    <row r="99" spans="1:17" ht="14.4" customHeight="1" x14ac:dyDescent="0.3">
      <c r="A99" s="423" t="s">
        <v>750</v>
      </c>
      <c r="B99" s="424" t="s">
        <v>672</v>
      </c>
      <c r="C99" s="424" t="s">
        <v>669</v>
      </c>
      <c r="D99" s="424" t="s">
        <v>709</v>
      </c>
      <c r="E99" s="424" t="s">
        <v>710</v>
      </c>
      <c r="F99" s="427">
        <v>2</v>
      </c>
      <c r="G99" s="427">
        <v>1104</v>
      </c>
      <c r="H99" s="427"/>
      <c r="I99" s="427">
        <v>552</v>
      </c>
      <c r="J99" s="427"/>
      <c r="K99" s="427"/>
      <c r="L99" s="427"/>
      <c r="M99" s="427"/>
      <c r="N99" s="427"/>
      <c r="O99" s="427"/>
      <c r="P99" s="492"/>
      <c r="Q99" s="428"/>
    </row>
    <row r="100" spans="1:17" ht="14.4" customHeight="1" x14ac:dyDescent="0.3">
      <c r="A100" s="423" t="s">
        <v>750</v>
      </c>
      <c r="B100" s="424" t="s">
        <v>672</v>
      </c>
      <c r="C100" s="424" t="s">
        <v>669</v>
      </c>
      <c r="D100" s="424" t="s">
        <v>722</v>
      </c>
      <c r="E100" s="424" t="s">
        <v>723</v>
      </c>
      <c r="F100" s="427">
        <v>1</v>
      </c>
      <c r="G100" s="427">
        <v>1615</v>
      </c>
      <c r="H100" s="427"/>
      <c r="I100" s="427">
        <v>1615</v>
      </c>
      <c r="J100" s="427"/>
      <c r="K100" s="427"/>
      <c r="L100" s="427"/>
      <c r="M100" s="427"/>
      <c r="N100" s="427"/>
      <c r="O100" s="427"/>
      <c r="P100" s="492"/>
      <c r="Q100" s="428"/>
    </row>
    <row r="101" spans="1:17" ht="14.4" customHeight="1" x14ac:dyDescent="0.3">
      <c r="A101" s="423" t="s">
        <v>751</v>
      </c>
      <c r="B101" s="424" t="s">
        <v>672</v>
      </c>
      <c r="C101" s="424" t="s">
        <v>669</v>
      </c>
      <c r="D101" s="424" t="s">
        <v>677</v>
      </c>
      <c r="E101" s="424" t="s">
        <v>678</v>
      </c>
      <c r="F101" s="427">
        <v>2</v>
      </c>
      <c r="G101" s="427">
        <v>4472</v>
      </c>
      <c r="H101" s="427">
        <v>0.95637296834901631</v>
      </c>
      <c r="I101" s="427">
        <v>2236</v>
      </c>
      <c r="J101" s="427">
        <v>2</v>
      </c>
      <c r="K101" s="427">
        <v>4676</v>
      </c>
      <c r="L101" s="427">
        <v>1</v>
      </c>
      <c r="M101" s="427">
        <v>2338</v>
      </c>
      <c r="N101" s="427"/>
      <c r="O101" s="427"/>
      <c r="P101" s="492"/>
      <c r="Q101" s="428"/>
    </row>
    <row r="102" spans="1:17" ht="14.4" customHeight="1" x14ac:dyDescent="0.3">
      <c r="A102" s="423" t="s">
        <v>751</v>
      </c>
      <c r="B102" s="424" t="s">
        <v>672</v>
      </c>
      <c r="C102" s="424" t="s">
        <v>669</v>
      </c>
      <c r="D102" s="424" t="s">
        <v>679</v>
      </c>
      <c r="E102" s="424" t="s">
        <v>680</v>
      </c>
      <c r="F102" s="427"/>
      <c r="G102" s="427"/>
      <c r="H102" s="427"/>
      <c r="I102" s="427"/>
      <c r="J102" s="427"/>
      <c r="K102" s="427"/>
      <c r="L102" s="427"/>
      <c r="M102" s="427"/>
      <c r="N102" s="427">
        <v>2</v>
      </c>
      <c r="O102" s="427">
        <v>2154</v>
      </c>
      <c r="P102" s="492"/>
      <c r="Q102" s="428">
        <v>1077</v>
      </c>
    </row>
    <row r="103" spans="1:17" ht="14.4" customHeight="1" x14ac:dyDescent="0.3">
      <c r="A103" s="423" t="s">
        <v>751</v>
      </c>
      <c r="B103" s="424" t="s">
        <v>672</v>
      </c>
      <c r="C103" s="424" t="s">
        <v>669</v>
      </c>
      <c r="D103" s="424" t="s">
        <v>681</v>
      </c>
      <c r="E103" s="424" t="s">
        <v>682</v>
      </c>
      <c r="F103" s="427">
        <v>2</v>
      </c>
      <c r="G103" s="427">
        <v>7442</v>
      </c>
      <c r="H103" s="427">
        <v>0.97331938268375617</v>
      </c>
      <c r="I103" s="427">
        <v>3721</v>
      </c>
      <c r="J103" s="427">
        <v>2</v>
      </c>
      <c r="K103" s="427">
        <v>7646</v>
      </c>
      <c r="L103" s="427">
        <v>1</v>
      </c>
      <c r="M103" s="427">
        <v>3823</v>
      </c>
      <c r="N103" s="427">
        <v>5</v>
      </c>
      <c r="O103" s="427">
        <v>19125</v>
      </c>
      <c r="P103" s="492">
        <v>2.5013078733978551</v>
      </c>
      <c r="Q103" s="428">
        <v>3825</v>
      </c>
    </row>
    <row r="104" spans="1:17" ht="14.4" customHeight="1" x14ac:dyDescent="0.3">
      <c r="A104" s="423" t="s">
        <v>751</v>
      </c>
      <c r="B104" s="424" t="s">
        <v>672</v>
      </c>
      <c r="C104" s="424" t="s">
        <v>669</v>
      </c>
      <c r="D104" s="424" t="s">
        <v>693</v>
      </c>
      <c r="E104" s="424" t="s">
        <v>694</v>
      </c>
      <c r="F104" s="427">
        <v>1</v>
      </c>
      <c r="G104" s="427">
        <v>1461</v>
      </c>
      <c r="H104" s="427"/>
      <c r="I104" s="427">
        <v>1461</v>
      </c>
      <c r="J104" s="427"/>
      <c r="K104" s="427"/>
      <c r="L104" s="427"/>
      <c r="M104" s="427"/>
      <c r="N104" s="427"/>
      <c r="O104" s="427"/>
      <c r="P104" s="492"/>
      <c r="Q104" s="428"/>
    </row>
    <row r="105" spans="1:17" ht="14.4" customHeight="1" x14ac:dyDescent="0.3">
      <c r="A105" s="423" t="s">
        <v>751</v>
      </c>
      <c r="B105" s="424" t="s">
        <v>672</v>
      </c>
      <c r="C105" s="424" t="s">
        <v>669</v>
      </c>
      <c r="D105" s="424" t="s">
        <v>697</v>
      </c>
      <c r="E105" s="424" t="s">
        <v>698</v>
      </c>
      <c r="F105" s="427">
        <v>5</v>
      </c>
      <c r="G105" s="427">
        <v>80</v>
      </c>
      <c r="H105" s="427">
        <v>4.7058823529411766</v>
      </c>
      <c r="I105" s="427">
        <v>16</v>
      </c>
      <c r="J105" s="427">
        <v>1</v>
      </c>
      <c r="K105" s="427">
        <v>17</v>
      </c>
      <c r="L105" s="427">
        <v>1</v>
      </c>
      <c r="M105" s="427">
        <v>17</v>
      </c>
      <c r="N105" s="427">
        <v>6</v>
      </c>
      <c r="O105" s="427">
        <v>102</v>
      </c>
      <c r="P105" s="492">
        <v>6</v>
      </c>
      <c r="Q105" s="428">
        <v>17</v>
      </c>
    </row>
    <row r="106" spans="1:17" ht="14.4" customHeight="1" x14ac:dyDescent="0.3">
      <c r="A106" s="423" t="s">
        <v>751</v>
      </c>
      <c r="B106" s="424" t="s">
        <v>672</v>
      </c>
      <c r="C106" s="424" t="s">
        <v>669</v>
      </c>
      <c r="D106" s="424" t="s">
        <v>699</v>
      </c>
      <c r="E106" s="424" t="s">
        <v>684</v>
      </c>
      <c r="F106" s="427">
        <v>9</v>
      </c>
      <c r="G106" s="427">
        <v>6264</v>
      </c>
      <c r="H106" s="427">
        <v>4.4237288135593218</v>
      </c>
      <c r="I106" s="427">
        <v>696</v>
      </c>
      <c r="J106" s="427">
        <v>2</v>
      </c>
      <c r="K106" s="427">
        <v>1416</v>
      </c>
      <c r="L106" s="427">
        <v>1</v>
      </c>
      <c r="M106" s="427">
        <v>708</v>
      </c>
      <c r="N106" s="427">
        <v>11</v>
      </c>
      <c r="O106" s="427">
        <v>7788</v>
      </c>
      <c r="P106" s="492">
        <v>5.5</v>
      </c>
      <c r="Q106" s="428">
        <v>708</v>
      </c>
    </row>
    <row r="107" spans="1:17" ht="14.4" customHeight="1" x14ac:dyDescent="0.3">
      <c r="A107" s="423" t="s">
        <v>751</v>
      </c>
      <c r="B107" s="424" t="s">
        <v>672</v>
      </c>
      <c r="C107" s="424" t="s">
        <v>669</v>
      </c>
      <c r="D107" s="424" t="s">
        <v>700</v>
      </c>
      <c r="E107" s="424" t="s">
        <v>686</v>
      </c>
      <c r="F107" s="427">
        <v>10</v>
      </c>
      <c r="G107" s="427">
        <v>13870</v>
      </c>
      <c r="H107" s="427">
        <v>1.9290681502086231</v>
      </c>
      <c r="I107" s="427">
        <v>1387</v>
      </c>
      <c r="J107" s="427">
        <v>5</v>
      </c>
      <c r="K107" s="427">
        <v>7190</v>
      </c>
      <c r="L107" s="427">
        <v>1</v>
      </c>
      <c r="M107" s="427">
        <v>1438</v>
      </c>
      <c r="N107" s="427">
        <v>4</v>
      </c>
      <c r="O107" s="427">
        <v>5756</v>
      </c>
      <c r="P107" s="492">
        <v>0.80055632823365785</v>
      </c>
      <c r="Q107" s="428">
        <v>1439</v>
      </c>
    </row>
    <row r="108" spans="1:17" ht="14.4" customHeight="1" x14ac:dyDescent="0.3">
      <c r="A108" s="423" t="s">
        <v>751</v>
      </c>
      <c r="B108" s="424" t="s">
        <v>672</v>
      </c>
      <c r="C108" s="424" t="s">
        <v>669</v>
      </c>
      <c r="D108" s="424" t="s">
        <v>701</v>
      </c>
      <c r="E108" s="424" t="s">
        <v>702</v>
      </c>
      <c r="F108" s="427">
        <v>3</v>
      </c>
      <c r="G108" s="427">
        <v>7023</v>
      </c>
      <c r="H108" s="427">
        <v>2.8818219121871151</v>
      </c>
      <c r="I108" s="427">
        <v>2341</v>
      </c>
      <c r="J108" s="427">
        <v>1</v>
      </c>
      <c r="K108" s="427">
        <v>2437</v>
      </c>
      <c r="L108" s="427">
        <v>1</v>
      </c>
      <c r="M108" s="427">
        <v>2437</v>
      </c>
      <c r="N108" s="427">
        <v>7</v>
      </c>
      <c r="O108" s="427">
        <v>17066</v>
      </c>
      <c r="P108" s="492">
        <v>7.0028723840787857</v>
      </c>
      <c r="Q108" s="428">
        <v>2438</v>
      </c>
    </row>
    <row r="109" spans="1:17" ht="14.4" customHeight="1" x14ac:dyDescent="0.3">
      <c r="A109" s="423" t="s">
        <v>751</v>
      </c>
      <c r="B109" s="424" t="s">
        <v>672</v>
      </c>
      <c r="C109" s="424" t="s">
        <v>669</v>
      </c>
      <c r="D109" s="424" t="s">
        <v>703</v>
      </c>
      <c r="E109" s="424" t="s">
        <v>704</v>
      </c>
      <c r="F109" s="427">
        <v>9</v>
      </c>
      <c r="G109" s="427">
        <v>594</v>
      </c>
      <c r="H109" s="427">
        <v>4.3043478260869561</v>
      </c>
      <c r="I109" s="427">
        <v>66</v>
      </c>
      <c r="J109" s="427">
        <v>2</v>
      </c>
      <c r="K109" s="427">
        <v>138</v>
      </c>
      <c r="L109" s="427">
        <v>1</v>
      </c>
      <c r="M109" s="427">
        <v>69</v>
      </c>
      <c r="N109" s="427">
        <v>11</v>
      </c>
      <c r="O109" s="427">
        <v>759</v>
      </c>
      <c r="P109" s="492">
        <v>5.5</v>
      </c>
      <c r="Q109" s="428">
        <v>69</v>
      </c>
    </row>
    <row r="110" spans="1:17" ht="14.4" customHeight="1" x14ac:dyDescent="0.3">
      <c r="A110" s="423" t="s">
        <v>751</v>
      </c>
      <c r="B110" s="424" t="s">
        <v>672</v>
      </c>
      <c r="C110" s="424" t="s">
        <v>669</v>
      </c>
      <c r="D110" s="424" t="s">
        <v>705</v>
      </c>
      <c r="E110" s="424" t="s">
        <v>706</v>
      </c>
      <c r="F110" s="427">
        <v>1</v>
      </c>
      <c r="G110" s="427">
        <v>401</v>
      </c>
      <c r="H110" s="427"/>
      <c r="I110" s="427">
        <v>401</v>
      </c>
      <c r="J110" s="427"/>
      <c r="K110" s="427"/>
      <c r="L110" s="427"/>
      <c r="M110" s="427"/>
      <c r="N110" s="427"/>
      <c r="O110" s="427"/>
      <c r="P110" s="492"/>
      <c r="Q110" s="428"/>
    </row>
    <row r="111" spans="1:17" ht="14.4" customHeight="1" x14ac:dyDescent="0.3">
      <c r="A111" s="423" t="s">
        <v>751</v>
      </c>
      <c r="B111" s="424" t="s">
        <v>672</v>
      </c>
      <c r="C111" s="424" t="s">
        <v>669</v>
      </c>
      <c r="D111" s="424" t="s">
        <v>709</v>
      </c>
      <c r="E111" s="424" t="s">
        <v>710</v>
      </c>
      <c r="F111" s="427">
        <v>22</v>
      </c>
      <c r="G111" s="427">
        <v>12144</v>
      </c>
      <c r="H111" s="427">
        <v>7.2285714285714286</v>
      </c>
      <c r="I111" s="427">
        <v>552</v>
      </c>
      <c r="J111" s="427">
        <v>3</v>
      </c>
      <c r="K111" s="427">
        <v>1680</v>
      </c>
      <c r="L111" s="427">
        <v>1</v>
      </c>
      <c r="M111" s="427">
        <v>560</v>
      </c>
      <c r="N111" s="427">
        <v>31</v>
      </c>
      <c r="O111" s="427">
        <v>17360</v>
      </c>
      <c r="P111" s="492">
        <v>10.333333333333334</v>
      </c>
      <c r="Q111" s="428">
        <v>560</v>
      </c>
    </row>
    <row r="112" spans="1:17" ht="14.4" customHeight="1" x14ac:dyDescent="0.3">
      <c r="A112" s="423" t="s">
        <v>751</v>
      </c>
      <c r="B112" s="424" t="s">
        <v>672</v>
      </c>
      <c r="C112" s="424" t="s">
        <v>669</v>
      </c>
      <c r="D112" s="424" t="s">
        <v>722</v>
      </c>
      <c r="E112" s="424" t="s">
        <v>723</v>
      </c>
      <c r="F112" s="427">
        <v>2</v>
      </c>
      <c r="G112" s="427">
        <v>3230</v>
      </c>
      <c r="H112" s="427">
        <v>1.9587628865979381</v>
      </c>
      <c r="I112" s="427">
        <v>1615</v>
      </c>
      <c r="J112" s="427">
        <v>1</v>
      </c>
      <c r="K112" s="427">
        <v>1649</v>
      </c>
      <c r="L112" s="427">
        <v>1</v>
      </c>
      <c r="M112" s="427">
        <v>1649</v>
      </c>
      <c r="N112" s="427">
        <v>4</v>
      </c>
      <c r="O112" s="427">
        <v>6596</v>
      </c>
      <c r="P112" s="492">
        <v>4</v>
      </c>
      <c r="Q112" s="428">
        <v>1649</v>
      </c>
    </row>
    <row r="113" spans="1:17" ht="14.4" customHeight="1" x14ac:dyDescent="0.3">
      <c r="A113" s="423" t="s">
        <v>752</v>
      </c>
      <c r="B113" s="424" t="s">
        <v>672</v>
      </c>
      <c r="C113" s="424" t="s">
        <v>669</v>
      </c>
      <c r="D113" s="424" t="s">
        <v>673</v>
      </c>
      <c r="E113" s="424" t="s">
        <v>674</v>
      </c>
      <c r="F113" s="427">
        <v>2</v>
      </c>
      <c r="G113" s="427">
        <v>256</v>
      </c>
      <c r="H113" s="427">
        <v>0.62745098039215685</v>
      </c>
      <c r="I113" s="427">
        <v>128</v>
      </c>
      <c r="J113" s="427">
        <v>3</v>
      </c>
      <c r="K113" s="427">
        <v>408</v>
      </c>
      <c r="L113" s="427">
        <v>1</v>
      </c>
      <c r="M113" s="427">
        <v>136</v>
      </c>
      <c r="N113" s="427"/>
      <c r="O113" s="427"/>
      <c r="P113" s="492"/>
      <c r="Q113" s="428"/>
    </row>
    <row r="114" spans="1:17" ht="14.4" customHeight="1" x14ac:dyDescent="0.3">
      <c r="A114" s="423" t="s">
        <v>752</v>
      </c>
      <c r="B114" s="424" t="s">
        <v>672</v>
      </c>
      <c r="C114" s="424" t="s">
        <v>669</v>
      </c>
      <c r="D114" s="424" t="s">
        <v>677</v>
      </c>
      <c r="E114" s="424" t="s">
        <v>678</v>
      </c>
      <c r="F114" s="427"/>
      <c r="G114" s="427"/>
      <c r="H114" s="427"/>
      <c r="I114" s="427"/>
      <c r="J114" s="427"/>
      <c r="K114" s="427"/>
      <c r="L114" s="427"/>
      <c r="M114" s="427"/>
      <c r="N114" s="427">
        <v>1</v>
      </c>
      <c r="O114" s="427">
        <v>2340</v>
      </c>
      <c r="P114" s="492"/>
      <c r="Q114" s="428">
        <v>2340</v>
      </c>
    </row>
    <row r="115" spans="1:17" ht="14.4" customHeight="1" x14ac:dyDescent="0.3">
      <c r="A115" s="423" t="s">
        <v>752</v>
      </c>
      <c r="B115" s="424" t="s">
        <v>672</v>
      </c>
      <c r="C115" s="424" t="s">
        <v>669</v>
      </c>
      <c r="D115" s="424" t="s">
        <v>681</v>
      </c>
      <c r="E115" s="424" t="s">
        <v>682</v>
      </c>
      <c r="F115" s="427">
        <v>2</v>
      </c>
      <c r="G115" s="427">
        <v>7442</v>
      </c>
      <c r="H115" s="427">
        <v>0.97331938268375617</v>
      </c>
      <c r="I115" s="427">
        <v>3721</v>
      </c>
      <c r="J115" s="427">
        <v>2</v>
      </c>
      <c r="K115" s="427">
        <v>7646</v>
      </c>
      <c r="L115" s="427">
        <v>1</v>
      </c>
      <c r="M115" s="427">
        <v>3823</v>
      </c>
      <c r="N115" s="427">
        <v>2</v>
      </c>
      <c r="O115" s="427">
        <v>7650</v>
      </c>
      <c r="P115" s="492">
        <v>1.000523149359142</v>
      </c>
      <c r="Q115" s="428">
        <v>3825</v>
      </c>
    </row>
    <row r="116" spans="1:17" ht="14.4" customHeight="1" x14ac:dyDescent="0.3">
      <c r="A116" s="423" t="s">
        <v>752</v>
      </c>
      <c r="B116" s="424" t="s">
        <v>672</v>
      </c>
      <c r="C116" s="424" t="s">
        <v>669</v>
      </c>
      <c r="D116" s="424" t="s">
        <v>683</v>
      </c>
      <c r="E116" s="424" t="s">
        <v>684</v>
      </c>
      <c r="F116" s="427">
        <v>1</v>
      </c>
      <c r="G116" s="427">
        <v>439</v>
      </c>
      <c r="H116" s="427">
        <v>0.24662921348314606</v>
      </c>
      <c r="I116" s="427">
        <v>439</v>
      </c>
      <c r="J116" s="427">
        <v>4</v>
      </c>
      <c r="K116" s="427">
        <v>1780</v>
      </c>
      <c r="L116" s="427">
        <v>1</v>
      </c>
      <c r="M116" s="427">
        <v>445</v>
      </c>
      <c r="N116" s="427">
        <v>1</v>
      </c>
      <c r="O116" s="427">
        <v>445</v>
      </c>
      <c r="P116" s="492">
        <v>0.25</v>
      </c>
      <c r="Q116" s="428">
        <v>445</v>
      </c>
    </row>
    <row r="117" spans="1:17" ht="14.4" customHeight="1" x14ac:dyDescent="0.3">
      <c r="A117" s="423" t="s">
        <v>752</v>
      </c>
      <c r="B117" s="424" t="s">
        <v>672</v>
      </c>
      <c r="C117" s="424" t="s">
        <v>669</v>
      </c>
      <c r="D117" s="424" t="s">
        <v>685</v>
      </c>
      <c r="E117" s="424" t="s">
        <v>686</v>
      </c>
      <c r="F117" s="427">
        <v>2</v>
      </c>
      <c r="G117" s="427">
        <v>1672</v>
      </c>
      <c r="H117" s="427">
        <v>0.49003516998827668</v>
      </c>
      <c r="I117" s="427">
        <v>836</v>
      </c>
      <c r="J117" s="427">
        <v>4</v>
      </c>
      <c r="K117" s="427">
        <v>3412</v>
      </c>
      <c r="L117" s="427">
        <v>1</v>
      </c>
      <c r="M117" s="427">
        <v>853</v>
      </c>
      <c r="N117" s="427">
        <v>3</v>
      </c>
      <c r="O117" s="427">
        <v>2562</v>
      </c>
      <c r="P117" s="492">
        <v>0.75087924970691677</v>
      </c>
      <c r="Q117" s="428">
        <v>854</v>
      </c>
    </row>
    <row r="118" spans="1:17" ht="14.4" customHeight="1" x14ac:dyDescent="0.3">
      <c r="A118" s="423" t="s">
        <v>752</v>
      </c>
      <c r="B118" s="424" t="s">
        <v>672</v>
      </c>
      <c r="C118" s="424" t="s">
        <v>669</v>
      </c>
      <c r="D118" s="424" t="s">
        <v>693</v>
      </c>
      <c r="E118" s="424" t="s">
        <v>694</v>
      </c>
      <c r="F118" s="427">
        <v>6</v>
      </c>
      <c r="G118" s="427">
        <v>8766</v>
      </c>
      <c r="H118" s="427"/>
      <c r="I118" s="427">
        <v>1461</v>
      </c>
      <c r="J118" s="427"/>
      <c r="K118" s="427"/>
      <c r="L118" s="427"/>
      <c r="M118" s="427"/>
      <c r="N118" s="427">
        <v>1</v>
      </c>
      <c r="O118" s="427">
        <v>1524</v>
      </c>
      <c r="P118" s="492"/>
      <c r="Q118" s="428">
        <v>1524</v>
      </c>
    </row>
    <row r="119" spans="1:17" ht="14.4" customHeight="1" x14ac:dyDescent="0.3">
      <c r="A119" s="423" t="s">
        <v>752</v>
      </c>
      <c r="B119" s="424" t="s">
        <v>672</v>
      </c>
      <c r="C119" s="424" t="s">
        <v>669</v>
      </c>
      <c r="D119" s="424" t="s">
        <v>697</v>
      </c>
      <c r="E119" s="424" t="s">
        <v>698</v>
      </c>
      <c r="F119" s="427">
        <v>2</v>
      </c>
      <c r="G119" s="427">
        <v>32</v>
      </c>
      <c r="H119" s="427">
        <v>1.8823529411764706</v>
      </c>
      <c r="I119" s="427">
        <v>16</v>
      </c>
      <c r="J119" s="427">
        <v>1</v>
      </c>
      <c r="K119" s="427">
        <v>17</v>
      </c>
      <c r="L119" s="427">
        <v>1</v>
      </c>
      <c r="M119" s="427">
        <v>17</v>
      </c>
      <c r="N119" s="427">
        <v>5</v>
      </c>
      <c r="O119" s="427">
        <v>85</v>
      </c>
      <c r="P119" s="492">
        <v>5</v>
      </c>
      <c r="Q119" s="428">
        <v>17</v>
      </c>
    </row>
    <row r="120" spans="1:17" ht="14.4" customHeight="1" x14ac:dyDescent="0.3">
      <c r="A120" s="423" t="s">
        <v>752</v>
      </c>
      <c r="B120" s="424" t="s">
        <v>672</v>
      </c>
      <c r="C120" s="424" t="s">
        <v>669</v>
      </c>
      <c r="D120" s="424" t="s">
        <v>699</v>
      </c>
      <c r="E120" s="424" t="s">
        <v>684</v>
      </c>
      <c r="F120" s="427">
        <v>5</v>
      </c>
      <c r="G120" s="427">
        <v>3480</v>
      </c>
      <c r="H120" s="427">
        <v>2.4576271186440679</v>
      </c>
      <c r="I120" s="427">
        <v>696</v>
      </c>
      <c r="J120" s="427">
        <v>2</v>
      </c>
      <c r="K120" s="427">
        <v>1416</v>
      </c>
      <c r="L120" s="427">
        <v>1</v>
      </c>
      <c r="M120" s="427">
        <v>708</v>
      </c>
      <c r="N120" s="427">
        <v>10</v>
      </c>
      <c r="O120" s="427">
        <v>7080</v>
      </c>
      <c r="P120" s="492">
        <v>5</v>
      </c>
      <c r="Q120" s="428">
        <v>708</v>
      </c>
    </row>
    <row r="121" spans="1:17" ht="14.4" customHeight="1" x14ac:dyDescent="0.3">
      <c r="A121" s="423" t="s">
        <v>752</v>
      </c>
      <c r="B121" s="424" t="s">
        <v>672</v>
      </c>
      <c r="C121" s="424" t="s">
        <v>669</v>
      </c>
      <c r="D121" s="424" t="s">
        <v>700</v>
      </c>
      <c r="E121" s="424" t="s">
        <v>686</v>
      </c>
      <c r="F121" s="427">
        <v>7</v>
      </c>
      <c r="G121" s="427">
        <v>9709</v>
      </c>
      <c r="H121" s="427">
        <v>3.3758692628650904</v>
      </c>
      <c r="I121" s="427">
        <v>1387</v>
      </c>
      <c r="J121" s="427">
        <v>2</v>
      </c>
      <c r="K121" s="427">
        <v>2876</v>
      </c>
      <c r="L121" s="427">
        <v>1</v>
      </c>
      <c r="M121" s="427">
        <v>1438</v>
      </c>
      <c r="N121" s="427">
        <v>4</v>
      </c>
      <c r="O121" s="427">
        <v>5756</v>
      </c>
      <c r="P121" s="492">
        <v>2.0013908205841449</v>
      </c>
      <c r="Q121" s="428">
        <v>1439</v>
      </c>
    </row>
    <row r="122" spans="1:17" ht="14.4" customHeight="1" x14ac:dyDescent="0.3">
      <c r="A122" s="423" t="s">
        <v>752</v>
      </c>
      <c r="B122" s="424" t="s">
        <v>672</v>
      </c>
      <c r="C122" s="424" t="s">
        <v>669</v>
      </c>
      <c r="D122" s="424" t="s">
        <v>701</v>
      </c>
      <c r="E122" s="424" t="s">
        <v>702</v>
      </c>
      <c r="F122" s="427">
        <v>2</v>
      </c>
      <c r="G122" s="427">
        <v>4682</v>
      </c>
      <c r="H122" s="427">
        <v>0.96060730406237171</v>
      </c>
      <c r="I122" s="427">
        <v>2341</v>
      </c>
      <c r="J122" s="427">
        <v>2</v>
      </c>
      <c r="K122" s="427">
        <v>4874</v>
      </c>
      <c r="L122" s="427">
        <v>1</v>
      </c>
      <c r="M122" s="427">
        <v>2437</v>
      </c>
      <c r="N122" s="427">
        <v>6</v>
      </c>
      <c r="O122" s="427">
        <v>14628</v>
      </c>
      <c r="P122" s="492">
        <v>3.0012310217480507</v>
      </c>
      <c r="Q122" s="428">
        <v>2438</v>
      </c>
    </row>
    <row r="123" spans="1:17" ht="14.4" customHeight="1" x14ac:dyDescent="0.3">
      <c r="A123" s="423" t="s">
        <v>752</v>
      </c>
      <c r="B123" s="424" t="s">
        <v>672</v>
      </c>
      <c r="C123" s="424" t="s">
        <v>669</v>
      </c>
      <c r="D123" s="424" t="s">
        <v>703</v>
      </c>
      <c r="E123" s="424" t="s">
        <v>704</v>
      </c>
      <c r="F123" s="427">
        <v>6</v>
      </c>
      <c r="G123" s="427">
        <v>396</v>
      </c>
      <c r="H123" s="427">
        <v>2.8695652173913042</v>
      </c>
      <c r="I123" s="427">
        <v>66</v>
      </c>
      <c r="J123" s="427">
        <v>2</v>
      </c>
      <c r="K123" s="427">
        <v>138</v>
      </c>
      <c r="L123" s="427">
        <v>1</v>
      </c>
      <c r="M123" s="427">
        <v>69</v>
      </c>
      <c r="N123" s="427">
        <v>11</v>
      </c>
      <c r="O123" s="427">
        <v>759</v>
      </c>
      <c r="P123" s="492">
        <v>5.5</v>
      </c>
      <c r="Q123" s="428">
        <v>69</v>
      </c>
    </row>
    <row r="124" spans="1:17" ht="14.4" customHeight="1" x14ac:dyDescent="0.3">
      <c r="A124" s="423" t="s">
        <v>752</v>
      </c>
      <c r="B124" s="424" t="s">
        <v>672</v>
      </c>
      <c r="C124" s="424" t="s">
        <v>669</v>
      </c>
      <c r="D124" s="424" t="s">
        <v>705</v>
      </c>
      <c r="E124" s="424" t="s">
        <v>706</v>
      </c>
      <c r="F124" s="427">
        <v>6</v>
      </c>
      <c r="G124" s="427">
        <v>2406</v>
      </c>
      <c r="H124" s="427"/>
      <c r="I124" s="427">
        <v>401</v>
      </c>
      <c r="J124" s="427"/>
      <c r="K124" s="427"/>
      <c r="L124" s="427"/>
      <c r="M124" s="427"/>
      <c r="N124" s="427">
        <v>1</v>
      </c>
      <c r="O124" s="427">
        <v>408</v>
      </c>
      <c r="P124" s="492"/>
      <c r="Q124" s="428">
        <v>408</v>
      </c>
    </row>
    <row r="125" spans="1:17" ht="14.4" customHeight="1" x14ac:dyDescent="0.3">
      <c r="A125" s="423" t="s">
        <v>752</v>
      </c>
      <c r="B125" s="424" t="s">
        <v>672</v>
      </c>
      <c r="C125" s="424" t="s">
        <v>669</v>
      </c>
      <c r="D125" s="424" t="s">
        <v>707</v>
      </c>
      <c r="E125" s="424" t="s">
        <v>708</v>
      </c>
      <c r="F125" s="427">
        <v>1</v>
      </c>
      <c r="G125" s="427">
        <v>1613</v>
      </c>
      <c r="H125" s="427">
        <v>0.96935096153846156</v>
      </c>
      <c r="I125" s="427">
        <v>1613</v>
      </c>
      <c r="J125" s="427">
        <v>1</v>
      </c>
      <c r="K125" s="427">
        <v>1664</v>
      </c>
      <c r="L125" s="427">
        <v>1</v>
      </c>
      <c r="M125" s="427">
        <v>1664</v>
      </c>
      <c r="N125" s="427">
        <v>3</v>
      </c>
      <c r="O125" s="427">
        <v>4995</v>
      </c>
      <c r="P125" s="492">
        <v>3.0018028846153846</v>
      </c>
      <c r="Q125" s="428">
        <v>1665</v>
      </c>
    </row>
    <row r="126" spans="1:17" ht="14.4" customHeight="1" x14ac:dyDescent="0.3">
      <c r="A126" s="423" t="s">
        <v>752</v>
      </c>
      <c r="B126" s="424" t="s">
        <v>672</v>
      </c>
      <c r="C126" s="424" t="s">
        <v>669</v>
      </c>
      <c r="D126" s="424" t="s">
        <v>709</v>
      </c>
      <c r="E126" s="424" t="s">
        <v>710</v>
      </c>
      <c r="F126" s="427">
        <v>19</v>
      </c>
      <c r="G126" s="427">
        <v>10488</v>
      </c>
      <c r="H126" s="427">
        <v>1.4406593406593406</v>
      </c>
      <c r="I126" s="427">
        <v>552</v>
      </c>
      <c r="J126" s="427">
        <v>13</v>
      </c>
      <c r="K126" s="427">
        <v>7280</v>
      </c>
      <c r="L126" s="427">
        <v>1</v>
      </c>
      <c r="M126" s="427">
        <v>560</v>
      </c>
      <c r="N126" s="427">
        <v>43</v>
      </c>
      <c r="O126" s="427">
        <v>24080</v>
      </c>
      <c r="P126" s="492">
        <v>3.3076923076923075</v>
      </c>
      <c r="Q126" s="428">
        <v>560</v>
      </c>
    </row>
    <row r="127" spans="1:17" ht="14.4" customHeight="1" x14ac:dyDescent="0.3">
      <c r="A127" s="423" t="s">
        <v>752</v>
      </c>
      <c r="B127" s="424" t="s">
        <v>672</v>
      </c>
      <c r="C127" s="424" t="s">
        <v>669</v>
      </c>
      <c r="D127" s="424" t="s">
        <v>717</v>
      </c>
      <c r="E127" s="424" t="s">
        <v>718</v>
      </c>
      <c r="F127" s="427">
        <v>17</v>
      </c>
      <c r="G127" s="427">
        <v>7242</v>
      </c>
      <c r="H127" s="427">
        <v>0.54455222197157682</v>
      </c>
      <c r="I127" s="427">
        <v>426</v>
      </c>
      <c r="J127" s="427">
        <v>31</v>
      </c>
      <c r="K127" s="427">
        <v>13299</v>
      </c>
      <c r="L127" s="427">
        <v>1</v>
      </c>
      <c r="M127" s="427">
        <v>429</v>
      </c>
      <c r="N127" s="427">
        <v>49</v>
      </c>
      <c r="O127" s="427">
        <v>21021</v>
      </c>
      <c r="P127" s="492">
        <v>1.5806451612903225</v>
      </c>
      <c r="Q127" s="428">
        <v>429</v>
      </c>
    </row>
    <row r="128" spans="1:17" ht="14.4" customHeight="1" x14ac:dyDescent="0.3">
      <c r="A128" s="423" t="s">
        <v>752</v>
      </c>
      <c r="B128" s="424" t="s">
        <v>672</v>
      </c>
      <c r="C128" s="424" t="s">
        <v>669</v>
      </c>
      <c r="D128" s="424" t="s">
        <v>722</v>
      </c>
      <c r="E128" s="424" t="s">
        <v>723</v>
      </c>
      <c r="F128" s="427">
        <v>3</v>
      </c>
      <c r="G128" s="427">
        <v>4845</v>
      </c>
      <c r="H128" s="427">
        <v>0.29381443298969073</v>
      </c>
      <c r="I128" s="427">
        <v>1615</v>
      </c>
      <c r="J128" s="427">
        <v>10</v>
      </c>
      <c r="K128" s="427">
        <v>16490</v>
      </c>
      <c r="L128" s="427">
        <v>1</v>
      </c>
      <c r="M128" s="427">
        <v>1649</v>
      </c>
      <c r="N128" s="427">
        <v>28</v>
      </c>
      <c r="O128" s="427">
        <v>46172</v>
      </c>
      <c r="P128" s="492">
        <v>2.8</v>
      </c>
      <c r="Q128" s="428">
        <v>1649</v>
      </c>
    </row>
    <row r="129" spans="1:17" ht="14.4" customHeight="1" x14ac:dyDescent="0.3">
      <c r="A129" s="423" t="s">
        <v>753</v>
      </c>
      <c r="B129" s="424" t="s">
        <v>672</v>
      </c>
      <c r="C129" s="424" t="s">
        <v>669</v>
      </c>
      <c r="D129" s="424" t="s">
        <v>697</v>
      </c>
      <c r="E129" s="424" t="s">
        <v>698</v>
      </c>
      <c r="F129" s="427"/>
      <c r="G129" s="427"/>
      <c r="H129" s="427"/>
      <c r="I129" s="427"/>
      <c r="J129" s="427"/>
      <c r="K129" s="427"/>
      <c r="L129" s="427"/>
      <c r="M129" s="427"/>
      <c r="N129" s="427">
        <v>1</v>
      </c>
      <c r="O129" s="427">
        <v>17</v>
      </c>
      <c r="P129" s="492"/>
      <c r="Q129" s="428">
        <v>17</v>
      </c>
    </row>
    <row r="130" spans="1:17" ht="14.4" customHeight="1" x14ac:dyDescent="0.3">
      <c r="A130" s="423" t="s">
        <v>753</v>
      </c>
      <c r="B130" s="424" t="s">
        <v>672</v>
      </c>
      <c r="C130" s="424" t="s">
        <v>669</v>
      </c>
      <c r="D130" s="424" t="s">
        <v>699</v>
      </c>
      <c r="E130" s="424" t="s">
        <v>684</v>
      </c>
      <c r="F130" s="427"/>
      <c r="G130" s="427"/>
      <c r="H130" s="427"/>
      <c r="I130" s="427"/>
      <c r="J130" s="427"/>
      <c r="K130" s="427"/>
      <c r="L130" s="427"/>
      <c r="M130" s="427"/>
      <c r="N130" s="427">
        <v>2</v>
      </c>
      <c r="O130" s="427">
        <v>1416</v>
      </c>
      <c r="P130" s="492"/>
      <c r="Q130" s="428">
        <v>708</v>
      </c>
    </row>
    <row r="131" spans="1:17" ht="14.4" customHeight="1" x14ac:dyDescent="0.3">
      <c r="A131" s="423" t="s">
        <v>753</v>
      </c>
      <c r="B131" s="424" t="s">
        <v>672</v>
      </c>
      <c r="C131" s="424" t="s">
        <v>669</v>
      </c>
      <c r="D131" s="424" t="s">
        <v>703</v>
      </c>
      <c r="E131" s="424" t="s">
        <v>704</v>
      </c>
      <c r="F131" s="427"/>
      <c r="G131" s="427"/>
      <c r="H131" s="427"/>
      <c r="I131" s="427"/>
      <c r="J131" s="427"/>
      <c r="K131" s="427"/>
      <c r="L131" s="427"/>
      <c r="M131" s="427"/>
      <c r="N131" s="427">
        <v>2</v>
      </c>
      <c r="O131" s="427">
        <v>138</v>
      </c>
      <c r="P131" s="492"/>
      <c r="Q131" s="428">
        <v>69</v>
      </c>
    </row>
    <row r="132" spans="1:17" ht="14.4" customHeight="1" x14ac:dyDescent="0.3">
      <c r="A132" s="423" t="s">
        <v>754</v>
      </c>
      <c r="B132" s="424" t="s">
        <v>668</v>
      </c>
      <c r="C132" s="424" t="s">
        <v>669</v>
      </c>
      <c r="D132" s="424" t="s">
        <v>670</v>
      </c>
      <c r="E132" s="424" t="s">
        <v>671</v>
      </c>
      <c r="F132" s="427">
        <v>1</v>
      </c>
      <c r="G132" s="427">
        <v>10725</v>
      </c>
      <c r="H132" s="427"/>
      <c r="I132" s="427">
        <v>10725</v>
      </c>
      <c r="J132" s="427"/>
      <c r="K132" s="427"/>
      <c r="L132" s="427"/>
      <c r="M132" s="427"/>
      <c r="N132" s="427"/>
      <c r="O132" s="427"/>
      <c r="P132" s="492"/>
      <c r="Q132" s="428"/>
    </row>
    <row r="133" spans="1:17" ht="14.4" customHeight="1" x14ac:dyDescent="0.3">
      <c r="A133" s="423" t="s">
        <v>754</v>
      </c>
      <c r="B133" s="424" t="s">
        <v>672</v>
      </c>
      <c r="C133" s="424" t="s">
        <v>669</v>
      </c>
      <c r="D133" s="424" t="s">
        <v>697</v>
      </c>
      <c r="E133" s="424" t="s">
        <v>698</v>
      </c>
      <c r="F133" s="427"/>
      <c r="G133" s="427"/>
      <c r="H133" s="427"/>
      <c r="I133" s="427"/>
      <c r="J133" s="427"/>
      <c r="K133" s="427"/>
      <c r="L133" s="427"/>
      <c r="M133" s="427"/>
      <c r="N133" s="427">
        <v>1</v>
      </c>
      <c r="O133" s="427">
        <v>17</v>
      </c>
      <c r="P133" s="492"/>
      <c r="Q133" s="428">
        <v>17</v>
      </c>
    </row>
    <row r="134" spans="1:17" ht="14.4" customHeight="1" x14ac:dyDescent="0.3">
      <c r="A134" s="423" t="s">
        <v>754</v>
      </c>
      <c r="B134" s="424" t="s">
        <v>672</v>
      </c>
      <c r="C134" s="424" t="s">
        <v>669</v>
      </c>
      <c r="D134" s="424" t="s">
        <v>699</v>
      </c>
      <c r="E134" s="424" t="s">
        <v>684</v>
      </c>
      <c r="F134" s="427"/>
      <c r="G134" s="427"/>
      <c r="H134" s="427"/>
      <c r="I134" s="427"/>
      <c r="J134" s="427"/>
      <c r="K134" s="427"/>
      <c r="L134" s="427"/>
      <c r="M134" s="427"/>
      <c r="N134" s="427">
        <v>2</v>
      </c>
      <c r="O134" s="427">
        <v>1416</v>
      </c>
      <c r="P134" s="492"/>
      <c r="Q134" s="428">
        <v>708</v>
      </c>
    </row>
    <row r="135" spans="1:17" ht="14.4" customHeight="1" x14ac:dyDescent="0.3">
      <c r="A135" s="423" t="s">
        <v>754</v>
      </c>
      <c r="B135" s="424" t="s">
        <v>672</v>
      </c>
      <c r="C135" s="424" t="s">
        <v>669</v>
      </c>
      <c r="D135" s="424" t="s">
        <v>703</v>
      </c>
      <c r="E135" s="424" t="s">
        <v>704</v>
      </c>
      <c r="F135" s="427"/>
      <c r="G135" s="427"/>
      <c r="H135" s="427"/>
      <c r="I135" s="427"/>
      <c r="J135" s="427"/>
      <c r="K135" s="427"/>
      <c r="L135" s="427"/>
      <c r="M135" s="427"/>
      <c r="N135" s="427">
        <v>2</v>
      </c>
      <c r="O135" s="427">
        <v>138</v>
      </c>
      <c r="P135" s="492"/>
      <c r="Q135" s="428">
        <v>69</v>
      </c>
    </row>
    <row r="136" spans="1:17" ht="14.4" customHeight="1" x14ac:dyDescent="0.3">
      <c r="A136" s="423" t="s">
        <v>755</v>
      </c>
      <c r="B136" s="424" t="s">
        <v>672</v>
      </c>
      <c r="C136" s="424" t="s">
        <v>669</v>
      </c>
      <c r="D136" s="424" t="s">
        <v>717</v>
      </c>
      <c r="E136" s="424" t="s">
        <v>718</v>
      </c>
      <c r="F136" s="427"/>
      <c r="G136" s="427"/>
      <c r="H136" s="427"/>
      <c r="I136" s="427"/>
      <c r="J136" s="427"/>
      <c r="K136" s="427"/>
      <c r="L136" s="427"/>
      <c r="M136" s="427"/>
      <c r="N136" s="427">
        <v>1</v>
      </c>
      <c r="O136" s="427">
        <v>429</v>
      </c>
      <c r="P136" s="492"/>
      <c r="Q136" s="428">
        <v>429</v>
      </c>
    </row>
    <row r="137" spans="1:17" ht="14.4" customHeight="1" x14ac:dyDescent="0.3">
      <c r="A137" s="423" t="s">
        <v>756</v>
      </c>
      <c r="B137" s="424" t="s">
        <v>672</v>
      </c>
      <c r="C137" s="424" t="s">
        <v>669</v>
      </c>
      <c r="D137" s="424" t="s">
        <v>681</v>
      </c>
      <c r="E137" s="424" t="s">
        <v>682</v>
      </c>
      <c r="F137" s="427">
        <v>1</v>
      </c>
      <c r="G137" s="427">
        <v>3721</v>
      </c>
      <c r="H137" s="427"/>
      <c r="I137" s="427">
        <v>3721</v>
      </c>
      <c r="J137" s="427"/>
      <c r="K137" s="427"/>
      <c r="L137" s="427"/>
      <c r="M137" s="427"/>
      <c r="N137" s="427"/>
      <c r="O137" s="427"/>
      <c r="P137" s="492"/>
      <c r="Q137" s="428"/>
    </row>
    <row r="138" spans="1:17" ht="14.4" customHeight="1" x14ac:dyDescent="0.3">
      <c r="A138" s="423" t="s">
        <v>756</v>
      </c>
      <c r="B138" s="424" t="s">
        <v>672</v>
      </c>
      <c r="C138" s="424" t="s">
        <v>669</v>
      </c>
      <c r="D138" s="424" t="s">
        <v>701</v>
      </c>
      <c r="E138" s="424" t="s">
        <v>702</v>
      </c>
      <c r="F138" s="427">
        <v>1</v>
      </c>
      <c r="G138" s="427">
        <v>2341</v>
      </c>
      <c r="H138" s="427"/>
      <c r="I138" s="427">
        <v>2341</v>
      </c>
      <c r="J138" s="427"/>
      <c r="K138" s="427"/>
      <c r="L138" s="427"/>
      <c r="M138" s="427"/>
      <c r="N138" s="427"/>
      <c r="O138" s="427"/>
      <c r="P138" s="492"/>
      <c r="Q138" s="428"/>
    </row>
    <row r="139" spans="1:17" ht="14.4" customHeight="1" x14ac:dyDescent="0.3">
      <c r="A139" s="423" t="s">
        <v>756</v>
      </c>
      <c r="B139" s="424" t="s">
        <v>672</v>
      </c>
      <c r="C139" s="424" t="s">
        <v>669</v>
      </c>
      <c r="D139" s="424" t="s">
        <v>709</v>
      </c>
      <c r="E139" s="424" t="s">
        <v>710</v>
      </c>
      <c r="F139" s="427">
        <v>5</v>
      </c>
      <c r="G139" s="427">
        <v>2760</v>
      </c>
      <c r="H139" s="427"/>
      <c r="I139" s="427">
        <v>552</v>
      </c>
      <c r="J139" s="427"/>
      <c r="K139" s="427"/>
      <c r="L139" s="427"/>
      <c r="M139" s="427"/>
      <c r="N139" s="427"/>
      <c r="O139" s="427"/>
      <c r="P139" s="492"/>
      <c r="Q139" s="428"/>
    </row>
    <row r="140" spans="1:17" ht="14.4" customHeight="1" x14ac:dyDescent="0.3">
      <c r="A140" s="423" t="s">
        <v>756</v>
      </c>
      <c r="B140" s="424" t="s">
        <v>672</v>
      </c>
      <c r="C140" s="424" t="s">
        <v>669</v>
      </c>
      <c r="D140" s="424" t="s">
        <v>722</v>
      </c>
      <c r="E140" s="424" t="s">
        <v>723</v>
      </c>
      <c r="F140" s="427">
        <v>1</v>
      </c>
      <c r="G140" s="427">
        <v>1615</v>
      </c>
      <c r="H140" s="427"/>
      <c r="I140" s="427">
        <v>1615</v>
      </c>
      <c r="J140" s="427"/>
      <c r="K140" s="427"/>
      <c r="L140" s="427"/>
      <c r="M140" s="427"/>
      <c r="N140" s="427"/>
      <c r="O140" s="427"/>
      <c r="P140" s="492"/>
      <c r="Q140" s="428"/>
    </row>
    <row r="141" spans="1:17" ht="14.4" customHeight="1" x14ac:dyDescent="0.3">
      <c r="A141" s="423" t="s">
        <v>757</v>
      </c>
      <c r="B141" s="424" t="s">
        <v>668</v>
      </c>
      <c r="C141" s="424" t="s">
        <v>669</v>
      </c>
      <c r="D141" s="424" t="s">
        <v>670</v>
      </c>
      <c r="E141" s="424" t="s">
        <v>671</v>
      </c>
      <c r="F141" s="427">
        <v>1</v>
      </c>
      <c r="G141" s="427">
        <v>10725</v>
      </c>
      <c r="H141" s="427"/>
      <c r="I141" s="427">
        <v>10725</v>
      </c>
      <c r="J141" s="427"/>
      <c r="K141" s="427"/>
      <c r="L141" s="427"/>
      <c r="M141" s="427"/>
      <c r="N141" s="427">
        <v>1</v>
      </c>
      <c r="O141" s="427">
        <v>11413</v>
      </c>
      <c r="P141" s="492"/>
      <c r="Q141" s="428">
        <v>11413</v>
      </c>
    </row>
    <row r="142" spans="1:17" ht="14.4" customHeight="1" x14ac:dyDescent="0.3">
      <c r="A142" s="423" t="s">
        <v>757</v>
      </c>
      <c r="B142" s="424" t="s">
        <v>672</v>
      </c>
      <c r="C142" s="424" t="s">
        <v>669</v>
      </c>
      <c r="D142" s="424" t="s">
        <v>681</v>
      </c>
      <c r="E142" s="424" t="s">
        <v>682</v>
      </c>
      <c r="F142" s="427"/>
      <c r="G142" s="427"/>
      <c r="H142" s="427"/>
      <c r="I142" s="427"/>
      <c r="J142" s="427">
        <v>2</v>
      </c>
      <c r="K142" s="427">
        <v>7646</v>
      </c>
      <c r="L142" s="427">
        <v>1</v>
      </c>
      <c r="M142" s="427">
        <v>3823</v>
      </c>
      <c r="N142" s="427"/>
      <c r="O142" s="427"/>
      <c r="P142" s="492"/>
      <c r="Q142" s="428"/>
    </row>
    <row r="143" spans="1:17" ht="14.4" customHeight="1" x14ac:dyDescent="0.3">
      <c r="A143" s="423" t="s">
        <v>757</v>
      </c>
      <c r="B143" s="424" t="s">
        <v>672</v>
      </c>
      <c r="C143" s="424" t="s">
        <v>669</v>
      </c>
      <c r="D143" s="424" t="s">
        <v>697</v>
      </c>
      <c r="E143" s="424" t="s">
        <v>698</v>
      </c>
      <c r="F143" s="427"/>
      <c r="G143" s="427"/>
      <c r="H143" s="427"/>
      <c r="I143" s="427"/>
      <c r="J143" s="427">
        <v>2</v>
      </c>
      <c r="K143" s="427">
        <v>34</v>
      </c>
      <c r="L143" s="427">
        <v>1</v>
      </c>
      <c r="M143" s="427">
        <v>17</v>
      </c>
      <c r="N143" s="427">
        <v>1</v>
      </c>
      <c r="O143" s="427">
        <v>17</v>
      </c>
      <c r="P143" s="492">
        <v>0.5</v>
      </c>
      <c r="Q143" s="428">
        <v>17</v>
      </c>
    </row>
    <row r="144" spans="1:17" ht="14.4" customHeight="1" x14ac:dyDescent="0.3">
      <c r="A144" s="423" t="s">
        <v>757</v>
      </c>
      <c r="B144" s="424" t="s">
        <v>672</v>
      </c>
      <c r="C144" s="424" t="s">
        <v>669</v>
      </c>
      <c r="D144" s="424" t="s">
        <v>699</v>
      </c>
      <c r="E144" s="424" t="s">
        <v>684</v>
      </c>
      <c r="F144" s="427"/>
      <c r="G144" s="427"/>
      <c r="H144" s="427"/>
      <c r="I144" s="427"/>
      <c r="J144" s="427">
        <v>4</v>
      </c>
      <c r="K144" s="427">
        <v>2832</v>
      </c>
      <c r="L144" s="427">
        <v>1</v>
      </c>
      <c r="M144" s="427">
        <v>708</v>
      </c>
      <c r="N144" s="427">
        <v>2</v>
      </c>
      <c r="O144" s="427">
        <v>1416</v>
      </c>
      <c r="P144" s="492">
        <v>0.5</v>
      </c>
      <c r="Q144" s="428">
        <v>708</v>
      </c>
    </row>
    <row r="145" spans="1:17" ht="14.4" customHeight="1" x14ac:dyDescent="0.3">
      <c r="A145" s="423" t="s">
        <v>757</v>
      </c>
      <c r="B145" s="424" t="s">
        <v>672</v>
      </c>
      <c r="C145" s="424" t="s">
        <v>669</v>
      </c>
      <c r="D145" s="424" t="s">
        <v>700</v>
      </c>
      <c r="E145" s="424" t="s">
        <v>686</v>
      </c>
      <c r="F145" s="427"/>
      <c r="G145" s="427"/>
      <c r="H145" s="427"/>
      <c r="I145" s="427"/>
      <c r="J145" s="427">
        <v>2</v>
      </c>
      <c r="K145" s="427">
        <v>2876</v>
      </c>
      <c r="L145" s="427">
        <v>1</v>
      </c>
      <c r="M145" s="427">
        <v>1438</v>
      </c>
      <c r="N145" s="427">
        <v>2</v>
      </c>
      <c r="O145" s="427">
        <v>2878</v>
      </c>
      <c r="P145" s="492">
        <v>1.0006954102920724</v>
      </c>
      <c r="Q145" s="428">
        <v>1439</v>
      </c>
    </row>
    <row r="146" spans="1:17" ht="14.4" customHeight="1" x14ac:dyDescent="0.3">
      <c r="A146" s="423" t="s">
        <v>757</v>
      </c>
      <c r="B146" s="424" t="s">
        <v>672</v>
      </c>
      <c r="C146" s="424" t="s">
        <v>669</v>
      </c>
      <c r="D146" s="424" t="s">
        <v>701</v>
      </c>
      <c r="E146" s="424" t="s">
        <v>702</v>
      </c>
      <c r="F146" s="427"/>
      <c r="G146" s="427"/>
      <c r="H146" s="427"/>
      <c r="I146" s="427"/>
      <c r="J146" s="427">
        <v>2</v>
      </c>
      <c r="K146" s="427">
        <v>4874</v>
      </c>
      <c r="L146" s="427">
        <v>1</v>
      </c>
      <c r="M146" s="427">
        <v>2437</v>
      </c>
      <c r="N146" s="427">
        <v>1</v>
      </c>
      <c r="O146" s="427">
        <v>2438</v>
      </c>
      <c r="P146" s="492">
        <v>0.50020517029134182</v>
      </c>
      <c r="Q146" s="428">
        <v>2438</v>
      </c>
    </row>
    <row r="147" spans="1:17" ht="14.4" customHeight="1" x14ac:dyDescent="0.3">
      <c r="A147" s="423" t="s">
        <v>757</v>
      </c>
      <c r="B147" s="424" t="s">
        <v>672</v>
      </c>
      <c r="C147" s="424" t="s">
        <v>669</v>
      </c>
      <c r="D147" s="424" t="s">
        <v>703</v>
      </c>
      <c r="E147" s="424" t="s">
        <v>704</v>
      </c>
      <c r="F147" s="427"/>
      <c r="G147" s="427"/>
      <c r="H147" s="427"/>
      <c r="I147" s="427"/>
      <c r="J147" s="427">
        <v>4</v>
      </c>
      <c r="K147" s="427">
        <v>276</v>
      </c>
      <c r="L147" s="427">
        <v>1</v>
      </c>
      <c r="M147" s="427">
        <v>69</v>
      </c>
      <c r="N147" s="427">
        <v>2</v>
      </c>
      <c r="O147" s="427">
        <v>138</v>
      </c>
      <c r="P147" s="492">
        <v>0.5</v>
      </c>
      <c r="Q147" s="428">
        <v>69</v>
      </c>
    </row>
    <row r="148" spans="1:17" ht="14.4" customHeight="1" x14ac:dyDescent="0.3">
      <c r="A148" s="423" t="s">
        <v>757</v>
      </c>
      <c r="B148" s="424" t="s">
        <v>672</v>
      </c>
      <c r="C148" s="424" t="s">
        <v>669</v>
      </c>
      <c r="D148" s="424" t="s">
        <v>709</v>
      </c>
      <c r="E148" s="424" t="s">
        <v>710</v>
      </c>
      <c r="F148" s="427"/>
      <c r="G148" s="427"/>
      <c r="H148" s="427"/>
      <c r="I148" s="427"/>
      <c r="J148" s="427">
        <v>11</v>
      </c>
      <c r="K148" s="427">
        <v>6160</v>
      </c>
      <c r="L148" s="427">
        <v>1</v>
      </c>
      <c r="M148" s="427">
        <v>560</v>
      </c>
      <c r="N148" s="427">
        <v>6</v>
      </c>
      <c r="O148" s="427">
        <v>3360</v>
      </c>
      <c r="P148" s="492">
        <v>0.54545454545454541</v>
      </c>
      <c r="Q148" s="428">
        <v>560</v>
      </c>
    </row>
    <row r="149" spans="1:17" ht="14.4" customHeight="1" thickBot="1" x14ac:dyDescent="0.35">
      <c r="A149" s="429" t="s">
        <v>757</v>
      </c>
      <c r="B149" s="430" t="s">
        <v>672</v>
      </c>
      <c r="C149" s="430" t="s">
        <v>669</v>
      </c>
      <c r="D149" s="430" t="s">
        <v>722</v>
      </c>
      <c r="E149" s="430" t="s">
        <v>723</v>
      </c>
      <c r="F149" s="433"/>
      <c r="G149" s="433"/>
      <c r="H149" s="433"/>
      <c r="I149" s="433"/>
      <c r="J149" s="433">
        <v>1</v>
      </c>
      <c r="K149" s="433">
        <v>1649</v>
      </c>
      <c r="L149" s="433">
        <v>1</v>
      </c>
      <c r="M149" s="433">
        <v>1649</v>
      </c>
      <c r="N149" s="433">
        <v>1</v>
      </c>
      <c r="O149" s="433">
        <v>1649</v>
      </c>
      <c r="P149" s="444">
        <v>1</v>
      </c>
      <c r="Q149" s="434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03" t="s">
        <v>227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5782.5049107291497</v>
      </c>
      <c r="D4" s="133">
        <f ca="1">IF(ISERROR(VLOOKUP("Náklady celkem",INDIRECT("HI!$A:$G"),5,0)),0,VLOOKUP("Náklady celkem",INDIRECT("HI!$A:$G"),5,0))</f>
        <v>5622.4540399999996</v>
      </c>
      <c r="E4" s="134">
        <f ca="1">IF(C4=0,0,D4/C4)</f>
        <v>0.97232153310718616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2.5</v>
      </c>
      <c r="D7" s="141">
        <f>IF(ISERROR(HI!E5),"",HI!E5)</f>
        <v>2.72559</v>
      </c>
      <c r="E7" s="138">
        <f t="shared" ref="E7:E12" si="0">IF(C7=0,0,D7/C7)</f>
        <v>1.090236</v>
      </c>
    </row>
    <row r="8" spans="1:5" ht="14.4" customHeight="1" x14ac:dyDescent="0.3">
      <c r="A8" s="266" t="str">
        <f>HYPERLINK("#'LŽ Statim'!A1","Podíl statimových žádanek (max. 30%)")</f>
        <v>Podíl statimových žádanek (max. 30%)</v>
      </c>
      <c r="B8" s="264" t="s">
        <v>185</v>
      </c>
      <c r="C8" s="265">
        <v>0.3</v>
      </c>
      <c r="D8" s="26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307.5</v>
      </c>
      <c r="D12" s="141">
        <f>IF(ISERROR(HI!E6),"",HI!E6)</f>
        <v>221.21106</v>
      </c>
      <c r="E12" s="138">
        <f t="shared" si="0"/>
        <v>0.71938556097560979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4702.75</v>
      </c>
      <c r="D13" s="137">
        <f ca="1">IF(ISERROR(VLOOKUP("Osobní náklady (Kč) *",INDIRECT("HI!$A:$G"),5,0)),0,VLOOKUP("Osobní náklady (Kč) *",INDIRECT("HI!$A:$G"),5,0))</f>
        <v>4693.4888900000005</v>
      </c>
      <c r="E13" s="138">
        <f ca="1">IF(C13=0,0,D13/C13)</f>
        <v>0.99803070331189214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4754.1260000000002</v>
      </c>
      <c r="D15" s="156">
        <f ca="1">IF(ISERROR(VLOOKUP("Výnosy celkem",INDIRECT("HI!$A:$G"),5,0)),0,VLOOKUP("Výnosy celkem",INDIRECT("HI!$A:$G"),5,0))</f>
        <v>5580.2169999999996</v>
      </c>
      <c r="E15" s="157">
        <f t="shared" ref="E15:E20" ca="1" si="1">IF(C15=0,0,D15/C15)</f>
        <v>1.173762958743626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4754.1260000000002</v>
      </c>
      <c r="D16" s="137">
        <f ca="1">IF(ISERROR(VLOOKUP("Ambulance *",INDIRECT("HI!$A:$G"),5,0)),0,VLOOKUP("Ambulance *",INDIRECT("HI!$A:$G"),5,0))</f>
        <v>5580.2169999999996</v>
      </c>
      <c r="E16" s="138">
        <f t="shared" ca="1" si="1"/>
        <v>1.173762958743626</v>
      </c>
    </row>
    <row r="17" spans="1:5" ht="14.4" customHeight="1" x14ac:dyDescent="0.3">
      <c r="A17" s="274" t="str">
        <f>HYPERLINK("#'ZV Vykáz.-A'!A1","Zdravotní výkony vykázané u ambulantních pacientů (min. 100 % 2016)")</f>
        <v>Zdravotní výkony vykázané u ambulantních pacientů (min. 100 % 2016)</v>
      </c>
      <c r="B17" s="275" t="s">
        <v>107</v>
      </c>
      <c r="C17" s="142">
        <v>1</v>
      </c>
      <c r="D17" s="142">
        <f>IF(ISERROR(VLOOKUP("Celkem:",'ZV Vykáz.-A'!$A:$AB,10,0)),"",VLOOKUP("Celkem:",'ZV Vykáz.-A'!$A:$AB,10,0))</f>
        <v>1.173762958743626</v>
      </c>
      <c r="E17" s="138">
        <f t="shared" si="1"/>
        <v>1.173762958743626</v>
      </c>
    </row>
    <row r="18" spans="1:5" ht="14.4" customHeight="1" x14ac:dyDescent="0.3">
      <c r="A18" s="273" t="str">
        <f>HYPERLINK("#'ZV Vykáz.-A'!A1","Specializovaná ambulantní péče")</f>
        <v>Specializovaná ambulantní péče</v>
      </c>
      <c r="B18" s="275" t="s">
        <v>107</v>
      </c>
      <c r="C18" s="142">
        <v>1</v>
      </c>
      <c r="D18" s="265">
        <f>IF(ISERROR(VLOOKUP("Specializovaná ambulantní péče",'ZV Vykáz.-A'!$A:$AB,10,0)),"",VLOOKUP("Specializovaná ambulantní péče",'ZV Vykáz.-A'!$A:$AB,10,0))</f>
        <v>1.1737859390619068</v>
      </c>
      <c r="E18" s="138">
        <f t="shared" si="1"/>
        <v>1.1737859390619068</v>
      </c>
    </row>
    <row r="19" spans="1:5" ht="14.4" customHeight="1" x14ac:dyDescent="0.3">
      <c r="A19" s="273" t="str">
        <f>HYPERLINK("#'ZV Vykáz.-A'!A1","Ambulantní péče ve vyjmenovaných odbornostech (§9)")</f>
        <v>Ambulantní péče ve vyjmenovaných odbornostech (§9)</v>
      </c>
      <c r="B19" s="275" t="s">
        <v>107</v>
      </c>
      <c r="C19" s="142">
        <v>1</v>
      </c>
      <c r="D19" s="265">
        <f>IF(ISERROR(VLOOKUP("Ambulantní péče ve vyjmenovaných odbornostech (§9) *",'ZV Vykáz.-A'!$A:$AB,10,0)),"",VLOOKUP("Ambulantní péče ve vyjmenovaných odbornostech (§9) *",'ZV Vykáz.-A'!$A:$AB,10,0))</f>
        <v>1.173703287051292</v>
      </c>
      <c r="E19" s="138">
        <f>IF(OR(C19=0,D19=""),0,IF(C19="","",D19/C19))</f>
        <v>1.173703287051292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75" t="s">
        <v>109</v>
      </c>
      <c r="C20" s="142">
        <v>0.85</v>
      </c>
      <c r="D20" s="142">
        <f>IF(ISERROR(VLOOKUP("Celkem:",'ZV Vykáz.-H'!$A:$S,7,0)),"",VLOOKUP("Celkem:",'ZV Vykáz.-H'!$A:$S,7,0))</f>
        <v>1.9768873257128501</v>
      </c>
      <c r="E20" s="138">
        <f t="shared" si="1"/>
        <v>2.3257497949562942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20" t="s">
        <v>114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03" t="s">
        <v>227</v>
      </c>
      <c r="B2" s="86"/>
      <c r="C2" s="86"/>
      <c r="D2" s="86"/>
      <c r="E2" s="86"/>
      <c r="F2" s="86"/>
    </row>
    <row r="3" spans="1:10" ht="14.4" customHeight="1" x14ac:dyDescent="0.3">
      <c r="A3" s="311"/>
      <c r="B3" s="82">
        <v>2015</v>
      </c>
      <c r="C3" s="40">
        <v>2016</v>
      </c>
      <c r="D3" s="7"/>
      <c r="E3" s="315">
        <v>2017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78" t="s">
        <v>218</v>
      </c>
      <c r="J4" s="279" t="s">
        <v>219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2.72559</v>
      </c>
      <c r="F5" s="28">
        <v>2.5</v>
      </c>
      <c r="G5" s="91">
        <f>E5-F5</f>
        <v>0.22558999999999996</v>
      </c>
      <c r="H5" s="97">
        <f>IF(F5&lt;0.00000001,"",E5/F5)</f>
        <v>1.090236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161.85496999999998</v>
      </c>
      <c r="C6" s="31">
        <v>267.09440999999998</v>
      </c>
      <c r="D6" s="8"/>
      <c r="E6" s="93">
        <v>221.21106</v>
      </c>
      <c r="F6" s="30">
        <v>307.5</v>
      </c>
      <c r="G6" s="94">
        <f>E6-F6</f>
        <v>-86.288939999999997</v>
      </c>
      <c r="H6" s="98">
        <f>IF(F6&lt;0.00000001,"",E6/F6)</f>
        <v>0.71938556097560979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4104.4914800000006</v>
      </c>
      <c r="C7" s="31">
        <v>4323.6247299999995</v>
      </c>
      <c r="D7" s="8"/>
      <c r="E7" s="93">
        <v>4693.4888900000005</v>
      </c>
      <c r="F7" s="30">
        <v>4702.75</v>
      </c>
      <c r="G7" s="94">
        <f>E7-F7</f>
        <v>-9.2611099999994622</v>
      </c>
      <c r="H7" s="98">
        <f>IF(F7&lt;0.00000001,"",E7/F7)</f>
        <v>0.99803070331189214</v>
      </c>
    </row>
    <row r="8" spans="1:10" ht="14.4" customHeight="1" thickBot="1" x14ac:dyDescent="0.35">
      <c r="A8" s="1" t="s">
        <v>62</v>
      </c>
      <c r="B8" s="11">
        <v>597.97953999999879</v>
      </c>
      <c r="C8" s="33">
        <v>706.56209000000013</v>
      </c>
      <c r="D8" s="8"/>
      <c r="E8" s="95">
        <v>705.0284999999991</v>
      </c>
      <c r="F8" s="32">
        <v>769.75491072914974</v>
      </c>
      <c r="G8" s="96">
        <f>E8-F8</f>
        <v>-64.726410729150643</v>
      </c>
      <c r="H8" s="99">
        <f>IF(F8&lt;0.00000001,"",E8/F8)</f>
        <v>0.9159129616102889</v>
      </c>
    </row>
    <row r="9" spans="1:10" ht="14.4" customHeight="1" thickBot="1" x14ac:dyDescent="0.35">
      <c r="A9" s="2" t="s">
        <v>63</v>
      </c>
      <c r="B9" s="3">
        <v>4864.3259899999994</v>
      </c>
      <c r="C9" s="35">
        <v>5297.2812299999996</v>
      </c>
      <c r="D9" s="8"/>
      <c r="E9" s="3">
        <v>5622.4540399999996</v>
      </c>
      <c r="F9" s="34">
        <v>5782.5049107291497</v>
      </c>
      <c r="G9" s="34">
        <f>E9-F9</f>
        <v>-160.05087072915012</v>
      </c>
      <c r="H9" s="100">
        <f>IF(F9&lt;0.00000001,"",E9/F9)</f>
        <v>0.97232153310718616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4576.5360000000001</v>
      </c>
      <c r="C11" s="29">
        <f>IF(ISERROR(VLOOKUP("Celkem:",'ZV Vykáz.-A'!A:H,5,0)),0,VLOOKUP("Celkem:",'ZV Vykáz.-A'!A:H,5,0)/1000)</f>
        <v>4754.1260000000002</v>
      </c>
      <c r="D11" s="8"/>
      <c r="E11" s="92">
        <f>IF(ISERROR(VLOOKUP("Celkem:",'ZV Vykáz.-A'!A:H,8,0)),0,VLOOKUP("Celkem:",'ZV Vykáz.-A'!A:H,8,0)/1000)</f>
        <v>5580.2169999999996</v>
      </c>
      <c r="F11" s="28">
        <f>C11</f>
        <v>4754.1260000000002</v>
      </c>
      <c r="G11" s="91">
        <f>E11-F11</f>
        <v>826.09099999999944</v>
      </c>
      <c r="H11" s="97">
        <f>IF(F11&lt;0.00000001,"",E11/F11)</f>
        <v>1.173762958743626</v>
      </c>
      <c r="I11" s="91">
        <f>E11-B11</f>
        <v>1003.6809999999996</v>
      </c>
      <c r="J11" s="97">
        <f>IF(B11&lt;0.00000001,"",E11/B11)</f>
        <v>1.2193101944352671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4576.5360000000001</v>
      </c>
      <c r="C13" s="37">
        <f>SUM(C11:C12)</f>
        <v>4754.1260000000002</v>
      </c>
      <c r="D13" s="8"/>
      <c r="E13" s="5">
        <f>SUM(E11:E12)</f>
        <v>5580.2169999999996</v>
      </c>
      <c r="F13" s="36">
        <f>SUM(F11:F12)</f>
        <v>4754.1260000000002</v>
      </c>
      <c r="G13" s="36">
        <f>E13-F13</f>
        <v>826.09099999999944</v>
      </c>
      <c r="H13" s="101">
        <f>IF(F13&lt;0.00000001,"",E13/F13)</f>
        <v>1.173762958743626</v>
      </c>
      <c r="I13" s="36">
        <f>SUM(I11:I12)</f>
        <v>1003.6809999999996</v>
      </c>
      <c r="J13" s="101">
        <f>IF(B13&lt;0.00000001,"",E13/B13)</f>
        <v>1.2193101944352671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0.94083661526969342</v>
      </c>
      <c r="C15" s="39">
        <f>IF(C9=0,"",C13/C9)</f>
        <v>0.89746528333743014</v>
      </c>
      <c r="D15" s="8"/>
      <c r="E15" s="6">
        <f>IF(E9=0,"",E13/E9)</f>
        <v>0.99248779275036991</v>
      </c>
      <c r="F15" s="38">
        <f>IF(F9=0,"",F13/F9)</f>
        <v>0.82215684610642636</v>
      </c>
      <c r="G15" s="38">
        <f>IF(ISERROR(F15-E15),"",E15-F15)</f>
        <v>0.17033094664394355</v>
      </c>
      <c r="H15" s="102">
        <f>IF(ISERROR(F15-E15),"",IF(F15&lt;0.00000001,"",E15/F15))</f>
        <v>1.2071757322834413</v>
      </c>
    </row>
    <row r="17" spans="1:8" ht="14.4" customHeight="1" x14ac:dyDescent="0.3">
      <c r="A17" s="88" t="s">
        <v>128</v>
      </c>
    </row>
    <row r="18" spans="1:8" ht="14.4" customHeight="1" x14ac:dyDescent="0.3">
      <c r="A18" s="242" t="s">
        <v>161</v>
      </c>
      <c r="B18" s="243"/>
      <c r="C18" s="243"/>
      <c r="D18" s="243"/>
      <c r="E18" s="243"/>
      <c r="F18" s="243"/>
      <c r="G18" s="243"/>
      <c r="H18" s="243"/>
    </row>
    <row r="19" spans="1:8" x14ac:dyDescent="0.3">
      <c r="A19" s="241" t="s">
        <v>160</v>
      </c>
      <c r="B19" s="243"/>
      <c r="C19" s="243"/>
      <c r="D19" s="243"/>
      <c r="E19" s="243"/>
      <c r="F19" s="243"/>
      <c r="G19" s="243"/>
      <c r="H19" s="243"/>
    </row>
    <row r="20" spans="1:8" ht="14.4" customHeight="1" x14ac:dyDescent="0.3">
      <c r="A20" s="89" t="s">
        <v>186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217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03" t="s">
        <v>227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1.2937469818639789</v>
      </c>
      <c r="C4" s="174">
        <f t="shared" ref="C4:M4" si="0">(C10+C8)/C6</f>
        <v>1.1229076405778422</v>
      </c>
      <c r="D4" s="174">
        <f t="shared" si="0"/>
        <v>0.99248779275036991</v>
      </c>
      <c r="E4" s="174">
        <f t="shared" si="0"/>
        <v>0.99248779275036991</v>
      </c>
      <c r="F4" s="174">
        <f t="shared" si="0"/>
        <v>0.99248779275036991</v>
      </c>
      <c r="G4" s="174">
        <f t="shared" si="0"/>
        <v>0.99248779275036991</v>
      </c>
      <c r="H4" s="174">
        <f t="shared" si="0"/>
        <v>0.99248779275036991</v>
      </c>
      <c r="I4" s="174">
        <f t="shared" si="0"/>
        <v>0.99248779275036991</v>
      </c>
      <c r="J4" s="174">
        <f t="shared" si="0"/>
        <v>0.99248779275036991</v>
      </c>
      <c r="K4" s="174">
        <f t="shared" si="0"/>
        <v>0.99248779275036991</v>
      </c>
      <c r="L4" s="174">
        <f t="shared" si="0"/>
        <v>0.99248779275036991</v>
      </c>
      <c r="M4" s="174">
        <f t="shared" si="0"/>
        <v>0.99248779275036991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2015.54386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5622.4540399999996</v>
      </c>
      <c r="E6" s="176">
        <f t="shared" si="1"/>
        <v>5622.4540399999996</v>
      </c>
      <c r="F6" s="176">
        <f t="shared" si="1"/>
        <v>5622.4540399999996</v>
      </c>
      <c r="G6" s="176">
        <f t="shared" si="1"/>
        <v>5622.4540399999996</v>
      </c>
      <c r="H6" s="176">
        <f t="shared" si="1"/>
        <v>5622.4540399999996</v>
      </c>
      <c r="I6" s="176">
        <f t="shared" si="1"/>
        <v>5622.4540399999996</v>
      </c>
      <c r="J6" s="176">
        <f t="shared" si="1"/>
        <v>5622.4540399999996</v>
      </c>
      <c r="K6" s="176">
        <f t="shared" si="1"/>
        <v>5622.4540399999996</v>
      </c>
      <c r="L6" s="176">
        <f t="shared" si="1"/>
        <v>5622.4540399999996</v>
      </c>
      <c r="M6" s="176">
        <f t="shared" si="1"/>
        <v>5622.4540399999996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2355420</v>
      </c>
      <c r="C9" s="175">
        <v>1694807</v>
      </c>
      <c r="D9" s="175">
        <v>1529990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2355.42</v>
      </c>
      <c r="C10" s="176">
        <f t="shared" ref="C10:M10" si="3">C9/1000+B10</f>
        <v>4050.2269999999999</v>
      </c>
      <c r="D10" s="176">
        <f t="shared" si="3"/>
        <v>5580.2169999999996</v>
      </c>
      <c r="E10" s="176">
        <f t="shared" si="3"/>
        <v>5580.2169999999996</v>
      </c>
      <c r="F10" s="176">
        <f t="shared" si="3"/>
        <v>5580.2169999999996</v>
      </c>
      <c r="G10" s="176">
        <f t="shared" si="3"/>
        <v>5580.2169999999996</v>
      </c>
      <c r="H10" s="176">
        <f t="shared" si="3"/>
        <v>5580.2169999999996</v>
      </c>
      <c r="I10" s="176">
        <f t="shared" si="3"/>
        <v>5580.2169999999996</v>
      </c>
      <c r="J10" s="176">
        <f t="shared" si="3"/>
        <v>5580.2169999999996</v>
      </c>
      <c r="K10" s="176">
        <f t="shared" si="3"/>
        <v>5580.2169999999996</v>
      </c>
      <c r="L10" s="176">
        <f t="shared" si="3"/>
        <v>5580.2169999999996</v>
      </c>
      <c r="M10" s="176">
        <f t="shared" si="3"/>
        <v>5580.2169999999996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0.82215684610642636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0.82215684610642636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21" t="s">
        <v>229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77" customFormat="1" ht="14.4" customHeight="1" thickBot="1" x14ac:dyDescent="0.3">
      <c r="A2" s="203" t="s">
        <v>227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22" t="s">
        <v>15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72" t="s">
        <v>193</v>
      </c>
      <c r="E4" s="272" t="s">
        <v>194</v>
      </c>
      <c r="F4" s="272" t="s">
        <v>195</v>
      </c>
      <c r="G4" s="272" t="s">
        <v>196</v>
      </c>
      <c r="H4" s="272" t="s">
        <v>197</v>
      </c>
      <c r="I4" s="272" t="s">
        <v>198</v>
      </c>
      <c r="J4" s="272" t="s">
        <v>199</v>
      </c>
      <c r="K4" s="272" t="s">
        <v>200</v>
      </c>
      <c r="L4" s="272" t="s">
        <v>201</v>
      </c>
      <c r="M4" s="272" t="s">
        <v>202</v>
      </c>
      <c r="N4" s="272" t="s">
        <v>203</v>
      </c>
      <c r="O4" s="272" t="s">
        <v>204</v>
      </c>
      <c r="P4" s="324" t="s">
        <v>3</v>
      </c>
      <c r="Q4" s="32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228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1.32125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2.72559</v>
      </c>
      <c r="Q7" s="71">
        <v>1.090236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228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105.64809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221.21106</v>
      </c>
      <c r="Q9" s="71">
        <v>0.71938556097499995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228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22.11382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52.213549999999998</v>
      </c>
      <c r="Q11" s="71">
        <v>0.85561770706999996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7.5919600000000003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11.115460000000001</v>
      </c>
      <c r="Q13" s="71">
        <v>1.270338285714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228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228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5.7673699999999997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22.22927</v>
      </c>
      <c r="Q17" s="71">
        <v>1.088327943336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2.1579999999999999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9.2959999999999994</v>
      </c>
      <c r="Q18" s="71" t="s">
        <v>228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58.415579999999999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159.19045</v>
      </c>
      <c r="Q19" s="71">
        <v>1.038553969274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1657.8681200000001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4693.4888899999996</v>
      </c>
      <c r="Q20" s="71">
        <v>0.99803070331099997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144.53700000000001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433.61099999999999</v>
      </c>
      <c r="Q21" s="71">
        <v>0.87421572580600004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228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10.122669999999999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17.372769999999001</v>
      </c>
      <c r="Q24" s="71"/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2015.54386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5622.4540399999996</v>
      </c>
      <c r="Q25" s="72">
        <v>0.97232153310699998</v>
      </c>
    </row>
    <row r="26" spans="1:17" ht="14.4" customHeight="1" x14ac:dyDescent="0.3">
      <c r="A26" s="15" t="s">
        <v>40</v>
      </c>
      <c r="B26" s="46">
        <v>2938.7413152672302</v>
      </c>
      <c r="C26" s="47">
        <v>244.89510960560199</v>
      </c>
      <c r="D26" s="47">
        <v>208.41156000000001</v>
      </c>
      <c r="E26" s="47">
        <v>202.82026999999999</v>
      </c>
      <c r="F26" s="47">
        <v>268.19193000000001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679.42376000000002</v>
      </c>
      <c r="Q26" s="71">
        <v>0.92478198944599999</v>
      </c>
    </row>
    <row r="27" spans="1:17" ht="14.4" customHeight="1" x14ac:dyDescent="0.3">
      <c r="A27" s="18" t="s">
        <v>41</v>
      </c>
      <c r="B27" s="49">
        <v>26068.760958183801</v>
      </c>
      <c r="C27" s="50">
        <v>2172.39674651532</v>
      </c>
      <c r="D27" s="50">
        <v>2029.0302999999999</v>
      </c>
      <c r="E27" s="50">
        <v>1989.1117099999999</v>
      </c>
      <c r="F27" s="50">
        <v>2283.7357900000002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6301.8778000000002</v>
      </c>
      <c r="Q27" s="72">
        <v>0.96696238230999998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102.1375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316.45854000000003</v>
      </c>
      <c r="Q28" s="71">
        <v>1.0601626130649999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228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205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21" t="s">
        <v>47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55" customFormat="1" ht="14.4" customHeight="1" thickBot="1" x14ac:dyDescent="0.35">
      <c r="A2" s="203" t="s">
        <v>227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22" t="s">
        <v>48</v>
      </c>
      <c r="C3" s="323"/>
      <c r="D3" s="323"/>
      <c r="E3" s="323"/>
      <c r="F3" s="329" t="s">
        <v>49</v>
      </c>
      <c r="G3" s="323"/>
      <c r="H3" s="323"/>
      <c r="I3" s="323"/>
      <c r="J3" s="323"/>
      <c r="K3" s="330"/>
    </row>
    <row r="4" spans="1:11" ht="14.4" customHeight="1" x14ac:dyDescent="0.3">
      <c r="A4" s="61"/>
      <c r="B4" s="327"/>
      <c r="C4" s="328"/>
      <c r="D4" s="328"/>
      <c r="E4" s="328"/>
      <c r="F4" s="331" t="s">
        <v>206</v>
      </c>
      <c r="G4" s="333" t="s">
        <v>50</v>
      </c>
      <c r="H4" s="115" t="s">
        <v>118</v>
      </c>
      <c r="I4" s="331" t="s">
        <v>51</v>
      </c>
      <c r="J4" s="333" t="s">
        <v>213</v>
      </c>
      <c r="K4" s="334" t="s">
        <v>207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32"/>
      <c r="G5" s="332"/>
      <c r="H5" s="25" t="s">
        <v>208</v>
      </c>
      <c r="I5" s="332"/>
      <c r="J5" s="332"/>
      <c r="K5" s="335"/>
    </row>
    <row r="6" spans="1:11" ht="14.4" customHeight="1" thickBot="1" x14ac:dyDescent="0.35">
      <c r="A6" s="396" t="s">
        <v>230</v>
      </c>
      <c r="B6" s="378">
        <v>21283.313730800201</v>
      </c>
      <c r="C6" s="378">
        <v>23805.409650000001</v>
      </c>
      <c r="D6" s="379">
        <v>2522.0959191997999</v>
      </c>
      <c r="E6" s="380">
        <v>1.1185010920330001</v>
      </c>
      <c r="F6" s="378">
        <v>23130.019642916599</v>
      </c>
      <c r="G6" s="379">
        <v>5782.5049107291397</v>
      </c>
      <c r="H6" s="381">
        <v>2015.54386</v>
      </c>
      <c r="I6" s="378">
        <v>5622.4540399999996</v>
      </c>
      <c r="J6" s="379">
        <v>-160.05087072913901</v>
      </c>
      <c r="K6" s="382">
        <v>0.24308038327600001</v>
      </c>
    </row>
    <row r="7" spans="1:11" ht="14.4" customHeight="1" thickBot="1" x14ac:dyDescent="0.35">
      <c r="A7" s="397" t="s">
        <v>231</v>
      </c>
      <c r="B7" s="378">
        <v>1784.63697768824</v>
      </c>
      <c r="C7" s="378">
        <v>1688.3403900000001</v>
      </c>
      <c r="D7" s="379">
        <v>-96.296587688236997</v>
      </c>
      <c r="E7" s="380">
        <v>0.94604135805</v>
      </c>
      <c r="F7" s="378">
        <v>1640.19555457156</v>
      </c>
      <c r="G7" s="379">
        <v>410.04888864288898</v>
      </c>
      <c r="H7" s="381">
        <v>137.21880999999999</v>
      </c>
      <c r="I7" s="378">
        <v>287.80945000000003</v>
      </c>
      <c r="J7" s="379">
        <v>-122.239438642889</v>
      </c>
      <c r="K7" s="382">
        <v>0.17547264361100001</v>
      </c>
    </row>
    <row r="8" spans="1:11" ht="14.4" customHeight="1" thickBot="1" x14ac:dyDescent="0.35">
      <c r="A8" s="398" t="s">
        <v>232</v>
      </c>
      <c r="B8" s="378">
        <v>1784.63697768824</v>
      </c>
      <c r="C8" s="378">
        <v>1688.3403900000001</v>
      </c>
      <c r="D8" s="379">
        <v>-96.296587688236997</v>
      </c>
      <c r="E8" s="380">
        <v>0.94604135805</v>
      </c>
      <c r="F8" s="378">
        <v>1640.19555457156</v>
      </c>
      <c r="G8" s="379">
        <v>410.04888864288898</v>
      </c>
      <c r="H8" s="381">
        <v>137.21880999999999</v>
      </c>
      <c r="I8" s="378">
        <v>287.80945000000003</v>
      </c>
      <c r="J8" s="379">
        <v>-122.239438642889</v>
      </c>
      <c r="K8" s="382">
        <v>0.17547264361100001</v>
      </c>
    </row>
    <row r="9" spans="1:11" ht="14.4" customHeight="1" thickBot="1" x14ac:dyDescent="0.35">
      <c r="A9" s="399" t="s">
        <v>233</v>
      </c>
      <c r="B9" s="383">
        <v>0</v>
      </c>
      <c r="C9" s="383">
        <v>3.3999999899999997E-4</v>
      </c>
      <c r="D9" s="384">
        <v>3.3999999899999997E-4</v>
      </c>
      <c r="E9" s="385" t="s">
        <v>228</v>
      </c>
      <c r="F9" s="383">
        <v>0</v>
      </c>
      <c r="G9" s="384">
        <v>0</v>
      </c>
      <c r="H9" s="386">
        <v>-3.1E-4</v>
      </c>
      <c r="I9" s="383">
        <v>-2.1000000000000001E-4</v>
      </c>
      <c r="J9" s="384">
        <v>-2.1000000000000001E-4</v>
      </c>
      <c r="K9" s="387" t="s">
        <v>228</v>
      </c>
    </row>
    <row r="10" spans="1:11" ht="14.4" customHeight="1" thickBot="1" x14ac:dyDescent="0.35">
      <c r="A10" s="400" t="s">
        <v>234</v>
      </c>
      <c r="B10" s="378">
        <v>0</v>
      </c>
      <c r="C10" s="378">
        <v>3.3999999899999997E-4</v>
      </c>
      <c r="D10" s="379">
        <v>3.3999999899999997E-4</v>
      </c>
      <c r="E10" s="388" t="s">
        <v>228</v>
      </c>
      <c r="F10" s="378">
        <v>0</v>
      </c>
      <c r="G10" s="379">
        <v>0</v>
      </c>
      <c r="H10" s="381">
        <v>-3.1E-4</v>
      </c>
      <c r="I10" s="378">
        <v>-2.1000000000000001E-4</v>
      </c>
      <c r="J10" s="379">
        <v>-2.1000000000000001E-4</v>
      </c>
      <c r="K10" s="389" t="s">
        <v>228</v>
      </c>
    </row>
    <row r="11" spans="1:11" ht="14.4" customHeight="1" thickBot="1" x14ac:dyDescent="0.35">
      <c r="A11" s="399" t="s">
        <v>235</v>
      </c>
      <c r="B11" s="383">
        <v>29.000002618105</v>
      </c>
      <c r="C11" s="383">
        <v>7.6551499999999999</v>
      </c>
      <c r="D11" s="384">
        <v>-21.344852618105001</v>
      </c>
      <c r="E11" s="390">
        <v>0.26397066582399997</v>
      </c>
      <c r="F11" s="383">
        <v>10</v>
      </c>
      <c r="G11" s="384">
        <v>2.5</v>
      </c>
      <c r="H11" s="386">
        <v>1.32125</v>
      </c>
      <c r="I11" s="383">
        <v>2.72559</v>
      </c>
      <c r="J11" s="384">
        <v>0.22559000000000001</v>
      </c>
      <c r="K11" s="391">
        <v>0.272559</v>
      </c>
    </row>
    <row r="12" spans="1:11" ht="14.4" customHeight="1" thickBot="1" x14ac:dyDescent="0.35">
      <c r="A12" s="400" t="s">
        <v>236</v>
      </c>
      <c r="B12" s="378">
        <v>29.000002618105</v>
      </c>
      <c r="C12" s="378">
        <v>7.6551499999999999</v>
      </c>
      <c r="D12" s="379">
        <v>-21.344852618105001</v>
      </c>
      <c r="E12" s="380">
        <v>0.26397066582399997</v>
      </c>
      <c r="F12" s="378">
        <v>10</v>
      </c>
      <c r="G12" s="379">
        <v>2.5</v>
      </c>
      <c r="H12" s="381">
        <v>1.32125</v>
      </c>
      <c r="I12" s="378">
        <v>2.72559</v>
      </c>
      <c r="J12" s="379">
        <v>0.22559000000000001</v>
      </c>
      <c r="K12" s="382">
        <v>0.272559</v>
      </c>
    </row>
    <row r="13" spans="1:11" ht="14.4" customHeight="1" thickBot="1" x14ac:dyDescent="0.35">
      <c r="A13" s="399" t="s">
        <v>237</v>
      </c>
      <c r="B13" s="383">
        <v>1361.00012287038</v>
      </c>
      <c r="C13" s="383">
        <v>1292.5291299999999</v>
      </c>
      <c r="D13" s="384">
        <v>-68.470992870377003</v>
      </c>
      <c r="E13" s="390">
        <v>0.94969067840599997</v>
      </c>
      <c r="F13" s="383">
        <v>1230</v>
      </c>
      <c r="G13" s="384">
        <v>307.5</v>
      </c>
      <c r="H13" s="386">
        <v>105.64809</v>
      </c>
      <c r="I13" s="383">
        <v>221.21106</v>
      </c>
      <c r="J13" s="384">
        <v>-86.288939999999002</v>
      </c>
      <c r="K13" s="391">
        <v>0.179846390243</v>
      </c>
    </row>
    <row r="14" spans="1:11" ht="14.4" customHeight="1" thickBot="1" x14ac:dyDescent="0.35">
      <c r="A14" s="400" t="s">
        <v>238</v>
      </c>
      <c r="B14" s="378">
        <v>900.00008125153602</v>
      </c>
      <c r="C14" s="378">
        <v>868.87531000000104</v>
      </c>
      <c r="D14" s="379">
        <v>-31.124771251535002</v>
      </c>
      <c r="E14" s="380">
        <v>0.96541692395300005</v>
      </c>
      <c r="F14" s="378">
        <v>800</v>
      </c>
      <c r="G14" s="379">
        <v>200</v>
      </c>
      <c r="H14" s="381">
        <v>73.410560000000004</v>
      </c>
      <c r="I14" s="378">
        <v>134.37457000000001</v>
      </c>
      <c r="J14" s="379">
        <v>-65.625429999999</v>
      </c>
      <c r="K14" s="382">
        <v>0.16796821249999999</v>
      </c>
    </row>
    <row r="15" spans="1:11" ht="14.4" customHeight="1" thickBot="1" x14ac:dyDescent="0.35">
      <c r="A15" s="400" t="s">
        <v>239</v>
      </c>
      <c r="B15" s="378">
        <v>80.000007222357993</v>
      </c>
      <c r="C15" s="378">
        <v>149.10729000000001</v>
      </c>
      <c r="D15" s="379">
        <v>69.107282777641004</v>
      </c>
      <c r="E15" s="380">
        <v>1.8638409567330001</v>
      </c>
      <c r="F15" s="378">
        <v>150</v>
      </c>
      <c r="G15" s="379">
        <v>37.5</v>
      </c>
      <c r="H15" s="381">
        <v>15.15077</v>
      </c>
      <c r="I15" s="378">
        <v>39.247109999999999</v>
      </c>
      <c r="J15" s="379">
        <v>1.7471099999999999</v>
      </c>
      <c r="K15" s="382">
        <v>0.26164739999999997</v>
      </c>
    </row>
    <row r="16" spans="1:11" ht="14.4" customHeight="1" thickBot="1" x14ac:dyDescent="0.35">
      <c r="A16" s="400" t="s">
        <v>240</v>
      </c>
      <c r="B16" s="378">
        <v>36.000003250060999</v>
      </c>
      <c r="C16" s="378">
        <v>30.69979</v>
      </c>
      <c r="D16" s="379">
        <v>-5.3002132500609997</v>
      </c>
      <c r="E16" s="380">
        <v>0.85277186745599998</v>
      </c>
      <c r="F16" s="378">
        <v>30</v>
      </c>
      <c r="G16" s="379">
        <v>7.5</v>
      </c>
      <c r="H16" s="381">
        <v>3.6981999999999999</v>
      </c>
      <c r="I16" s="378">
        <v>10.465999999999999</v>
      </c>
      <c r="J16" s="379">
        <v>2.9660000000000002</v>
      </c>
      <c r="K16" s="382">
        <v>0.34886666666600002</v>
      </c>
    </row>
    <row r="17" spans="1:11" ht="14.4" customHeight="1" thickBot="1" x14ac:dyDescent="0.35">
      <c r="A17" s="400" t="s">
        <v>241</v>
      </c>
      <c r="B17" s="378">
        <v>300.000027083845</v>
      </c>
      <c r="C17" s="378">
        <v>196.72647000000001</v>
      </c>
      <c r="D17" s="379">
        <v>-103.27355708384501</v>
      </c>
      <c r="E17" s="380">
        <v>0.65575484079799995</v>
      </c>
      <c r="F17" s="378">
        <v>200</v>
      </c>
      <c r="G17" s="379">
        <v>50</v>
      </c>
      <c r="H17" s="381">
        <v>8.4519599999999997</v>
      </c>
      <c r="I17" s="378">
        <v>24.675799999999999</v>
      </c>
      <c r="J17" s="379">
        <v>-25.324200000000001</v>
      </c>
      <c r="K17" s="382">
        <v>0.123379</v>
      </c>
    </row>
    <row r="18" spans="1:11" ht="14.4" customHeight="1" thickBot="1" x14ac:dyDescent="0.35">
      <c r="A18" s="400" t="s">
        <v>242</v>
      </c>
      <c r="B18" s="378">
        <v>0</v>
      </c>
      <c r="C18" s="378">
        <v>0.48499999999999999</v>
      </c>
      <c r="D18" s="379">
        <v>0.48499999999999999</v>
      </c>
      <c r="E18" s="388" t="s">
        <v>228</v>
      </c>
      <c r="F18" s="378">
        <v>0</v>
      </c>
      <c r="G18" s="379">
        <v>0</v>
      </c>
      <c r="H18" s="381">
        <v>0</v>
      </c>
      <c r="I18" s="378">
        <v>0</v>
      </c>
      <c r="J18" s="379">
        <v>0</v>
      </c>
      <c r="K18" s="389" t="s">
        <v>228</v>
      </c>
    </row>
    <row r="19" spans="1:11" ht="14.4" customHeight="1" thickBot="1" x14ac:dyDescent="0.35">
      <c r="A19" s="400" t="s">
        <v>243</v>
      </c>
      <c r="B19" s="378">
        <v>45.000004062575996</v>
      </c>
      <c r="C19" s="378">
        <v>46.082059999999998</v>
      </c>
      <c r="D19" s="379">
        <v>1.0820559374230001</v>
      </c>
      <c r="E19" s="380">
        <v>1.0240456853269999</v>
      </c>
      <c r="F19" s="378">
        <v>50</v>
      </c>
      <c r="G19" s="379">
        <v>12.5</v>
      </c>
      <c r="H19" s="381">
        <v>4.9366000000000003</v>
      </c>
      <c r="I19" s="378">
        <v>12.44758</v>
      </c>
      <c r="J19" s="379">
        <v>-5.2419999999000003E-2</v>
      </c>
      <c r="K19" s="382">
        <v>0.2489516</v>
      </c>
    </row>
    <row r="20" spans="1:11" ht="14.4" customHeight="1" thickBot="1" x14ac:dyDescent="0.35">
      <c r="A20" s="400" t="s">
        <v>244</v>
      </c>
      <c r="B20" s="378">
        <v>0</v>
      </c>
      <c r="C20" s="378">
        <v>0.55320999999999998</v>
      </c>
      <c r="D20" s="379">
        <v>0.55320999999999998</v>
      </c>
      <c r="E20" s="388" t="s">
        <v>245</v>
      </c>
      <c r="F20" s="378">
        <v>0</v>
      </c>
      <c r="G20" s="379">
        <v>0</v>
      </c>
      <c r="H20" s="381">
        <v>0</v>
      </c>
      <c r="I20" s="378">
        <v>0</v>
      </c>
      <c r="J20" s="379">
        <v>0</v>
      </c>
      <c r="K20" s="389" t="s">
        <v>228</v>
      </c>
    </row>
    <row r="21" spans="1:11" ht="14.4" customHeight="1" thickBot="1" x14ac:dyDescent="0.35">
      <c r="A21" s="399" t="s">
        <v>246</v>
      </c>
      <c r="B21" s="383">
        <v>268.16542325867198</v>
      </c>
      <c r="C21" s="383">
        <v>238.42966999999999</v>
      </c>
      <c r="D21" s="384">
        <v>-29.735753258671998</v>
      </c>
      <c r="E21" s="390">
        <v>0.88911414119900001</v>
      </c>
      <c r="F21" s="383">
        <v>244.09756632445499</v>
      </c>
      <c r="G21" s="384">
        <v>61.024391581113001</v>
      </c>
      <c r="H21" s="386">
        <v>22.11382</v>
      </c>
      <c r="I21" s="383">
        <v>52.213549999999998</v>
      </c>
      <c r="J21" s="384">
        <v>-8.8108415811129994</v>
      </c>
      <c r="K21" s="391">
        <v>0.213904426767</v>
      </c>
    </row>
    <row r="22" spans="1:11" ht="14.4" customHeight="1" thickBot="1" x14ac:dyDescent="0.35">
      <c r="A22" s="400" t="s">
        <v>247</v>
      </c>
      <c r="B22" s="378">
        <v>-1.6516558117008901E-15</v>
      </c>
      <c r="C22" s="378">
        <v>-2.2204460492503101E-16</v>
      </c>
      <c r="D22" s="379">
        <v>1.42961120677586E-15</v>
      </c>
      <c r="E22" s="380">
        <v>0.134437576734</v>
      </c>
      <c r="F22" s="378">
        <v>0</v>
      </c>
      <c r="G22" s="379">
        <v>0</v>
      </c>
      <c r="H22" s="381">
        <v>1.1495</v>
      </c>
      <c r="I22" s="378">
        <v>1.1495</v>
      </c>
      <c r="J22" s="379">
        <v>1.1495</v>
      </c>
      <c r="K22" s="389" t="s">
        <v>228</v>
      </c>
    </row>
    <row r="23" spans="1:11" ht="14.4" customHeight="1" thickBot="1" x14ac:dyDescent="0.35">
      <c r="A23" s="400" t="s">
        <v>248</v>
      </c>
      <c r="B23" s="378">
        <v>13.155458314963001</v>
      </c>
      <c r="C23" s="378">
        <v>5.7520699999999998</v>
      </c>
      <c r="D23" s="379">
        <v>-7.4033883149630002</v>
      </c>
      <c r="E23" s="380">
        <v>0.43723828256500002</v>
      </c>
      <c r="F23" s="378">
        <v>6</v>
      </c>
      <c r="G23" s="379">
        <v>1.5</v>
      </c>
      <c r="H23" s="381">
        <v>0.55115000000000003</v>
      </c>
      <c r="I23" s="378">
        <v>1.43916</v>
      </c>
      <c r="J23" s="379">
        <v>-6.0839999999E-2</v>
      </c>
      <c r="K23" s="382">
        <v>0.23985999999999999</v>
      </c>
    </row>
    <row r="24" spans="1:11" ht="14.4" customHeight="1" thickBot="1" x14ac:dyDescent="0.35">
      <c r="A24" s="400" t="s">
        <v>249</v>
      </c>
      <c r="B24" s="378">
        <v>24.005969206056001</v>
      </c>
      <c r="C24" s="378">
        <v>37.225700000000003</v>
      </c>
      <c r="D24" s="379">
        <v>13.219730793943</v>
      </c>
      <c r="E24" s="380">
        <v>1.5506851517</v>
      </c>
      <c r="F24" s="378">
        <v>37.473788317093003</v>
      </c>
      <c r="G24" s="379">
        <v>9.3684470792730004</v>
      </c>
      <c r="H24" s="381">
        <v>2.2475999999999998</v>
      </c>
      <c r="I24" s="378">
        <v>3.1592099999999999</v>
      </c>
      <c r="J24" s="379">
        <v>-6.2092370792729996</v>
      </c>
      <c r="K24" s="382">
        <v>8.4304527027000004E-2</v>
      </c>
    </row>
    <row r="25" spans="1:11" ht="14.4" customHeight="1" thickBot="1" x14ac:dyDescent="0.35">
      <c r="A25" s="400" t="s">
        <v>250</v>
      </c>
      <c r="B25" s="378">
        <v>43.543038246305997</v>
      </c>
      <c r="C25" s="378">
        <v>41.454940000000001</v>
      </c>
      <c r="D25" s="379">
        <v>-2.088098246306</v>
      </c>
      <c r="E25" s="380">
        <v>0.95204518723499998</v>
      </c>
      <c r="F25" s="378">
        <v>40</v>
      </c>
      <c r="G25" s="379">
        <v>10</v>
      </c>
      <c r="H25" s="381">
        <v>3.3554400000000002</v>
      </c>
      <c r="I25" s="378">
        <v>11.83005</v>
      </c>
      <c r="J25" s="379">
        <v>1.83005</v>
      </c>
      <c r="K25" s="382">
        <v>0.29575125000000002</v>
      </c>
    </row>
    <row r="26" spans="1:11" ht="14.4" customHeight="1" thickBot="1" x14ac:dyDescent="0.35">
      <c r="A26" s="400" t="s">
        <v>251</v>
      </c>
      <c r="B26" s="378">
        <v>4.2929669561999999E-2</v>
      </c>
      <c r="C26" s="378">
        <v>0</v>
      </c>
      <c r="D26" s="379">
        <v>-4.2929669561999999E-2</v>
      </c>
      <c r="E26" s="380">
        <v>0</v>
      </c>
      <c r="F26" s="378">
        <v>0</v>
      </c>
      <c r="G26" s="379">
        <v>0</v>
      </c>
      <c r="H26" s="381">
        <v>0</v>
      </c>
      <c r="I26" s="378">
        <v>0</v>
      </c>
      <c r="J26" s="379">
        <v>0</v>
      </c>
      <c r="K26" s="382">
        <v>0</v>
      </c>
    </row>
    <row r="27" spans="1:11" ht="14.4" customHeight="1" thickBot="1" x14ac:dyDescent="0.35">
      <c r="A27" s="400" t="s">
        <v>252</v>
      </c>
      <c r="B27" s="378">
        <v>0</v>
      </c>
      <c r="C27" s="378">
        <v>1.4930000000000001</v>
      </c>
      <c r="D27" s="379">
        <v>1.4930000000000001</v>
      </c>
      <c r="E27" s="388" t="s">
        <v>228</v>
      </c>
      <c r="F27" s="378">
        <v>0</v>
      </c>
      <c r="G27" s="379">
        <v>0</v>
      </c>
      <c r="H27" s="381">
        <v>0</v>
      </c>
      <c r="I27" s="378">
        <v>0</v>
      </c>
      <c r="J27" s="379">
        <v>0</v>
      </c>
      <c r="K27" s="389" t="s">
        <v>228</v>
      </c>
    </row>
    <row r="28" spans="1:11" ht="14.4" customHeight="1" thickBot="1" x14ac:dyDescent="0.35">
      <c r="A28" s="400" t="s">
        <v>253</v>
      </c>
      <c r="B28" s="378">
        <v>17.780185850355998</v>
      </c>
      <c r="C28" s="378">
        <v>21.99372</v>
      </c>
      <c r="D28" s="379">
        <v>4.2135341496430003</v>
      </c>
      <c r="E28" s="380">
        <v>1.236979196117</v>
      </c>
      <c r="F28" s="378">
        <v>30.623778007361</v>
      </c>
      <c r="G28" s="379">
        <v>7.6559445018399996</v>
      </c>
      <c r="H28" s="381">
        <v>0.57354000000000005</v>
      </c>
      <c r="I28" s="378">
        <v>4.7315100000000001</v>
      </c>
      <c r="J28" s="379">
        <v>-2.92443450184</v>
      </c>
      <c r="K28" s="382">
        <v>0.15450445071999999</v>
      </c>
    </row>
    <row r="29" spans="1:11" ht="14.4" customHeight="1" thickBot="1" x14ac:dyDescent="0.35">
      <c r="A29" s="400" t="s">
        <v>254</v>
      </c>
      <c r="B29" s="378">
        <v>0</v>
      </c>
      <c r="C29" s="378">
        <v>1.6214999999999999</v>
      </c>
      <c r="D29" s="379">
        <v>1.6214999999999999</v>
      </c>
      <c r="E29" s="388" t="s">
        <v>245</v>
      </c>
      <c r="F29" s="378">
        <v>0</v>
      </c>
      <c r="G29" s="379">
        <v>0</v>
      </c>
      <c r="H29" s="381">
        <v>0</v>
      </c>
      <c r="I29" s="378">
        <v>0</v>
      </c>
      <c r="J29" s="379">
        <v>0</v>
      </c>
      <c r="K29" s="389" t="s">
        <v>228</v>
      </c>
    </row>
    <row r="30" spans="1:11" ht="14.4" customHeight="1" thickBot="1" x14ac:dyDescent="0.35">
      <c r="A30" s="400" t="s">
        <v>255</v>
      </c>
      <c r="B30" s="378">
        <v>0</v>
      </c>
      <c r="C30" s="378">
        <v>0</v>
      </c>
      <c r="D30" s="379">
        <v>0</v>
      </c>
      <c r="E30" s="388" t="s">
        <v>228</v>
      </c>
      <c r="F30" s="378">
        <v>0</v>
      </c>
      <c r="G30" s="379">
        <v>0</v>
      </c>
      <c r="H30" s="381">
        <v>1.1000000000000001</v>
      </c>
      <c r="I30" s="378">
        <v>1.1000000000000001</v>
      </c>
      <c r="J30" s="379">
        <v>1.1000000000000001</v>
      </c>
      <c r="K30" s="389" t="s">
        <v>245</v>
      </c>
    </row>
    <row r="31" spans="1:11" ht="14.4" customHeight="1" thickBot="1" x14ac:dyDescent="0.35">
      <c r="A31" s="400" t="s">
        <v>256</v>
      </c>
      <c r="B31" s="378">
        <v>64.574267611745995</v>
      </c>
      <c r="C31" s="378">
        <v>72.418040000000005</v>
      </c>
      <c r="D31" s="379">
        <v>7.8437723882529999</v>
      </c>
      <c r="E31" s="380">
        <v>1.1214690104639999</v>
      </c>
      <c r="F31" s="378">
        <v>70</v>
      </c>
      <c r="G31" s="379">
        <v>17.5</v>
      </c>
      <c r="H31" s="381">
        <v>8.3933900000000001</v>
      </c>
      <c r="I31" s="378">
        <v>13.969519999999999</v>
      </c>
      <c r="J31" s="379">
        <v>-3.5304799999990002</v>
      </c>
      <c r="K31" s="382">
        <v>0.19956457142799999</v>
      </c>
    </row>
    <row r="32" spans="1:11" ht="14.4" customHeight="1" thickBot="1" x14ac:dyDescent="0.35">
      <c r="A32" s="400" t="s">
        <v>257</v>
      </c>
      <c r="B32" s="378">
        <v>105.063574359679</v>
      </c>
      <c r="C32" s="378">
        <v>56.470700000000001</v>
      </c>
      <c r="D32" s="379">
        <v>-48.592874359679001</v>
      </c>
      <c r="E32" s="380">
        <v>0.53749075589799999</v>
      </c>
      <c r="F32" s="378">
        <v>60</v>
      </c>
      <c r="G32" s="379">
        <v>15</v>
      </c>
      <c r="H32" s="381">
        <v>4.7431999999999999</v>
      </c>
      <c r="I32" s="378">
        <v>14.8346</v>
      </c>
      <c r="J32" s="379">
        <v>-0.16539999999999999</v>
      </c>
      <c r="K32" s="382">
        <v>0.247243333333</v>
      </c>
    </row>
    <row r="33" spans="1:11" ht="14.4" customHeight="1" thickBot="1" x14ac:dyDescent="0.35">
      <c r="A33" s="399" t="s">
        <v>258</v>
      </c>
      <c r="B33" s="383">
        <v>112.36169439323</v>
      </c>
      <c r="C33" s="383">
        <v>117.54712000000001</v>
      </c>
      <c r="D33" s="384">
        <v>5.18542560677</v>
      </c>
      <c r="E33" s="390">
        <v>1.0461494073640001</v>
      </c>
      <c r="F33" s="383">
        <v>121.097988247101</v>
      </c>
      <c r="G33" s="384">
        <v>30.274497061775001</v>
      </c>
      <c r="H33" s="386">
        <v>0</v>
      </c>
      <c r="I33" s="383">
        <v>0</v>
      </c>
      <c r="J33" s="384">
        <v>-30.274497061775001</v>
      </c>
      <c r="K33" s="391">
        <v>0</v>
      </c>
    </row>
    <row r="34" spans="1:11" ht="14.4" customHeight="1" thickBot="1" x14ac:dyDescent="0.35">
      <c r="A34" s="400" t="s">
        <v>259</v>
      </c>
      <c r="B34" s="378">
        <v>0</v>
      </c>
      <c r="C34" s="378">
        <v>20.314</v>
      </c>
      <c r="D34" s="379">
        <v>20.314</v>
      </c>
      <c r="E34" s="388" t="s">
        <v>245</v>
      </c>
      <c r="F34" s="378">
        <v>18.145612621403998</v>
      </c>
      <c r="G34" s="379">
        <v>4.5364031553509996</v>
      </c>
      <c r="H34" s="381">
        <v>0</v>
      </c>
      <c r="I34" s="378">
        <v>0</v>
      </c>
      <c r="J34" s="379">
        <v>-4.5364031553509996</v>
      </c>
      <c r="K34" s="382">
        <v>0</v>
      </c>
    </row>
    <row r="35" spans="1:11" ht="14.4" customHeight="1" thickBot="1" x14ac:dyDescent="0.35">
      <c r="A35" s="400" t="s">
        <v>260</v>
      </c>
      <c r="B35" s="378">
        <v>112.36169439323</v>
      </c>
      <c r="C35" s="378">
        <v>94.193920000000006</v>
      </c>
      <c r="D35" s="379">
        <v>-18.167774393228999</v>
      </c>
      <c r="E35" s="380">
        <v>0.83830989296299996</v>
      </c>
      <c r="F35" s="378">
        <v>102.95237562569601</v>
      </c>
      <c r="G35" s="379">
        <v>25.738093906424002</v>
      </c>
      <c r="H35" s="381">
        <v>0</v>
      </c>
      <c r="I35" s="378">
        <v>0</v>
      </c>
      <c r="J35" s="379">
        <v>-25.738093906424002</v>
      </c>
      <c r="K35" s="382">
        <v>0</v>
      </c>
    </row>
    <row r="36" spans="1:11" ht="14.4" customHeight="1" thickBot="1" x14ac:dyDescent="0.35">
      <c r="A36" s="400" t="s">
        <v>261</v>
      </c>
      <c r="B36" s="378">
        <v>0</v>
      </c>
      <c r="C36" s="378">
        <v>3.0392000000000001</v>
      </c>
      <c r="D36" s="379">
        <v>3.0392000000000001</v>
      </c>
      <c r="E36" s="388" t="s">
        <v>245</v>
      </c>
      <c r="F36" s="378">
        <v>0</v>
      </c>
      <c r="G36" s="379">
        <v>0</v>
      </c>
      <c r="H36" s="381">
        <v>0</v>
      </c>
      <c r="I36" s="378">
        <v>0</v>
      </c>
      <c r="J36" s="379">
        <v>0</v>
      </c>
      <c r="K36" s="389" t="s">
        <v>228</v>
      </c>
    </row>
    <row r="37" spans="1:11" ht="14.4" customHeight="1" thickBot="1" x14ac:dyDescent="0.35">
      <c r="A37" s="399" t="s">
        <v>262</v>
      </c>
      <c r="B37" s="383">
        <v>14.109734547853</v>
      </c>
      <c r="C37" s="383">
        <v>26.75328</v>
      </c>
      <c r="D37" s="384">
        <v>12.643545452146</v>
      </c>
      <c r="E37" s="390">
        <v>1.896086698815</v>
      </c>
      <c r="F37" s="383">
        <v>35</v>
      </c>
      <c r="G37" s="384">
        <v>8.75</v>
      </c>
      <c r="H37" s="386">
        <v>7.5919600000000003</v>
      </c>
      <c r="I37" s="383">
        <v>11.115460000000001</v>
      </c>
      <c r="J37" s="384">
        <v>2.3654600000000001</v>
      </c>
      <c r="K37" s="391">
        <v>0.31758457142800001</v>
      </c>
    </row>
    <row r="38" spans="1:11" ht="14.4" customHeight="1" thickBot="1" x14ac:dyDescent="0.35">
      <c r="A38" s="400" t="s">
        <v>263</v>
      </c>
      <c r="B38" s="378">
        <v>0</v>
      </c>
      <c r="C38" s="378">
        <v>13.39207</v>
      </c>
      <c r="D38" s="379">
        <v>13.39207</v>
      </c>
      <c r="E38" s="388" t="s">
        <v>228</v>
      </c>
      <c r="F38" s="378">
        <v>21</v>
      </c>
      <c r="G38" s="379">
        <v>5.25</v>
      </c>
      <c r="H38" s="381">
        <v>7.3014099999999997</v>
      </c>
      <c r="I38" s="378">
        <v>10.824909999999999</v>
      </c>
      <c r="J38" s="379">
        <v>5.57491</v>
      </c>
      <c r="K38" s="382">
        <v>0.51547190476100002</v>
      </c>
    </row>
    <row r="39" spans="1:11" ht="14.4" customHeight="1" thickBot="1" x14ac:dyDescent="0.35">
      <c r="A39" s="400" t="s">
        <v>264</v>
      </c>
      <c r="B39" s="378">
        <v>0.41976352313499998</v>
      </c>
      <c r="C39" s="378">
        <v>0</v>
      </c>
      <c r="D39" s="379">
        <v>-0.41976352313499998</v>
      </c>
      <c r="E39" s="380">
        <v>0</v>
      </c>
      <c r="F39" s="378">
        <v>0</v>
      </c>
      <c r="G39" s="379">
        <v>0</v>
      </c>
      <c r="H39" s="381">
        <v>0</v>
      </c>
      <c r="I39" s="378">
        <v>0</v>
      </c>
      <c r="J39" s="379">
        <v>0</v>
      </c>
      <c r="K39" s="382">
        <v>0</v>
      </c>
    </row>
    <row r="40" spans="1:11" ht="14.4" customHeight="1" thickBot="1" x14ac:dyDescent="0.35">
      <c r="A40" s="400" t="s">
        <v>265</v>
      </c>
      <c r="B40" s="378">
        <v>9.8538645470940001</v>
      </c>
      <c r="C40" s="378">
        <v>10.05561</v>
      </c>
      <c r="D40" s="379">
        <v>0.20174545290500001</v>
      </c>
      <c r="E40" s="380">
        <v>1.0204737392050001</v>
      </c>
      <c r="F40" s="378">
        <v>10</v>
      </c>
      <c r="G40" s="379">
        <v>2.5</v>
      </c>
      <c r="H40" s="381">
        <v>0.29054999999999997</v>
      </c>
      <c r="I40" s="378">
        <v>0.29054999999999997</v>
      </c>
      <c r="J40" s="379">
        <v>-2.2094499999999999</v>
      </c>
      <c r="K40" s="382">
        <v>2.9055000000000001E-2</v>
      </c>
    </row>
    <row r="41" spans="1:11" ht="14.4" customHeight="1" thickBot="1" x14ac:dyDescent="0.35">
      <c r="A41" s="400" t="s">
        <v>266</v>
      </c>
      <c r="B41" s="378">
        <v>3.8361064776229998</v>
      </c>
      <c r="C41" s="378">
        <v>3.3056000000000001</v>
      </c>
      <c r="D41" s="379">
        <v>-0.53050647762299996</v>
      </c>
      <c r="E41" s="380">
        <v>0.86170705095900002</v>
      </c>
      <c r="F41" s="378">
        <v>4</v>
      </c>
      <c r="G41" s="379">
        <v>1</v>
      </c>
      <c r="H41" s="381">
        <v>0</v>
      </c>
      <c r="I41" s="378">
        <v>0</v>
      </c>
      <c r="J41" s="379">
        <v>-1</v>
      </c>
      <c r="K41" s="382">
        <v>0</v>
      </c>
    </row>
    <row r="42" spans="1:11" ht="14.4" customHeight="1" thickBot="1" x14ac:dyDescent="0.35">
      <c r="A42" s="399" t="s">
        <v>267</v>
      </c>
      <c r="B42" s="383">
        <v>0</v>
      </c>
      <c r="C42" s="383">
        <v>0</v>
      </c>
      <c r="D42" s="384">
        <v>0</v>
      </c>
      <c r="E42" s="390">
        <v>1</v>
      </c>
      <c r="F42" s="383">
        <v>0</v>
      </c>
      <c r="G42" s="384">
        <v>0</v>
      </c>
      <c r="H42" s="386">
        <v>0.54400000000000004</v>
      </c>
      <c r="I42" s="383">
        <v>0.54400000000000004</v>
      </c>
      <c r="J42" s="384">
        <v>0.54400000000000004</v>
      </c>
      <c r="K42" s="387" t="s">
        <v>245</v>
      </c>
    </row>
    <row r="43" spans="1:11" ht="14.4" customHeight="1" thickBot="1" x14ac:dyDescent="0.35">
      <c r="A43" s="400" t="s">
        <v>268</v>
      </c>
      <c r="B43" s="378">
        <v>0</v>
      </c>
      <c r="C43" s="378">
        <v>0</v>
      </c>
      <c r="D43" s="379">
        <v>0</v>
      </c>
      <c r="E43" s="380">
        <v>1</v>
      </c>
      <c r="F43" s="378">
        <v>0</v>
      </c>
      <c r="G43" s="379">
        <v>0</v>
      </c>
      <c r="H43" s="381">
        <v>0.54400000000000004</v>
      </c>
      <c r="I43" s="378">
        <v>0.54400000000000004</v>
      </c>
      <c r="J43" s="379">
        <v>0.54400000000000004</v>
      </c>
      <c r="K43" s="389" t="s">
        <v>245</v>
      </c>
    </row>
    <row r="44" spans="1:11" ht="14.4" customHeight="1" thickBot="1" x14ac:dyDescent="0.35">
      <c r="A44" s="399" t="s">
        <v>269</v>
      </c>
      <c r="B44" s="383">
        <v>0</v>
      </c>
      <c r="C44" s="383">
        <v>5.4257</v>
      </c>
      <c r="D44" s="384">
        <v>5.4257</v>
      </c>
      <c r="E44" s="385" t="s">
        <v>245</v>
      </c>
      <c r="F44" s="383">
        <v>0</v>
      </c>
      <c r="G44" s="384">
        <v>0</v>
      </c>
      <c r="H44" s="386">
        <v>0</v>
      </c>
      <c r="I44" s="383">
        <v>0</v>
      </c>
      <c r="J44" s="384">
        <v>0</v>
      </c>
      <c r="K44" s="387" t="s">
        <v>228</v>
      </c>
    </row>
    <row r="45" spans="1:11" ht="14.4" customHeight="1" thickBot="1" x14ac:dyDescent="0.35">
      <c r="A45" s="400" t="s">
        <v>270</v>
      </c>
      <c r="B45" s="378">
        <v>0</v>
      </c>
      <c r="C45" s="378">
        <v>5.4257</v>
      </c>
      <c r="D45" s="379">
        <v>5.4257</v>
      </c>
      <c r="E45" s="388" t="s">
        <v>245</v>
      </c>
      <c r="F45" s="378">
        <v>0</v>
      </c>
      <c r="G45" s="379">
        <v>0</v>
      </c>
      <c r="H45" s="381">
        <v>0</v>
      </c>
      <c r="I45" s="378">
        <v>0</v>
      </c>
      <c r="J45" s="379">
        <v>0</v>
      </c>
      <c r="K45" s="389" t="s">
        <v>228</v>
      </c>
    </row>
    <row r="46" spans="1:11" ht="14.4" customHeight="1" thickBot="1" x14ac:dyDescent="0.35">
      <c r="A46" s="401" t="s">
        <v>271</v>
      </c>
      <c r="B46" s="383">
        <v>595.67119884711497</v>
      </c>
      <c r="C46" s="383">
        <v>965.06128000000103</v>
      </c>
      <c r="D46" s="384">
        <v>369.39008115288601</v>
      </c>
      <c r="E46" s="390">
        <v>1.620124125302</v>
      </c>
      <c r="F46" s="383">
        <v>694.824088345002</v>
      </c>
      <c r="G46" s="384">
        <v>173.70602208625101</v>
      </c>
      <c r="H46" s="386">
        <v>66.340950000000007</v>
      </c>
      <c r="I46" s="383">
        <v>190.71572</v>
      </c>
      <c r="J46" s="384">
        <v>17.009697913749001</v>
      </c>
      <c r="K46" s="391">
        <v>0.27448058177399998</v>
      </c>
    </row>
    <row r="47" spans="1:11" ht="14.4" customHeight="1" thickBot="1" x14ac:dyDescent="0.35">
      <c r="A47" s="398" t="s">
        <v>31</v>
      </c>
      <c r="B47" s="378">
        <v>133.88864348784</v>
      </c>
      <c r="C47" s="378">
        <v>103.74714</v>
      </c>
      <c r="D47" s="379">
        <v>-30.141503487839</v>
      </c>
      <c r="E47" s="380">
        <v>0.77487632481199997</v>
      </c>
      <c r="F47" s="378">
        <v>81.70063127057</v>
      </c>
      <c r="G47" s="379">
        <v>20.425157817641999</v>
      </c>
      <c r="H47" s="381">
        <v>5.7673699999999997</v>
      </c>
      <c r="I47" s="378">
        <v>22.22927</v>
      </c>
      <c r="J47" s="379">
        <v>1.8041121823570001</v>
      </c>
      <c r="K47" s="382">
        <v>0.27208198583400001</v>
      </c>
    </row>
    <row r="48" spans="1:11" ht="14.4" customHeight="1" thickBot="1" x14ac:dyDescent="0.35">
      <c r="A48" s="402" t="s">
        <v>272</v>
      </c>
      <c r="B48" s="378">
        <v>133.88864348784</v>
      </c>
      <c r="C48" s="378">
        <v>103.74714</v>
      </c>
      <c r="D48" s="379">
        <v>-30.141503487839</v>
      </c>
      <c r="E48" s="380">
        <v>0.77487632481199997</v>
      </c>
      <c r="F48" s="378">
        <v>81.70063127057</v>
      </c>
      <c r="G48" s="379">
        <v>20.425157817641999</v>
      </c>
      <c r="H48" s="381">
        <v>5.7673699999999997</v>
      </c>
      <c r="I48" s="378">
        <v>22.22927</v>
      </c>
      <c r="J48" s="379">
        <v>1.8041121823570001</v>
      </c>
      <c r="K48" s="382">
        <v>0.27208198583400001</v>
      </c>
    </row>
    <row r="49" spans="1:11" ht="14.4" customHeight="1" thickBot="1" x14ac:dyDescent="0.35">
      <c r="A49" s="400" t="s">
        <v>273</v>
      </c>
      <c r="B49" s="378">
        <v>45.798463349392001</v>
      </c>
      <c r="C49" s="378">
        <v>96.655789999999996</v>
      </c>
      <c r="D49" s="379">
        <v>50.857326650607</v>
      </c>
      <c r="E49" s="380">
        <v>2.1104592366469999</v>
      </c>
      <c r="F49" s="378">
        <v>75.259379083368998</v>
      </c>
      <c r="G49" s="379">
        <v>18.814844770842001</v>
      </c>
      <c r="H49" s="381">
        <v>0</v>
      </c>
      <c r="I49" s="378">
        <v>16.4619</v>
      </c>
      <c r="J49" s="379">
        <v>-2.3529447708419999</v>
      </c>
      <c r="K49" s="382">
        <v>0.21873552772400001</v>
      </c>
    </row>
    <row r="50" spans="1:11" ht="14.4" customHeight="1" thickBot="1" x14ac:dyDescent="0.35">
      <c r="A50" s="400" t="s">
        <v>274</v>
      </c>
      <c r="B50" s="378">
        <v>0</v>
      </c>
      <c r="C50" s="378">
        <v>0.66600000000000004</v>
      </c>
      <c r="D50" s="379">
        <v>0.66600000000000004</v>
      </c>
      <c r="E50" s="388" t="s">
        <v>245</v>
      </c>
      <c r="F50" s="378">
        <v>0</v>
      </c>
      <c r="G50" s="379">
        <v>0</v>
      </c>
      <c r="H50" s="381">
        <v>0</v>
      </c>
      <c r="I50" s="378">
        <v>0</v>
      </c>
      <c r="J50" s="379">
        <v>0</v>
      </c>
      <c r="K50" s="389" t="s">
        <v>228</v>
      </c>
    </row>
    <row r="51" spans="1:11" ht="14.4" customHeight="1" thickBot="1" x14ac:dyDescent="0.35">
      <c r="A51" s="400" t="s">
        <v>275</v>
      </c>
      <c r="B51" s="378">
        <v>84.654960200022998</v>
      </c>
      <c r="C51" s="378">
        <v>1.58883</v>
      </c>
      <c r="D51" s="379">
        <v>-83.066130200022997</v>
      </c>
      <c r="E51" s="380">
        <v>1.8768303667E-2</v>
      </c>
      <c r="F51" s="378">
        <v>1.4412521871999999</v>
      </c>
      <c r="G51" s="379">
        <v>0.36031304679999998</v>
      </c>
      <c r="H51" s="381">
        <v>0.3</v>
      </c>
      <c r="I51" s="378">
        <v>0.3</v>
      </c>
      <c r="J51" s="379">
        <v>-6.0313046799999999E-2</v>
      </c>
      <c r="K51" s="382">
        <v>0.20815232938700001</v>
      </c>
    </row>
    <row r="52" spans="1:11" ht="14.4" customHeight="1" thickBot="1" x14ac:dyDescent="0.35">
      <c r="A52" s="400" t="s">
        <v>276</v>
      </c>
      <c r="B52" s="378">
        <v>3.4352199384230002</v>
      </c>
      <c r="C52" s="378">
        <v>4.8365200000000002</v>
      </c>
      <c r="D52" s="379">
        <v>1.4013000615760001</v>
      </c>
      <c r="E52" s="380">
        <v>1.4079214975150001</v>
      </c>
      <c r="F52" s="378">
        <v>4.9999999999989999</v>
      </c>
      <c r="G52" s="379">
        <v>1.2499999999989999</v>
      </c>
      <c r="H52" s="381">
        <v>5.4673699999999998</v>
      </c>
      <c r="I52" s="378">
        <v>5.4673699999999998</v>
      </c>
      <c r="J52" s="379">
        <v>4.2173699999999998</v>
      </c>
      <c r="K52" s="382">
        <v>1.0934740000000001</v>
      </c>
    </row>
    <row r="53" spans="1:11" ht="14.4" customHeight="1" thickBot="1" x14ac:dyDescent="0.35">
      <c r="A53" s="403" t="s">
        <v>32</v>
      </c>
      <c r="B53" s="383">
        <v>0</v>
      </c>
      <c r="C53" s="383">
        <v>162.77600000000001</v>
      </c>
      <c r="D53" s="384">
        <v>162.77600000000001</v>
      </c>
      <c r="E53" s="385" t="s">
        <v>228</v>
      </c>
      <c r="F53" s="383">
        <v>0</v>
      </c>
      <c r="G53" s="384">
        <v>0</v>
      </c>
      <c r="H53" s="386">
        <v>2.1579999999999999</v>
      </c>
      <c r="I53" s="383">
        <v>9.2959999999999994</v>
      </c>
      <c r="J53" s="384">
        <v>9.2959999999999994</v>
      </c>
      <c r="K53" s="387" t="s">
        <v>228</v>
      </c>
    </row>
    <row r="54" spans="1:11" ht="14.4" customHeight="1" thickBot="1" x14ac:dyDescent="0.35">
      <c r="A54" s="399" t="s">
        <v>277</v>
      </c>
      <c r="B54" s="383">
        <v>0</v>
      </c>
      <c r="C54" s="383">
        <v>55.177999999999997</v>
      </c>
      <c r="D54" s="384">
        <v>55.177999999999997</v>
      </c>
      <c r="E54" s="385" t="s">
        <v>228</v>
      </c>
      <c r="F54" s="383">
        <v>0</v>
      </c>
      <c r="G54" s="384">
        <v>0</v>
      </c>
      <c r="H54" s="386">
        <v>2.1579999999999999</v>
      </c>
      <c r="I54" s="383">
        <v>9.2959999999999994</v>
      </c>
      <c r="J54" s="384">
        <v>9.2959999999999994</v>
      </c>
      <c r="K54" s="387" t="s">
        <v>228</v>
      </c>
    </row>
    <row r="55" spans="1:11" ht="14.4" customHeight="1" thickBot="1" x14ac:dyDescent="0.35">
      <c r="A55" s="400" t="s">
        <v>278</v>
      </c>
      <c r="B55" s="378">
        <v>0</v>
      </c>
      <c r="C55" s="378">
        <v>51.817999999999998</v>
      </c>
      <c r="D55" s="379">
        <v>51.817999999999998</v>
      </c>
      <c r="E55" s="388" t="s">
        <v>228</v>
      </c>
      <c r="F55" s="378">
        <v>0</v>
      </c>
      <c r="G55" s="379">
        <v>0</v>
      </c>
      <c r="H55" s="381">
        <v>2.1579999999999999</v>
      </c>
      <c r="I55" s="378">
        <v>9.2959999999999994</v>
      </c>
      <c r="J55" s="379">
        <v>9.2959999999999994</v>
      </c>
      <c r="K55" s="389" t="s">
        <v>228</v>
      </c>
    </row>
    <row r="56" spans="1:11" ht="14.4" customHeight="1" thickBot="1" x14ac:dyDescent="0.35">
      <c r="A56" s="400" t="s">
        <v>279</v>
      </c>
      <c r="B56" s="378">
        <v>0</v>
      </c>
      <c r="C56" s="378">
        <v>3.36</v>
      </c>
      <c r="D56" s="379">
        <v>3.36</v>
      </c>
      <c r="E56" s="388" t="s">
        <v>245</v>
      </c>
      <c r="F56" s="378">
        <v>0</v>
      </c>
      <c r="G56" s="379">
        <v>0</v>
      </c>
      <c r="H56" s="381">
        <v>0</v>
      </c>
      <c r="I56" s="378">
        <v>0</v>
      </c>
      <c r="J56" s="379">
        <v>0</v>
      </c>
      <c r="K56" s="389" t="s">
        <v>228</v>
      </c>
    </row>
    <row r="57" spans="1:11" ht="14.4" customHeight="1" thickBot="1" x14ac:dyDescent="0.35">
      <c r="A57" s="399" t="s">
        <v>280</v>
      </c>
      <c r="B57" s="383">
        <v>0</v>
      </c>
      <c r="C57" s="383">
        <v>107.598</v>
      </c>
      <c r="D57" s="384">
        <v>107.598</v>
      </c>
      <c r="E57" s="385" t="s">
        <v>228</v>
      </c>
      <c r="F57" s="383">
        <v>0</v>
      </c>
      <c r="G57" s="384">
        <v>0</v>
      </c>
      <c r="H57" s="386">
        <v>0</v>
      </c>
      <c r="I57" s="383">
        <v>0</v>
      </c>
      <c r="J57" s="384">
        <v>0</v>
      </c>
      <c r="K57" s="387" t="s">
        <v>228</v>
      </c>
    </row>
    <row r="58" spans="1:11" ht="14.4" customHeight="1" thickBot="1" x14ac:dyDescent="0.35">
      <c r="A58" s="400" t="s">
        <v>281</v>
      </c>
      <c r="B58" s="378">
        <v>0</v>
      </c>
      <c r="C58" s="378">
        <v>107.598</v>
      </c>
      <c r="D58" s="379">
        <v>107.598</v>
      </c>
      <c r="E58" s="388" t="s">
        <v>228</v>
      </c>
      <c r="F58" s="378">
        <v>0</v>
      </c>
      <c r="G58" s="379">
        <v>0</v>
      </c>
      <c r="H58" s="381">
        <v>0</v>
      </c>
      <c r="I58" s="378">
        <v>0</v>
      </c>
      <c r="J58" s="379">
        <v>0</v>
      </c>
      <c r="K58" s="389" t="s">
        <v>228</v>
      </c>
    </row>
    <row r="59" spans="1:11" ht="14.4" customHeight="1" thickBot="1" x14ac:dyDescent="0.35">
      <c r="A59" s="398" t="s">
        <v>33</v>
      </c>
      <c r="B59" s="378">
        <v>461.78255535927502</v>
      </c>
      <c r="C59" s="378">
        <v>698.53814000000102</v>
      </c>
      <c r="D59" s="379">
        <v>236.755584640726</v>
      </c>
      <c r="E59" s="380">
        <v>1.512699282147</v>
      </c>
      <c r="F59" s="378">
        <v>613.12345707443205</v>
      </c>
      <c r="G59" s="379">
        <v>153.28086426860801</v>
      </c>
      <c r="H59" s="381">
        <v>58.415579999999999</v>
      </c>
      <c r="I59" s="378">
        <v>159.19045</v>
      </c>
      <c r="J59" s="379">
        <v>5.9095857313920002</v>
      </c>
      <c r="K59" s="382">
        <v>0.25963849231800001</v>
      </c>
    </row>
    <row r="60" spans="1:11" ht="14.4" customHeight="1" thickBot="1" x14ac:dyDescent="0.35">
      <c r="A60" s="399" t="s">
        <v>282</v>
      </c>
      <c r="B60" s="383">
        <v>0.630457904322</v>
      </c>
      <c r="C60" s="383">
        <v>0</v>
      </c>
      <c r="D60" s="384">
        <v>-0.630457904322</v>
      </c>
      <c r="E60" s="390">
        <v>0</v>
      </c>
      <c r="F60" s="383">
        <v>0</v>
      </c>
      <c r="G60" s="384">
        <v>0</v>
      </c>
      <c r="H60" s="386">
        <v>0</v>
      </c>
      <c r="I60" s="383">
        <v>0</v>
      </c>
      <c r="J60" s="384">
        <v>0</v>
      </c>
      <c r="K60" s="391">
        <v>0</v>
      </c>
    </row>
    <row r="61" spans="1:11" ht="14.4" customHeight="1" thickBot="1" x14ac:dyDescent="0.35">
      <c r="A61" s="400" t="s">
        <v>283</v>
      </c>
      <c r="B61" s="378">
        <v>0.630457904322</v>
      </c>
      <c r="C61" s="378">
        <v>0</v>
      </c>
      <c r="D61" s="379">
        <v>-0.630457904322</v>
      </c>
      <c r="E61" s="380">
        <v>0</v>
      </c>
      <c r="F61" s="378">
        <v>0</v>
      </c>
      <c r="G61" s="379">
        <v>0</v>
      </c>
      <c r="H61" s="381">
        <v>0</v>
      </c>
      <c r="I61" s="378">
        <v>0</v>
      </c>
      <c r="J61" s="379">
        <v>0</v>
      </c>
      <c r="K61" s="382">
        <v>0</v>
      </c>
    </row>
    <row r="62" spans="1:11" ht="14.4" customHeight="1" thickBot="1" x14ac:dyDescent="0.35">
      <c r="A62" s="399" t="s">
        <v>284</v>
      </c>
      <c r="B62" s="383">
        <v>33.571121687847999</v>
      </c>
      <c r="C62" s="383">
        <v>85.344790000000003</v>
      </c>
      <c r="D62" s="384">
        <v>51.773668312151003</v>
      </c>
      <c r="E62" s="390">
        <v>2.5422084729110002</v>
      </c>
      <c r="F62" s="383">
        <v>84.224787969637006</v>
      </c>
      <c r="G62" s="384">
        <v>21.056196992408999</v>
      </c>
      <c r="H62" s="386">
        <v>23.87509</v>
      </c>
      <c r="I62" s="383">
        <v>24.370380000000001</v>
      </c>
      <c r="J62" s="384">
        <v>3.3141830075900001</v>
      </c>
      <c r="K62" s="391">
        <v>0.28934925913699999</v>
      </c>
    </row>
    <row r="63" spans="1:11" ht="14.4" customHeight="1" thickBot="1" x14ac:dyDescent="0.35">
      <c r="A63" s="400" t="s">
        <v>285</v>
      </c>
      <c r="B63" s="378">
        <v>0</v>
      </c>
      <c r="C63" s="378">
        <v>2.4851999999999999</v>
      </c>
      <c r="D63" s="379">
        <v>2.4851999999999999</v>
      </c>
      <c r="E63" s="388" t="s">
        <v>245</v>
      </c>
      <c r="F63" s="378">
        <v>0.23569054459800001</v>
      </c>
      <c r="G63" s="379">
        <v>5.8922636149E-2</v>
      </c>
      <c r="H63" s="381">
        <v>1.3580000000000001</v>
      </c>
      <c r="I63" s="378">
        <v>1.3580000000000001</v>
      </c>
      <c r="J63" s="379">
        <v>1.2990773638499999</v>
      </c>
      <c r="K63" s="382">
        <v>5.7617924482829999</v>
      </c>
    </row>
    <row r="64" spans="1:11" ht="14.4" customHeight="1" thickBot="1" x14ac:dyDescent="0.35">
      <c r="A64" s="400" t="s">
        <v>286</v>
      </c>
      <c r="B64" s="378">
        <v>29.397518870990002</v>
      </c>
      <c r="C64" s="378">
        <v>79.007999999999996</v>
      </c>
      <c r="D64" s="379">
        <v>49.610481129009003</v>
      </c>
      <c r="E64" s="380">
        <v>2.6875737488840001</v>
      </c>
      <c r="F64" s="378">
        <v>79.599406528188993</v>
      </c>
      <c r="G64" s="379">
        <v>19.899851632047</v>
      </c>
      <c r="H64" s="381">
        <v>22.21</v>
      </c>
      <c r="I64" s="378">
        <v>22.21</v>
      </c>
      <c r="J64" s="379">
        <v>2.3101483679519998</v>
      </c>
      <c r="K64" s="382">
        <v>0.279022180801</v>
      </c>
    </row>
    <row r="65" spans="1:11" ht="14.4" customHeight="1" thickBot="1" x14ac:dyDescent="0.35">
      <c r="A65" s="400" t="s">
        <v>287</v>
      </c>
      <c r="B65" s="378">
        <v>4.1736028168569996</v>
      </c>
      <c r="C65" s="378">
        <v>3.8515899999999998</v>
      </c>
      <c r="D65" s="379">
        <v>-0.32201281685700001</v>
      </c>
      <c r="E65" s="380">
        <v>0.92284536143200002</v>
      </c>
      <c r="F65" s="378">
        <v>4.3896908968480002</v>
      </c>
      <c r="G65" s="379">
        <v>1.097422724212</v>
      </c>
      <c r="H65" s="381">
        <v>0.30708999999999997</v>
      </c>
      <c r="I65" s="378">
        <v>0.80237999999999998</v>
      </c>
      <c r="J65" s="379">
        <v>-0.29504272421200001</v>
      </c>
      <c r="K65" s="382">
        <v>0.18278735766400001</v>
      </c>
    </row>
    <row r="66" spans="1:11" ht="14.4" customHeight="1" thickBot="1" x14ac:dyDescent="0.35">
      <c r="A66" s="399" t="s">
        <v>288</v>
      </c>
      <c r="B66" s="383">
        <v>21.718331485444999</v>
      </c>
      <c r="C66" s="383">
        <v>43.899549999999998</v>
      </c>
      <c r="D66" s="384">
        <v>22.181218514554001</v>
      </c>
      <c r="E66" s="390">
        <v>2.0213131947730001</v>
      </c>
      <c r="F66" s="383">
        <v>52</v>
      </c>
      <c r="G66" s="384">
        <v>13</v>
      </c>
      <c r="H66" s="386">
        <v>0.84216999999999997</v>
      </c>
      <c r="I66" s="383">
        <v>32.420229999999997</v>
      </c>
      <c r="J66" s="384">
        <v>19.42023</v>
      </c>
      <c r="K66" s="391">
        <v>0.62346596153800005</v>
      </c>
    </row>
    <row r="67" spans="1:11" ht="14.4" customHeight="1" thickBot="1" x14ac:dyDescent="0.35">
      <c r="A67" s="400" t="s">
        <v>289</v>
      </c>
      <c r="B67" s="378">
        <v>1.999996816928</v>
      </c>
      <c r="C67" s="378">
        <v>1.62</v>
      </c>
      <c r="D67" s="379">
        <v>-0.37999681692800003</v>
      </c>
      <c r="E67" s="380">
        <v>0.81000128914500003</v>
      </c>
      <c r="F67" s="378">
        <v>2</v>
      </c>
      <c r="G67" s="379">
        <v>0.5</v>
      </c>
      <c r="H67" s="381">
        <v>0</v>
      </c>
      <c r="I67" s="378">
        <v>0.40500000000000003</v>
      </c>
      <c r="J67" s="379">
        <v>-9.5000000000000001E-2</v>
      </c>
      <c r="K67" s="382">
        <v>0.20250000000000001</v>
      </c>
    </row>
    <row r="68" spans="1:11" ht="14.4" customHeight="1" thickBot="1" x14ac:dyDescent="0.35">
      <c r="A68" s="400" t="s">
        <v>290</v>
      </c>
      <c r="B68" s="378">
        <v>19.718334668516</v>
      </c>
      <c r="C68" s="378">
        <v>42.27955</v>
      </c>
      <c r="D68" s="379">
        <v>22.561215331483002</v>
      </c>
      <c r="E68" s="380">
        <v>2.1441744807940002</v>
      </c>
      <c r="F68" s="378">
        <v>50</v>
      </c>
      <c r="G68" s="379">
        <v>12.5</v>
      </c>
      <c r="H68" s="381">
        <v>0.84216999999999997</v>
      </c>
      <c r="I68" s="378">
        <v>32.015230000000003</v>
      </c>
      <c r="J68" s="379">
        <v>19.515229999999999</v>
      </c>
      <c r="K68" s="382">
        <v>0.64030459999900002</v>
      </c>
    </row>
    <row r="69" spans="1:11" ht="14.4" customHeight="1" thickBot="1" x14ac:dyDescent="0.35">
      <c r="A69" s="399" t="s">
        <v>291</v>
      </c>
      <c r="B69" s="383">
        <v>47.907786841951001</v>
      </c>
      <c r="C69" s="383">
        <v>47.377270000000003</v>
      </c>
      <c r="D69" s="384">
        <v>-0.53051684195100002</v>
      </c>
      <c r="E69" s="390">
        <v>0.98892629200899995</v>
      </c>
      <c r="F69" s="383">
        <v>59.092288392816002</v>
      </c>
      <c r="G69" s="384">
        <v>14.773072098204</v>
      </c>
      <c r="H69" s="386">
        <v>4.3373200000000001</v>
      </c>
      <c r="I69" s="383">
        <v>12.136799999999999</v>
      </c>
      <c r="J69" s="384">
        <v>-2.636272098204</v>
      </c>
      <c r="K69" s="391">
        <v>0.205387205845</v>
      </c>
    </row>
    <row r="70" spans="1:11" ht="14.4" customHeight="1" thickBot="1" x14ac:dyDescent="0.35">
      <c r="A70" s="400" t="s">
        <v>292</v>
      </c>
      <c r="B70" s="378">
        <v>0.41070779633799998</v>
      </c>
      <c r="C70" s="378">
        <v>0</v>
      </c>
      <c r="D70" s="379">
        <v>-0.41070779633799998</v>
      </c>
      <c r="E70" s="380">
        <v>0</v>
      </c>
      <c r="F70" s="378">
        <v>0</v>
      </c>
      <c r="G70" s="379">
        <v>0</v>
      </c>
      <c r="H70" s="381">
        <v>0</v>
      </c>
      <c r="I70" s="378">
        <v>0</v>
      </c>
      <c r="J70" s="379">
        <v>0</v>
      </c>
      <c r="K70" s="382">
        <v>3</v>
      </c>
    </row>
    <row r="71" spans="1:11" ht="14.4" customHeight="1" thickBot="1" x14ac:dyDescent="0.35">
      <c r="A71" s="400" t="s">
        <v>293</v>
      </c>
      <c r="B71" s="378">
        <v>47.497079045612999</v>
      </c>
      <c r="C71" s="378">
        <v>47.377270000000003</v>
      </c>
      <c r="D71" s="379">
        <v>-0.119809045613</v>
      </c>
      <c r="E71" s="380">
        <v>0.99747754918700005</v>
      </c>
      <c r="F71" s="378">
        <v>59.092288392816002</v>
      </c>
      <c r="G71" s="379">
        <v>14.773072098204</v>
      </c>
      <c r="H71" s="381">
        <v>4.3373200000000001</v>
      </c>
      <c r="I71" s="378">
        <v>12.136799999999999</v>
      </c>
      <c r="J71" s="379">
        <v>-2.636272098204</v>
      </c>
      <c r="K71" s="382">
        <v>0.205387205845</v>
      </c>
    </row>
    <row r="72" spans="1:11" ht="14.4" customHeight="1" thickBot="1" x14ac:dyDescent="0.35">
      <c r="A72" s="399" t="s">
        <v>294</v>
      </c>
      <c r="B72" s="383">
        <v>313.61543848599001</v>
      </c>
      <c r="C72" s="383">
        <v>427.13511000000102</v>
      </c>
      <c r="D72" s="384">
        <v>113.51967151401099</v>
      </c>
      <c r="E72" s="390">
        <v>1.361970928669</v>
      </c>
      <c r="F72" s="383">
        <v>329.22162144200797</v>
      </c>
      <c r="G72" s="384">
        <v>82.305405360501993</v>
      </c>
      <c r="H72" s="386">
        <v>28.157</v>
      </c>
      <c r="I72" s="383">
        <v>58.138939999999998</v>
      </c>
      <c r="J72" s="384">
        <v>-24.166465360501999</v>
      </c>
      <c r="K72" s="391">
        <v>0.176595145073</v>
      </c>
    </row>
    <row r="73" spans="1:11" ht="14.4" customHeight="1" thickBot="1" x14ac:dyDescent="0.35">
      <c r="A73" s="400" t="s">
        <v>295</v>
      </c>
      <c r="B73" s="378">
        <v>243.292535137735</v>
      </c>
      <c r="C73" s="378">
        <v>352.509150000001</v>
      </c>
      <c r="D73" s="379">
        <v>109.216614862265</v>
      </c>
      <c r="E73" s="380">
        <v>1.44891066962</v>
      </c>
      <c r="F73" s="378">
        <v>242.75385941127499</v>
      </c>
      <c r="G73" s="379">
        <v>60.688464852818001</v>
      </c>
      <c r="H73" s="381">
        <v>28.157</v>
      </c>
      <c r="I73" s="378">
        <v>52.572949999999999</v>
      </c>
      <c r="J73" s="379">
        <v>-8.1155148528180003</v>
      </c>
      <c r="K73" s="382">
        <v>0.21656895642099999</v>
      </c>
    </row>
    <row r="74" spans="1:11" ht="14.4" customHeight="1" thickBot="1" x14ac:dyDescent="0.35">
      <c r="A74" s="400" t="s">
        <v>296</v>
      </c>
      <c r="B74" s="378">
        <v>67.344750077707005</v>
      </c>
      <c r="C74" s="378">
        <v>74.625960000000006</v>
      </c>
      <c r="D74" s="379">
        <v>7.2812099222919997</v>
      </c>
      <c r="E74" s="380">
        <v>1.1081184489339999</v>
      </c>
      <c r="F74" s="378">
        <v>86.467762030732004</v>
      </c>
      <c r="G74" s="379">
        <v>21.616940507683001</v>
      </c>
      <c r="H74" s="381">
        <v>0</v>
      </c>
      <c r="I74" s="378">
        <v>5.5659900000000002</v>
      </c>
      <c r="J74" s="379">
        <v>-16.050950507683002</v>
      </c>
      <c r="K74" s="382">
        <v>6.4370695727999999E-2</v>
      </c>
    </row>
    <row r="75" spans="1:11" ht="14.4" customHeight="1" thickBot="1" x14ac:dyDescent="0.35">
      <c r="A75" s="400" t="s">
        <v>297</v>
      </c>
      <c r="B75" s="378">
        <v>2.9781532705470002</v>
      </c>
      <c r="C75" s="378">
        <v>0</v>
      </c>
      <c r="D75" s="379">
        <v>-2.9781532705470002</v>
      </c>
      <c r="E75" s="380">
        <v>0</v>
      </c>
      <c r="F75" s="378">
        <v>0</v>
      </c>
      <c r="G75" s="379">
        <v>0</v>
      </c>
      <c r="H75" s="381">
        <v>0</v>
      </c>
      <c r="I75" s="378">
        <v>0</v>
      </c>
      <c r="J75" s="379">
        <v>0</v>
      </c>
      <c r="K75" s="382">
        <v>0</v>
      </c>
    </row>
    <row r="76" spans="1:11" ht="14.4" customHeight="1" thickBot="1" x14ac:dyDescent="0.35">
      <c r="A76" s="399" t="s">
        <v>298</v>
      </c>
      <c r="B76" s="383">
        <v>44.339418953717001</v>
      </c>
      <c r="C76" s="383">
        <v>94.781419999999997</v>
      </c>
      <c r="D76" s="384">
        <v>50.442001046283004</v>
      </c>
      <c r="E76" s="390">
        <v>2.1376333347740002</v>
      </c>
      <c r="F76" s="383">
        <v>88.584759269969993</v>
      </c>
      <c r="G76" s="384">
        <v>22.146189817492001</v>
      </c>
      <c r="H76" s="386">
        <v>1.204</v>
      </c>
      <c r="I76" s="383">
        <v>32.124099999999999</v>
      </c>
      <c r="J76" s="384">
        <v>9.9779101825069993</v>
      </c>
      <c r="K76" s="391">
        <v>0.36263687190299998</v>
      </c>
    </row>
    <row r="77" spans="1:11" ht="14.4" customHeight="1" thickBot="1" x14ac:dyDescent="0.35">
      <c r="A77" s="400" t="s">
        <v>299</v>
      </c>
      <c r="B77" s="378">
        <v>0</v>
      </c>
      <c r="C77" s="378">
        <v>61.698999999999998</v>
      </c>
      <c r="D77" s="379">
        <v>61.698999999999998</v>
      </c>
      <c r="E77" s="388" t="s">
        <v>245</v>
      </c>
      <c r="F77" s="378">
        <v>0</v>
      </c>
      <c r="G77" s="379">
        <v>0</v>
      </c>
      <c r="H77" s="381">
        <v>0</v>
      </c>
      <c r="I77" s="378">
        <v>9.67</v>
      </c>
      <c r="J77" s="379">
        <v>9.67</v>
      </c>
      <c r="K77" s="389" t="s">
        <v>228</v>
      </c>
    </row>
    <row r="78" spans="1:11" ht="14.4" customHeight="1" thickBot="1" x14ac:dyDescent="0.35">
      <c r="A78" s="400" t="s">
        <v>300</v>
      </c>
      <c r="B78" s="378">
        <v>0</v>
      </c>
      <c r="C78" s="378">
        <v>5.60297</v>
      </c>
      <c r="D78" s="379">
        <v>5.60297</v>
      </c>
      <c r="E78" s="388" t="s">
        <v>245</v>
      </c>
      <c r="F78" s="378">
        <v>8.5847592699700002</v>
      </c>
      <c r="G78" s="379">
        <v>2.146189817492</v>
      </c>
      <c r="H78" s="381">
        <v>1.204</v>
      </c>
      <c r="I78" s="378">
        <v>2.5840000000000001</v>
      </c>
      <c r="J78" s="379">
        <v>0.43781018250699999</v>
      </c>
      <c r="K78" s="382">
        <v>0.30099853924100001</v>
      </c>
    </row>
    <row r="79" spans="1:11" ht="14.4" customHeight="1" thickBot="1" x14ac:dyDescent="0.35">
      <c r="A79" s="400" t="s">
        <v>301</v>
      </c>
      <c r="B79" s="378">
        <v>39.339426911394</v>
      </c>
      <c r="C79" s="378">
        <v>23.244450000000001</v>
      </c>
      <c r="D79" s="379">
        <v>-16.094976911393999</v>
      </c>
      <c r="E79" s="380">
        <v>0.59086905491399999</v>
      </c>
      <c r="F79" s="378">
        <v>40</v>
      </c>
      <c r="G79" s="379">
        <v>10</v>
      </c>
      <c r="H79" s="381">
        <v>0</v>
      </c>
      <c r="I79" s="378">
        <v>19.870100000000001</v>
      </c>
      <c r="J79" s="379">
        <v>9.8701000000000008</v>
      </c>
      <c r="K79" s="382">
        <v>0.49675249999999999</v>
      </c>
    </row>
    <row r="80" spans="1:11" ht="14.4" customHeight="1" thickBot="1" x14ac:dyDescent="0.35">
      <c r="A80" s="400" t="s">
        <v>302</v>
      </c>
      <c r="B80" s="378">
        <v>4.9999920423219999</v>
      </c>
      <c r="C80" s="378">
        <v>4.2350000000000003</v>
      </c>
      <c r="D80" s="379">
        <v>-0.76499204232200002</v>
      </c>
      <c r="E80" s="380">
        <v>0.847001348032</v>
      </c>
      <c r="F80" s="378">
        <v>40</v>
      </c>
      <c r="G80" s="379">
        <v>10</v>
      </c>
      <c r="H80" s="381">
        <v>0</v>
      </c>
      <c r="I80" s="378">
        <v>0</v>
      </c>
      <c r="J80" s="379">
        <v>-10</v>
      </c>
      <c r="K80" s="382">
        <v>0</v>
      </c>
    </row>
    <row r="81" spans="1:11" ht="14.4" customHeight="1" thickBot="1" x14ac:dyDescent="0.35">
      <c r="A81" s="397" t="s">
        <v>34</v>
      </c>
      <c r="B81" s="378">
        <v>17169.001550008601</v>
      </c>
      <c r="C81" s="378">
        <v>19258.51298</v>
      </c>
      <c r="D81" s="379">
        <v>2089.5114299913898</v>
      </c>
      <c r="E81" s="380">
        <v>1.121702559342</v>
      </c>
      <c r="F81" s="378">
        <v>18811</v>
      </c>
      <c r="G81" s="379">
        <v>4702.75</v>
      </c>
      <c r="H81" s="381">
        <v>1657.8681200000001</v>
      </c>
      <c r="I81" s="378">
        <v>4693.4888899999996</v>
      </c>
      <c r="J81" s="379">
        <v>-9.2611099999970001</v>
      </c>
      <c r="K81" s="382">
        <v>0.24950767582700001</v>
      </c>
    </row>
    <row r="82" spans="1:11" ht="14.4" customHeight="1" thickBot="1" x14ac:dyDescent="0.35">
      <c r="A82" s="403" t="s">
        <v>303</v>
      </c>
      <c r="B82" s="383">
        <v>13033.001176612601</v>
      </c>
      <c r="C82" s="383">
        <v>14253.125</v>
      </c>
      <c r="D82" s="384">
        <v>1220.1238233873701</v>
      </c>
      <c r="E82" s="390">
        <v>1.0936180244939999</v>
      </c>
      <c r="F82" s="383">
        <v>14151</v>
      </c>
      <c r="G82" s="384">
        <v>3537.75</v>
      </c>
      <c r="H82" s="386">
        <v>1221.8699999999999</v>
      </c>
      <c r="I82" s="383">
        <v>3460.8690000000001</v>
      </c>
      <c r="J82" s="384">
        <v>-76.881</v>
      </c>
      <c r="K82" s="391">
        <v>0.24456709773099999</v>
      </c>
    </row>
    <row r="83" spans="1:11" ht="14.4" customHeight="1" thickBot="1" x14ac:dyDescent="0.35">
      <c r="A83" s="399" t="s">
        <v>304</v>
      </c>
      <c r="B83" s="383">
        <v>11650.0010517561</v>
      </c>
      <c r="C83" s="383">
        <v>13041.726000000001</v>
      </c>
      <c r="D83" s="384">
        <v>1391.7249482439099</v>
      </c>
      <c r="E83" s="390">
        <v>1.119461358163</v>
      </c>
      <c r="F83" s="383">
        <v>12945</v>
      </c>
      <c r="G83" s="384">
        <v>3236.25</v>
      </c>
      <c r="H83" s="386">
        <v>1130.414</v>
      </c>
      <c r="I83" s="383">
        <v>3166.7809999999999</v>
      </c>
      <c r="J83" s="384">
        <v>-69.468999999999994</v>
      </c>
      <c r="K83" s="391">
        <v>0.24463352645799999</v>
      </c>
    </row>
    <row r="84" spans="1:11" ht="14.4" customHeight="1" thickBot="1" x14ac:dyDescent="0.35">
      <c r="A84" s="400" t="s">
        <v>305</v>
      </c>
      <c r="B84" s="378">
        <v>11650.0010517561</v>
      </c>
      <c r="C84" s="378">
        <v>13041.726000000001</v>
      </c>
      <c r="D84" s="379">
        <v>1391.7249482439099</v>
      </c>
      <c r="E84" s="380">
        <v>1.119461358163</v>
      </c>
      <c r="F84" s="378">
        <v>12945</v>
      </c>
      <c r="G84" s="379">
        <v>3236.25</v>
      </c>
      <c r="H84" s="381">
        <v>1130.414</v>
      </c>
      <c r="I84" s="378">
        <v>3166.7809999999999</v>
      </c>
      <c r="J84" s="379">
        <v>-69.468999999999994</v>
      </c>
      <c r="K84" s="382">
        <v>0.24463352645799999</v>
      </c>
    </row>
    <row r="85" spans="1:11" ht="14.4" customHeight="1" thickBot="1" x14ac:dyDescent="0.35">
      <c r="A85" s="399" t="s">
        <v>306</v>
      </c>
      <c r="B85" s="383">
        <v>0</v>
      </c>
      <c r="C85" s="383">
        <v>0</v>
      </c>
      <c r="D85" s="384">
        <v>0</v>
      </c>
      <c r="E85" s="390">
        <v>1</v>
      </c>
      <c r="F85" s="383">
        <v>0</v>
      </c>
      <c r="G85" s="384">
        <v>0</v>
      </c>
      <c r="H85" s="386">
        <v>-1.1339999999999999</v>
      </c>
      <c r="I85" s="383">
        <v>-1.1339999999999999</v>
      </c>
      <c r="J85" s="384">
        <v>-1.1339999999999999</v>
      </c>
      <c r="K85" s="387" t="s">
        <v>245</v>
      </c>
    </row>
    <row r="86" spans="1:11" ht="14.4" customHeight="1" thickBot="1" x14ac:dyDescent="0.35">
      <c r="A86" s="400" t="s">
        <v>307</v>
      </c>
      <c r="B86" s="378">
        <v>0</v>
      </c>
      <c r="C86" s="378">
        <v>0</v>
      </c>
      <c r="D86" s="379">
        <v>0</v>
      </c>
      <c r="E86" s="380">
        <v>1</v>
      </c>
      <c r="F86" s="378">
        <v>0</v>
      </c>
      <c r="G86" s="379">
        <v>0</v>
      </c>
      <c r="H86" s="381">
        <v>-1.1339999999999999</v>
      </c>
      <c r="I86" s="378">
        <v>-1.1339999999999999</v>
      </c>
      <c r="J86" s="379">
        <v>-1.1339999999999999</v>
      </c>
      <c r="K86" s="389" t="s">
        <v>245</v>
      </c>
    </row>
    <row r="87" spans="1:11" ht="14.4" customHeight="1" thickBot="1" x14ac:dyDescent="0.35">
      <c r="A87" s="399" t="s">
        <v>308</v>
      </c>
      <c r="B87" s="383">
        <v>1350.00012187732</v>
      </c>
      <c r="C87" s="383">
        <v>1167.3699999999999</v>
      </c>
      <c r="D87" s="384">
        <v>-182.63012187731599</v>
      </c>
      <c r="E87" s="390">
        <v>0.86471844045199997</v>
      </c>
      <c r="F87" s="383">
        <v>1170</v>
      </c>
      <c r="G87" s="384">
        <v>292.5</v>
      </c>
      <c r="H87" s="386">
        <v>92.59</v>
      </c>
      <c r="I87" s="383">
        <v>283.68</v>
      </c>
      <c r="J87" s="384">
        <v>-8.8199999999990002</v>
      </c>
      <c r="K87" s="391">
        <v>0.24246153846099999</v>
      </c>
    </row>
    <row r="88" spans="1:11" ht="14.4" customHeight="1" thickBot="1" x14ac:dyDescent="0.35">
      <c r="A88" s="400" t="s">
        <v>309</v>
      </c>
      <c r="B88" s="378">
        <v>1350.00012187732</v>
      </c>
      <c r="C88" s="378">
        <v>1167.3699999999999</v>
      </c>
      <c r="D88" s="379">
        <v>-182.63012187731599</v>
      </c>
      <c r="E88" s="380">
        <v>0.86471844045199997</v>
      </c>
      <c r="F88" s="378">
        <v>1170</v>
      </c>
      <c r="G88" s="379">
        <v>292.5</v>
      </c>
      <c r="H88" s="381">
        <v>92.59</v>
      </c>
      <c r="I88" s="378">
        <v>283.68</v>
      </c>
      <c r="J88" s="379">
        <v>-8.8199999999990002</v>
      </c>
      <c r="K88" s="382">
        <v>0.24246153846099999</v>
      </c>
    </row>
    <row r="89" spans="1:11" ht="14.4" customHeight="1" thickBot="1" x14ac:dyDescent="0.35">
      <c r="A89" s="399" t="s">
        <v>310</v>
      </c>
      <c r="B89" s="383">
        <v>33.000002979222998</v>
      </c>
      <c r="C89" s="383">
        <v>44.029000000000003</v>
      </c>
      <c r="D89" s="384">
        <v>11.028997020776</v>
      </c>
      <c r="E89" s="390">
        <v>1.33421200076</v>
      </c>
      <c r="F89" s="383">
        <v>36</v>
      </c>
      <c r="G89" s="384">
        <v>9</v>
      </c>
      <c r="H89" s="386">
        <v>0</v>
      </c>
      <c r="I89" s="383">
        <v>11.542</v>
      </c>
      <c r="J89" s="384">
        <v>2.5419999999990002</v>
      </c>
      <c r="K89" s="391">
        <v>0.32061111111099999</v>
      </c>
    </row>
    <row r="90" spans="1:11" ht="14.4" customHeight="1" thickBot="1" x14ac:dyDescent="0.35">
      <c r="A90" s="400" t="s">
        <v>311</v>
      </c>
      <c r="B90" s="378">
        <v>33.000002979222998</v>
      </c>
      <c r="C90" s="378">
        <v>44.029000000000003</v>
      </c>
      <c r="D90" s="379">
        <v>11.028997020776</v>
      </c>
      <c r="E90" s="380">
        <v>1.33421200076</v>
      </c>
      <c r="F90" s="378">
        <v>36</v>
      </c>
      <c r="G90" s="379">
        <v>9</v>
      </c>
      <c r="H90" s="381">
        <v>0</v>
      </c>
      <c r="I90" s="378">
        <v>11.542</v>
      </c>
      <c r="J90" s="379">
        <v>2.5419999999990002</v>
      </c>
      <c r="K90" s="382">
        <v>0.32061111111099999</v>
      </c>
    </row>
    <row r="91" spans="1:11" ht="14.4" customHeight="1" thickBot="1" x14ac:dyDescent="0.35">
      <c r="A91" s="398" t="s">
        <v>312</v>
      </c>
      <c r="B91" s="378">
        <v>3961.00035759707</v>
      </c>
      <c r="C91" s="378">
        <v>4809.1043399999999</v>
      </c>
      <c r="D91" s="379">
        <v>848.10398240292898</v>
      </c>
      <c r="E91" s="380">
        <v>1.2141135839020001</v>
      </c>
      <c r="F91" s="378">
        <v>4400.99999999999</v>
      </c>
      <c r="G91" s="379">
        <v>1100.25</v>
      </c>
      <c r="H91" s="381">
        <v>413.41211000000101</v>
      </c>
      <c r="I91" s="378">
        <v>1169.07593</v>
      </c>
      <c r="J91" s="379">
        <v>68.825930000002003</v>
      </c>
      <c r="K91" s="382">
        <v>0.26563870256700001</v>
      </c>
    </row>
    <row r="92" spans="1:11" ht="14.4" customHeight="1" thickBot="1" x14ac:dyDescent="0.35">
      <c r="A92" s="399" t="s">
        <v>313</v>
      </c>
      <c r="B92" s="383">
        <v>1049.0000947031899</v>
      </c>
      <c r="C92" s="383">
        <v>1274.0373500000001</v>
      </c>
      <c r="D92" s="384">
        <v>225.03725529681199</v>
      </c>
      <c r="E92" s="390">
        <v>1.2145254861579999</v>
      </c>
      <c r="F92" s="383">
        <v>1165</v>
      </c>
      <c r="G92" s="384">
        <v>291.24999999999898</v>
      </c>
      <c r="H92" s="386">
        <v>109.53559</v>
      </c>
      <c r="I92" s="383">
        <v>309.56016</v>
      </c>
      <c r="J92" s="384">
        <v>18.310160000001002</v>
      </c>
      <c r="K92" s="391">
        <v>0.26571687553599999</v>
      </c>
    </row>
    <row r="93" spans="1:11" ht="14.4" customHeight="1" thickBot="1" x14ac:dyDescent="0.35">
      <c r="A93" s="400" t="s">
        <v>314</v>
      </c>
      <c r="B93" s="378">
        <v>1049.0000947031899</v>
      </c>
      <c r="C93" s="378">
        <v>1274.0373500000001</v>
      </c>
      <c r="D93" s="379">
        <v>225.03725529681199</v>
      </c>
      <c r="E93" s="380">
        <v>1.2145254861579999</v>
      </c>
      <c r="F93" s="378">
        <v>1165</v>
      </c>
      <c r="G93" s="379">
        <v>291.24999999999898</v>
      </c>
      <c r="H93" s="381">
        <v>109.53559</v>
      </c>
      <c r="I93" s="378">
        <v>309.56016</v>
      </c>
      <c r="J93" s="379">
        <v>18.310160000001002</v>
      </c>
      <c r="K93" s="382">
        <v>0.26571687553599999</v>
      </c>
    </row>
    <row r="94" spans="1:11" ht="14.4" customHeight="1" thickBot="1" x14ac:dyDescent="0.35">
      <c r="A94" s="399" t="s">
        <v>315</v>
      </c>
      <c r="B94" s="383">
        <v>2912.0002628938801</v>
      </c>
      <c r="C94" s="383">
        <v>3535.0669899999998</v>
      </c>
      <c r="D94" s="384">
        <v>623.06672710611701</v>
      </c>
      <c r="E94" s="390">
        <v>1.2139652029029999</v>
      </c>
      <c r="F94" s="383">
        <v>3236</v>
      </c>
      <c r="G94" s="384">
        <v>809</v>
      </c>
      <c r="H94" s="386">
        <v>304.26352000000003</v>
      </c>
      <c r="I94" s="383">
        <v>859.90277000000003</v>
      </c>
      <c r="J94" s="384">
        <v>50.902769999999997</v>
      </c>
      <c r="K94" s="391">
        <v>0.26573015142099998</v>
      </c>
    </row>
    <row r="95" spans="1:11" ht="14.4" customHeight="1" thickBot="1" x14ac:dyDescent="0.35">
      <c r="A95" s="400" t="s">
        <v>316</v>
      </c>
      <c r="B95" s="378">
        <v>2912.0002628938801</v>
      </c>
      <c r="C95" s="378">
        <v>3535.0669899999998</v>
      </c>
      <c r="D95" s="379">
        <v>623.06672710611701</v>
      </c>
      <c r="E95" s="380">
        <v>1.2139652029029999</v>
      </c>
      <c r="F95" s="378">
        <v>3236</v>
      </c>
      <c r="G95" s="379">
        <v>809</v>
      </c>
      <c r="H95" s="381">
        <v>304.26352000000003</v>
      </c>
      <c r="I95" s="378">
        <v>859.90277000000003</v>
      </c>
      <c r="J95" s="379">
        <v>50.902769999999997</v>
      </c>
      <c r="K95" s="382">
        <v>0.26573015142099998</v>
      </c>
    </row>
    <row r="96" spans="1:11" ht="14.4" customHeight="1" thickBot="1" x14ac:dyDescent="0.35">
      <c r="A96" s="399" t="s">
        <v>317</v>
      </c>
      <c r="B96" s="383">
        <v>0</v>
      </c>
      <c r="C96" s="383">
        <v>0</v>
      </c>
      <c r="D96" s="384">
        <v>0</v>
      </c>
      <c r="E96" s="390">
        <v>1</v>
      </c>
      <c r="F96" s="383">
        <v>0</v>
      </c>
      <c r="G96" s="384">
        <v>0</v>
      </c>
      <c r="H96" s="386">
        <v>-0.10299999999999999</v>
      </c>
      <c r="I96" s="383">
        <v>-0.10299999999999999</v>
      </c>
      <c r="J96" s="384">
        <v>-0.10299999999999999</v>
      </c>
      <c r="K96" s="387" t="s">
        <v>245</v>
      </c>
    </row>
    <row r="97" spans="1:11" ht="14.4" customHeight="1" thickBot="1" x14ac:dyDescent="0.35">
      <c r="A97" s="400" t="s">
        <v>318</v>
      </c>
      <c r="B97" s="378">
        <v>0</v>
      </c>
      <c r="C97" s="378">
        <v>0</v>
      </c>
      <c r="D97" s="379">
        <v>0</v>
      </c>
      <c r="E97" s="380">
        <v>1</v>
      </c>
      <c r="F97" s="378">
        <v>0</v>
      </c>
      <c r="G97" s="379">
        <v>0</v>
      </c>
      <c r="H97" s="381">
        <v>-0.10299999999999999</v>
      </c>
      <c r="I97" s="378">
        <v>-0.10299999999999999</v>
      </c>
      <c r="J97" s="379">
        <v>-0.10299999999999999</v>
      </c>
      <c r="K97" s="389" t="s">
        <v>245</v>
      </c>
    </row>
    <row r="98" spans="1:11" ht="14.4" customHeight="1" thickBot="1" x14ac:dyDescent="0.35">
      <c r="A98" s="399" t="s">
        <v>319</v>
      </c>
      <c r="B98" s="383">
        <v>0</v>
      </c>
      <c r="C98" s="383">
        <v>0</v>
      </c>
      <c r="D98" s="384">
        <v>0</v>
      </c>
      <c r="E98" s="390">
        <v>1</v>
      </c>
      <c r="F98" s="383">
        <v>0</v>
      </c>
      <c r="G98" s="384">
        <v>0</v>
      </c>
      <c r="H98" s="386">
        <v>-0.28399999999999997</v>
      </c>
      <c r="I98" s="383">
        <v>-0.28399999999999997</v>
      </c>
      <c r="J98" s="384">
        <v>-0.28399999999999997</v>
      </c>
      <c r="K98" s="387" t="s">
        <v>245</v>
      </c>
    </row>
    <row r="99" spans="1:11" ht="14.4" customHeight="1" thickBot="1" x14ac:dyDescent="0.35">
      <c r="A99" s="400" t="s">
        <v>320</v>
      </c>
      <c r="B99" s="378">
        <v>0</v>
      </c>
      <c r="C99" s="378">
        <v>0</v>
      </c>
      <c r="D99" s="379">
        <v>0</v>
      </c>
      <c r="E99" s="380">
        <v>1</v>
      </c>
      <c r="F99" s="378">
        <v>0</v>
      </c>
      <c r="G99" s="379">
        <v>0</v>
      </c>
      <c r="H99" s="381">
        <v>-0.28399999999999997</v>
      </c>
      <c r="I99" s="378">
        <v>-0.28399999999999997</v>
      </c>
      <c r="J99" s="379">
        <v>-0.28399999999999997</v>
      </c>
      <c r="K99" s="389" t="s">
        <v>245</v>
      </c>
    </row>
    <row r="100" spans="1:11" ht="14.4" customHeight="1" thickBot="1" x14ac:dyDescent="0.35">
      <c r="A100" s="398" t="s">
        <v>321</v>
      </c>
      <c r="B100" s="378">
        <v>175.00001579891099</v>
      </c>
      <c r="C100" s="378">
        <v>196.28363999999999</v>
      </c>
      <c r="D100" s="379">
        <v>21.283624201087999</v>
      </c>
      <c r="E100" s="380">
        <v>1.1216206987399999</v>
      </c>
      <c r="F100" s="378">
        <v>259</v>
      </c>
      <c r="G100" s="379">
        <v>64.75</v>
      </c>
      <c r="H100" s="381">
        <v>22.586010000000002</v>
      </c>
      <c r="I100" s="378">
        <v>63.543959999999998</v>
      </c>
      <c r="J100" s="379">
        <v>-1.20604</v>
      </c>
      <c r="K100" s="382">
        <v>0.24534347490299999</v>
      </c>
    </row>
    <row r="101" spans="1:11" ht="14.4" customHeight="1" thickBot="1" x14ac:dyDescent="0.35">
      <c r="A101" s="399" t="s">
        <v>322</v>
      </c>
      <c r="B101" s="383">
        <v>175.00001579891099</v>
      </c>
      <c r="C101" s="383">
        <v>196.28363999999999</v>
      </c>
      <c r="D101" s="384">
        <v>21.283624201087999</v>
      </c>
      <c r="E101" s="390">
        <v>1.1216206987399999</v>
      </c>
      <c r="F101" s="383">
        <v>259</v>
      </c>
      <c r="G101" s="384">
        <v>64.75</v>
      </c>
      <c r="H101" s="386">
        <v>22.586010000000002</v>
      </c>
      <c r="I101" s="383">
        <v>63.543959999999998</v>
      </c>
      <c r="J101" s="384">
        <v>-1.20604</v>
      </c>
      <c r="K101" s="391">
        <v>0.24534347490299999</v>
      </c>
    </row>
    <row r="102" spans="1:11" ht="14.4" customHeight="1" thickBot="1" x14ac:dyDescent="0.35">
      <c r="A102" s="400" t="s">
        <v>323</v>
      </c>
      <c r="B102" s="378">
        <v>175.00001579891099</v>
      </c>
      <c r="C102" s="378">
        <v>196.28363999999999</v>
      </c>
      <c r="D102" s="379">
        <v>21.283624201087999</v>
      </c>
      <c r="E102" s="380">
        <v>1.1216206987399999</v>
      </c>
      <c r="F102" s="378">
        <v>259</v>
      </c>
      <c r="G102" s="379">
        <v>64.75</v>
      </c>
      <c r="H102" s="381">
        <v>22.586010000000002</v>
      </c>
      <c r="I102" s="378">
        <v>63.543959999999998</v>
      </c>
      <c r="J102" s="379">
        <v>-1.20604</v>
      </c>
      <c r="K102" s="382">
        <v>0.24534347490299999</v>
      </c>
    </row>
    <row r="103" spans="1:11" ht="14.4" customHeight="1" thickBot="1" x14ac:dyDescent="0.35">
      <c r="A103" s="397" t="s">
        <v>324</v>
      </c>
      <c r="B103" s="378">
        <v>0</v>
      </c>
      <c r="C103" s="378">
        <v>0.25</v>
      </c>
      <c r="D103" s="379">
        <v>0.25</v>
      </c>
      <c r="E103" s="388" t="s">
        <v>245</v>
      </c>
      <c r="F103" s="378">
        <v>0</v>
      </c>
      <c r="G103" s="379">
        <v>0</v>
      </c>
      <c r="H103" s="381">
        <v>0</v>
      </c>
      <c r="I103" s="378">
        <v>0</v>
      </c>
      <c r="J103" s="379">
        <v>0</v>
      </c>
      <c r="K103" s="382">
        <v>0</v>
      </c>
    </row>
    <row r="104" spans="1:11" ht="14.4" customHeight="1" thickBot="1" x14ac:dyDescent="0.35">
      <c r="A104" s="398" t="s">
        <v>325</v>
      </c>
      <c r="B104" s="378">
        <v>0</v>
      </c>
      <c r="C104" s="378">
        <v>0.25</v>
      </c>
      <c r="D104" s="379">
        <v>0.25</v>
      </c>
      <c r="E104" s="388" t="s">
        <v>245</v>
      </c>
      <c r="F104" s="378">
        <v>0</v>
      </c>
      <c r="G104" s="379">
        <v>0</v>
      </c>
      <c r="H104" s="381">
        <v>0</v>
      </c>
      <c r="I104" s="378">
        <v>0</v>
      </c>
      <c r="J104" s="379">
        <v>0</v>
      </c>
      <c r="K104" s="382">
        <v>0</v>
      </c>
    </row>
    <row r="105" spans="1:11" ht="14.4" customHeight="1" thickBot="1" x14ac:dyDescent="0.35">
      <c r="A105" s="399" t="s">
        <v>326</v>
      </c>
      <c r="B105" s="383">
        <v>0</v>
      </c>
      <c r="C105" s="383">
        <v>0.25</v>
      </c>
      <c r="D105" s="384">
        <v>0.25</v>
      </c>
      <c r="E105" s="385" t="s">
        <v>245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1">
        <v>0</v>
      </c>
    </row>
    <row r="106" spans="1:11" ht="14.4" customHeight="1" thickBot="1" x14ac:dyDescent="0.35">
      <c r="A106" s="400" t="s">
        <v>327</v>
      </c>
      <c r="B106" s="378">
        <v>0</v>
      </c>
      <c r="C106" s="378">
        <v>0.25</v>
      </c>
      <c r="D106" s="379">
        <v>0.25</v>
      </c>
      <c r="E106" s="388" t="s">
        <v>245</v>
      </c>
      <c r="F106" s="378">
        <v>0</v>
      </c>
      <c r="G106" s="379">
        <v>0</v>
      </c>
      <c r="H106" s="381">
        <v>0</v>
      </c>
      <c r="I106" s="378">
        <v>0</v>
      </c>
      <c r="J106" s="379">
        <v>0</v>
      </c>
      <c r="K106" s="382">
        <v>0</v>
      </c>
    </row>
    <row r="107" spans="1:11" ht="14.4" customHeight="1" thickBot="1" x14ac:dyDescent="0.35">
      <c r="A107" s="397" t="s">
        <v>328</v>
      </c>
      <c r="B107" s="378">
        <v>0</v>
      </c>
      <c r="C107" s="378">
        <v>134.1867</v>
      </c>
      <c r="D107" s="379">
        <v>134.1867</v>
      </c>
      <c r="E107" s="388" t="s">
        <v>228</v>
      </c>
      <c r="F107" s="378">
        <v>0</v>
      </c>
      <c r="G107" s="379">
        <v>0</v>
      </c>
      <c r="H107" s="381">
        <v>9.5</v>
      </c>
      <c r="I107" s="378">
        <v>16.75</v>
      </c>
      <c r="J107" s="379">
        <v>16.75</v>
      </c>
      <c r="K107" s="389" t="s">
        <v>228</v>
      </c>
    </row>
    <row r="108" spans="1:11" ht="14.4" customHeight="1" thickBot="1" x14ac:dyDescent="0.35">
      <c r="A108" s="398" t="s">
        <v>329</v>
      </c>
      <c r="B108" s="378">
        <v>0</v>
      </c>
      <c r="C108" s="378">
        <v>134.1867</v>
      </c>
      <c r="D108" s="379">
        <v>134.1867</v>
      </c>
      <c r="E108" s="388" t="s">
        <v>228</v>
      </c>
      <c r="F108" s="378">
        <v>0</v>
      </c>
      <c r="G108" s="379">
        <v>0</v>
      </c>
      <c r="H108" s="381">
        <v>9.5</v>
      </c>
      <c r="I108" s="378">
        <v>16.75</v>
      </c>
      <c r="J108" s="379">
        <v>16.75</v>
      </c>
      <c r="K108" s="389" t="s">
        <v>228</v>
      </c>
    </row>
    <row r="109" spans="1:11" ht="14.4" customHeight="1" thickBot="1" x14ac:dyDescent="0.35">
      <c r="A109" s="399" t="s">
        <v>330</v>
      </c>
      <c r="B109" s="383">
        <v>0</v>
      </c>
      <c r="C109" s="383">
        <v>28.287700000000001</v>
      </c>
      <c r="D109" s="384">
        <v>28.287700000000001</v>
      </c>
      <c r="E109" s="385" t="s">
        <v>228</v>
      </c>
      <c r="F109" s="383">
        <v>0</v>
      </c>
      <c r="G109" s="384">
        <v>0</v>
      </c>
      <c r="H109" s="386">
        <v>0</v>
      </c>
      <c r="I109" s="383">
        <v>7.25</v>
      </c>
      <c r="J109" s="384">
        <v>7.25</v>
      </c>
      <c r="K109" s="387" t="s">
        <v>228</v>
      </c>
    </row>
    <row r="110" spans="1:11" ht="14.4" customHeight="1" thickBot="1" x14ac:dyDescent="0.35">
      <c r="A110" s="400" t="s">
        <v>331</v>
      </c>
      <c r="B110" s="378">
        <v>0</v>
      </c>
      <c r="C110" s="378">
        <v>-3.2673000000000001</v>
      </c>
      <c r="D110" s="379">
        <v>-3.2673000000000001</v>
      </c>
      <c r="E110" s="388" t="s">
        <v>228</v>
      </c>
      <c r="F110" s="378">
        <v>0</v>
      </c>
      <c r="G110" s="379">
        <v>0</v>
      </c>
      <c r="H110" s="381">
        <v>0</v>
      </c>
      <c r="I110" s="378">
        <v>0</v>
      </c>
      <c r="J110" s="379">
        <v>0</v>
      </c>
      <c r="K110" s="389" t="s">
        <v>228</v>
      </c>
    </row>
    <row r="111" spans="1:11" ht="14.4" customHeight="1" thickBot="1" x14ac:dyDescent="0.35">
      <c r="A111" s="400" t="s">
        <v>332</v>
      </c>
      <c r="B111" s="378">
        <v>0</v>
      </c>
      <c r="C111" s="378">
        <v>30.84</v>
      </c>
      <c r="D111" s="379">
        <v>30.84</v>
      </c>
      <c r="E111" s="388" t="s">
        <v>245</v>
      </c>
      <c r="F111" s="378">
        <v>0</v>
      </c>
      <c r="G111" s="379">
        <v>0</v>
      </c>
      <c r="H111" s="381">
        <v>0</v>
      </c>
      <c r="I111" s="378">
        <v>7.25</v>
      </c>
      <c r="J111" s="379">
        <v>7.25</v>
      </c>
      <c r="K111" s="389" t="s">
        <v>228</v>
      </c>
    </row>
    <row r="112" spans="1:11" ht="14.4" customHeight="1" thickBot="1" x14ac:dyDescent="0.35">
      <c r="A112" s="400" t="s">
        <v>333</v>
      </c>
      <c r="B112" s="378">
        <v>0</v>
      </c>
      <c r="C112" s="378">
        <v>0.71499999999999997</v>
      </c>
      <c r="D112" s="379">
        <v>0.71499999999999997</v>
      </c>
      <c r="E112" s="388" t="s">
        <v>228</v>
      </c>
      <c r="F112" s="378">
        <v>0</v>
      </c>
      <c r="G112" s="379">
        <v>0</v>
      </c>
      <c r="H112" s="381">
        <v>0</v>
      </c>
      <c r="I112" s="378">
        <v>0</v>
      </c>
      <c r="J112" s="379">
        <v>0</v>
      </c>
      <c r="K112" s="389" t="s">
        <v>228</v>
      </c>
    </row>
    <row r="113" spans="1:11" ht="14.4" customHeight="1" thickBot="1" x14ac:dyDescent="0.35">
      <c r="A113" s="399" t="s">
        <v>334</v>
      </c>
      <c r="B113" s="383">
        <v>0</v>
      </c>
      <c r="C113" s="383">
        <v>52.4</v>
      </c>
      <c r="D113" s="384">
        <v>52.4</v>
      </c>
      <c r="E113" s="385" t="s">
        <v>228</v>
      </c>
      <c r="F113" s="383">
        <v>0</v>
      </c>
      <c r="G113" s="384">
        <v>0</v>
      </c>
      <c r="H113" s="386">
        <v>6.6</v>
      </c>
      <c r="I113" s="383">
        <v>6.6</v>
      </c>
      <c r="J113" s="384">
        <v>6.6</v>
      </c>
      <c r="K113" s="387" t="s">
        <v>228</v>
      </c>
    </row>
    <row r="114" spans="1:11" ht="14.4" customHeight="1" thickBot="1" x14ac:dyDescent="0.35">
      <c r="A114" s="400" t="s">
        <v>335</v>
      </c>
      <c r="B114" s="378">
        <v>0</v>
      </c>
      <c r="C114" s="378">
        <v>52.4</v>
      </c>
      <c r="D114" s="379">
        <v>52.4</v>
      </c>
      <c r="E114" s="388" t="s">
        <v>228</v>
      </c>
      <c r="F114" s="378">
        <v>0</v>
      </c>
      <c r="G114" s="379">
        <v>0</v>
      </c>
      <c r="H114" s="381">
        <v>6.6</v>
      </c>
      <c r="I114" s="378">
        <v>6.6</v>
      </c>
      <c r="J114" s="379">
        <v>6.6</v>
      </c>
      <c r="K114" s="389" t="s">
        <v>228</v>
      </c>
    </row>
    <row r="115" spans="1:11" ht="14.4" customHeight="1" thickBot="1" x14ac:dyDescent="0.35">
      <c r="A115" s="402" t="s">
        <v>336</v>
      </c>
      <c r="B115" s="378">
        <v>0</v>
      </c>
      <c r="C115" s="378">
        <v>4.9000000000000004</v>
      </c>
      <c r="D115" s="379">
        <v>4.9000000000000004</v>
      </c>
      <c r="E115" s="388" t="s">
        <v>228</v>
      </c>
      <c r="F115" s="378">
        <v>0</v>
      </c>
      <c r="G115" s="379">
        <v>0</v>
      </c>
      <c r="H115" s="381">
        <v>2.9</v>
      </c>
      <c r="I115" s="378">
        <v>2.9</v>
      </c>
      <c r="J115" s="379">
        <v>2.9</v>
      </c>
      <c r="K115" s="389" t="s">
        <v>228</v>
      </c>
    </row>
    <row r="116" spans="1:11" ht="14.4" customHeight="1" thickBot="1" x14ac:dyDescent="0.35">
      <c r="A116" s="400" t="s">
        <v>337</v>
      </c>
      <c r="B116" s="378">
        <v>0</v>
      </c>
      <c r="C116" s="378">
        <v>4.9000000000000004</v>
      </c>
      <c r="D116" s="379">
        <v>4.9000000000000004</v>
      </c>
      <c r="E116" s="388" t="s">
        <v>228</v>
      </c>
      <c r="F116" s="378">
        <v>0</v>
      </c>
      <c r="G116" s="379">
        <v>0</v>
      </c>
      <c r="H116" s="381">
        <v>2.9</v>
      </c>
      <c r="I116" s="378">
        <v>2.9</v>
      </c>
      <c r="J116" s="379">
        <v>2.9</v>
      </c>
      <c r="K116" s="389" t="s">
        <v>228</v>
      </c>
    </row>
    <row r="117" spans="1:11" ht="14.4" customHeight="1" thickBot="1" x14ac:dyDescent="0.35">
      <c r="A117" s="402" t="s">
        <v>338</v>
      </c>
      <c r="B117" s="378">
        <v>0</v>
      </c>
      <c r="C117" s="378">
        <v>10.85</v>
      </c>
      <c r="D117" s="379">
        <v>10.85</v>
      </c>
      <c r="E117" s="388" t="s">
        <v>228</v>
      </c>
      <c r="F117" s="378">
        <v>0</v>
      </c>
      <c r="G117" s="379">
        <v>0</v>
      </c>
      <c r="H117" s="381">
        <v>0</v>
      </c>
      <c r="I117" s="378">
        <v>0</v>
      </c>
      <c r="J117" s="379">
        <v>0</v>
      </c>
      <c r="K117" s="389" t="s">
        <v>228</v>
      </c>
    </row>
    <row r="118" spans="1:11" ht="14.4" customHeight="1" thickBot="1" x14ac:dyDescent="0.35">
      <c r="A118" s="400" t="s">
        <v>339</v>
      </c>
      <c r="B118" s="378">
        <v>0</v>
      </c>
      <c r="C118" s="378">
        <v>10.85</v>
      </c>
      <c r="D118" s="379">
        <v>10.85</v>
      </c>
      <c r="E118" s="388" t="s">
        <v>228</v>
      </c>
      <c r="F118" s="378">
        <v>0</v>
      </c>
      <c r="G118" s="379">
        <v>0</v>
      </c>
      <c r="H118" s="381">
        <v>0</v>
      </c>
      <c r="I118" s="378">
        <v>0</v>
      </c>
      <c r="J118" s="379">
        <v>0</v>
      </c>
      <c r="K118" s="389" t="s">
        <v>228</v>
      </c>
    </row>
    <row r="119" spans="1:11" ht="14.4" customHeight="1" thickBot="1" x14ac:dyDescent="0.35">
      <c r="A119" s="402" t="s">
        <v>340</v>
      </c>
      <c r="B119" s="378">
        <v>0</v>
      </c>
      <c r="C119" s="378">
        <v>37.749000000000002</v>
      </c>
      <c r="D119" s="379">
        <v>37.749000000000002</v>
      </c>
      <c r="E119" s="388" t="s">
        <v>228</v>
      </c>
      <c r="F119" s="378">
        <v>0</v>
      </c>
      <c r="G119" s="379">
        <v>0</v>
      </c>
      <c r="H119" s="381">
        <v>0</v>
      </c>
      <c r="I119" s="378">
        <v>0</v>
      </c>
      <c r="J119" s="379">
        <v>0</v>
      </c>
      <c r="K119" s="389" t="s">
        <v>228</v>
      </c>
    </row>
    <row r="120" spans="1:11" ht="14.4" customHeight="1" thickBot="1" x14ac:dyDescent="0.35">
      <c r="A120" s="400" t="s">
        <v>341</v>
      </c>
      <c r="B120" s="378">
        <v>0</v>
      </c>
      <c r="C120" s="378">
        <v>37.749000000000002</v>
      </c>
      <c r="D120" s="379">
        <v>37.749000000000002</v>
      </c>
      <c r="E120" s="388" t="s">
        <v>228</v>
      </c>
      <c r="F120" s="378">
        <v>0</v>
      </c>
      <c r="G120" s="379">
        <v>0</v>
      </c>
      <c r="H120" s="381">
        <v>0</v>
      </c>
      <c r="I120" s="378">
        <v>0</v>
      </c>
      <c r="J120" s="379">
        <v>0</v>
      </c>
      <c r="K120" s="389" t="s">
        <v>228</v>
      </c>
    </row>
    <row r="121" spans="1:11" ht="14.4" customHeight="1" thickBot="1" x14ac:dyDescent="0.35">
      <c r="A121" s="397" t="s">
        <v>342</v>
      </c>
      <c r="B121" s="378">
        <v>1734.00400425624</v>
      </c>
      <c r="C121" s="378">
        <v>1758.6079999999999</v>
      </c>
      <c r="D121" s="379">
        <v>24.603995743761001</v>
      </c>
      <c r="E121" s="380">
        <v>1.014189122795</v>
      </c>
      <c r="F121" s="378">
        <v>1984</v>
      </c>
      <c r="G121" s="379">
        <v>496.00000000000102</v>
      </c>
      <c r="H121" s="381">
        <v>144.53700000000001</v>
      </c>
      <c r="I121" s="378">
        <v>433.61099999999999</v>
      </c>
      <c r="J121" s="379">
        <v>-62.389000000000003</v>
      </c>
      <c r="K121" s="382">
        <v>0.21855393145099999</v>
      </c>
    </row>
    <row r="122" spans="1:11" ht="14.4" customHeight="1" thickBot="1" x14ac:dyDescent="0.35">
      <c r="A122" s="398" t="s">
        <v>343</v>
      </c>
      <c r="B122" s="378">
        <v>1734.00400425624</v>
      </c>
      <c r="C122" s="378">
        <v>1734.444</v>
      </c>
      <c r="D122" s="379">
        <v>0.43999574376099998</v>
      </c>
      <c r="E122" s="380">
        <v>1.000253745517</v>
      </c>
      <c r="F122" s="378">
        <v>1984</v>
      </c>
      <c r="G122" s="379">
        <v>496.00000000000102</v>
      </c>
      <c r="H122" s="381">
        <v>144.53700000000001</v>
      </c>
      <c r="I122" s="378">
        <v>433.61099999999999</v>
      </c>
      <c r="J122" s="379">
        <v>-62.389000000000003</v>
      </c>
      <c r="K122" s="382">
        <v>0.21855393145099999</v>
      </c>
    </row>
    <row r="123" spans="1:11" ht="14.4" customHeight="1" thickBot="1" x14ac:dyDescent="0.35">
      <c r="A123" s="399" t="s">
        <v>344</v>
      </c>
      <c r="B123" s="383">
        <v>1734.00400425624</v>
      </c>
      <c r="C123" s="383">
        <v>1734.444</v>
      </c>
      <c r="D123" s="384">
        <v>0.43999574376099998</v>
      </c>
      <c r="E123" s="390">
        <v>1.000253745517</v>
      </c>
      <c r="F123" s="383">
        <v>1984</v>
      </c>
      <c r="G123" s="384">
        <v>496.00000000000102</v>
      </c>
      <c r="H123" s="386">
        <v>144.53700000000001</v>
      </c>
      <c r="I123" s="383">
        <v>433.61099999999999</v>
      </c>
      <c r="J123" s="384">
        <v>-62.389000000000003</v>
      </c>
      <c r="K123" s="391">
        <v>0.21855393145099999</v>
      </c>
    </row>
    <row r="124" spans="1:11" ht="14.4" customHeight="1" thickBot="1" x14ac:dyDescent="0.35">
      <c r="A124" s="400" t="s">
        <v>345</v>
      </c>
      <c r="B124" s="378">
        <v>2.0000046185190001</v>
      </c>
      <c r="C124" s="378">
        <v>1.728</v>
      </c>
      <c r="D124" s="379">
        <v>-0.27200461851899999</v>
      </c>
      <c r="E124" s="380">
        <v>0.86399800480400002</v>
      </c>
      <c r="F124" s="378">
        <v>2</v>
      </c>
      <c r="G124" s="379">
        <v>0.5</v>
      </c>
      <c r="H124" s="381">
        <v>0.14399999999999999</v>
      </c>
      <c r="I124" s="378">
        <v>0.432</v>
      </c>
      <c r="J124" s="379">
        <v>-6.8000000000000005E-2</v>
      </c>
      <c r="K124" s="382">
        <v>0.216</v>
      </c>
    </row>
    <row r="125" spans="1:11" ht="14.4" customHeight="1" thickBot="1" x14ac:dyDescent="0.35">
      <c r="A125" s="400" t="s">
        <v>346</v>
      </c>
      <c r="B125" s="378">
        <v>1732.00399963772</v>
      </c>
      <c r="C125" s="378">
        <v>1732.404</v>
      </c>
      <c r="D125" s="379">
        <v>0.40000036228000002</v>
      </c>
      <c r="E125" s="380">
        <v>1.0002309465579999</v>
      </c>
      <c r="F125" s="378">
        <v>1982</v>
      </c>
      <c r="G125" s="379">
        <v>495.50000000000102</v>
      </c>
      <c r="H125" s="381">
        <v>144.36699999999999</v>
      </c>
      <c r="I125" s="378">
        <v>433.101</v>
      </c>
      <c r="J125" s="379">
        <v>-62.399000000000001</v>
      </c>
      <c r="K125" s="382">
        <v>0.21851715438899999</v>
      </c>
    </row>
    <row r="126" spans="1:11" ht="14.4" customHeight="1" thickBot="1" x14ac:dyDescent="0.35">
      <c r="A126" s="400" t="s">
        <v>347</v>
      </c>
      <c r="B126" s="378">
        <v>0</v>
      </c>
      <c r="C126" s="378">
        <v>0.312</v>
      </c>
      <c r="D126" s="379">
        <v>0.312</v>
      </c>
      <c r="E126" s="388" t="s">
        <v>228</v>
      </c>
      <c r="F126" s="378">
        <v>0</v>
      </c>
      <c r="G126" s="379">
        <v>0</v>
      </c>
      <c r="H126" s="381">
        <v>2.5999999999999999E-2</v>
      </c>
      <c r="I126" s="378">
        <v>7.8E-2</v>
      </c>
      <c r="J126" s="379">
        <v>7.8E-2</v>
      </c>
      <c r="K126" s="389" t="s">
        <v>228</v>
      </c>
    </row>
    <row r="127" spans="1:11" ht="14.4" customHeight="1" thickBot="1" x14ac:dyDescent="0.35">
      <c r="A127" s="398" t="s">
        <v>348</v>
      </c>
      <c r="B127" s="378">
        <v>0</v>
      </c>
      <c r="C127" s="378">
        <v>24.164000000000001</v>
      </c>
      <c r="D127" s="379">
        <v>24.164000000000001</v>
      </c>
      <c r="E127" s="388" t="s">
        <v>228</v>
      </c>
      <c r="F127" s="378">
        <v>0</v>
      </c>
      <c r="G127" s="379">
        <v>0</v>
      </c>
      <c r="H127" s="381">
        <v>0</v>
      </c>
      <c r="I127" s="378">
        <v>0</v>
      </c>
      <c r="J127" s="379">
        <v>0</v>
      </c>
      <c r="K127" s="389" t="s">
        <v>228</v>
      </c>
    </row>
    <row r="128" spans="1:11" ht="14.4" customHeight="1" thickBot="1" x14ac:dyDescent="0.35">
      <c r="A128" s="399" t="s">
        <v>349</v>
      </c>
      <c r="B128" s="383">
        <v>0</v>
      </c>
      <c r="C128" s="383">
        <v>8.8940000000000001</v>
      </c>
      <c r="D128" s="384">
        <v>8.8940000000000001</v>
      </c>
      <c r="E128" s="385" t="s">
        <v>245</v>
      </c>
      <c r="F128" s="383">
        <v>0</v>
      </c>
      <c r="G128" s="384">
        <v>0</v>
      </c>
      <c r="H128" s="386">
        <v>0</v>
      </c>
      <c r="I128" s="383">
        <v>0</v>
      </c>
      <c r="J128" s="384">
        <v>0</v>
      </c>
      <c r="K128" s="387" t="s">
        <v>228</v>
      </c>
    </row>
    <row r="129" spans="1:11" ht="14.4" customHeight="1" thickBot="1" x14ac:dyDescent="0.35">
      <c r="A129" s="400" t="s">
        <v>350</v>
      </c>
      <c r="B129" s="378">
        <v>0</v>
      </c>
      <c r="C129" s="378">
        <v>-3.00685</v>
      </c>
      <c r="D129" s="379">
        <v>-3.00685</v>
      </c>
      <c r="E129" s="388" t="s">
        <v>245</v>
      </c>
      <c r="F129" s="378">
        <v>0</v>
      </c>
      <c r="G129" s="379">
        <v>0</v>
      </c>
      <c r="H129" s="381">
        <v>0</v>
      </c>
      <c r="I129" s="378">
        <v>0</v>
      </c>
      <c r="J129" s="379">
        <v>0</v>
      </c>
      <c r="K129" s="389" t="s">
        <v>228</v>
      </c>
    </row>
    <row r="130" spans="1:11" ht="14.4" customHeight="1" thickBot="1" x14ac:dyDescent="0.35">
      <c r="A130" s="400" t="s">
        <v>351</v>
      </c>
      <c r="B130" s="378">
        <v>0</v>
      </c>
      <c r="C130" s="378">
        <v>3.8119999999999998</v>
      </c>
      <c r="D130" s="379">
        <v>3.8119999999999998</v>
      </c>
      <c r="E130" s="388" t="s">
        <v>245</v>
      </c>
      <c r="F130" s="378">
        <v>0</v>
      </c>
      <c r="G130" s="379">
        <v>0</v>
      </c>
      <c r="H130" s="381">
        <v>0</v>
      </c>
      <c r="I130" s="378">
        <v>0</v>
      </c>
      <c r="J130" s="379">
        <v>0</v>
      </c>
      <c r="K130" s="382">
        <v>0</v>
      </c>
    </row>
    <row r="131" spans="1:11" ht="14.4" customHeight="1" thickBot="1" x14ac:dyDescent="0.35">
      <c r="A131" s="400" t="s">
        <v>352</v>
      </c>
      <c r="B131" s="378">
        <v>0</v>
      </c>
      <c r="C131" s="378">
        <v>8.0888500000000008</v>
      </c>
      <c r="D131" s="379">
        <v>8.0888500000000008</v>
      </c>
      <c r="E131" s="388" t="s">
        <v>245</v>
      </c>
      <c r="F131" s="378">
        <v>0</v>
      </c>
      <c r="G131" s="379">
        <v>0</v>
      </c>
      <c r="H131" s="381">
        <v>0</v>
      </c>
      <c r="I131" s="378">
        <v>0</v>
      </c>
      <c r="J131" s="379">
        <v>0</v>
      </c>
      <c r="K131" s="389" t="s">
        <v>228</v>
      </c>
    </row>
    <row r="132" spans="1:11" ht="14.4" customHeight="1" thickBot="1" x14ac:dyDescent="0.35">
      <c r="A132" s="399" t="s">
        <v>353</v>
      </c>
      <c r="B132" s="383">
        <v>0</v>
      </c>
      <c r="C132" s="383">
        <v>15.27</v>
      </c>
      <c r="D132" s="384">
        <v>15.27</v>
      </c>
      <c r="E132" s="385" t="s">
        <v>245</v>
      </c>
      <c r="F132" s="383">
        <v>0</v>
      </c>
      <c r="G132" s="384">
        <v>0</v>
      </c>
      <c r="H132" s="386">
        <v>0</v>
      </c>
      <c r="I132" s="383">
        <v>0</v>
      </c>
      <c r="J132" s="384">
        <v>0</v>
      </c>
      <c r="K132" s="387" t="s">
        <v>228</v>
      </c>
    </row>
    <row r="133" spans="1:11" ht="14.4" customHeight="1" thickBot="1" x14ac:dyDescent="0.35">
      <c r="A133" s="400" t="s">
        <v>354</v>
      </c>
      <c r="B133" s="378">
        <v>0</v>
      </c>
      <c r="C133" s="378">
        <v>15.27</v>
      </c>
      <c r="D133" s="379">
        <v>15.27</v>
      </c>
      <c r="E133" s="388" t="s">
        <v>245</v>
      </c>
      <c r="F133" s="378">
        <v>0</v>
      </c>
      <c r="G133" s="379">
        <v>0</v>
      </c>
      <c r="H133" s="381">
        <v>0</v>
      </c>
      <c r="I133" s="378">
        <v>0</v>
      </c>
      <c r="J133" s="379">
        <v>0</v>
      </c>
      <c r="K133" s="389" t="s">
        <v>228</v>
      </c>
    </row>
    <row r="134" spans="1:11" ht="14.4" customHeight="1" thickBot="1" x14ac:dyDescent="0.35">
      <c r="A134" s="397" t="s">
        <v>355</v>
      </c>
      <c r="B134" s="378">
        <v>0</v>
      </c>
      <c r="C134" s="378">
        <v>0.45029999999999998</v>
      </c>
      <c r="D134" s="379">
        <v>0.45029999999999998</v>
      </c>
      <c r="E134" s="388" t="s">
        <v>228</v>
      </c>
      <c r="F134" s="378">
        <v>0</v>
      </c>
      <c r="G134" s="379">
        <v>0</v>
      </c>
      <c r="H134" s="381">
        <v>7.8979999999999995E-2</v>
      </c>
      <c r="I134" s="378">
        <v>7.8979999999999995E-2</v>
      </c>
      <c r="J134" s="379">
        <v>7.8979999999999995E-2</v>
      </c>
      <c r="K134" s="389" t="s">
        <v>228</v>
      </c>
    </row>
    <row r="135" spans="1:11" ht="14.4" customHeight="1" thickBot="1" x14ac:dyDescent="0.35">
      <c r="A135" s="398" t="s">
        <v>356</v>
      </c>
      <c r="B135" s="378">
        <v>0</v>
      </c>
      <c r="C135" s="378">
        <v>0.45029999999999998</v>
      </c>
      <c r="D135" s="379">
        <v>0.45029999999999998</v>
      </c>
      <c r="E135" s="388" t="s">
        <v>228</v>
      </c>
      <c r="F135" s="378">
        <v>0</v>
      </c>
      <c r="G135" s="379">
        <v>0</v>
      </c>
      <c r="H135" s="381">
        <v>7.8979999999999995E-2</v>
      </c>
      <c r="I135" s="378">
        <v>7.8979999999999995E-2</v>
      </c>
      <c r="J135" s="379">
        <v>7.8979999999999995E-2</v>
      </c>
      <c r="K135" s="389" t="s">
        <v>228</v>
      </c>
    </row>
    <row r="136" spans="1:11" ht="14.4" customHeight="1" thickBot="1" x14ac:dyDescent="0.35">
      <c r="A136" s="399" t="s">
        <v>357</v>
      </c>
      <c r="B136" s="383">
        <v>0</v>
      </c>
      <c r="C136" s="383">
        <v>0.45029999999999998</v>
      </c>
      <c r="D136" s="384">
        <v>0.45029999999999998</v>
      </c>
      <c r="E136" s="385" t="s">
        <v>228</v>
      </c>
      <c r="F136" s="383">
        <v>0</v>
      </c>
      <c r="G136" s="384">
        <v>0</v>
      </c>
      <c r="H136" s="386">
        <v>7.8979999999999995E-2</v>
      </c>
      <c r="I136" s="383">
        <v>7.8979999999999995E-2</v>
      </c>
      <c r="J136" s="384">
        <v>7.8979999999999995E-2</v>
      </c>
      <c r="K136" s="387" t="s">
        <v>228</v>
      </c>
    </row>
    <row r="137" spans="1:11" ht="14.4" customHeight="1" thickBot="1" x14ac:dyDescent="0.35">
      <c r="A137" s="400" t="s">
        <v>358</v>
      </c>
      <c r="B137" s="378">
        <v>0</v>
      </c>
      <c r="C137" s="378">
        <v>0.45029999999999998</v>
      </c>
      <c r="D137" s="379">
        <v>0.45029999999999998</v>
      </c>
      <c r="E137" s="388" t="s">
        <v>228</v>
      </c>
      <c r="F137" s="378">
        <v>0</v>
      </c>
      <c r="G137" s="379">
        <v>0</v>
      </c>
      <c r="H137" s="381">
        <v>7.8979999999999995E-2</v>
      </c>
      <c r="I137" s="378">
        <v>7.8979999999999995E-2</v>
      </c>
      <c r="J137" s="379">
        <v>7.8979999999999995E-2</v>
      </c>
      <c r="K137" s="389" t="s">
        <v>228</v>
      </c>
    </row>
    <row r="138" spans="1:11" ht="14.4" customHeight="1" thickBot="1" x14ac:dyDescent="0.35">
      <c r="A138" s="396" t="s">
        <v>359</v>
      </c>
      <c r="B138" s="378">
        <v>25469.354388343902</v>
      </c>
      <c r="C138" s="378">
        <v>26029.703799999999</v>
      </c>
      <c r="D138" s="379">
        <v>560.34941165611599</v>
      </c>
      <c r="E138" s="380">
        <v>1.0220009271970001</v>
      </c>
      <c r="F138" s="378">
        <v>28504.6782566027</v>
      </c>
      <c r="G138" s="379">
        <v>7126.1695641506703</v>
      </c>
      <c r="H138" s="381">
        <v>2581.1244700000002</v>
      </c>
      <c r="I138" s="378">
        <v>8338.6809300000004</v>
      </c>
      <c r="J138" s="379">
        <v>1212.5113658493301</v>
      </c>
      <c r="K138" s="382">
        <v>0.29253727598399998</v>
      </c>
    </row>
    <row r="139" spans="1:11" ht="14.4" customHeight="1" thickBot="1" x14ac:dyDescent="0.35">
      <c r="A139" s="397" t="s">
        <v>360</v>
      </c>
      <c r="B139" s="378">
        <v>25401.004190260399</v>
      </c>
      <c r="C139" s="378">
        <v>25505.50229</v>
      </c>
      <c r="D139" s="379">
        <v>104.49809973956501</v>
      </c>
      <c r="E139" s="380">
        <v>1.00411393577</v>
      </c>
      <c r="F139" s="378">
        <v>27962.5438420461</v>
      </c>
      <c r="G139" s="379">
        <v>6990.6359605115103</v>
      </c>
      <c r="H139" s="381">
        <v>2493.9756299999999</v>
      </c>
      <c r="I139" s="378">
        <v>8026.3036499999998</v>
      </c>
      <c r="J139" s="379">
        <v>1035.6676894884899</v>
      </c>
      <c r="K139" s="382">
        <v>0.28703767780700001</v>
      </c>
    </row>
    <row r="140" spans="1:11" ht="14.4" customHeight="1" thickBot="1" x14ac:dyDescent="0.35">
      <c r="A140" s="398" t="s">
        <v>361</v>
      </c>
      <c r="B140" s="378">
        <v>24002.774293791801</v>
      </c>
      <c r="C140" s="378">
        <v>23489.128939999999</v>
      </c>
      <c r="D140" s="379">
        <v>-513.64535379178801</v>
      </c>
      <c r="E140" s="380">
        <v>0.97860058393600002</v>
      </c>
      <c r="F140" s="378">
        <v>25944.045196758201</v>
      </c>
      <c r="G140" s="379">
        <v>6486.0112991895503</v>
      </c>
      <c r="H140" s="381">
        <v>2285.5808499999998</v>
      </c>
      <c r="I140" s="378">
        <v>7489.7355200000002</v>
      </c>
      <c r="J140" s="379">
        <v>1003.72422081045</v>
      </c>
      <c r="K140" s="382">
        <v>0.28868803855300001</v>
      </c>
    </row>
    <row r="141" spans="1:11" ht="14.4" customHeight="1" thickBot="1" x14ac:dyDescent="0.35">
      <c r="A141" s="399" t="s">
        <v>362</v>
      </c>
      <c r="B141" s="383">
        <v>889.874720365852</v>
      </c>
      <c r="C141" s="383">
        <v>1353.2795699999999</v>
      </c>
      <c r="D141" s="384">
        <v>463.404849634149</v>
      </c>
      <c r="E141" s="390">
        <v>1.520752909402</v>
      </c>
      <c r="F141" s="383">
        <v>1194</v>
      </c>
      <c r="G141" s="384">
        <v>298.5</v>
      </c>
      <c r="H141" s="386">
        <v>102.1375</v>
      </c>
      <c r="I141" s="383">
        <v>316.45854000000003</v>
      </c>
      <c r="J141" s="384">
        <v>17.958539999999999</v>
      </c>
      <c r="K141" s="391">
        <v>0.26504065326600001</v>
      </c>
    </row>
    <row r="142" spans="1:11" ht="14.4" customHeight="1" thickBot="1" x14ac:dyDescent="0.35">
      <c r="A142" s="400" t="s">
        <v>363</v>
      </c>
      <c r="B142" s="378">
        <v>11.795628231437</v>
      </c>
      <c r="C142" s="378">
        <v>150.11272</v>
      </c>
      <c r="D142" s="379">
        <v>138.31709176856199</v>
      </c>
      <c r="E142" s="380">
        <v>12.726131839244999</v>
      </c>
      <c r="F142" s="378">
        <v>150</v>
      </c>
      <c r="G142" s="379">
        <v>37.5</v>
      </c>
      <c r="H142" s="381">
        <v>0.41321999999999998</v>
      </c>
      <c r="I142" s="378">
        <v>5.25366</v>
      </c>
      <c r="J142" s="379">
        <v>-32.246339999999996</v>
      </c>
      <c r="K142" s="382">
        <v>3.5024399999999997E-2</v>
      </c>
    </row>
    <row r="143" spans="1:11" ht="14.4" customHeight="1" thickBot="1" x14ac:dyDescent="0.35">
      <c r="A143" s="400" t="s">
        <v>364</v>
      </c>
      <c r="B143" s="378">
        <v>229.00092275675499</v>
      </c>
      <c r="C143" s="378">
        <v>349.35964999999999</v>
      </c>
      <c r="D143" s="379">
        <v>120.358727243245</v>
      </c>
      <c r="E143" s="380">
        <v>1.525581843925</v>
      </c>
      <c r="F143" s="378">
        <v>293</v>
      </c>
      <c r="G143" s="379">
        <v>73.25</v>
      </c>
      <c r="H143" s="381">
        <v>29.335439999999998</v>
      </c>
      <c r="I143" s="378">
        <v>93.240380000000002</v>
      </c>
      <c r="J143" s="379">
        <v>19.990379999999998</v>
      </c>
      <c r="K143" s="382">
        <v>0.31822655290099999</v>
      </c>
    </row>
    <row r="144" spans="1:11" ht="14.4" customHeight="1" thickBot="1" x14ac:dyDescent="0.35">
      <c r="A144" s="400" t="s">
        <v>365</v>
      </c>
      <c r="B144" s="378">
        <v>0</v>
      </c>
      <c r="C144" s="378">
        <v>5.5652200000000001</v>
      </c>
      <c r="D144" s="379">
        <v>5.5652200000000001</v>
      </c>
      <c r="E144" s="388" t="s">
        <v>245</v>
      </c>
      <c r="F144" s="378">
        <v>6</v>
      </c>
      <c r="G144" s="379">
        <v>1.5</v>
      </c>
      <c r="H144" s="381">
        <v>0</v>
      </c>
      <c r="I144" s="378">
        <v>1.3913</v>
      </c>
      <c r="J144" s="379">
        <v>-0.1087</v>
      </c>
      <c r="K144" s="382">
        <v>0.23188333333300001</v>
      </c>
    </row>
    <row r="145" spans="1:11" ht="14.4" customHeight="1" thickBot="1" x14ac:dyDescent="0.35">
      <c r="A145" s="400" t="s">
        <v>366</v>
      </c>
      <c r="B145" s="378">
        <v>27.127675222722999</v>
      </c>
      <c r="C145" s="378">
        <v>21.194299999999998</v>
      </c>
      <c r="D145" s="379">
        <v>-5.9333752227229999</v>
      </c>
      <c r="E145" s="380">
        <v>0.78127962775899995</v>
      </c>
      <c r="F145" s="378">
        <v>25</v>
      </c>
      <c r="G145" s="379">
        <v>6.25</v>
      </c>
      <c r="H145" s="381">
        <v>0</v>
      </c>
      <c r="I145" s="378">
        <v>0.23139999999999999</v>
      </c>
      <c r="J145" s="379">
        <v>-6.0186000000000002</v>
      </c>
      <c r="K145" s="382">
        <v>9.2560000000000003E-3</v>
      </c>
    </row>
    <row r="146" spans="1:11" ht="14.4" customHeight="1" thickBot="1" x14ac:dyDescent="0.35">
      <c r="A146" s="400" t="s">
        <v>367</v>
      </c>
      <c r="B146" s="378">
        <v>621.95049415493497</v>
      </c>
      <c r="C146" s="378">
        <v>827.04768000000001</v>
      </c>
      <c r="D146" s="379">
        <v>205.09718584506501</v>
      </c>
      <c r="E146" s="380">
        <v>1.329764487322</v>
      </c>
      <c r="F146" s="378">
        <v>720</v>
      </c>
      <c r="G146" s="379">
        <v>180</v>
      </c>
      <c r="H146" s="381">
        <v>72.388840000000002</v>
      </c>
      <c r="I146" s="378">
        <v>216.34180000000001</v>
      </c>
      <c r="J146" s="379">
        <v>36.341799999999999</v>
      </c>
      <c r="K146" s="382">
        <v>0.300474722222</v>
      </c>
    </row>
    <row r="147" spans="1:11" ht="14.4" customHeight="1" thickBot="1" x14ac:dyDescent="0.35">
      <c r="A147" s="399" t="s">
        <v>368</v>
      </c>
      <c r="B147" s="383">
        <v>64.000006417194001</v>
      </c>
      <c r="C147" s="383">
        <v>84.314350000000005</v>
      </c>
      <c r="D147" s="384">
        <v>20.314343582805002</v>
      </c>
      <c r="E147" s="390">
        <v>1.3174115866539999</v>
      </c>
      <c r="F147" s="383">
        <v>72.045196758198998</v>
      </c>
      <c r="G147" s="384">
        <v>18.011299189550002</v>
      </c>
      <c r="H147" s="386">
        <v>24.866579999999999</v>
      </c>
      <c r="I147" s="383">
        <v>62.28246</v>
      </c>
      <c r="J147" s="384">
        <v>44.271160810449999</v>
      </c>
      <c r="K147" s="391">
        <v>0.86449149703899997</v>
      </c>
    </row>
    <row r="148" spans="1:11" ht="14.4" customHeight="1" thickBot="1" x14ac:dyDescent="0.35">
      <c r="A148" s="400" t="s">
        <v>369</v>
      </c>
      <c r="B148" s="378">
        <v>64.000006417194001</v>
      </c>
      <c r="C148" s="378">
        <v>84.314350000000005</v>
      </c>
      <c r="D148" s="379">
        <v>20.314343582805002</v>
      </c>
      <c r="E148" s="380">
        <v>1.3174115866539999</v>
      </c>
      <c r="F148" s="378">
        <v>72.045196758198998</v>
      </c>
      <c r="G148" s="379">
        <v>18.011299189550002</v>
      </c>
      <c r="H148" s="381">
        <v>24.866579999999999</v>
      </c>
      <c r="I148" s="378">
        <v>62.28246</v>
      </c>
      <c r="J148" s="379">
        <v>44.271160810449999</v>
      </c>
      <c r="K148" s="382">
        <v>0.86449149703899997</v>
      </c>
    </row>
    <row r="149" spans="1:11" ht="14.4" customHeight="1" thickBot="1" x14ac:dyDescent="0.35">
      <c r="A149" s="399" t="s">
        <v>370</v>
      </c>
      <c r="B149" s="383">
        <v>73.897263336343002</v>
      </c>
      <c r="C149" s="383">
        <v>24.908740000000002</v>
      </c>
      <c r="D149" s="384">
        <v>-48.988523336343</v>
      </c>
      <c r="E149" s="390">
        <v>0.33707256365600002</v>
      </c>
      <c r="F149" s="383">
        <v>108</v>
      </c>
      <c r="G149" s="384">
        <v>27</v>
      </c>
      <c r="H149" s="386">
        <v>0</v>
      </c>
      <c r="I149" s="383">
        <v>4.8242200000000004</v>
      </c>
      <c r="J149" s="384">
        <v>-22.17578</v>
      </c>
      <c r="K149" s="391">
        <v>4.4668703703000003E-2</v>
      </c>
    </row>
    <row r="150" spans="1:11" ht="14.4" customHeight="1" thickBot="1" x14ac:dyDescent="0.35">
      <c r="A150" s="400" t="s">
        <v>371</v>
      </c>
      <c r="B150" s="378">
        <v>73.897263336343002</v>
      </c>
      <c r="C150" s="378">
        <v>20.891079999999999</v>
      </c>
      <c r="D150" s="379">
        <v>-53.006183336343</v>
      </c>
      <c r="E150" s="380">
        <v>0.28270437979399998</v>
      </c>
      <c r="F150" s="378">
        <v>108</v>
      </c>
      <c r="G150" s="379">
        <v>27</v>
      </c>
      <c r="H150" s="381">
        <v>0</v>
      </c>
      <c r="I150" s="378">
        <v>4.8242200000000004</v>
      </c>
      <c r="J150" s="379">
        <v>-22.17578</v>
      </c>
      <c r="K150" s="382">
        <v>4.4668703703000003E-2</v>
      </c>
    </row>
    <row r="151" spans="1:11" ht="14.4" customHeight="1" thickBot="1" x14ac:dyDescent="0.35">
      <c r="A151" s="400" t="s">
        <v>372</v>
      </c>
      <c r="B151" s="378">
        <v>0</v>
      </c>
      <c r="C151" s="378">
        <v>4.0176600000000002</v>
      </c>
      <c r="D151" s="379">
        <v>4.0176600000000002</v>
      </c>
      <c r="E151" s="388" t="s">
        <v>228</v>
      </c>
      <c r="F151" s="378">
        <v>0</v>
      </c>
      <c r="G151" s="379">
        <v>0</v>
      </c>
      <c r="H151" s="381">
        <v>0</v>
      </c>
      <c r="I151" s="378">
        <v>0</v>
      </c>
      <c r="J151" s="379">
        <v>0</v>
      </c>
      <c r="K151" s="389" t="s">
        <v>228</v>
      </c>
    </row>
    <row r="152" spans="1:11" ht="14.4" customHeight="1" thickBot="1" x14ac:dyDescent="0.35">
      <c r="A152" s="399" t="s">
        <v>373</v>
      </c>
      <c r="B152" s="383">
        <v>22975.002303672401</v>
      </c>
      <c r="C152" s="383">
        <v>20879.46499</v>
      </c>
      <c r="D152" s="384">
        <v>-2095.5373136723902</v>
      </c>
      <c r="E152" s="390">
        <v>0.90879055044299994</v>
      </c>
      <c r="F152" s="383">
        <v>24570</v>
      </c>
      <c r="G152" s="384">
        <v>6142.5</v>
      </c>
      <c r="H152" s="386">
        <v>2158.5767700000001</v>
      </c>
      <c r="I152" s="383">
        <v>7105.8128399999996</v>
      </c>
      <c r="J152" s="384">
        <v>963.31284000000096</v>
      </c>
      <c r="K152" s="391">
        <v>0.28920687179400001</v>
      </c>
    </row>
    <row r="153" spans="1:11" ht="14.4" customHeight="1" thickBot="1" x14ac:dyDescent="0.35">
      <c r="A153" s="400" t="s">
        <v>374</v>
      </c>
      <c r="B153" s="378">
        <v>13945.001398246401</v>
      </c>
      <c r="C153" s="378">
        <v>11331.47847</v>
      </c>
      <c r="D153" s="379">
        <v>-2613.5229282464202</v>
      </c>
      <c r="E153" s="380">
        <v>0.81258353056999999</v>
      </c>
      <c r="F153" s="378">
        <v>14733</v>
      </c>
      <c r="G153" s="379">
        <v>3683.25</v>
      </c>
      <c r="H153" s="381">
        <v>1026.71219</v>
      </c>
      <c r="I153" s="378">
        <v>3884.3099099999999</v>
      </c>
      <c r="J153" s="379">
        <v>201.05990999999901</v>
      </c>
      <c r="K153" s="382">
        <v>0.26364690897900001</v>
      </c>
    </row>
    <row r="154" spans="1:11" ht="14.4" customHeight="1" thickBot="1" x14ac:dyDescent="0.35">
      <c r="A154" s="400" t="s">
        <v>375</v>
      </c>
      <c r="B154" s="378">
        <v>9030.0009054259699</v>
      </c>
      <c r="C154" s="378">
        <v>9547.9865200000004</v>
      </c>
      <c r="D154" s="379">
        <v>517.98561457402695</v>
      </c>
      <c r="E154" s="380">
        <v>1.0573627422630001</v>
      </c>
      <c r="F154" s="378">
        <v>9837</v>
      </c>
      <c r="G154" s="379">
        <v>2459.25</v>
      </c>
      <c r="H154" s="381">
        <v>1131.8645799999999</v>
      </c>
      <c r="I154" s="378">
        <v>3221.5029300000001</v>
      </c>
      <c r="J154" s="379">
        <v>762.25293000000102</v>
      </c>
      <c r="K154" s="382">
        <v>0.327488353156</v>
      </c>
    </row>
    <row r="155" spans="1:11" ht="14.4" customHeight="1" thickBot="1" x14ac:dyDescent="0.35">
      <c r="A155" s="399" t="s">
        <v>376</v>
      </c>
      <c r="B155" s="383">
        <v>0</v>
      </c>
      <c r="C155" s="383">
        <v>1147.16129</v>
      </c>
      <c r="D155" s="384">
        <v>1147.16129</v>
      </c>
      <c r="E155" s="385" t="s">
        <v>228</v>
      </c>
      <c r="F155" s="383">
        <v>0</v>
      </c>
      <c r="G155" s="384">
        <v>0</v>
      </c>
      <c r="H155" s="386">
        <v>0</v>
      </c>
      <c r="I155" s="383">
        <v>0.35746</v>
      </c>
      <c r="J155" s="384">
        <v>0.35746</v>
      </c>
      <c r="K155" s="387" t="s">
        <v>228</v>
      </c>
    </row>
    <row r="156" spans="1:11" ht="14.4" customHeight="1" thickBot="1" x14ac:dyDescent="0.35">
      <c r="A156" s="400" t="s">
        <v>377</v>
      </c>
      <c r="B156" s="378">
        <v>0</v>
      </c>
      <c r="C156" s="378">
        <v>224.72207</v>
      </c>
      <c r="D156" s="379">
        <v>224.72207</v>
      </c>
      <c r="E156" s="388" t="s">
        <v>228</v>
      </c>
      <c r="F156" s="378">
        <v>0</v>
      </c>
      <c r="G156" s="379">
        <v>0</v>
      </c>
      <c r="H156" s="381">
        <v>0</v>
      </c>
      <c r="I156" s="378">
        <v>0</v>
      </c>
      <c r="J156" s="379">
        <v>0</v>
      </c>
      <c r="K156" s="389" t="s">
        <v>228</v>
      </c>
    </row>
    <row r="157" spans="1:11" ht="14.4" customHeight="1" thickBot="1" x14ac:dyDescent="0.35">
      <c r="A157" s="400" t="s">
        <v>378</v>
      </c>
      <c r="B157" s="378">
        <v>0</v>
      </c>
      <c r="C157" s="378">
        <v>922.43921999999998</v>
      </c>
      <c r="D157" s="379">
        <v>922.43921999999998</v>
      </c>
      <c r="E157" s="388" t="s">
        <v>228</v>
      </c>
      <c r="F157" s="378">
        <v>0</v>
      </c>
      <c r="G157" s="379">
        <v>0</v>
      </c>
      <c r="H157" s="381">
        <v>0</v>
      </c>
      <c r="I157" s="378">
        <v>0.35746</v>
      </c>
      <c r="J157" s="379">
        <v>0.35746</v>
      </c>
      <c r="K157" s="389" t="s">
        <v>228</v>
      </c>
    </row>
    <row r="158" spans="1:11" ht="14.4" customHeight="1" thickBot="1" x14ac:dyDescent="0.35">
      <c r="A158" s="403" t="s">
        <v>379</v>
      </c>
      <c r="B158" s="383">
        <v>1398.2298964686499</v>
      </c>
      <c r="C158" s="383">
        <v>2016.3733500000001</v>
      </c>
      <c r="D158" s="384">
        <v>618.14345353135298</v>
      </c>
      <c r="E158" s="390">
        <v>1.4420899989989999</v>
      </c>
      <c r="F158" s="383">
        <v>2018.49864528786</v>
      </c>
      <c r="G158" s="384">
        <v>504.62466132196499</v>
      </c>
      <c r="H158" s="386">
        <v>208.39478</v>
      </c>
      <c r="I158" s="383">
        <v>536.56813</v>
      </c>
      <c r="J158" s="384">
        <v>31.943468678035</v>
      </c>
      <c r="K158" s="391">
        <v>0.26582536047400002</v>
      </c>
    </row>
    <row r="159" spans="1:11" ht="14.4" customHeight="1" thickBot="1" x14ac:dyDescent="0.35">
      <c r="A159" s="399" t="s">
        <v>380</v>
      </c>
      <c r="B159" s="383">
        <v>1398.2298964686499</v>
      </c>
      <c r="C159" s="383">
        <v>2016.3733500000001</v>
      </c>
      <c r="D159" s="384">
        <v>618.14345353135298</v>
      </c>
      <c r="E159" s="390">
        <v>1.4420899989989999</v>
      </c>
      <c r="F159" s="383">
        <v>2018.49864528786</v>
      </c>
      <c r="G159" s="384">
        <v>504.62466132196499</v>
      </c>
      <c r="H159" s="386">
        <v>208.39478</v>
      </c>
      <c r="I159" s="383">
        <v>536.56813</v>
      </c>
      <c r="J159" s="384">
        <v>31.943468678035</v>
      </c>
      <c r="K159" s="391">
        <v>0.26582536047400002</v>
      </c>
    </row>
    <row r="160" spans="1:11" ht="14.4" customHeight="1" thickBot="1" x14ac:dyDescent="0.35">
      <c r="A160" s="400" t="s">
        <v>381</v>
      </c>
      <c r="B160" s="378">
        <v>0</v>
      </c>
      <c r="C160" s="378">
        <v>0</v>
      </c>
      <c r="D160" s="379">
        <v>0</v>
      </c>
      <c r="E160" s="380">
        <v>1</v>
      </c>
      <c r="F160" s="378">
        <v>0</v>
      </c>
      <c r="G160" s="379">
        <v>0</v>
      </c>
      <c r="H160" s="381">
        <v>0</v>
      </c>
      <c r="I160" s="378">
        <v>0.95</v>
      </c>
      <c r="J160" s="379">
        <v>0.95</v>
      </c>
      <c r="K160" s="389" t="s">
        <v>245</v>
      </c>
    </row>
    <row r="161" spans="1:11" ht="14.4" customHeight="1" thickBot="1" x14ac:dyDescent="0.35">
      <c r="A161" s="400" t="s">
        <v>382</v>
      </c>
      <c r="B161" s="378">
        <v>1398.2298964686499</v>
      </c>
      <c r="C161" s="378">
        <v>2016.3733500000001</v>
      </c>
      <c r="D161" s="379">
        <v>618.14345353135298</v>
      </c>
      <c r="E161" s="380">
        <v>1.4420899989989999</v>
      </c>
      <c r="F161" s="378">
        <v>2018.49864528786</v>
      </c>
      <c r="G161" s="379">
        <v>504.62466132196499</v>
      </c>
      <c r="H161" s="381">
        <v>208.39478</v>
      </c>
      <c r="I161" s="378">
        <v>535.61812999999995</v>
      </c>
      <c r="J161" s="379">
        <v>30.993468678035001</v>
      </c>
      <c r="K161" s="382">
        <v>0.26535471363800001</v>
      </c>
    </row>
    <row r="162" spans="1:11" ht="14.4" customHeight="1" thickBot="1" x14ac:dyDescent="0.35">
      <c r="A162" s="397" t="s">
        <v>383</v>
      </c>
      <c r="B162" s="378">
        <v>68.350198083451005</v>
      </c>
      <c r="C162" s="378">
        <v>524.06100000000004</v>
      </c>
      <c r="D162" s="379">
        <v>455.71080191654897</v>
      </c>
      <c r="E162" s="380">
        <v>7.6672930685600003</v>
      </c>
      <c r="F162" s="378">
        <v>542.13441455663099</v>
      </c>
      <c r="G162" s="379">
        <v>135.533603639158</v>
      </c>
      <c r="H162" s="381">
        <v>87.148840000000007</v>
      </c>
      <c r="I162" s="378">
        <v>312.40213</v>
      </c>
      <c r="J162" s="379">
        <v>176.868526360842</v>
      </c>
      <c r="K162" s="382">
        <v>0.57624478655400002</v>
      </c>
    </row>
    <row r="163" spans="1:11" ht="14.4" customHeight="1" thickBot="1" x14ac:dyDescent="0.35">
      <c r="A163" s="398" t="s">
        <v>384</v>
      </c>
      <c r="B163" s="378">
        <v>0</v>
      </c>
      <c r="C163" s="378">
        <v>5.4257</v>
      </c>
      <c r="D163" s="379">
        <v>5.4257</v>
      </c>
      <c r="E163" s="388" t="s">
        <v>245</v>
      </c>
      <c r="F163" s="378">
        <v>0</v>
      </c>
      <c r="G163" s="379">
        <v>0</v>
      </c>
      <c r="H163" s="381">
        <v>0</v>
      </c>
      <c r="I163" s="378">
        <v>0</v>
      </c>
      <c r="J163" s="379">
        <v>0</v>
      </c>
      <c r="K163" s="389" t="s">
        <v>228</v>
      </c>
    </row>
    <row r="164" spans="1:11" ht="14.4" customHeight="1" thickBot="1" x14ac:dyDescent="0.35">
      <c r="A164" s="399" t="s">
        <v>385</v>
      </c>
      <c r="B164" s="383">
        <v>0</v>
      </c>
      <c r="C164" s="383">
        <v>5.4257</v>
      </c>
      <c r="D164" s="384">
        <v>5.4257</v>
      </c>
      <c r="E164" s="385" t="s">
        <v>245</v>
      </c>
      <c r="F164" s="383">
        <v>0</v>
      </c>
      <c r="G164" s="384">
        <v>0</v>
      </c>
      <c r="H164" s="386">
        <v>0</v>
      </c>
      <c r="I164" s="383">
        <v>0</v>
      </c>
      <c r="J164" s="384">
        <v>0</v>
      </c>
      <c r="K164" s="387" t="s">
        <v>228</v>
      </c>
    </row>
    <row r="165" spans="1:11" ht="14.4" customHeight="1" thickBot="1" x14ac:dyDescent="0.35">
      <c r="A165" s="400" t="s">
        <v>386</v>
      </c>
      <c r="B165" s="378">
        <v>0</v>
      </c>
      <c r="C165" s="378">
        <v>5.4257</v>
      </c>
      <c r="D165" s="379">
        <v>5.4257</v>
      </c>
      <c r="E165" s="388" t="s">
        <v>245</v>
      </c>
      <c r="F165" s="378">
        <v>0</v>
      </c>
      <c r="G165" s="379">
        <v>0</v>
      </c>
      <c r="H165" s="381">
        <v>0</v>
      </c>
      <c r="I165" s="378">
        <v>0</v>
      </c>
      <c r="J165" s="379">
        <v>0</v>
      </c>
      <c r="K165" s="389" t="s">
        <v>228</v>
      </c>
    </row>
    <row r="166" spans="1:11" ht="14.4" customHeight="1" thickBot="1" x14ac:dyDescent="0.35">
      <c r="A166" s="403" t="s">
        <v>387</v>
      </c>
      <c r="B166" s="383">
        <v>68.350198083451005</v>
      </c>
      <c r="C166" s="383">
        <v>518.63530000000003</v>
      </c>
      <c r="D166" s="384">
        <v>450.28510191654902</v>
      </c>
      <c r="E166" s="390">
        <v>7.5879121720580001</v>
      </c>
      <c r="F166" s="383">
        <v>542.13441455663099</v>
      </c>
      <c r="G166" s="384">
        <v>135.533603639158</v>
      </c>
      <c r="H166" s="386">
        <v>87.148840000000007</v>
      </c>
      <c r="I166" s="383">
        <v>312.40213</v>
      </c>
      <c r="J166" s="384">
        <v>176.868526360842</v>
      </c>
      <c r="K166" s="391">
        <v>0.57624478655400002</v>
      </c>
    </row>
    <row r="167" spans="1:11" ht="14.4" customHeight="1" thickBot="1" x14ac:dyDescent="0.35">
      <c r="A167" s="399" t="s">
        <v>388</v>
      </c>
      <c r="B167" s="383">
        <v>0</v>
      </c>
      <c r="C167" s="383">
        <v>0.59580999999999995</v>
      </c>
      <c r="D167" s="384">
        <v>0.59580999999999995</v>
      </c>
      <c r="E167" s="385" t="s">
        <v>228</v>
      </c>
      <c r="F167" s="383">
        <v>0</v>
      </c>
      <c r="G167" s="384">
        <v>0</v>
      </c>
      <c r="H167" s="386">
        <v>3.6389999999999999E-2</v>
      </c>
      <c r="I167" s="383">
        <v>0.11768000000000001</v>
      </c>
      <c r="J167" s="384">
        <v>0.11768000000000001</v>
      </c>
      <c r="K167" s="387" t="s">
        <v>228</v>
      </c>
    </row>
    <row r="168" spans="1:11" ht="14.4" customHeight="1" thickBot="1" x14ac:dyDescent="0.35">
      <c r="A168" s="400" t="s">
        <v>389</v>
      </c>
      <c r="B168" s="378">
        <v>0</v>
      </c>
      <c r="C168" s="378">
        <v>0.59580999999999995</v>
      </c>
      <c r="D168" s="379">
        <v>0.59580999999999995</v>
      </c>
      <c r="E168" s="388" t="s">
        <v>228</v>
      </c>
      <c r="F168" s="378">
        <v>0</v>
      </c>
      <c r="G168" s="379">
        <v>0</v>
      </c>
      <c r="H168" s="381">
        <v>3.6389999999999999E-2</v>
      </c>
      <c r="I168" s="378">
        <v>0.11768000000000001</v>
      </c>
      <c r="J168" s="379">
        <v>0.11768000000000001</v>
      </c>
      <c r="K168" s="389" t="s">
        <v>228</v>
      </c>
    </row>
    <row r="169" spans="1:11" ht="14.4" customHeight="1" thickBot="1" x14ac:dyDescent="0.35">
      <c r="A169" s="399" t="s">
        <v>390</v>
      </c>
      <c r="B169" s="383">
        <v>68.350198083451005</v>
      </c>
      <c r="C169" s="383">
        <v>518.03949</v>
      </c>
      <c r="D169" s="384">
        <v>449.689291916549</v>
      </c>
      <c r="E169" s="390">
        <v>7.5791951526970003</v>
      </c>
      <c r="F169" s="383">
        <v>542.13441455663099</v>
      </c>
      <c r="G169" s="384">
        <v>135.533603639158</v>
      </c>
      <c r="H169" s="386">
        <v>87.112449999999995</v>
      </c>
      <c r="I169" s="383">
        <v>312.28444999999999</v>
      </c>
      <c r="J169" s="384">
        <v>176.75084636084199</v>
      </c>
      <c r="K169" s="391">
        <v>0.57602771861500002</v>
      </c>
    </row>
    <row r="170" spans="1:11" ht="14.4" customHeight="1" thickBot="1" x14ac:dyDescent="0.35">
      <c r="A170" s="400" t="s">
        <v>391</v>
      </c>
      <c r="B170" s="378">
        <v>22.305418200798002</v>
      </c>
      <c r="C170" s="378">
        <v>465.80500000000001</v>
      </c>
      <c r="D170" s="379">
        <v>443.49958179920202</v>
      </c>
      <c r="E170" s="380">
        <v>20.883042667333999</v>
      </c>
      <c r="F170" s="378">
        <v>491.29660133345698</v>
      </c>
      <c r="G170" s="379">
        <v>122.824150333364</v>
      </c>
      <c r="H170" s="381">
        <v>81.674999999999997</v>
      </c>
      <c r="I170" s="378">
        <v>305.17500000000001</v>
      </c>
      <c r="J170" s="379">
        <v>182.35084966663601</v>
      </c>
      <c r="K170" s="382">
        <v>0.62116244885799998</v>
      </c>
    </row>
    <row r="171" spans="1:11" ht="14.4" customHeight="1" thickBot="1" x14ac:dyDescent="0.35">
      <c r="A171" s="400" t="s">
        <v>392</v>
      </c>
      <c r="B171" s="378">
        <v>2.189576340066</v>
      </c>
      <c r="C171" s="378">
        <v>12.234</v>
      </c>
      <c r="D171" s="379">
        <v>10.044423659933001</v>
      </c>
      <c r="E171" s="380">
        <v>5.5873822602730003</v>
      </c>
      <c r="F171" s="378">
        <v>13.954518690767999</v>
      </c>
      <c r="G171" s="379">
        <v>3.4886296726919999</v>
      </c>
      <c r="H171" s="381">
        <v>1.30522</v>
      </c>
      <c r="I171" s="378">
        <v>2.97722</v>
      </c>
      <c r="J171" s="379">
        <v>-0.51140967269199999</v>
      </c>
      <c r="K171" s="382">
        <v>0.21335167955000001</v>
      </c>
    </row>
    <row r="172" spans="1:11" ht="14.4" customHeight="1" thickBot="1" x14ac:dyDescent="0.35">
      <c r="A172" s="400" t="s">
        <v>393</v>
      </c>
      <c r="B172" s="378">
        <v>43.855203542585997</v>
      </c>
      <c r="C172" s="378">
        <v>40.000489999999999</v>
      </c>
      <c r="D172" s="379">
        <v>-3.854713542586</v>
      </c>
      <c r="E172" s="380">
        <v>0.91210362211899998</v>
      </c>
      <c r="F172" s="378">
        <v>36.883294532405003</v>
      </c>
      <c r="G172" s="379">
        <v>9.2208236331010003</v>
      </c>
      <c r="H172" s="381">
        <v>4.1322299999999998</v>
      </c>
      <c r="I172" s="378">
        <v>4.1322299999999998</v>
      </c>
      <c r="J172" s="379">
        <v>-5.0885936331010004</v>
      </c>
      <c r="K172" s="382">
        <v>0.112035273757</v>
      </c>
    </row>
    <row r="173" spans="1:11" ht="14.4" customHeight="1" thickBot="1" x14ac:dyDescent="0.35">
      <c r="A173" s="397" t="s">
        <v>394</v>
      </c>
      <c r="B173" s="378">
        <v>0</v>
      </c>
      <c r="C173" s="378">
        <v>0.14051</v>
      </c>
      <c r="D173" s="379">
        <v>0.14051</v>
      </c>
      <c r="E173" s="388" t="s">
        <v>228</v>
      </c>
      <c r="F173" s="378">
        <v>0</v>
      </c>
      <c r="G173" s="379">
        <v>0</v>
      </c>
      <c r="H173" s="381">
        <v>0</v>
      </c>
      <c r="I173" s="378">
        <v>-2.4850000000000001E-2</v>
      </c>
      <c r="J173" s="379">
        <v>-2.4850000000000001E-2</v>
      </c>
      <c r="K173" s="389" t="s">
        <v>228</v>
      </c>
    </row>
    <row r="174" spans="1:11" ht="14.4" customHeight="1" thickBot="1" x14ac:dyDescent="0.35">
      <c r="A174" s="403" t="s">
        <v>395</v>
      </c>
      <c r="B174" s="383">
        <v>0</v>
      </c>
      <c r="C174" s="383">
        <v>0.14051</v>
      </c>
      <c r="D174" s="384">
        <v>0.14051</v>
      </c>
      <c r="E174" s="385" t="s">
        <v>228</v>
      </c>
      <c r="F174" s="383">
        <v>0</v>
      </c>
      <c r="G174" s="384">
        <v>0</v>
      </c>
      <c r="H174" s="386">
        <v>0</v>
      </c>
      <c r="I174" s="383">
        <v>-2.4850000000000001E-2</v>
      </c>
      <c r="J174" s="384">
        <v>-2.4850000000000001E-2</v>
      </c>
      <c r="K174" s="387" t="s">
        <v>228</v>
      </c>
    </row>
    <row r="175" spans="1:11" ht="14.4" customHeight="1" thickBot="1" x14ac:dyDescent="0.35">
      <c r="A175" s="399" t="s">
        <v>396</v>
      </c>
      <c r="B175" s="383">
        <v>0</v>
      </c>
      <c r="C175" s="383">
        <v>0.14051</v>
      </c>
      <c r="D175" s="384">
        <v>0.14051</v>
      </c>
      <c r="E175" s="385" t="s">
        <v>228</v>
      </c>
      <c r="F175" s="383">
        <v>0</v>
      </c>
      <c r="G175" s="384">
        <v>0</v>
      </c>
      <c r="H175" s="386">
        <v>0</v>
      </c>
      <c r="I175" s="383">
        <v>-2.4850000000000001E-2</v>
      </c>
      <c r="J175" s="384">
        <v>-2.4850000000000001E-2</v>
      </c>
      <c r="K175" s="387" t="s">
        <v>228</v>
      </c>
    </row>
    <row r="176" spans="1:11" ht="14.4" customHeight="1" thickBot="1" x14ac:dyDescent="0.35">
      <c r="A176" s="400" t="s">
        <v>397</v>
      </c>
      <c r="B176" s="378">
        <v>0</v>
      </c>
      <c r="C176" s="378">
        <v>0.14051</v>
      </c>
      <c r="D176" s="379">
        <v>0.14051</v>
      </c>
      <c r="E176" s="388" t="s">
        <v>228</v>
      </c>
      <c r="F176" s="378">
        <v>0</v>
      </c>
      <c r="G176" s="379">
        <v>0</v>
      </c>
      <c r="H176" s="381">
        <v>0</v>
      </c>
      <c r="I176" s="378">
        <v>-2.4850000000000001E-2</v>
      </c>
      <c r="J176" s="379">
        <v>-2.4850000000000001E-2</v>
      </c>
      <c r="K176" s="389" t="s">
        <v>228</v>
      </c>
    </row>
    <row r="177" spans="1:11" ht="14.4" customHeight="1" thickBot="1" x14ac:dyDescent="0.35">
      <c r="A177" s="396" t="s">
        <v>398</v>
      </c>
      <c r="B177" s="378">
        <v>3013.7666599491999</v>
      </c>
      <c r="C177" s="378">
        <v>3022.8273199999999</v>
      </c>
      <c r="D177" s="379">
        <v>9.0606600507970008</v>
      </c>
      <c r="E177" s="380">
        <v>1.0030064238780001</v>
      </c>
      <c r="F177" s="378">
        <v>2938.7413152672302</v>
      </c>
      <c r="G177" s="379">
        <v>734.68532881680699</v>
      </c>
      <c r="H177" s="381">
        <v>268.19193000000001</v>
      </c>
      <c r="I177" s="378">
        <v>679.42376000000002</v>
      </c>
      <c r="J177" s="379">
        <v>-55.261568816805998</v>
      </c>
      <c r="K177" s="382">
        <v>0.23119549736100001</v>
      </c>
    </row>
    <row r="178" spans="1:11" ht="14.4" customHeight="1" thickBot="1" x14ac:dyDescent="0.35">
      <c r="A178" s="401" t="s">
        <v>399</v>
      </c>
      <c r="B178" s="383">
        <v>3013.7666599491999</v>
      </c>
      <c r="C178" s="383">
        <v>3022.8273199999999</v>
      </c>
      <c r="D178" s="384">
        <v>9.0606600507970008</v>
      </c>
      <c r="E178" s="390">
        <v>1.0030064238780001</v>
      </c>
      <c r="F178" s="383">
        <v>2938.7413152672302</v>
      </c>
      <c r="G178" s="384">
        <v>734.68532881680699</v>
      </c>
      <c r="H178" s="386">
        <v>268.19193000000001</v>
      </c>
      <c r="I178" s="383">
        <v>679.42376000000002</v>
      </c>
      <c r="J178" s="384">
        <v>-55.261568816805998</v>
      </c>
      <c r="K178" s="391">
        <v>0.23119549736100001</v>
      </c>
    </row>
    <row r="179" spans="1:11" ht="14.4" customHeight="1" thickBot="1" x14ac:dyDescent="0.35">
      <c r="A179" s="403" t="s">
        <v>40</v>
      </c>
      <c r="B179" s="383">
        <v>3013.7666599491999</v>
      </c>
      <c r="C179" s="383">
        <v>3022.8273199999999</v>
      </c>
      <c r="D179" s="384">
        <v>9.0606600507970008</v>
      </c>
      <c r="E179" s="390">
        <v>1.0030064238780001</v>
      </c>
      <c r="F179" s="383">
        <v>2938.7413152672302</v>
      </c>
      <c r="G179" s="384">
        <v>734.68532881680699</v>
      </c>
      <c r="H179" s="386">
        <v>268.19193000000001</v>
      </c>
      <c r="I179" s="383">
        <v>679.42376000000002</v>
      </c>
      <c r="J179" s="384">
        <v>-55.261568816805998</v>
      </c>
      <c r="K179" s="391">
        <v>0.23119549736100001</v>
      </c>
    </row>
    <row r="180" spans="1:11" ht="14.4" customHeight="1" thickBot="1" x14ac:dyDescent="0.35">
      <c r="A180" s="402" t="s">
        <v>400</v>
      </c>
      <c r="B180" s="378">
        <v>0</v>
      </c>
      <c r="C180" s="378">
        <v>0</v>
      </c>
      <c r="D180" s="379">
        <v>0</v>
      </c>
      <c r="E180" s="380">
        <v>1</v>
      </c>
      <c r="F180" s="378">
        <v>0.17838197118599999</v>
      </c>
      <c r="G180" s="379">
        <v>4.4595492796000002E-2</v>
      </c>
      <c r="H180" s="381">
        <v>-7.9299999999999995E-3</v>
      </c>
      <c r="I180" s="378">
        <v>1.7999999999999999E-2</v>
      </c>
      <c r="J180" s="379">
        <v>-2.6595492796E-2</v>
      </c>
      <c r="K180" s="382">
        <v>0.100907058489</v>
      </c>
    </row>
    <row r="181" spans="1:11" ht="14.4" customHeight="1" thickBot="1" x14ac:dyDescent="0.35">
      <c r="A181" s="400" t="s">
        <v>401</v>
      </c>
      <c r="B181" s="378">
        <v>0</v>
      </c>
      <c r="C181" s="378">
        <v>0</v>
      </c>
      <c r="D181" s="379">
        <v>0</v>
      </c>
      <c r="E181" s="380">
        <v>1</v>
      </c>
      <c r="F181" s="378">
        <v>0.17838197118599999</v>
      </c>
      <c r="G181" s="379">
        <v>4.4595492796000002E-2</v>
      </c>
      <c r="H181" s="381">
        <v>-7.9299999999999995E-3</v>
      </c>
      <c r="I181" s="378">
        <v>1.7999999999999999E-2</v>
      </c>
      <c r="J181" s="379">
        <v>-2.6595492796E-2</v>
      </c>
      <c r="K181" s="382">
        <v>0.100907058489</v>
      </c>
    </row>
    <row r="182" spans="1:11" ht="14.4" customHeight="1" thickBot="1" x14ac:dyDescent="0.35">
      <c r="A182" s="399" t="s">
        <v>402</v>
      </c>
      <c r="B182" s="383">
        <v>6.3831925316399998</v>
      </c>
      <c r="C182" s="383">
        <v>6.6162999999999998</v>
      </c>
      <c r="D182" s="384">
        <v>0.23310746835900001</v>
      </c>
      <c r="E182" s="390">
        <v>1.0365189467810001</v>
      </c>
      <c r="F182" s="383">
        <v>7.1529992215089999</v>
      </c>
      <c r="G182" s="384">
        <v>1.788249805377</v>
      </c>
      <c r="H182" s="386">
        <v>0.60858000000000001</v>
      </c>
      <c r="I182" s="383">
        <v>1.53468</v>
      </c>
      <c r="J182" s="384">
        <v>-0.25356980537700002</v>
      </c>
      <c r="K182" s="391">
        <v>0.214550561586</v>
      </c>
    </row>
    <row r="183" spans="1:11" ht="14.4" customHeight="1" thickBot="1" x14ac:dyDescent="0.35">
      <c r="A183" s="400" t="s">
        <v>403</v>
      </c>
      <c r="B183" s="378">
        <v>0.39852451546500001</v>
      </c>
      <c r="C183" s="378">
        <v>8.9499999999999996E-2</v>
      </c>
      <c r="D183" s="379">
        <v>-0.30902451546499998</v>
      </c>
      <c r="E183" s="380">
        <v>0.22457840490700001</v>
      </c>
      <c r="F183" s="378">
        <v>0.16522642091</v>
      </c>
      <c r="G183" s="379">
        <v>4.1306605226999998E-2</v>
      </c>
      <c r="H183" s="381">
        <v>0</v>
      </c>
      <c r="I183" s="378">
        <v>0</v>
      </c>
      <c r="J183" s="379">
        <v>-4.1306605226999998E-2</v>
      </c>
      <c r="K183" s="382">
        <v>0</v>
      </c>
    </row>
    <row r="184" spans="1:11" ht="14.4" customHeight="1" thickBot="1" x14ac:dyDescent="0.35">
      <c r="A184" s="400" t="s">
        <v>404</v>
      </c>
      <c r="B184" s="378">
        <v>5.984668016174</v>
      </c>
      <c r="C184" s="378">
        <v>6.5267999999999997</v>
      </c>
      <c r="D184" s="379">
        <v>0.54213198382500005</v>
      </c>
      <c r="E184" s="380">
        <v>1.0905868098880001</v>
      </c>
      <c r="F184" s="378">
        <v>6.9877728005990001</v>
      </c>
      <c r="G184" s="379">
        <v>1.746943200149</v>
      </c>
      <c r="H184" s="381">
        <v>0.60858000000000001</v>
      </c>
      <c r="I184" s="378">
        <v>1.53468</v>
      </c>
      <c r="J184" s="379">
        <v>-0.21226320014899999</v>
      </c>
      <c r="K184" s="382">
        <v>0.21962362598099999</v>
      </c>
    </row>
    <row r="185" spans="1:11" ht="14.4" customHeight="1" thickBot="1" x14ac:dyDescent="0.35">
      <c r="A185" s="399" t="s">
        <v>405</v>
      </c>
      <c r="B185" s="383">
        <v>70.111577909374006</v>
      </c>
      <c r="C185" s="383">
        <v>71.313509999999994</v>
      </c>
      <c r="D185" s="384">
        <v>1.2019320906249999</v>
      </c>
      <c r="E185" s="390">
        <v>1.017143132795</v>
      </c>
      <c r="F185" s="383">
        <v>69.781921244649993</v>
      </c>
      <c r="G185" s="384">
        <v>17.445480311162001</v>
      </c>
      <c r="H185" s="386">
        <v>9.1778999999999993</v>
      </c>
      <c r="I185" s="383">
        <v>20.20561</v>
      </c>
      <c r="J185" s="384">
        <v>2.7601296888369999</v>
      </c>
      <c r="K185" s="391">
        <v>0.28955364999400002</v>
      </c>
    </row>
    <row r="186" spans="1:11" ht="14.4" customHeight="1" thickBot="1" x14ac:dyDescent="0.35">
      <c r="A186" s="400" t="s">
        <v>406</v>
      </c>
      <c r="B186" s="378">
        <v>70.111577909374006</v>
      </c>
      <c r="C186" s="378">
        <v>71.313509999999994</v>
      </c>
      <c r="D186" s="379">
        <v>1.2019320906249999</v>
      </c>
      <c r="E186" s="380">
        <v>1.017143132795</v>
      </c>
      <c r="F186" s="378">
        <v>69.781921244649993</v>
      </c>
      <c r="G186" s="379">
        <v>17.445480311162001</v>
      </c>
      <c r="H186" s="381">
        <v>9.1778999999999993</v>
      </c>
      <c r="I186" s="378">
        <v>20.20561</v>
      </c>
      <c r="J186" s="379">
        <v>2.7601296888369999</v>
      </c>
      <c r="K186" s="382">
        <v>0.28955364999400002</v>
      </c>
    </row>
    <row r="187" spans="1:11" ht="14.4" customHeight="1" thickBot="1" x14ac:dyDescent="0.35">
      <c r="A187" s="399" t="s">
        <v>407</v>
      </c>
      <c r="B187" s="383">
        <v>0</v>
      </c>
      <c r="C187" s="383">
        <v>1.1200000000000001</v>
      </c>
      <c r="D187" s="384">
        <v>1.1200000000000001</v>
      </c>
      <c r="E187" s="385" t="s">
        <v>245</v>
      </c>
      <c r="F187" s="383">
        <v>0</v>
      </c>
      <c r="G187" s="384">
        <v>0</v>
      </c>
      <c r="H187" s="386">
        <v>0</v>
      </c>
      <c r="I187" s="383">
        <v>0</v>
      </c>
      <c r="J187" s="384">
        <v>0</v>
      </c>
      <c r="K187" s="391">
        <v>0</v>
      </c>
    </row>
    <row r="188" spans="1:11" ht="14.4" customHeight="1" thickBot="1" x14ac:dyDescent="0.35">
      <c r="A188" s="400" t="s">
        <v>408</v>
      </c>
      <c r="B188" s="378">
        <v>0</v>
      </c>
      <c r="C188" s="378">
        <v>1.1200000000000001</v>
      </c>
      <c r="D188" s="379">
        <v>1.1200000000000001</v>
      </c>
      <c r="E188" s="388" t="s">
        <v>245</v>
      </c>
      <c r="F188" s="378">
        <v>0</v>
      </c>
      <c r="G188" s="379">
        <v>0</v>
      </c>
      <c r="H188" s="381">
        <v>0</v>
      </c>
      <c r="I188" s="378">
        <v>0</v>
      </c>
      <c r="J188" s="379">
        <v>0</v>
      </c>
      <c r="K188" s="382">
        <v>0</v>
      </c>
    </row>
    <row r="189" spans="1:11" ht="14.4" customHeight="1" thickBot="1" x14ac:dyDescent="0.35">
      <c r="A189" s="399" t="s">
        <v>409</v>
      </c>
      <c r="B189" s="383">
        <v>1003.80602064177</v>
      </c>
      <c r="C189" s="383">
        <v>960.42938000000004</v>
      </c>
      <c r="D189" s="384">
        <v>-43.376640641765</v>
      </c>
      <c r="E189" s="390">
        <v>0.95678782578499999</v>
      </c>
      <c r="F189" s="383">
        <v>1117.19758540414</v>
      </c>
      <c r="G189" s="384">
        <v>279.29939635103398</v>
      </c>
      <c r="H189" s="386">
        <v>86.362030000000004</v>
      </c>
      <c r="I189" s="383">
        <v>209.74781999999999</v>
      </c>
      <c r="J189" s="384">
        <v>-69.551576351033006</v>
      </c>
      <c r="K189" s="391">
        <v>0.187744605556</v>
      </c>
    </row>
    <row r="190" spans="1:11" ht="14.4" customHeight="1" thickBot="1" x14ac:dyDescent="0.35">
      <c r="A190" s="400" t="s">
        <v>410</v>
      </c>
      <c r="B190" s="378">
        <v>1003.80602064177</v>
      </c>
      <c r="C190" s="378">
        <v>960.42938000000004</v>
      </c>
      <c r="D190" s="379">
        <v>-43.376640641765</v>
      </c>
      <c r="E190" s="380">
        <v>0.95678782578499999</v>
      </c>
      <c r="F190" s="378">
        <v>1117.19758540414</v>
      </c>
      <c r="G190" s="379">
        <v>279.29939635103398</v>
      </c>
      <c r="H190" s="381">
        <v>86.362030000000004</v>
      </c>
      <c r="I190" s="378">
        <v>209.74781999999999</v>
      </c>
      <c r="J190" s="379">
        <v>-69.551576351033006</v>
      </c>
      <c r="K190" s="382">
        <v>0.187744605556</v>
      </c>
    </row>
    <row r="191" spans="1:11" ht="14.4" customHeight="1" thickBot="1" x14ac:dyDescent="0.35">
      <c r="A191" s="399" t="s">
        <v>411</v>
      </c>
      <c r="B191" s="383">
        <v>0</v>
      </c>
      <c r="C191" s="383">
        <v>2.2040000000000002</v>
      </c>
      <c r="D191" s="384">
        <v>2.2040000000000002</v>
      </c>
      <c r="E191" s="385" t="s">
        <v>245</v>
      </c>
      <c r="F191" s="383">
        <v>0</v>
      </c>
      <c r="G191" s="384">
        <v>0</v>
      </c>
      <c r="H191" s="386">
        <v>0</v>
      </c>
      <c r="I191" s="383">
        <v>0</v>
      </c>
      <c r="J191" s="384">
        <v>0</v>
      </c>
      <c r="K191" s="391">
        <v>0</v>
      </c>
    </row>
    <row r="192" spans="1:11" ht="14.4" customHeight="1" thickBot="1" x14ac:dyDescent="0.35">
      <c r="A192" s="400" t="s">
        <v>412</v>
      </c>
      <c r="B192" s="378">
        <v>0</v>
      </c>
      <c r="C192" s="378">
        <v>2.2040000000000002</v>
      </c>
      <c r="D192" s="379">
        <v>2.2040000000000002</v>
      </c>
      <c r="E192" s="388" t="s">
        <v>245</v>
      </c>
      <c r="F192" s="378">
        <v>0</v>
      </c>
      <c r="G192" s="379">
        <v>0</v>
      </c>
      <c r="H192" s="381">
        <v>0</v>
      </c>
      <c r="I192" s="378">
        <v>0</v>
      </c>
      <c r="J192" s="379">
        <v>0</v>
      </c>
      <c r="K192" s="382">
        <v>0</v>
      </c>
    </row>
    <row r="193" spans="1:11" ht="14.4" customHeight="1" thickBot="1" x14ac:dyDescent="0.35">
      <c r="A193" s="399" t="s">
        <v>413</v>
      </c>
      <c r="B193" s="383">
        <v>1933.4658688664199</v>
      </c>
      <c r="C193" s="383">
        <v>1981.1441299999999</v>
      </c>
      <c r="D193" s="384">
        <v>47.678261133577998</v>
      </c>
      <c r="E193" s="390">
        <v>1.0246594790729999</v>
      </c>
      <c r="F193" s="383">
        <v>1744.4304274257399</v>
      </c>
      <c r="G193" s="384">
        <v>436.10760685643601</v>
      </c>
      <c r="H193" s="386">
        <v>172.05135000000001</v>
      </c>
      <c r="I193" s="383">
        <v>447.91764999999998</v>
      </c>
      <c r="J193" s="384">
        <v>11.810043143563</v>
      </c>
      <c r="K193" s="391">
        <v>0.25677014282499999</v>
      </c>
    </row>
    <row r="194" spans="1:11" ht="14.4" customHeight="1" thickBot="1" x14ac:dyDescent="0.35">
      <c r="A194" s="400" t="s">
        <v>414</v>
      </c>
      <c r="B194" s="378">
        <v>1933.4658688664199</v>
      </c>
      <c r="C194" s="378">
        <v>1981.1441299999999</v>
      </c>
      <c r="D194" s="379">
        <v>47.678261133577998</v>
      </c>
      <c r="E194" s="380">
        <v>1.0246594790729999</v>
      </c>
      <c r="F194" s="378">
        <v>1744.4304274257399</v>
      </c>
      <c r="G194" s="379">
        <v>436.10760685643601</v>
      </c>
      <c r="H194" s="381">
        <v>172.05135000000001</v>
      </c>
      <c r="I194" s="378">
        <v>447.91764999999998</v>
      </c>
      <c r="J194" s="379">
        <v>11.810043143563</v>
      </c>
      <c r="K194" s="382">
        <v>0.25677014282499999</v>
      </c>
    </row>
    <row r="195" spans="1:11" ht="14.4" customHeight="1" thickBot="1" x14ac:dyDescent="0.35">
      <c r="A195" s="404" t="s">
        <v>415</v>
      </c>
      <c r="B195" s="383">
        <v>0</v>
      </c>
      <c r="C195" s="383">
        <v>6.8779999999999994E-2</v>
      </c>
      <c r="D195" s="384">
        <v>6.8779999999999994E-2</v>
      </c>
      <c r="E195" s="385" t="s">
        <v>245</v>
      </c>
      <c r="F195" s="383">
        <v>0</v>
      </c>
      <c r="G195" s="384">
        <v>0</v>
      </c>
      <c r="H195" s="386">
        <v>0</v>
      </c>
      <c r="I195" s="383">
        <v>0</v>
      </c>
      <c r="J195" s="384">
        <v>0</v>
      </c>
      <c r="K195" s="391">
        <v>0</v>
      </c>
    </row>
    <row r="196" spans="1:11" ht="14.4" customHeight="1" thickBot="1" x14ac:dyDescent="0.35">
      <c r="A196" s="401" t="s">
        <v>416</v>
      </c>
      <c r="B196" s="383">
        <v>0</v>
      </c>
      <c r="C196" s="383">
        <v>6.8779999999999994E-2</v>
      </c>
      <c r="D196" s="384">
        <v>6.8779999999999994E-2</v>
      </c>
      <c r="E196" s="385" t="s">
        <v>245</v>
      </c>
      <c r="F196" s="383">
        <v>0</v>
      </c>
      <c r="G196" s="384">
        <v>0</v>
      </c>
      <c r="H196" s="386">
        <v>0</v>
      </c>
      <c r="I196" s="383">
        <v>0</v>
      </c>
      <c r="J196" s="384">
        <v>0</v>
      </c>
      <c r="K196" s="391">
        <v>0</v>
      </c>
    </row>
    <row r="197" spans="1:11" ht="14.4" customHeight="1" thickBot="1" x14ac:dyDescent="0.35">
      <c r="A197" s="403" t="s">
        <v>417</v>
      </c>
      <c r="B197" s="383">
        <v>0</v>
      </c>
      <c r="C197" s="383">
        <v>6.8779999999999994E-2</v>
      </c>
      <c r="D197" s="384">
        <v>6.8779999999999994E-2</v>
      </c>
      <c r="E197" s="385" t="s">
        <v>245</v>
      </c>
      <c r="F197" s="383">
        <v>0</v>
      </c>
      <c r="G197" s="384">
        <v>0</v>
      </c>
      <c r="H197" s="386">
        <v>0</v>
      </c>
      <c r="I197" s="383">
        <v>0</v>
      </c>
      <c r="J197" s="384">
        <v>0</v>
      </c>
      <c r="K197" s="391">
        <v>0</v>
      </c>
    </row>
    <row r="198" spans="1:11" ht="14.4" customHeight="1" thickBot="1" x14ac:dyDescent="0.35">
      <c r="A198" s="399" t="s">
        <v>418</v>
      </c>
      <c r="B198" s="383">
        <v>0</v>
      </c>
      <c r="C198" s="383">
        <v>6.8779999999999994E-2</v>
      </c>
      <c r="D198" s="384">
        <v>6.8779999999999994E-2</v>
      </c>
      <c r="E198" s="385" t="s">
        <v>245</v>
      </c>
      <c r="F198" s="383">
        <v>0</v>
      </c>
      <c r="G198" s="384">
        <v>0</v>
      </c>
      <c r="H198" s="386">
        <v>0</v>
      </c>
      <c r="I198" s="383">
        <v>0</v>
      </c>
      <c r="J198" s="384">
        <v>0</v>
      </c>
      <c r="K198" s="391">
        <v>0</v>
      </c>
    </row>
    <row r="199" spans="1:11" ht="14.4" customHeight="1" thickBot="1" x14ac:dyDescent="0.35">
      <c r="A199" s="400" t="s">
        <v>419</v>
      </c>
      <c r="B199" s="378">
        <v>0</v>
      </c>
      <c r="C199" s="378">
        <v>6.8779999999999994E-2</v>
      </c>
      <c r="D199" s="379">
        <v>6.8779999999999994E-2</v>
      </c>
      <c r="E199" s="388" t="s">
        <v>245</v>
      </c>
      <c r="F199" s="378">
        <v>0</v>
      </c>
      <c r="G199" s="379">
        <v>0</v>
      </c>
      <c r="H199" s="381">
        <v>0</v>
      </c>
      <c r="I199" s="378">
        <v>0</v>
      </c>
      <c r="J199" s="379">
        <v>0</v>
      </c>
      <c r="K199" s="382">
        <v>0</v>
      </c>
    </row>
    <row r="200" spans="1:11" ht="14.4" customHeight="1" thickBot="1" x14ac:dyDescent="0.35">
      <c r="A200" s="405"/>
      <c r="B200" s="378">
        <v>1172.2739975944601</v>
      </c>
      <c r="C200" s="378">
        <v>-798.46439000001203</v>
      </c>
      <c r="D200" s="379">
        <v>-1970.7383875944799</v>
      </c>
      <c r="E200" s="380">
        <v>-0.68112437163799999</v>
      </c>
      <c r="F200" s="378">
        <v>2435.9172984188999</v>
      </c>
      <c r="G200" s="379">
        <v>608.97932460472396</v>
      </c>
      <c r="H200" s="381">
        <v>297.388679999999</v>
      </c>
      <c r="I200" s="378">
        <v>2036.80313</v>
      </c>
      <c r="J200" s="379">
        <v>1427.82380539527</v>
      </c>
      <c r="K200" s="382">
        <v>0.83615446686999995</v>
      </c>
    </row>
    <row r="201" spans="1:11" ht="14.4" customHeight="1" thickBot="1" x14ac:dyDescent="0.35">
      <c r="A201" s="406" t="s">
        <v>52</v>
      </c>
      <c r="B201" s="392">
        <v>1172.2739975944601</v>
      </c>
      <c r="C201" s="392">
        <v>-798.46439000001203</v>
      </c>
      <c r="D201" s="393">
        <v>-1970.7383875944799</v>
      </c>
      <c r="E201" s="394" t="s">
        <v>245</v>
      </c>
      <c r="F201" s="392">
        <v>2435.9172984188999</v>
      </c>
      <c r="G201" s="393">
        <v>608.97932460472396</v>
      </c>
      <c r="H201" s="392">
        <v>297.388679999999</v>
      </c>
      <c r="I201" s="392">
        <v>2036.80313</v>
      </c>
      <c r="J201" s="393">
        <v>1427.82380539527</v>
      </c>
      <c r="K201" s="395">
        <v>0.83615446686999995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39" t="s">
        <v>115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03" t="s">
        <v>227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82"/>
      <c r="C3" s="281">
        <v>2015</v>
      </c>
      <c r="D3" s="248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52" t="s">
        <v>0</v>
      </c>
      <c r="B4" s="253" t="s">
        <v>174</v>
      </c>
      <c r="C4" s="337" t="s">
        <v>59</v>
      </c>
      <c r="D4" s="338"/>
      <c r="E4" s="254"/>
      <c r="F4" s="249" t="s">
        <v>59</v>
      </c>
      <c r="G4" s="250" t="s">
        <v>60</v>
      </c>
      <c r="H4" s="250" t="s">
        <v>54</v>
      </c>
      <c r="I4" s="251" t="s">
        <v>61</v>
      </c>
    </row>
    <row r="5" spans="1:10" ht="14.4" customHeight="1" x14ac:dyDescent="0.3">
      <c r="A5" s="407" t="s">
        <v>420</v>
      </c>
      <c r="B5" s="408" t="s">
        <v>421</v>
      </c>
      <c r="C5" s="409" t="s">
        <v>422</v>
      </c>
      <c r="D5" s="409" t="s">
        <v>422</v>
      </c>
      <c r="E5" s="409"/>
      <c r="F5" s="409" t="s">
        <v>422</v>
      </c>
      <c r="G5" s="409" t="s">
        <v>422</v>
      </c>
      <c r="H5" s="409" t="s">
        <v>422</v>
      </c>
      <c r="I5" s="410" t="s">
        <v>422</v>
      </c>
      <c r="J5" s="411" t="s">
        <v>55</v>
      </c>
    </row>
    <row r="6" spans="1:10" ht="14.4" customHeight="1" x14ac:dyDescent="0.3">
      <c r="A6" s="407" t="s">
        <v>420</v>
      </c>
      <c r="B6" s="408" t="s">
        <v>236</v>
      </c>
      <c r="C6" s="409">
        <v>0</v>
      </c>
      <c r="D6" s="409">
        <v>0</v>
      </c>
      <c r="E6" s="409"/>
      <c r="F6" s="409">
        <v>2.72559</v>
      </c>
      <c r="G6" s="409">
        <v>2.5</v>
      </c>
      <c r="H6" s="409">
        <v>0.22558999999999996</v>
      </c>
      <c r="I6" s="410">
        <v>1.090236</v>
      </c>
      <c r="J6" s="411" t="s">
        <v>1</v>
      </c>
    </row>
    <row r="7" spans="1:10" ht="14.4" customHeight="1" x14ac:dyDescent="0.3">
      <c r="A7" s="407" t="s">
        <v>420</v>
      </c>
      <c r="B7" s="408" t="s">
        <v>423</v>
      </c>
      <c r="C7" s="409">
        <v>0</v>
      </c>
      <c r="D7" s="409" t="s">
        <v>422</v>
      </c>
      <c r="E7" s="409"/>
      <c r="F7" s="409" t="s">
        <v>422</v>
      </c>
      <c r="G7" s="409" t="s">
        <v>422</v>
      </c>
      <c r="H7" s="409" t="s">
        <v>422</v>
      </c>
      <c r="I7" s="410" t="s">
        <v>422</v>
      </c>
      <c r="J7" s="411" t="s">
        <v>1</v>
      </c>
    </row>
    <row r="8" spans="1:10" ht="14.4" customHeight="1" x14ac:dyDescent="0.3">
      <c r="A8" s="407" t="s">
        <v>420</v>
      </c>
      <c r="B8" s="408" t="s">
        <v>424</v>
      </c>
      <c r="C8" s="409">
        <v>0</v>
      </c>
      <c r="D8" s="409">
        <v>0</v>
      </c>
      <c r="E8" s="409"/>
      <c r="F8" s="409">
        <v>2.72559</v>
      </c>
      <c r="G8" s="409">
        <v>2.5</v>
      </c>
      <c r="H8" s="409">
        <v>0.22558999999999996</v>
      </c>
      <c r="I8" s="410">
        <v>1.090236</v>
      </c>
      <c r="J8" s="411" t="s">
        <v>425</v>
      </c>
    </row>
    <row r="10" spans="1:10" ht="14.4" customHeight="1" x14ac:dyDescent="0.3">
      <c r="A10" s="407" t="s">
        <v>420</v>
      </c>
      <c r="B10" s="408" t="s">
        <v>421</v>
      </c>
      <c r="C10" s="409" t="s">
        <v>422</v>
      </c>
      <c r="D10" s="409" t="s">
        <v>422</v>
      </c>
      <c r="E10" s="409"/>
      <c r="F10" s="409" t="s">
        <v>422</v>
      </c>
      <c r="G10" s="409" t="s">
        <v>422</v>
      </c>
      <c r="H10" s="409" t="s">
        <v>422</v>
      </c>
      <c r="I10" s="410" t="s">
        <v>422</v>
      </c>
      <c r="J10" s="411" t="s">
        <v>55</v>
      </c>
    </row>
    <row r="11" spans="1:10" ht="14.4" customHeight="1" x14ac:dyDescent="0.3">
      <c r="A11" s="407" t="s">
        <v>426</v>
      </c>
      <c r="B11" s="408" t="s">
        <v>427</v>
      </c>
      <c r="C11" s="409" t="s">
        <v>422</v>
      </c>
      <c r="D11" s="409" t="s">
        <v>422</v>
      </c>
      <c r="E11" s="409"/>
      <c r="F11" s="409" t="s">
        <v>422</v>
      </c>
      <c r="G11" s="409" t="s">
        <v>422</v>
      </c>
      <c r="H11" s="409" t="s">
        <v>422</v>
      </c>
      <c r="I11" s="410" t="s">
        <v>422</v>
      </c>
      <c r="J11" s="411" t="s">
        <v>0</v>
      </c>
    </row>
    <row r="12" spans="1:10" ht="14.4" customHeight="1" x14ac:dyDescent="0.3">
      <c r="A12" s="407" t="s">
        <v>426</v>
      </c>
      <c r="B12" s="408" t="s">
        <v>236</v>
      </c>
      <c r="C12" s="409">
        <v>0</v>
      </c>
      <c r="D12" s="409">
        <v>0</v>
      </c>
      <c r="E12" s="409"/>
      <c r="F12" s="409">
        <v>2.72559</v>
      </c>
      <c r="G12" s="409">
        <v>2.5</v>
      </c>
      <c r="H12" s="409">
        <v>0.22558999999999996</v>
      </c>
      <c r="I12" s="410">
        <v>1.090236</v>
      </c>
      <c r="J12" s="411" t="s">
        <v>1</v>
      </c>
    </row>
    <row r="13" spans="1:10" ht="14.4" customHeight="1" x14ac:dyDescent="0.3">
      <c r="A13" s="407" t="s">
        <v>426</v>
      </c>
      <c r="B13" s="408" t="s">
        <v>423</v>
      </c>
      <c r="C13" s="409">
        <v>0</v>
      </c>
      <c r="D13" s="409" t="s">
        <v>422</v>
      </c>
      <c r="E13" s="409"/>
      <c r="F13" s="409" t="s">
        <v>422</v>
      </c>
      <c r="G13" s="409" t="s">
        <v>422</v>
      </c>
      <c r="H13" s="409" t="s">
        <v>422</v>
      </c>
      <c r="I13" s="410" t="s">
        <v>422</v>
      </c>
      <c r="J13" s="411" t="s">
        <v>1</v>
      </c>
    </row>
    <row r="14" spans="1:10" ht="14.4" customHeight="1" x14ac:dyDescent="0.3">
      <c r="A14" s="407" t="s">
        <v>426</v>
      </c>
      <c r="B14" s="408" t="s">
        <v>428</v>
      </c>
      <c r="C14" s="409">
        <v>0</v>
      </c>
      <c r="D14" s="409">
        <v>0</v>
      </c>
      <c r="E14" s="409"/>
      <c r="F14" s="409">
        <v>2.72559</v>
      </c>
      <c r="G14" s="409">
        <v>2.5</v>
      </c>
      <c r="H14" s="409">
        <v>0.22558999999999996</v>
      </c>
      <c r="I14" s="410">
        <v>1.090236</v>
      </c>
      <c r="J14" s="411" t="s">
        <v>429</v>
      </c>
    </row>
    <row r="15" spans="1:10" ht="14.4" customHeight="1" x14ac:dyDescent="0.3">
      <c r="A15" s="407" t="s">
        <v>422</v>
      </c>
      <c r="B15" s="408" t="s">
        <v>422</v>
      </c>
      <c r="C15" s="409" t="s">
        <v>422</v>
      </c>
      <c r="D15" s="409" t="s">
        <v>422</v>
      </c>
      <c r="E15" s="409"/>
      <c r="F15" s="409" t="s">
        <v>422</v>
      </c>
      <c r="G15" s="409" t="s">
        <v>422</v>
      </c>
      <c r="H15" s="409" t="s">
        <v>422</v>
      </c>
      <c r="I15" s="410" t="s">
        <v>422</v>
      </c>
      <c r="J15" s="411" t="s">
        <v>430</v>
      </c>
    </row>
    <row r="16" spans="1:10" ht="14.4" customHeight="1" x14ac:dyDescent="0.3">
      <c r="A16" s="407" t="s">
        <v>420</v>
      </c>
      <c r="B16" s="408" t="s">
        <v>424</v>
      </c>
      <c r="C16" s="409">
        <v>0</v>
      </c>
      <c r="D16" s="409">
        <v>0</v>
      </c>
      <c r="E16" s="409"/>
      <c r="F16" s="409">
        <v>2.72559</v>
      </c>
      <c r="G16" s="409">
        <v>2.5</v>
      </c>
      <c r="H16" s="409">
        <v>0.22558999999999996</v>
      </c>
      <c r="I16" s="410">
        <v>1.090236</v>
      </c>
      <c r="J16" s="411" t="s">
        <v>425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46" t="s">
        <v>131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03" t="s">
        <v>227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74">
        <f>IF(M3&lt;&gt;0,N3/M3,0)</f>
        <v>109.02320491078167</v>
      </c>
      <c r="M3" s="74">
        <f>SUBTOTAL(9,M5:M1048576)</f>
        <v>25</v>
      </c>
      <c r="N3" s="75">
        <f>SUBTOTAL(9,N5:N1048576)</f>
        <v>2725.580122769542</v>
      </c>
    </row>
    <row r="4" spans="1:14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8</v>
      </c>
      <c r="H4" s="413" t="s">
        <v>9</v>
      </c>
      <c r="I4" s="413" t="s">
        <v>10</v>
      </c>
      <c r="J4" s="414" t="s">
        <v>11</v>
      </c>
      <c r="K4" s="414" t="s">
        <v>12</v>
      </c>
      <c r="L4" s="415" t="s">
        <v>119</v>
      </c>
      <c r="M4" s="415" t="s">
        <v>13</v>
      </c>
      <c r="N4" s="416" t="s">
        <v>127</v>
      </c>
    </row>
    <row r="5" spans="1:14" ht="14.4" customHeight="1" x14ac:dyDescent="0.3">
      <c r="A5" s="417" t="s">
        <v>420</v>
      </c>
      <c r="B5" s="418" t="s">
        <v>480</v>
      </c>
      <c r="C5" s="419" t="s">
        <v>426</v>
      </c>
      <c r="D5" s="420" t="s">
        <v>427</v>
      </c>
      <c r="E5" s="419" t="s">
        <v>431</v>
      </c>
      <c r="F5" s="420" t="s">
        <v>481</v>
      </c>
      <c r="G5" s="419" t="s">
        <v>432</v>
      </c>
      <c r="H5" s="419" t="s">
        <v>433</v>
      </c>
      <c r="I5" s="419" t="s">
        <v>434</v>
      </c>
      <c r="J5" s="419" t="s">
        <v>435</v>
      </c>
      <c r="K5" s="419" t="s">
        <v>436</v>
      </c>
      <c r="L5" s="421">
        <v>69.681327518312628</v>
      </c>
      <c r="M5" s="421">
        <v>1</v>
      </c>
      <c r="N5" s="422">
        <v>69.681327518312628</v>
      </c>
    </row>
    <row r="6" spans="1:14" ht="14.4" customHeight="1" x14ac:dyDescent="0.3">
      <c r="A6" s="423" t="s">
        <v>420</v>
      </c>
      <c r="B6" s="424" t="s">
        <v>480</v>
      </c>
      <c r="C6" s="425" t="s">
        <v>426</v>
      </c>
      <c r="D6" s="426" t="s">
        <v>427</v>
      </c>
      <c r="E6" s="425" t="s">
        <v>431</v>
      </c>
      <c r="F6" s="426" t="s">
        <v>481</v>
      </c>
      <c r="G6" s="425" t="s">
        <v>432</v>
      </c>
      <c r="H6" s="425" t="s">
        <v>437</v>
      </c>
      <c r="I6" s="425" t="s">
        <v>438</v>
      </c>
      <c r="J6" s="425" t="s">
        <v>439</v>
      </c>
      <c r="K6" s="425" t="s">
        <v>440</v>
      </c>
      <c r="L6" s="427">
        <v>44.9</v>
      </c>
      <c r="M6" s="427">
        <v>2</v>
      </c>
      <c r="N6" s="428">
        <v>89.8</v>
      </c>
    </row>
    <row r="7" spans="1:14" ht="14.4" customHeight="1" x14ac:dyDescent="0.3">
      <c r="A7" s="423" t="s">
        <v>420</v>
      </c>
      <c r="B7" s="424" t="s">
        <v>480</v>
      </c>
      <c r="C7" s="425" t="s">
        <v>426</v>
      </c>
      <c r="D7" s="426" t="s">
        <v>427</v>
      </c>
      <c r="E7" s="425" t="s">
        <v>431</v>
      </c>
      <c r="F7" s="426" t="s">
        <v>481</v>
      </c>
      <c r="G7" s="425" t="s">
        <v>432</v>
      </c>
      <c r="H7" s="425" t="s">
        <v>441</v>
      </c>
      <c r="I7" s="425" t="s">
        <v>442</v>
      </c>
      <c r="J7" s="425" t="s">
        <v>443</v>
      </c>
      <c r="K7" s="425" t="s">
        <v>444</v>
      </c>
      <c r="L7" s="427">
        <v>74.870000000000033</v>
      </c>
      <c r="M7" s="427">
        <v>1</v>
      </c>
      <c r="N7" s="428">
        <v>74.870000000000033</v>
      </c>
    </row>
    <row r="8" spans="1:14" ht="14.4" customHeight="1" x14ac:dyDescent="0.3">
      <c r="A8" s="423" t="s">
        <v>420</v>
      </c>
      <c r="B8" s="424" t="s">
        <v>480</v>
      </c>
      <c r="C8" s="425" t="s">
        <v>426</v>
      </c>
      <c r="D8" s="426" t="s">
        <v>427</v>
      </c>
      <c r="E8" s="425" t="s">
        <v>431</v>
      </c>
      <c r="F8" s="426" t="s">
        <v>481</v>
      </c>
      <c r="G8" s="425" t="s">
        <v>432</v>
      </c>
      <c r="H8" s="425" t="s">
        <v>445</v>
      </c>
      <c r="I8" s="425" t="s">
        <v>446</v>
      </c>
      <c r="J8" s="425" t="s">
        <v>447</v>
      </c>
      <c r="K8" s="425" t="s">
        <v>448</v>
      </c>
      <c r="L8" s="427">
        <v>37.399999999999984</v>
      </c>
      <c r="M8" s="427">
        <v>2</v>
      </c>
      <c r="N8" s="428">
        <v>74.799999999999969</v>
      </c>
    </row>
    <row r="9" spans="1:14" ht="14.4" customHeight="1" x14ac:dyDescent="0.3">
      <c r="A9" s="423" t="s">
        <v>420</v>
      </c>
      <c r="B9" s="424" t="s">
        <v>480</v>
      </c>
      <c r="C9" s="425" t="s">
        <v>426</v>
      </c>
      <c r="D9" s="426" t="s">
        <v>427</v>
      </c>
      <c r="E9" s="425" t="s">
        <v>431</v>
      </c>
      <c r="F9" s="426" t="s">
        <v>481</v>
      </c>
      <c r="G9" s="425" t="s">
        <v>432</v>
      </c>
      <c r="H9" s="425" t="s">
        <v>449</v>
      </c>
      <c r="I9" s="425" t="s">
        <v>450</v>
      </c>
      <c r="J9" s="425" t="s">
        <v>451</v>
      </c>
      <c r="K9" s="425" t="s">
        <v>452</v>
      </c>
      <c r="L9" s="427">
        <v>18.670000000000009</v>
      </c>
      <c r="M9" s="427">
        <v>2</v>
      </c>
      <c r="N9" s="428">
        <v>37.340000000000018</v>
      </c>
    </row>
    <row r="10" spans="1:14" ht="14.4" customHeight="1" x14ac:dyDescent="0.3">
      <c r="A10" s="423" t="s">
        <v>420</v>
      </c>
      <c r="B10" s="424" t="s">
        <v>480</v>
      </c>
      <c r="C10" s="425" t="s">
        <v>426</v>
      </c>
      <c r="D10" s="426" t="s">
        <v>427</v>
      </c>
      <c r="E10" s="425" t="s">
        <v>431</v>
      </c>
      <c r="F10" s="426" t="s">
        <v>481</v>
      </c>
      <c r="G10" s="425" t="s">
        <v>432</v>
      </c>
      <c r="H10" s="425" t="s">
        <v>453</v>
      </c>
      <c r="I10" s="425" t="s">
        <v>454</v>
      </c>
      <c r="J10" s="425" t="s">
        <v>455</v>
      </c>
      <c r="K10" s="425" t="s">
        <v>456</v>
      </c>
      <c r="L10" s="427">
        <v>74.86999999999999</v>
      </c>
      <c r="M10" s="427">
        <v>2</v>
      </c>
      <c r="N10" s="428">
        <v>149.73999999999998</v>
      </c>
    </row>
    <row r="11" spans="1:14" ht="14.4" customHeight="1" x14ac:dyDescent="0.3">
      <c r="A11" s="423" t="s">
        <v>420</v>
      </c>
      <c r="B11" s="424" t="s">
        <v>480</v>
      </c>
      <c r="C11" s="425" t="s">
        <v>426</v>
      </c>
      <c r="D11" s="426" t="s">
        <v>427</v>
      </c>
      <c r="E11" s="425" t="s">
        <v>431</v>
      </c>
      <c r="F11" s="426" t="s">
        <v>481</v>
      </c>
      <c r="G11" s="425" t="s">
        <v>432</v>
      </c>
      <c r="H11" s="425" t="s">
        <v>457</v>
      </c>
      <c r="I11" s="425" t="s">
        <v>458</v>
      </c>
      <c r="J11" s="425" t="s">
        <v>459</v>
      </c>
      <c r="K11" s="425"/>
      <c r="L11" s="427">
        <v>75.166025878763236</v>
      </c>
      <c r="M11" s="427">
        <v>5</v>
      </c>
      <c r="N11" s="428">
        <v>375.83012939381621</v>
      </c>
    </row>
    <row r="12" spans="1:14" ht="14.4" customHeight="1" x14ac:dyDescent="0.3">
      <c r="A12" s="423" t="s">
        <v>420</v>
      </c>
      <c r="B12" s="424" t="s">
        <v>480</v>
      </c>
      <c r="C12" s="425" t="s">
        <v>426</v>
      </c>
      <c r="D12" s="426" t="s">
        <v>427</v>
      </c>
      <c r="E12" s="425" t="s">
        <v>431</v>
      </c>
      <c r="F12" s="426" t="s">
        <v>481</v>
      </c>
      <c r="G12" s="425" t="s">
        <v>432</v>
      </c>
      <c r="H12" s="425" t="s">
        <v>460</v>
      </c>
      <c r="I12" s="425" t="s">
        <v>461</v>
      </c>
      <c r="J12" s="425" t="s">
        <v>462</v>
      </c>
      <c r="K12" s="425" t="s">
        <v>463</v>
      </c>
      <c r="L12" s="427">
        <v>26.769999999999992</v>
      </c>
      <c r="M12" s="427">
        <v>2</v>
      </c>
      <c r="N12" s="428">
        <v>53.539999999999985</v>
      </c>
    </row>
    <row r="13" spans="1:14" ht="14.4" customHeight="1" x14ac:dyDescent="0.3">
      <c r="A13" s="423" t="s">
        <v>420</v>
      </c>
      <c r="B13" s="424" t="s">
        <v>480</v>
      </c>
      <c r="C13" s="425" t="s">
        <v>426</v>
      </c>
      <c r="D13" s="426" t="s">
        <v>427</v>
      </c>
      <c r="E13" s="425" t="s">
        <v>431</v>
      </c>
      <c r="F13" s="426" t="s">
        <v>481</v>
      </c>
      <c r="G13" s="425" t="s">
        <v>432</v>
      </c>
      <c r="H13" s="425" t="s">
        <v>464</v>
      </c>
      <c r="I13" s="425" t="s">
        <v>465</v>
      </c>
      <c r="J13" s="425" t="s">
        <v>466</v>
      </c>
      <c r="K13" s="425" t="s">
        <v>467</v>
      </c>
      <c r="L13" s="427">
        <v>292.33</v>
      </c>
      <c r="M13" s="427">
        <v>1</v>
      </c>
      <c r="N13" s="428">
        <v>292.33</v>
      </c>
    </row>
    <row r="14" spans="1:14" ht="14.4" customHeight="1" x14ac:dyDescent="0.3">
      <c r="A14" s="423" t="s">
        <v>420</v>
      </c>
      <c r="B14" s="424" t="s">
        <v>480</v>
      </c>
      <c r="C14" s="425" t="s">
        <v>426</v>
      </c>
      <c r="D14" s="426" t="s">
        <v>427</v>
      </c>
      <c r="E14" s="425" t="s">
        <v>431</v>
      </c>
      <c r="F14" s="426" t="s">
        <v>481</v>
      </c>
      <c r="G14" s="425" t="s">
        <v>432</v>
      </c>
      <c r="H14" s="425" t="s">
        <v>468</v>
      </c>
      <c r="I14" s="425" t="s">
        <v>458</v>
      </c>
      <c r="J14" s="425" t="s">
        <v>469</v>
      </c>
      <c r="K14" s="425" t="s">
        <v>470</v>
      </c>
      <c r="L14" s="427">
        <v>344.84933292870647</v>
      </c>
      <c r="M14" s="427">
        <v>2</v>
      </c>
      <c r="N14" s="428">
        <v>689.69866585741295</v>
      </c>
    </row>
    <row r="15" spans="1:14" ht="14.4" customHeight="1" x14ac:dyDescent="0.3">
      <c r="A15" s="423" t="s">
        <v>420</v>
      </c>
      <c r="B15" s="424" t="s">
        <v>480</v>
      </c>
      <c r="C15" s="425" t="s">
        <v>426</v>
      </c>
      <c r="D15" s="426" t="s">
        <v>427</v>
      </c>
      <c r="E15" s="425" t="s">
        <v>431</v>
      </c>
      <c r="F15" s="426" t="s">
        <v>481</v>
      </c>
      <c r="G15" s="425" t="s">
        <v>432</v>
      </c>
      <c r="H15" s="425" t="s">
        <v>471</v>
      </c>
      <c r="I15" s="425" t="s">
        <v>471</v>
      </c>
      <c r="J15" s="425" t="s">
        <v>472</v>
      </c>
      <c r="K15" s="425" t="s">
        <v>473</v>
      </c>
      <c r="L15" s="427">
        <v>82.39</v>
      </c>
      <c r="M15" s="427">
        <v>2</v>
      </c>
      <c r="N15" s="428">
        <v>164.78</v>
      </c>
    </row>
    <row r="16" spans="1:14" ht="14.4" customHeight="1" x14ac:dyDescent="0.3">
      <c r="A16" s="423" t="s">
        <v>420</v>
      </c>
      <c r="B16" s="424" t="s">
        <v>480</v>
      </c>
      <c r="C16" s="425" t="s">
        <v>426</v>
      </c>
      <c r="D16" s="426" t="s">
        <v>427</v>
      </c>
      <c r="E16" s="425" t="s">
        <v>431</v>
      </c>
      <c r="F16" s="426" t="s">
        <v>481</v>
      </c>
      <c r="G16" s="425" t="s">
        <v>432</v>
      </c>
      <c r="H16" s="425" t="s">
        <v>474</v>
      </c>
      <c r="I16" s="425" t="s">
        <v>458</v>
      </c>
      <c r="J16" s="425" t="s">
        <v>475</v>
      </c>
      <c r="K16" s="425" t="s">
        <v>476</v>
      </c>
      <c r="L16" s="427">
        <v>115.43</v>
      </c>
      <c r="M16" s="427">
        <v>2</v>
      </c>
      <c r="N16" s="428">
        <v>230.86</v>
      </c>
    </row>
    <row r="17" spans="1:14" ht="14.4" customHeight="1" thickBot="1" x14ac:dyDescent="0.35">
      <c r="A17" s="429" t="s">
        <v>420</v>
      </c>
      <c r="B17" s="430" t="s">
        <v>480</v>
      </c>
      <c r="C17" s="431" t="s">
        <v>426</v>
      </c>
      <c r="D17" s="432" t="s">
        <v>427</v>
      </c>
      <c r="E17" s="431" t="s">
        <v>431</v>
      </c>
      <c r="F17" s="432" t="s">
        <v>481</v>
      </c>
      <c r="G17" s="431" t="s">
        <v>432</v>
      </c>
      <c r="H17" s="431" t="s">
        <v>477</v>
      </c>
      <c r="I17" s="431" t="s">
        <v>477</v>
      </c>
      <c r="J17" s="431" t="s">
        <v>478</v>
      </c>
      <c r="K17" s="431" t="s">
        <v>479</v>
      </c>
      <c r="L17" s="433">
        <v>422.31</v>
      </c>
      <c r="M17" s="433">
        <v>1</v>
      </c>
      <c r="N17" s="434">
        <v>422.31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47" t="s">
        <v>175</v>
      </c>
      <c r="B1" s="347"/>
      <c r="C1" s="347"/>
      <c r="D1" s="347"/>
      <c r="E1" s="347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03" t="s">
        <v>227</v>
      </c>
      <c r="B2" s="187"/>
      <c r="C2" s="187"/>
      <c r="D2" s="187"/>
      <c r="E2" s="187"/>
    </row>
    <row r="3" spans="1:17" ht="14.4" customHeight="1" thickBot="1" x14ac:dyDescent="0.35">
      <c r="A3" s="256" t="s">
        <v>3</v>
      </c>
      <c r="B3" s="260">
        <f>SUM(B6:B1048576)</f>
        <v>16</v>
      </c>
      <c r="C3" s="261">
        <f>SUM(C6:C1048576)</f>
        <v>0</v>
      </c>
      <c r="D3" s="261">
        <f>SUM(D6:D1048576)</f>
        <v>0</v>
      </c>
      <c r="E3" s="262">
        <f>SUM(E6:E1048576)</f>
        <v>0</v>
      </c>
      <c r="F3" s="259">
        <f>IF(SUM($B3:$E3)=0,"",B3/SUM($B3:$E3))</f>
        <v>1</v>
      </c>
      <c r="G3" s="257">
        <f t="shared" ref="G3:I3" si="0">IF(SUM($B3:$E3)=0,"",C3/SUM($B3:$E3))</f>
        <v>0</v>
      </c>
      <c r="H3" s="257">
        <f t="shared" si="0"/>
        <v>0</v>
      </c>
      <c r="I3" s="258">
        <f t="shared" si="0"/>
        <v>0</v>
      </c>
      <c r="J3" s="261">
        <f>SUM(J6:J1048576)</f>
        <v>3</v>
      </c>
      <c r="K3" s="261">
        <f>SUM(K6:K1048576)</f>
        <v>0</v>
      </c>
      <c r="L3" s="261">
        <f>SUM(L6:L1048576)</f>
        <v>0</v>
      </c>
      <c r="M3" s="262">
        <f>SUM(M6:M1048576)</f>
        <v>0</v>
      </c>
      <c r="N3" s="259">
        <f>IF(SUM($J3:$M3)=0,"",J3/SUM($J3:$M3))</f>
        <v>1</v>
      </c>
      <c r="O3" s="257">
        <f t="shared" ref="O3:Q3" si="1">IF(SUM($J3:$M3)=0,"",K3/SUM($J3:$M3))</f>
        <v>0</v>
      </c>
      <c r="P3" s="257">
        <f t="shared" si="1"/>
        <v>0</v>
      </c>
      <c r="Q3" s="258">
        <f t="shared" si="1"/>
        <v>0</v>
      </c>
    </row>
    <row r="4" spans="1:17" ht="14.4" customHeight="1" thickBot="1" x14ac:dyDescent="0.35">
      <c r="A4" s="255"/>
      <c r="B4" s="351" t="s">
        <v>177</v>
      </c>
      <c r="C4" s="352"/>
      <c r="D4" s="352"/>
      <c r="E4" s="353"/>
      <c r="F4" s="348" t="s">
        <v>182</v>
      </c>
      <c r="G4" s="349"/>
      <c r="H4" s="349"/>
      <c r="I4" s="350"/>
      <c r="J4" s="351" t="s">
        <v>183</v>
      </c>
      <c r="K4" s="352"/>
      <c r="L4" s="352"/>
      <c r="M4" s="353"/>
      <c r="N4" s="348" t="s">
        <v>184</v>
      </c>
      <c r="O4" s="349"/>
      <c r="P4" s="349"/>
      <c r="Q4" s="350"/>
    </row>
    <row r="5" spans="1:17" ht="14.4" customHeight="1" thickBot="1" x14ac:dyDescent="0.35">
      <c r="A5" s="435" t="s">
        <v>176</v>
      </c>
      <c r="B5" s="436" t="s">
        <v>178</v>
      </c>
      <c r="C5" s="436" t="s">
        <v>179</v>
      </c>
      <c r="D5" s="436" t="s">
        <v>180</v>
      </c>
      <c r="E5" s="437" t="s">
        <v>181</v>
      </c>
      <c r="F5" s="438" t="s">
        <v>178</v>
      </c>
      <c r="G5" s="439" t="s">
        <v>179</v>
      </c>
      <c r="H5" s="439" t="s">
        <v>180</v>
      </c>
      <c r="I5" s="440" t="s">
        <v>181</v>
      </c>
      <c r="J5" s="436" t="s">
        <v>178</v>
      </c>
      <c r="K5" s="436" t="s">
        <v>179</v>
      </c>
      <c r="L5" s="436" t="s">
        <v>180</v>
      </c>
      <c r="M5" s="437" t="s">
        <v>181</v>
      </c>
      <c r="N5" s="438" t="s">
        <v>178</v>
      </c>
      <c r="O5" s="439" t="s">
        <v>179</v>
      </c>
      <c r="P5" s="439" t="s">
        <v>180</v>
      </c>
      <c r="Q5" s="440" t="s">
        <v>181</v>
      </c>
    </row>
    <row r="6" spans="1:17" ht="14.4" customHeight="1" x14ac:dyDescent="0.3">
      <c r="A6" s="446" t="s">
        <v>482</v>
      </c>
      <c r="B6" s="450"/>
      <c r="C6" s="421"/>
      <c r="D6" s="421"/>
      <c r="E6" s="422"/>
      <c r="F6" s="448"/>
      <c r="G6" s="442"/>
      <c r="H6" s="442"/>
      <c r="I6" s="452"/>
      <c r="J6" s="450"/>
      <c r="K6" s="421"/>
      <c r="L6" s="421"/>
      <c r="M6" s="422"/>
      <c r="N6" s="448"/>
      <c r="O6" s="442"/>
      <c r="P6" s="442"/>
      <c r="Q6" s="443"/>
    </row>
    <row r="7" spans="1:17" ht="14.4" customHeight="1" thickBot="1" x14ac:dyDescent="0.35">
      <c r="A7" s="447" t="s">
        <v>483</v>
      </c>
      <c r="B7" s="451">
        <v>16</v>
      </c>
      <c r="C7" s="433"/>
      <c r="D7" s="433"/>
      <c r="E7" s="434"/>
      <c r="F7" s="449">
        <v>1</v>
      </c>
      <c r="G7" s="444">
        <v>0</v>
      </c>
      <c r="H7" s="444">
        <v>0</v>
      </c>
      <c r="I7" s="453">
        <v>0</v>
      </c>
      <c r="J7" s="451">
        <v>3</v>
      </c>
      <c r="K7" s="433"/>
      <c r="L7" s="433"/>
      <c r="M7" s="434"/>
      <c r="N7" s="449">
        <v>1</v>
      </c>
      <c r="O7" s="444">
        <v>0</v>
      </c>
      <c r="P7" s="444">
        <v>0</v>
      </c>
      <c r="Q7" s="44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2017-04-25T10:19:10Z</dcterms:modified>
</cp:coreProperties>
</file>