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M20" i="419" l="1"/>
  <c r="L20" i="419"/>
  <c r="K20" i="419"/>
  <c r="J20" i="419"/>
  <c r="I20" i="419"/>
  <c r="H20" i="419"/>
  <c r="G20" i="419"/>
  <c r="F20" i="419"/>
  <c r="E20" i="419"/>
  <c r="D20" i="419"/>
  <c r="C20" i="419"/>
  <c r="M19" i="419"/>
  <c r="L19" i="419"/>
  <c r="K19" i="419"/>
  <c r="J19" i="419"/>
  <c r="I19" i="419"/>
  <c r="H19" i="419"/>
  <c r="G19" i="419"/>
  <c r="F19" i="419"/>
  <c r="E19" i="419"/>
  <c r="D19" i="419"/>
  <c r="C19" i="419"/>
  <c r="M17" i="419"/>
  <c r="L17" i="419"/>
  <c r="K17" i="419"/>
  <c r="J17" i="419"/>
  <c r="I17" i="419"/>
  <c r="H17" i="419"/>
  <c r="G17" i="419"/>
  <c r="F17" i="419"/>
  <c r="E17" i="419"/>
  <c r="D17" i="419"/>
  <c r="C17" i="419"/>
  <c r="M16" i="419"/>
  <c r="L16" i="419"/>
  <c r="K16" i="419"/>
  <c r="J16" i="419"/>
  <c r="I16" i="419"/>
  <c r="H16" i="419"/>
  <c r="G16" i="419"/>
  <c r="F16" i="419"/>
  <c r="E16" i="419"/>
  <c r="D16" i="419"/>
  <c r="C16" i="419"/>
  <c r="M14" i="419"/>
  <c r="L14" i="419"/>
  <c r="K14" i="419"/>
  <c r="J14" i="419"/>
  <c r="I14" i="419"/>
  <c r="H14" i="419"/>
  <c r="G14" i="419"/>
  <c r="F14" i="419"/>
  <c r="E14" i="419"/>
  <c r="D14" i="419"/>
  <c r="C14" i="419"/>
  <c r="M13" i="419"/>
  <c r="L13" i="419"/>
  <c r="K13" i="419"/>
  <c r="J13" i="419"/>
  <c r="I13" i="419"/>
  <c r="H13" i="419"/>
  <c r="G13" i="419"/>
  <c r="F13" i="419"/>
  <c r="E13" i="419"/>
  <c r="D13" i="419"/>
  <c r="C13" i="419"/>
  <c r="M12" i="419"/>
  <c r="L12" i="419"/>
  <c r="K12" i="419"/>
  <c r="J12" i="419"/>
  <c r="I12" i="419"/>
  <c r="H12" i="419"/>
  <c r="G12" i="419"/>
  <c r="F12" i="419"/>
  <c r="E12" i="419"/>
  <c r="D12" i="419"/>
  <c r="C12" i="419"/>
  <c r="M11" i="419"/>
  <c r="L11" i="419"/>
  <c r="K11" i="419"/>
  <c r="J11" i="419"/>
  <c r="I11" i="419"/>
  <c r="H11" i="419"/>
  <c r="G11" i="419"/>
  <c r="F11" i="419"/>
  <c r="E11" i="419"/>
  <c r="D11" i="419"/>
  <c r="C11" i="419"/>
  <c r="H18" i="419" l="1"/>
  <c r="C18" i="419"/>
  <c r="F18" i="419"/>
  <c r="D18" i="419"/>
  <c r="I18" i="419"/>
  <c r="M18" i="419"/>
  <c r="E18" i="419"/>
  <c r="G18" i="419"/>
  <c r="J18" i="419"/>
  <c r="K18" i="419"/>
  <c r="L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19" i="414" l="1"/>
  <c r="E19" i="414" s="1"/>
  <c r="D18" i="414"/>
  <c r="A22" i="383" l="1"/>
  <c r="Q3" i="430"/>
  <c r="P3" i="430"/>
  <c r="S3" i="430" s="1"/>
  <c r="M3" i="430"/>
  <c r="L3" i="430"/>
  <c r="I3" i="430"/>
  <c r="H3" i="430"/>
  <c r="R3" i="430" l="1"/>
  <c r="H3" i="344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W3" i="418" l="1"/>
  <c r="AV3" i="418"/>
  <c r="AU3" i="418"/>
  <c r="AT3" i="418"/>
  <c r="AS3" i="418"/>
  <c r="AR3" i="418"/>
  <c r="B25" i="419" l="1"/>
  <c r="B27" i="419" l="1"/>
  <c r="A8" i="414"/>
  <c r="A7" i="414"/>
  <c r="K21" i="419" l="1"/>
  <c r="J21" i="419"/>
  <c r="I21" i="419"/>
  <c r="H21" i="419"/>
  <c r="H22" i="419" s="1"/>
  <c r="G21" i="419"/>
  <c r="I23" i="419" l="1"/>
  <c r="J23" i="419"/>
  <c r="K23" i="419"/>
  <c r="G23" i="419"/>
  <c r="H23" i="419"/>
  <c r="I22" i="419"/>
  <c r="J22" i="419"/>
  <c r="K22" i="419"/>
  <c r="G22" i="419"/>
  <c r="N3" i="418"/>
  <c r="F21" i="419" l="1"/>
  <c r="F22" i="419" s="1"/>
  <c r="E21" i="419"/>
  <c r="C21" i="419"/>
  <c r="C22" i="419" s="1"/>
  <c r="E23" i="419" l="1"/>
  <c r="F23" i="419"/>
  <c r="E22" i="419"/>
  <c r="C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F6" i="419" l="1"/>
  <c r="C6" i="419"/>
  <c r="H6" i="419"/>
  <c r="L6" i="419"/>
  <c r="K6" i="419"/>
  <c r="J6" i="419"/>
  <c r="G6" i="419"/>
  <c r="M6" i="419"/>
  <c r="I6" i="419"/>
  <c r="D6" i="419"/>
  <c r="E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4" i="414"/>
  <c r="D16" i="414"/>
  <c r="D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N3" i="220"/>
  <c r="L3" i="220" s="1"/>
  <c r="C21" i="414"/>
  <c r="D21" i="414"/>
  <c r="Q3" i="345" l="1"/>
  <c r="I12" i="339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F15" i="339"/>
  <c r="J13" i="339"/>
  <c r="B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<sst xmlns="http://schemas.openxmlformats.org/spreadsheetml/2006/main" count="3496" uniqueCount="854">
  <si>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</si>
  <si>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</si>
  <si>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</si>
  <si>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</si>
  <si>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</si>
  <si>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</si>
  <si>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</si>
  <si>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</si>
  <si>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</si>
  <si>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</si>
  <si>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</si>
  <si>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</si>
  <si>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</si>
  <si>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</si>
  <si>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</si>
  <si>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</si>
  <si>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</si>
  <si>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</si>
  <si>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</si>
  <si>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</si>
  <si>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</si>
  <si>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</si>
  <si>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</si>
  <si>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</si>
  <si>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</si>
  <si>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</si>
  <si>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</si>
  <si>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</si>
  <si>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</si>
  <si>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</si>
  <si>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</si>
  <si>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</si>
  <si>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</si>
  <si>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</si>
  <si>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</si>
  <si>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</si>
  <si>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</si>
  <si>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</si>
  <si>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</si>
  <si>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</si>
  <si>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</si>
  <si>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</si>
  <si>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</si>
  <si>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</si>
  <si>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</si>
  <si>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</si>
  <si>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</si>
  <si>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</si>
  <si>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</si>
  <si>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</si>
  <si>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</si>
  <si>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</si>
  <si>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</si>
  <si>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</si>
  <si>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</si>
  <si>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</si>
  <si>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</si>
  <si>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</si>
  <si>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</si>
  <si>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</si>
  <si>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</si>
  <si>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</si>
  <si>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</si>
  <si>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</si>
  <si>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</si>
  <si>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</si>
  <si>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</si>
  <si>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</si>
  <si>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</si>
  <si>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</si>
  <si>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</si>
  <si>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</si>
  <si>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</si>
  <si>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</si>
  <si>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</si>
  <si>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</si>
  <si>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</si>
  <si>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</si>
  <si>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</si>
  <si>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</si>
  <si>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</si>
  <si>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</si>
  <si>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</si>
  <si>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</si>
  <si>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</si>
  <si>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</si>
  <si>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</si>
  <si>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</si>
  <si>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</si>
  <si>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</si>
  <si>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</si>
  <si>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</si>
  <si>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</si>
  <si>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</si>
  <si>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</si>
  <si>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</si>
  <si>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</si>
  <si>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</si>
  <si>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</si>
  <si>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</si>
  <si>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</si>
  <si>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</si>
  <si>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</si>
  <si>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</si>
  <si>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</si>
  <si>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</si>
  <si>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</si>
  <si>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</si>
  <si>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</si>
  <si>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</si>
  <si>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</si>
  <si>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</si>
  <si>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</si>
  <si>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</si>
  <si>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</si>
  <si>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</si>
  <si>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</si>
  <si>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</si>
  <si>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</si>
  <si>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</si>
  <si>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</si>
  <si>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</si>
  <si>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</si>
  <si>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</si>
  <si>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</si>
  <si>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</si>
  <si>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</si>
  <si>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</si>
  <si>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</si>
  <si>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</si>
  <si>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</si>
  <si>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</si>
  <si>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</si>
  <si>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</si>
  <si>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</si>
  <si>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</si>
  <si>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</si>
  <si>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</si>
  <si>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</si>
  <si>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</si>
  <si>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</si>
  <si>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</si>
  <si>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</si>
  <si>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</si>
  <si>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</si>
  <si>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</si>
  <si>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</si>
  <si>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</si>
  <si>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</si>
  <si>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</si>
  <si>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</si>
  <si>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</si>
  <si>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</si>
  <si>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</si>
  <si>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</si>
  <si>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</si>
  <si>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</si>
  <si>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</si>
  <si>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</si>
  <si>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</si>
  <si>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</si>
  <si>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</si>
  <si>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</si>
  <si>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</si>
  <si>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</si>
  <si>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</si>
  <si>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</si>
  <si>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</si>
  <si>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</si>
  <si>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</si>
  <si>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</si>
  <si>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</si>
  <si>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</si>
  <si>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</si>
  <si>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abs. stud. oboru přirodověd. zaměření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</si>
  <si>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</si>
  <si>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</si>
  <si>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</si>
  <si>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</si>
  <si>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</si>
  <si>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</si>
  <si>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</si>
  <si>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</si>
  <si>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</si>
  <si>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</si>
  <si>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</si>
  <si>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</si>
  <si>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</si>
  <si>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</si>
  <si>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</si>
  <si>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</si>
  <si>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specialisti</t>
  </si>
  <si>
    <t>zubní lékaři specialisti</t>
  </si>
  <si>
    <t>kliničtí psychologové spec.</t>
  </si>
  <si>
    <t>kliničtí psychologové spec. a zvl.odb.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</si>
  <si>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</si>
  <si>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</si>
  <si>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</si>
  <si>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</si>
  <si>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</si>
  <si>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</si>
  <si>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</si>
  <si>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</si>
  <si>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</si>
  <si>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</si>
  <si>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</si>
  <si>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</si>
  <si>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</si>
  <si>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</si>
  <si>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</si>
  <si>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</si>
  <si>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</si>
  <si>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</si>
  <si>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</si>
  <si>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</si>
  <si>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</si>
  <si>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</si>
  <si>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</si>
  <si>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</si>
  <si>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</si>
  <si>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</si>
  <si>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</si>
  <si>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</si>
  <si>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</si>
  <si>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</si>
  <si>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</si>
  <si>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</si>
  <si>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</si>
  <si>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</si>
  <si>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</si>
  <si>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</si>
  <si>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</si>
  <si>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</si>
  <si>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</si>
  <si>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</si>
  <si>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</si>
  <si>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</si>
  <si>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</si>
  <si>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</si>
  <si>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</si>
  <si>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</si>
  <si>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</si>
  <si>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</si>
  <si>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</si>
  <si>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</si>
  <si>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</si>
  <si>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</si>
  <si>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</si>
  <si>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</si>
  <si>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</si>
  <si>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</si>
  <si>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</si>
  <si>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</si>
  <si>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</si>
  <si>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</si>
  <si>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</si>
  <si>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</si>
  <si>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</si>
  <si>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</si>
  <si>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</si>
  <si>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</si>
  <si>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</si>
  <si>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</si>
  <si>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</si>
  <si>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</si>
  <si>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</si>
  <si>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</si>
  <si>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</si>
  <si>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</si>
  <si>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</si>
  <si>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</si>
  <si>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</si>
  <si>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</si>
  <si>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</si>
  <si>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</si>
  <si>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</si>
  <si>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</si>
  <si>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</si>
  <si>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</si>
  <si>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</si>
  <si>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</si>
  <si>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</si>
  <si>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</si>
  <si>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</si>
  <si>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</si>
  <si>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</si>
  <si>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</si>
  <si>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</si>
  <si>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</si>
  <si>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</si>
  <si>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</si>
  <si>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</si>
  <si>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</si>
  <si>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</si>
  <si>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</si>
  <si>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</si>
  <si>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</si>
  <si>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</si>
  <si>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</si>
  <si>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</si>
  <si>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</si>
  <si>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</si>
  <si>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</si>
  <si>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</si>
  <si>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</si>
  <si>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</si>
  <si>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</si>
  <si>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</si>
  <si>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</si>
  <si>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</si>
  <si>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</si>
  <si>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</si>
  <si>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</si>
  <si>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</si>
  <si>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</si>
  <si>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</si>
  <si>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</si>
  <si>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</si>
  <si>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</si>
  <si>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</si>
  <si>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</si>
  <si>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</si>
  <si>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</si>
  <si>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</si>
  <si>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</si>
  <si>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</si>
  <si>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</si>
  <si>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</si>
  <si>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</si>
  <si>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</si>
  <si>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</si>
  <si>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</si>
  <si>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</si>
  <si>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</si>
  <si>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</si>
  <si>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54     Jiné provozní náklady</t>
  </si>
  <si>
    <t>549     Ostatní náklady z činnosti</t>
  </si>
  <si>
    <t>54910     Ostatní náklady z činnosti</t>
  </si>
  <si>
    <t>54910005     refundace věcných nákladů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</si>
  <si>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</si>
  <si>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</si>
  <si>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</si>
  <si>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</si>
  <si>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</si>
  <si>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</si>
  <si>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</si>
  <si>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</si>
  <si>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</si>
  <si>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</si>
  <si>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</si>
  <si>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</si>
  <si>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</si>
  <si>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</si>
  <si>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</si>
  <si>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</si>
  <si>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</si>
  <si>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</si>
  <si>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</si>
  <si>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</si>
  <si>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</si>
  <si>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</si>
  <si>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</si>
  <si>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</si>
  <si>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</si>
  <si>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</si>
  <si>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</si>
  <si>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</si>
  <si>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</si>
  <si>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</si>
  <si>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</si>
  <si>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</si>
  <si>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</si>
  <si>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</si>
  <si>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</si>
  <si>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</si>
  <si>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</si>
  <si>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</si>
  <si>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</si>
  <si>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</si>
  <si>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</si>
  <si>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</si>
  <si>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</si>
  <si>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</si>
  <si>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</si>
  <si>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</si>
  <si>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</si>
  <si>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</si>
  <si>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</si>
  <si>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</si>
  <si>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</si>
  <si>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</si>
  <si>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60325423     nájem nebytových prostor (99xx)</t>
  </si>
  <si>
    <t>60325424     nájem DM - použití vybavení FNOL (pitevny)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</si>
  <si>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</si>
  <si>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</si>
  <si>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</si>
  <si>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</si>
  <si>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</si>
  <si>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</si>
  <si>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</si>
  <si>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</si>
  <si>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</si>
  <si>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</si>
  <si>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</si>
  <si>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</si>
  <si>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</si>
  <si>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</si>
  <si>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</si>
  <si>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</si>
  <si>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</si>
  <si>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</si>
  <si>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</si>
  <si>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</si>
  <si>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</si>
  <si>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</si>
  <si>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</si>
  <si>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</si>
  <si>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</si>
  <si>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</si>
  <si>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</si>
  <si>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</si>
  <si>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</si>
  <si>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</si>
  <si>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</si>
  <si>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</si>
  <si>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</si>
  <si>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</si>
  <si>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</si>
  <si>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</si>
  <si>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</si>
  <si>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</si>
  <si>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</si>
  <si>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38</t>
  </si>
  <si>
    <t>SOUD: Ústav soudního lékařství a medicín. práva</t>
  </si>
  <si>
    <t/>
  </si>
  <si>
    <t>50113001 - léky - paušál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</si>
  <si>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</si>
  <si>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</si>
  <si>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</si>
  <si>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</si>
  <si>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</si>
  <si>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</si>
  <si>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</si>
  <si>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</si>
  <si>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</si>
  <si>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O</t>
  </si>
  <si>
    <t>ACYLPYRIN</t>
  </si>
  <si>
    <t>TBL 10X500MG</t>
  </si>
  <si>
    <t>ANACID</t>
  </si>
  <si>
    <t>SUS 12X5ML(SACKY)</t>
  </si>
  <si>
    <t>ANESIA 10MG/ML</t>
  </si>
  <si>
    <t>INJ+INF EML 1X100ML</t>
  </si>
  <si>
    <t>BETADINE</t>
  </si>
  <si>
    <t>UNG 1X20GM</t>
  </si>
  <si>
    <t>BETADINE - zelená</t>
  </si>
  <si>
    <t>LIQ 1X30ML</t>
  </si>
  <si>
    <t>BRINTELLIX 5 MG</t>
  </si>
  <si>
    <t>TBL FLM 28X5MG</t>
  </si>
  <si>
    <t>DZ TRIXO 500 ML</t>
  </si>
  <si>
    <t>ECOLAV Výplach očí 100ml</t>
  </si>
  <si>
    <t>100 ml</t>
  </si>
  <si>
    <t>ENDIARON</t>
  </si>
  <si>
    <t>POR TBL FLM 10X250MG</t>
  </si>
  <si>
    <t>IBALGIN 400 TBL 24</t>
  </si>
  <si>
    <t xml:space="preserve">POR TBL FLM 24X400MG </t>
  </si>
  <si>
    <t>IR OG. OPHTHALMO-SEPTONEX</t>
  </si>
  <si>
    <t>GTT OPH 1X10ML</t>
  </si>
  <si>
    <t>KL ETHANOLUM BENZINO DEN. 4 kg</t>
  </si>
  <si>
    <t>UN 1170</t>
  </si>
  <si>
    <t>KL PRIPRAVEK</t>
  </si>
  <si>
    <t>MORPHIN BIOTIKA 1%</t>
  </si>
  <si>
    <t>INJ 10X1ML/10MG</t>
  </si>
  <si>
    <t>OPRYMEA 0,7 MG</t>
  </si>
  <si>
    <t>POR TBL NOB 30X0.7MG</t>
  </si>
  <si>
    <t>PARALEN 500</t>
  </si>
  <si>
    <t>POR TBL NOB 12X500MG</t>
  </si>
  <si>
    <t>38 - Ústav soudního lékařství a medicínského práva</t>
  </si>
  <si>
    <t>3841 - soudní lékařství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</si>
  <si>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</si>
  <si>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</si>
  <si>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</si>
  <si>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</si>
  <si>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</si>
  <si>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</si>
  <si>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</si>
  <si>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</si>
  <si>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DG659</t>
  </si>
  <si>
    <t>(-)-Delta-9-THC-D3, 0,1mg/ml in EtOH, 1 ml</t>
  </si>
  <si>
    <t>DA885</t>
  </si>
  <si>
    <t>ACETONITRILE LC-MS CHROMASOLV 4x2,5l</t>
  </si>
  <si>
    <t>DF387</t>
  </si>
  <si>
    <t>Amhetamine-D5  1.0 mg/mL in metanol, 1 ml</t>
  </si>
  <si>
    <t>DH759</t>
  </si>
  <si>
    <t>Bactec Lytic/ 10 Anaerobic- plastic</t>
  </si>
  <si>
    <t>DG383</t>
  </si>
  <si>
    <t>Bactec PEDS</t>
  </si>
  <si>
    <t>DG384</t>
  </si>
  <si>
    <t>Bactec- PEDS - PLUS/F - plastic</t>
  </si>
  <si>
    <t>DH758</t>
  </si>
  <si>
    <t>Bactec Plus Aerobic-plastic</t>
  </si>
  <si>
    <t>DF907</t>
  </si>
  <si>
    <t>BUP (buprenorfin)  test na záchyt drog v moči</t>
  </si>
  <si>
    <t>DG111</t>
  </si>
  <si>
    <t>d,l-11-nor-delta-9-THC carboxylic acid-D9</t>
  </si>
  <si>
    <t>DG109</t>
  </si>
  <si>
    <t>d,l-Methamphetamine-D5.HCl, 1mg</t>
  </si>
  <si>
    <t>DC236</t>
  </si>
  <si>
    <t>DIETHYLETER P.A. NESTAB.</t>
  </si>
  <si>
    <t>DC348</t>
  </si>
  <si>
    <t>DICHROMAN DRASELNY P.A.</t>
  </si>
  <si>
    <t>DG770</t>
  </si>
  <si>
    <t>DRI Acetaminophen</t>
  </si>
  <si>
    <t>DG783</t>
  </si>
  <si>
    <t>DRI Acetaminophen Calibrator Kit</t>
  </si>
  <si>
    <t>DG764</t>
  </si>
  <si>
    <t>DRI Amphetamine</t>
  </si>
  <si>
    <t>DG765</t>
  </si>
  <si>
    <t>DRI Benzodiazepines</t>
  </si>
  <si>
    <t>DG766</t>
  </si>
  <si>
    <t>DRI Cannabinoids</t>
  </si>
  <si>
    <t>DG772</t>
  </si>
  <si>
    <t>DRI Low Urine Calibrator</t>
  </si>
  <si>
    <t>DG773</t>
  </si>
  <si>
    <t>DRI Multi-Drug Calibrator 1</t>
  </si>
  <si>
    <t>DG775</t>
  </si>
  <si>
    <t>DRI Multi-Drug Calibrator 3</t>
  </si>
  <si>
    <t>DG776</t>
  </si>
  <si>
    <t>DRI Multi-Drug Calibrator 4</t>
  </si>
  <si>
    <t>DG771</t>
  </si>
  <si>
    <t>DRI Multi-Drug Negative Calibrator</t>
  </si>
  <si>
    <t>DG768</t>
  </si>
  <si>
    <t>DRI Opiates</t>
  </si>
  <si>
    <t>DG784</t>
  </si>
  <si>
    <t>DRI Primary control Set</t>
  </si>
  <si>
    <t>DG779</t>
  </si>
  <si>
    <t>DRI THC Calibrator 100</t>
  </si>
  <si>
    <t>DG777</t>
  </si>
  <si>
    <t>DRI THC Calibrator 20</t>
  </si>
  <si>
    <t>DG778</t>
  </si>
  <si>
    <t>DRI THC Calibrator 50</t>
  </si>
  <si>
    <t>DG785</t>
  </si>
  <si>
    <t>DRI THC Control 40 ng/ml</t>
  </si>
  <si>
    <t>DG786</t>
  </si>
  <si>
    <t>DRI THC Control 60 ng/ml</t>
  </si>
  <si>
    <t>DG800</t>
  </si>
  <si>
    <t>DRI® EtG Calibrator 1000 ng/ml</t>
  </si>
  <si>
    <t>DG799</t>
  </si>
  <si>
    <t>DRI® EtG Calibrator 500 ng/ml</t>
  </si>
  <si>
    <t>DA045</t>
  </si>
  <si>
    <t>ESI-L Low Concentration Tuning Mix 100ml</t>
  </si>
  <si>
    <t>DB310</t>
  </si>
  <si>
    <t>Ethanolum benzino den. 4kg</t>
  </si>
  <si>
    <t>DG226</t>
  </si>
  <si>
    <t>ETHYLESTER KYS.OCTOVE P.A.</t>
  </si>
  <si>
    <t>DF519</t>
  </si>
  <si>
    <t>Etylglukuronid cut off 500 ng/ml</t>
  </si>
  <si>
    <t>DF571</t>
  </si>
  <si>
    <t>Formaldehyd 36-38% p.a., 5 L</t>
  </si>
  <si>
    <t>DG211</t>
  </si>
  <si>
    <t>HEPTAPHAN, DIAG.PROUZKY 50 ks</t>
  </si>
  <si>
    <t>DG163</t>
  </si>
  <si>
    <t>HYDROXID SODNY P.A.</t>
  </si>
  <si>
    <t>DD491</t>
  </si>
  <si>
    <t>CHLORID ZELEZITY HEXAHYDRAT P.A.</t>
  </si>
  <si>
    <t>DB257</t>
  </si>
  <si>
    <t>CHLOROFORM P.A. - stab. methanolem</t>
  </si>
  <si>
    <t>DC332</t>
  </si>
  <si>
    <t>JODID DRASELNY P.A.</t>
  </si>
  <si>
    <t>DG143</t>
  </si>
  <si>
    <t>kyselina SÍROVÁ P.A.</t>
  </si>
  <si>
    <t>DF388</t>
  </si>
  <si>
    <t>MDMA-D5 1.0 mg/mL in metanol, 1ml</t>
  </si>
  <si>
    <t>DG229</t>
  </si>
  <si>
    <t>METHANOL P.A.</t>
  </si>
  <si>
    <t>DF908</t>
  </si>
  <si>
    <t>MTD(methadone) test na záchyt drog v moči</t>
  </si>
  <si>
    <t>DH771</t>
  </si>
  <si>
    <t>Nifedipine 1g</t>
  </si>
  <si>
    <t>DA964</t>
  </si>
  <si>
    <t>Paraffinum solidum pecky</t>
  </si>
  <si>
    <t>DC347</t>
  </si>
  <si>
    <t>PARAFIN UPRAVENY 56-58, 1 kg</t>
  </si>
  <si>
    <t>DG891</t>
  </si>
  <si>
    <t>Sample CUP 2.0 ml/1000 PCS</t>
  </si>
  <si>
    <t>DG179</t>
  </si>
  <si>
    <t>SIRAN AMONNY P.A.</t>
  </si>
  <si>
    <t>DG184</t>
  </si>
  <si>
    <t>SIRAN SODNY BEZV.,P.A.</t>
  </si>
  <si>
    <t>DB557</t>
  </si>
  <si>
    <t>STANDARDNI ROZTOK ETHANOLU</t>
  </si>
  <si>
    <t>DH825</t>
  </si>
  <si>
    <t>Test falšování moče – 25 stripů</t>
  </si>
  <si>
    <t>DH511</t>
  </si>
  <si>
    <t>Tubing maintenance sol., bal 6x20 ml</t>
  </si>
  <si>
    <t>DG190</t>
  </si>
  <si>
    <t>UHLICITAN SOD.BEZV. P.A.</t>
  </si>
  <si>
    <t>DG191</t>
  </si>
  <si>
    <t>UNIV.INDIK.PAPIRKY pH 0-12</t>
  </si>
  <si>
    <t>DH790</t>
  </si>
  <si>
    <t>Wash solution 4,5%, 6x100 ml</t>
  </si>
  <si>
    <t>DG032</t>
  </si>
  <si>
    <t>Zaleplon solution</t>
  </si>
  <si>
    <t>50115040</t>
  </si>
  <si>
    <t>laboratorní materiál (Z505)</t>
  </si>
  <si>
    <t>ZC068</t>
  </si>
  <si>
    <t>Kádinka vysoká 800 ml KAVA632417012800_U</t>
  </si>
  <si>
    <t>ZB426</t>
  </si>
  <si>
    <t>Mikrozkumavka eppendorf 1,5 ml bal. á 500 ks BSA 0220</t>
  </si>
  <si>
    <t>ZH215</t>
  </si>
  <si>
    <t>Nádobka Conwayova KAVA632491221000</t>
  </si>
  <si>
    <t>ZD437</t>
  </si>
  <si>
    <t>Nálevka dělící 250 ml s teflonovým kohoutem GLAS149.202.04</t>
  </si>
  <si>
    <t>ZC080</t>
  </si>
  <si>
    <t>Sklo krycí 24 x 24 mm, á 1000 ks BD2424</t>
  </si>
  <si>
    <t>ZC831</t>
  </si>
  <si>
    <t>Sklo podložní mat. okraj bal. á 50 ks AA00000112E (2501)</t>
  </si>
  <si>
    <t>ZL143</t>
  </si>
  <si>
    <t>Střička s PE lahví šroub.uzáv. a PE tryskou širokohrdlá 250 ml červená 2105.4103</t>
  </si>
  <si>
    <t>ZL142</t>
  </si>
  <si>
    <t>Střička s PE lahví šroub.uzáv. a PE tryskou širokohrdlá 250 ml modrá 2105.4101</t>
  </si>
  <si>
    <t>ZL968</t>
  </si>
  <si>
    <t>Špička Insert 0,1 ml 31 x 6 mm 15 mm bal. á 100 ks 2541.0105</t>
  </si>
  <si>
    <t>ZB605</t>
  </si>
  <si>
    <t>Špička modrá krátká manžeta 1108</t>
  </si>
  <si>
    <t>ZB861</t>
  </si>
  <si>
    <t>Špička pipetovací standard Tips 0,1-10 ul 0030000811</t>
  </si>
  <si>
    <t>ZC716</t>
  </si>
  <si>
    <t>Špička žlutá pipetovací dlouhá manžeta bal. á 1000 ks 1123</t>
  </si>
  <si>
    <t>ZC606</t>
  </si>
  <si>
    <t>Uzávěr PP pro šroub. vial. ND9 otvor 6 mm bal. 100 ks septa Silkon bílý / PTFE červený 2542.0124</t>
  </si>
  <si>
    <t>ZD325</t>
  </si>
  <si>
    <t>Válec odměrný vysoký 25 ml d710272</t>
  </si>
  <si>
    <t>ZL971</t>
  </si>
  <si>
    <t>Vialka ND 9, HPLC/GC certifikovaný kit,1,5 ml čiré sklo+ultraclean uzávěr, septa silikon/červ.PTFE 2540.0130</t>
  </si>
  <si>
    <t>ZN647</t>
  </si>
  <si>
    <t>Zkumavka se šestihrannou zábrusovou zátkou NZ12/21, zátka 032 493 503 040S-68/2015</t>
  </si>
  <si>
    <t>50115050</t>
  </si>
  <si>
    <t>obvazový materiál (Z502)</t>
  </si>
  <si>
    <t>ZA562</t>
  </si>
  <si>
    <t>Náplast cosmopor i. v. 6 x 8 cm bal. á 50 ks 9008054</t>
  </si>
  <si>
    <t>ZN475</t>
  </si>
  <si>
    <t>Obinadlo elastické universal   8 cm x 5 m 1323100312</t>
  </si>
  <si>
    <t>ZN478</t>
  </si>
  <si>
    <t>Obinadlo elastické universal 10 cm x 5 m 1323100313</t>
  </si>
  <si>
    <t>ZN477</t>
  </si>
  <si>
    <t>Obinadlo elastické universal 12 cm x 5 m 1323100314</t>
  </si>
  <si>
    <t>ZA443</t>
  </si>
  <si>
    <t>Šátek trojcípý NT 136 x 96 x 96 cm 20002</t>
  </si>
  <si>
    <t>ZA446</t>
  </si>
  <si>
    <t>Vata buničitá přířezy 20 x 30 cm 1230200129</t>
  </si>
  <si>
    <t>ZA090</t>
  </si>
  <si>
    <t>Vata buničitá přířezy 37 x 57 cm 2730152</t>
  </si>
  <si>
    <t>50115060</t>
  </si>
  <si>
    <t>ZPr - ostatní (Z503)</t>
  </si>
  <si>
    <t>ZC754</t>
  </si>
  <si>
    <t>Čepelka skalpelová 21 BB521</t>
  </si>
  <si>
    <t>ZC757</t>
  </si>
  <si>
    <t>Čepelka skalpelová 24 BB524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</si>
  <si>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</si>
  <si>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</si>
  <si>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</si>
  <si>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</si>
  <si>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ZF174</t>
  </si>
  <si>
    <t>Nádoba na histologický mat. 400 ml 333000041012</t>
  </si>
  <si>
    <t>ZF159</t>
  </si>
  <si>
    <t>Nádoba na kontaminovaný odpad 1 l 15-0002</t>
  </si>
  <si>
    <t>ZF104</t>
  </si>
  <si>
    <t>Nádoba na kontaminovaný odpad 10 l 15-0006</t>
  </si>
  <si>
    <t>ZE159</t>
  </si>
  <si>
    <t>Nádoba na kontaminovaný odpad 2 l 15-0003</t>
  </si>
  <si>
    <t>ZF192</t>
  </si>
  <si>
    <t>Nádoba na kontaminovaný odpad 4 l 15-0004</t>
  </si>
  <si>
    <t>ZK726</t>
  </si>
  <si>
    <t>Nádoba na kontaminovaný odpad PBS 12 l 2041300431302 (I003501400)</t>
  </si>
  <si>
    <t>ZK679</t>
  </si>
  <si>
    <t>Nádoba na kontaminovaný odpad SC 60 l jednoduché víko,zámek 2021800411502(I005430006)</t>
  </si>
  <si>
    <t>ZA751</t>
  </si>
  <si>
    <t>Papír filtrační archy 50 x 50 cm bal. 12,5 kg PPER2R/80G/50X50</t>
  </si>
  <si>
    <t>ZA788</t>
  </si>
  <si>
    <t>Stříkačka injekční 2-dílná 20 ml L Inject Solo 4606205V</t>
  </si>
  <si>
    <t>ZN558</t>
  </si>
  <si>
    <t>Stříkačka mikrolitr 5 ul 5BR-7 5UL SYRINGE SGE*000802</t>
  </si>
  <si>
    <t>ZA796</t>
  </si>
  <si>
    <t>Tampon odběrový 1665</t>
  </si>
  <si>
    <t>ZH615</t>
  </si>
  <si>
    <t>Uzávěr krimplovací Al s otvorem 20 mm á 100 ks (548-3096) LAPH20010408</t>
  </si>
  <si>
    <t>ZF778</t>
  </si>
  <si>
    <t>Válec odměrný vysoký sklo 500 ml KAVA632432151343</t>
  </si>
  <si>
    <t>ZH614</t>
  </si>
  <si>
    <t>Zátka butyl šedá 20 mm á 100 ks (548-3100) LAPH20100290</t>
  </si>
  <si>
    <t>ZI182</t>
  </si>
  <si>
    <t>Zkumavka + aplikátor s chem.stabilizátorem UriSwab žlutá 802CE.A</t>
  </si>
  <si>
    <t>ZC768</t>
  </si>
  <si>
    <t>Zkumavka 10 ml sterilní bal. á 1250 ks 1009/TE/SG/ES</t>
  </si>
  <si>
    <t>ZO932</t>
  </si>
  <si>
    <t>Zkumavka 13 ml PP 101/16,5 mm bílý uzávěr sterilní 60.540.012</t>
  </si>
  <si>
    <t>ZP077</t>
  </si>
  <si>
    <t>Zkumavka 15 ml PP 101/16,5 mm bílý šroubový uzávěr sterilní jednotlivě balená 10362/MO/SG/CS</t>
  </si>
  <si>
    <t>ZB756</t>
  </si>
  <si>
    <t>Zkumavka 3 ml K3 edta fialová 454086</t>
  </si>
  <si>
    <t>ZA817</t>
  </si>
  <si>
    <t>Zkumavka PS 10 ml sterilní modrá zátka bal. á 20 ks 400914</t>
  </si>
  <si>
    <t>Zkumavka PS 10 ml sterilní modrá zátka bal. á 20 ks 400914 - pouze pro Soudní</t>
  </si>
  <si>
    <t>ZI179</t>
  </si>
  <si>
    <t>Zkumavka s mediem+ flovakovaný tampon eSwab růžový nos,krk,vagina,konečník,rány,fekální vzo) 490CE.A</t>
  </si>
  <si>
    <t>ZF709</t>
  </si>
  <si>
    <t>Žiletka mikrotomová á 50 ks JP-BN35</t>
  </si>
  <si>
    <t>50115065</t>
  </si>
  <si>
    <t>ZPr - vpichovací materiál (Z530)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</si>
  <si>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</si>
  <si>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</si>
  <si>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</si>
  <si>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</si>
  <si>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</si>
  <si>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</si>
  <si>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</si>
  <si>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</si>
  <si>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</si>
  <si>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</si>
  <si>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ZN130</t>
  </si>
  <si>
    <t>Rukavice operační gammex latex PF bez pudru 6,0 330048060</t>
  </si>
  <si>
    <t>ZN125</t>
  </si>
  <si>
    <t>Rukavice operační gammex latex PF bez pudru 7,5 330048075</t>
  </si>
  <si>
    <t>ZJ719</t>
  </si>
  <si>
    <t>Rukavice operační gammex PF sensitive vel. 6,0 bal. á 50 párů 330051060</t>
  </si>
  <si>
    <t>ZO933</t>
  </si>
  <si>
    <t>Rukavice operační latexové bez pudru sempermed derma PF vel. 6,0 39471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</si>
  <si>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</si>
  <si>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</si>
  <si>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</si>
  <si>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</si>
  <si>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ZK439</t>
  </si>
  <si>
    <t>Rukavice operační latexové s pudrem sempermed classic vel. 7,5 31283</t>
  </si>
  <si>
    <t>ZK440</t>
  </si>
  <si>
    <t>Rukavice operační latexové s pudrem sempermed classic vel. 8,0 31284</t>
  </si>
  <si>
    <t>ZK442</t>
  </si>
  <si>
    <t>Rukavice operační latexové s pudrem sempermed classic vel. 9,0 bal. á 70 párů 31286</t>
  </si>
  <si>
    <t>Spotřeba zdravotnického materiálu - orientační přehled</t>
  </si>
  <si>
    <t>ON Data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</si>
  <si>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</si>
  <si>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</si>
  <si>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</si>
  <si>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</si>
  <si>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</si>
  <si>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</si>
  <si>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</si>
  <si>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</si>
  <si>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</si>
  <si>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</si>
  <si>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</si>
  <si>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</si>
  <si>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</si>
  <si>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</si>
  <si>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</si>
  <si>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</si>
  <si>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</si>
  <si>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</si>
  <si>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</si>
  <si>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</si>
  <si>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</si>
  <si>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</si>
  <si>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</si>
  <si>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</si>
  <si>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</si>
  <si>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</si>
  <si>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</si>
  <si>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</si>
  <si>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</si>
  <si>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</si>
  <si>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</si>
  <si>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</si>
  <si>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</si>
  <si>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</si>
  <si>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</si>
  <si>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</si>
  <si>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</si>
  <si>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</si>
  <si>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</si>
  <si>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</si>
  <si>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</si>
  <si>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</si>
  <si>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</si>
  <si>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</si>
  <si>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</si>
  <si>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</si>
  <si>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</si>
  <si>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</si>
  <si>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</si>
  <si>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</si>
  <si>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</si>
  <si>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</si>
  <si>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</si>
  <si>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</si>
  <si>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</si>
  <si>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</si>
  <si>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</si>
  <si>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</si>
  <si>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</si>
  <si>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</si>
  <si>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</si>
  <si>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</si>
  <si>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</si>
  <si>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</si>
  <si>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</si>
  <si>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</si>
  <si>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</si>
  <si>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</si>
  <si>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</si>
  <si>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92178</t>
  </si>
  <si>
    <t>92180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</si>
  <si>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</si>
  <si>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</si>
  <si>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</si>
  <si>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</si>
  <si>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</si>
  <si>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</si>
  <si>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</si>
  <si>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</si>
  <si>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</si>
  <si>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</si>
  <si>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</si>
  <si>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</si>
  <si>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</si>
  <si>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</si>
  <si>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</si>
  <si>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</si>
  <si>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</si>
  <si>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</si>
  <si>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</si>
  <si>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</si>
  <si>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</si>
  <si>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</si>
  <si>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</si>
  <si>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</si>
  <si>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</si>
  <si>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</si>
  <si>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</si>
  <si>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</si>
  <si>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</si>
  <si>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</si>
  <si>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</si>
  <si>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</si>
  <si>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</si>
  <si>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16</t>
  </si>
  <si>
    <t>17</t>
  </si>
  <si>
    <t>18</t>
  </si>
  <si>
    <t>20</t>
  </si>
  <si>
    <t>21</t>
  </si>
  <si>
    <t>25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</si>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</sst>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24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1" xfId="0" applyNumberFormat="1" applyFont="1" applyFill="1" applyBorder="1"/>
    <xf numFmtId="3" fontId="53" fillId="8" borderId="62" xfId="0" applyNumberFormat="1" applyFont="1" applyFill="1" applyBorder="1"/>
    <xf numFmtId="3" fontId="53" fillId="8" borderId="61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6" xfId="0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0" fontId="55" fillId="2" borderId="69" xfId="0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/>
    <xf numFmtId="0" fontId="39" fillId="2" borderId="73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1" xfId="0" applyFont="1" applyFill="1" applyBorder="1" applyAlignment="1"/>
    <xf numFmtId="0" fontId="39" fillId="4" borderId="73" xfId="0" applyFont="1" applyFill="1" applyBorder="1" applyAlignment="1">
      <alignment horizontal="left" indent="1"/>
    </xf>
    <xf numFmtId="0" fontId="39" fillId="4" borderId="84" xfId="0" applyFont="1" applyFill="1" applyBorder="1" applyAlignment="1">
      <alignment horizontal="left" indent="1"/>
    </xf>
    <xf numFmtId="0" fontId="32" fillId="2" borderId="73" xfId="0" quotePrefix="1" applyFont="1" applyFill="1" applyBorder="1" applyAlignment="1">
      <alignment horizontal="left" indent="2"/>
    </xf>
    <xf numFmtId="0" fontId="32" fillId="2" borderId="79" xfId="0" quotePrefix="1" applyFont="1" applyFill="1" applyBorder="1" applyAlignment="1">
      <alignment horizontal="left" indent="2"/>
    </xf>
    <xf numFmtId="0" fontId="39" fillId="2" borderId="71" xfId="0" applyFont="1" applyFill="1" applyBorder="1" applyAlignment="1">
      <alignment horizontal="left" indent="1"/>
    </xf>
    <xf numFmtId="0" fontId="39" fillId="2" borderId="84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0" borderId="89" xfId="0" applyFont="1" applyBorder="1"/>
    <xf numFmtId="3" fontId="32" fillId="0" borderId="89" xfId="0" applyNumberFormat="1" applyFont="1" applyBorder="1"/>
    <xf numFmtId="0" fontId="39" fillId="4" borderId="63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8" xfId="0" applyNumberFormat="1" applyFont="1" applyFill="1" applyBorder="1" applyAlignment="1">
      <alignment horizontal="center" vertical="center"/>
    </xf>
    <xf numFmtId="3" fontId="55" fillId="2" borderId="86" xfId="0" applyNumberFormat="1" applyFont="1" applyFill="1" applyBorder="1" applyAlignment="1">
      <alignment horizontal="center" vertical="center" wrapText="1"/>
    </xf>
    <xf numFmtId="173" fontId="39" fillId="4" borderId="72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4" xfId="0" applyNumberFormat="1" applyFont="1" applyBorder="1"/>
    <xf numFmtId="173" fontId="32" fillId="0" borderId="76" xfId="0" applyNumberFormat="1" applyFont="1" applyBorder="1"/>
    <xf numFmtId="173" fontId="32" fillId="0" borderId="77" xfId="0" applyNumberFormat="1" applyFont="1" applyBorder="1"/>
    <xf numFmtId="173" fontId="39" fillId="0" borderId="85" xfId="0" applyNumberFormat="1" applyFont="1" applyBorder="1"/>
    <xf numFmtId="173" fontId="32" fillId="0" borderId="69" xfId="0" applyNumberFormat="1" applyFont="1" applyBorder="1"/>
    <xf numFmtId="173" fontId="32" fillId="0" borderId="70" xfId="0" applyNumberFormat="1" applyFont="1" applyBorder="1"/>
    <xf numFmtId="173" fontId="39" fillId="2" borderId="87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0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4" fontId="39" fillId="2" borderId="72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4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9" fillId="0" borderId="80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2" xfId="0" applyNumberFormat="1" applyFont="1" applyFill="1" applyBorder="1" applyAlignment="1">
      <alignment horizontal="center"/>
    </xf>
    <xf numFmtId="175" fontId="39" fillId="0" borderId="80" xfId="0" applyNumberFormat="1" applyFont="1" applyBorder="1"/>
    <xf numFmtId="0" fontId="31" fillId="2" borderId="92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2" fillId="0" borderId="76" xfId="0" applyNumberFormat="1" applyFont="1" applyBorder="1"/>
    <xf numFmtId="9" fontId="32" fillId="0" borderId="77" xfId="0" applyNumberFormat="1" applyFont="1" applyBorder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3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5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173" fontId="32" fillId="0" borderId="96" xfId="0" applyNumberFormat="1" applyFont="1" applyBorder="1"/>
    <xf numFmtId="173" fontId="32" fillId="0" borderId="97" xfId="0" applyNumberFormat="1" applyFont="1" applyBorder="1"/>
    <xf numFmtId="3" fontId="32" fillId="0" borderId="0" xfId="0" applyNumberFormat="1" applyFont="1" applyBorder="1"/>
    <xf numFmtId="173" fontId="32" fillId="0" borderId="75" xfId="0" applyNumberFormat="1" applyFont="1" applyBorder="1" applyAlignment="1"/>
    <xf numFmtId="173" fontId="32" fillId="0" borderId="76" xfId="0" applyNumberFormat="1" applyFont="1" applyBorder="1" applyAlignment="1"/>
    <xf numFmtId="173" fontId="32" fillId="0" borderId="77" xfId="0" applyNumberFormat="1" applyFont="1" applyBorder="1" applyAlignment="1"/>
    <xf numFmtId="175" fontId="32" fillId="0" borderId="75" xfId="0" applyNumberFormat="1" applyFont="1" applyBorder="1" applyAlignment="1"/>
    <xf numFmtId="175" fontId="32" fillId="0" borderId="76" xfId="0" applyNumberFormat="1" applyFont="1" applyBorder="1" applyAlignment="1"/>
    <xf numFmtId="175" fontId="32" fillId="0" borderId="77" xfId="0" applyNumberFormat="1" applyFont="1" applyBorder="1" applyAlignment="1"/>
    <xf numFmtId="173" fontId="32" fillId="0" borderId="68" xfId="0" applyNumberFormat="1" applyFont="1" applyBorder="1" applyAlignment="1"/>
    <xf numFmtId="173" fontId="32" fillId="0" borderId="69" xfId="0" applyNumberFormat="1" applyFont="1" applyBorder="1" applyAlignment="1"/>
    <xf numFmtId="173" fontId="32" fillId="0" borderId="70" xfId="0" applyNumberFormat="1" applyFont="1" applyBorder="1" applyAlignment="1"/>
    <xf numFmtId="173" fontId="39" fillId="4" borderId="24" xfId="0" applyNumberFormat="1" applyFont="1" applyFill="1" applyBorder="1" applyAlignment="1">
      <alignment horizontal="center"/>
    </xf>
    <xf numFmtId="173" fontId="39" fillId="4" borderId="29" xfId="0" applyNumberFormat="1" applyFont="1" applyFill="1" applyBorder="1" applyAlignment="1">
      <alignment horizontal="center"/>
    </xf>
    <xf numFmtId="173" fontId="39" fillId="4" borderId="25" xfId="0" applyNumberFormat="1" applyFont="1" applyFill="1" applyBorder="1" applyAlignment="1">
      <alignment horizontal="center"/>
    </xf>
    <xf numFmtId="173" fontId="32" fillId="0" borderId="98" xfId="0" applyNumberFormat="1" applyFont="1" applyBorder="1"/>
    <xf numFmtId="9" fontId="32" fillId="0" borderId="73" xfId="0" applyNumberFormat="1" applyFont="1" applyBorder="1"/>
    <xf numFmtId="173" fontId="32" fillId="0" borderId="84" xfId="0" applyNumberFormat="1" applyFont="1" applyBorder="1"/>
    <xf numFmtId="0" fontId="0" fillId="0" borderId="1" xfId="0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173" fontId="39" fillId="0" borderId="18" xfId="0" applyNumberFormat="1" applyFont="1" applyBorder="1"/>
    <xf numFmtId="173" fontId="39" fillId="0" borderId="27" xfId="0" applyNumberFormat="1" applyFont="1" applyBorder="1"/>
    <xf numFmtId="173" fontId="39" fillId="0" borderId="20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0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5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166" fontId="39" fillId="2" borderId="6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3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9" borderId="100" xfId="0" applyNumberFormat="1" applyFont="1" applyFill="1" applyBorder="1" applyAlignment="1">
      <alignment horizontal="right" vertical="top"/>
    </xf>
    <xf numFmtId="3" fontId="33" fillId="9" borderId="101" xfId="0" applyNumberFormat="1" applyFont="1" applyFill="1" applyBorder="1" applyAlignment="1">
      <alignment horizontal="right" vertical="top"/>
    </xf>
    <xf numFmtId="176" fontId="33" fillId="9" borderId="102" xfId="0" applyNumberFormat="1" applyFont="1" applyFill="1" applyBorder="1" applyAlignment="1">
      <alignment horizontal="right" vertical="top"/>
    </xf>
    <xf numFmtId="3" fontId="33" fillId="0" borderId="100" xfId="0" applyNumberFormat="1" applyFont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5" fillId="9" borderId="105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0" fontId="35" fillId="9" borderId="107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0" fontId="33" fillId="9" borderId="102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176" fontId="35" fillId="9" borderId="107" xfId="0" applyNumberFormat="1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0" borderId="111" xfId="0" applyFont="1" applyBorder="1" applyAlignment="1">
      <alignment horizontal="right" vertical="top"/>
    </xf>
    <xf numFmtId="176" fontId="35" fillId="9" borderId="112" xfId="0" applyNumberFormat="1" applyFont="1" applyFill="1" applyBorder="1" applyAlignment="1">
      <alignment horizontal="right" vertical="top"/>
    </xf>
    <xf numFmtId="0" fontId="37" fillId="10" borderId="99" xfId="0" applyFont="1" applyFill="1" applyBorder="1" applyAlignment="1">
      <alignment vertical="top"/>
    </xf>
    <xf numFmtId="0" fontId="37" fillId="10" borderId="99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4"/>
    </xf>
    <xf numFmtId="0" fontId="38" fillId="10" borderId="104" xfId="0" applyFont="1" applyFill="1" applyBorder="1" applyAlignment="1">
      <alignment vertical="top" indent="6"/>
    </xf>
    <xf numFmtId="0" fontId="37" fillId="10" borderId="99" xfId="0" applyFont="1" applyFill="1" applyBorder="1" applyAlignment="1">
      <alignment vertical="top" indent="8"/>
    </xf>
    <xf numFmtId="0" fontId="38" fillId="10" borderId="104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6"/>
    </xf>
    <xf numFmtId="0" fontId="38" fillId="10" borderId="104" xfId="0" applyFont="1" applyFill="1" applyBorder="1" applyAlignment="1">
      <alignment vertical="top" indent="4"/>
    </xf>
    <xf numFmtId="0" fontId="32" fillId="10" borderId="9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3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113" xfId="79" applyFont="1" applyFill="1" applyBorder="1" applyAlignment="1">
      <alignment horizontal="left"/>
    </xf>
    <xf numFmtId="3" fontId="3" fillId="2" borderId="82" xfId="80" applyNumberFormat="1" applyFont="1" applyFill="1" applyBorder="1"/>
    <xf numFmtId="3" fontId="3" fillId="2" borderId="83" xfId="80" applyNumberFormat="1" applyFont="1" applyFill="1" applyBorder="1"/>
    <xf numFmtId="9" fontId="3" fillId="2" borderId="81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92" xfId="0" applyFont="1" applyFill="1" applyBorder="1"/>
    <xf numFmtId="0" fontId="39" fillId="0" borderId="91" xfId="0" applyFont="1" applyFill="1" applyBorder="1" applyAlignment="1">
      <alignment horizontal="left" indent="1"/>
    </xf>
    <xf numFmtId="9" fontId="32" fillId="0" borderId="88" xfId="0" applyNumberFormat="1" applyFont="1" applyFill="1" applyBorder="1"/>
    <xf numFmtId="9" fontId="32" fillId="0" borderId="86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15" xfId="0" applyNumberFormat="1" applyFont="1" applyFill="1" applyBorder="1"/>
    <xf numFmtId="9" fontId="32" fillId="0" borderId="11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68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6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6" xfId="0" applyNumberFormat="1" applyFont="1" applyFill="1" applyBorder="1"/>
    <xf numFmtId="169" fontId="32" fillId="0" borderId="76" xfId="0" applyNumberFormat="1" applyFont="1" applyFill="1" applyBorder="1"/>
    <xf numFmtId="9" fontId="32" fillId="0" borderId="77" xfId="0" applyNumberFormat="1" applyFont="1" applyFill="1" applyBorder="1"/>
    <xf numFmtId="169" fontId="32" fillId="0" borderId="69" xfId="0" applyNumberFormat="1" applyFont="1" applyFill="1" applyBorder="1"/>
    <xf numFmtId="0" fontId="39" fillId="0" borderId="75" xfId="0" applyFont="1" applyFill="1" applyBorder="1"/>
    <xf numFmtId="0" fontId="39" fillId="0" borderId="68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1.2937063363414574</c:v>
                </c:pt>
                <c:pt idx="1">
                  <c:v>1.1269060767130055</c:v>
                </c:pt>
                <c:pt idx="2">
                  <c:v>1.0659044889231322</c:v>
                </c:pt>
                <c:pt idx="3">
                  <c:v>0.98946533703151585</c:v>
                </c:pt>
                <c:pt idx="4">
                  <c:v>0.97144339439257854</c:v>
                </c:pt>
                <c:pt idx="5">
                  <c:v>0.9300058064384098</c:v>
                </c:pt>
                <c:pt idx="6">
                  <c:v>0.8526150001662659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22311504"/>
        <c:axId val="-8223185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0.85757651354286724</c:v>
                </c:pt>
                <c:pt idx="1">
                  <c:v>0.85757651354286724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22310960"/>
        <c:axId val="-822315312"/>
      </c:scatterChart>
      <c:catAx>
        <c:axId val="-82231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82231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22318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822311504"/>
        <c:crosses val="autoZero"/>
        <c:crossBetween val="between"/>
      </c:valAx>
      <c:valAx>
        <c:axId val="-8223109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22315312"/>
        <c:crosses val="max"/>
        <c:crossBetween val="midCat"/>
      </c:valAx>
      <c:valAx>
        <c:axId val="-8223153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82231096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324" t="s">
        <v>94</v>
      </c>
      <c r="B1" s="324"/>
    </row>
    <row r="2" spans="1:3" ht="14.4" customHeight="1" thickBot="1" x14ac:dyDescent="0.35">
      <c r="A2" s="203" t="s">
        <v>229</v>
      </c>
      <c r="B2" s="41"/>
    </row>
    <row r="3" spans="1:3" ht="14.4" customHeight="1" thickBot="1" x14ac:dyDescent="0.35">
      <c r="A3" s="320" t="s">
        <v>117</v>
      </c>
      <c r="B3" s="321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8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19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19" t="str">
        <f t="shared" si="0"/>
        <v>Man Tab</v>
      </c>
      <c r="B7" s="66" t="s">
        <v>231</v>
      </c>
      <c r="C7" s="42" t="s">
        <v>99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322" t="s">
        <v>95</v>
      </c>
      <c r="B10" s="321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19" t="str">
        <f t="shared" si="2"/>
        <v>LŽ Statim</v>
      </c>
      <c r="B13" s="273" t="s">
        <v>176</v>
      </c>
      <c r="C13" s="42" t="s">
        <v>186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19" t="str">
        <f t="shared" si="2"/>
        <v>MŽ Detail</v>
      </c>
      <c r="B15" s="66" t="s">
        <v>737</v>
      </c>
      <c r="C15" s="42" t="s">
        <v>103</v>
      </c>
    </row>
    <row r="16" spans="1:3" ht="14.4" customHeight="1" thickBot="1" x14ac:dyDescent="0.35">
      <c r="A16" s="121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323" t="s">
        <v>96</v>
      </c>
      <c r="B18" s="321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743</v>
      </c>
      <c r="C19" s="42" t="s">
        <v>107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749</v>
      </c>
      <c r="C20" s="42" t="s">
        <v>189</v>
      </c>
    </row>
    <row r="21" spans="1:3" ht="14.4" customHeight="1" x14ac:dyDescent="0.3">
      <c r="A21" s="119" t="str">
        <f t="shared" si="4"/>
        <v>ZV Vykáz.-A Detail</v>
      </c>
      <c r="B21" s="66" t="s">
        <v>810</v>
      </c>
      <c r="C21" s="42" t="s">
        <v>108</v>
      </c>
    </row>
    <row r="22" spans="1:3" ht="14.4" customHeight="1" x14ac:dyDescent="0.3">
      <c r="A22" s="288" t="str">
        <f>HYPERLINK("#'"&amp;C22&amp;"'!A1",C22)</f>
        <v>ZV Vykáz.-A Det.Lék.</v>
      </c>
      <c r="B22" s="66" t="s">
        <v>811</v>
      </c>
      <c r="C22" s="42" t="s">
        <v>218</v>
      </c>
    </row>
    <row r="23" spans="1:3" ht="14.4" customHeight="1" x14ac:dyDescent="0.3">
      <c r="A23" s="119" t="str">
        <f t="shared" si="4"/>
        <v>ZV Vykáz.-H</v>
      </c>
      <c r="B23" s="66" t="s">
        <v>111</v>
      </c>
      <c r="C23" s="42" t="s">
        <v>109</v>
      </c>
    </row>
    <row r="24" spans="1:3" ht="14.4" customHeight="1" x14ac:dyDescent="0.3">
      <c r="A24" s="119" t="str">
        <f t="shared" si="4"/>
        <v>ZV Vykáz.-H Detail</v>
      </c>
      <c r="B24" s="66" t="s">
        <v>853</v>
      </c>
      <c r="C24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54" t="s">
        <v>116</v>
      </c>
      <c r="B1" s="355"/>
      <c r="C1" s="355"/>
      <c r="D1" s="355"/>
      <c r="E1" s="355"/>
      <c r="F1" s="355"/>
      <c r="G1" s="325"/>
      <c r="H1" s="356"/>
      <c r="I1" s="356"/>
    </row>
    <row r="2" spans="1:10" ht="14.4" customHeight="1" thickBot="1" x14ac:dyDescent="0.35">
      <c r="A2" s="203" t="s">
        <v>229</v>
      </c>
      <c r="B2" s="179"/>
      <c r="C2" s="179"/>
      <c r="D2" s="179"/>
      <c r="E2" s="179"/>
      <c r="F2" s="179"/>
    </row>
    <row r="3" spans="1:10" ht="14.4" customHeight="1" thickBot="1" x14ac:dyDescent="0.35">
      <c r="A3" s="203"/>
      <c r="B3" s="293"/>
      <c r="C3" s="257">
        <v>2015</v>
      </c>
      <c r="D3" s="258">
        <v>2016</v>
      </c>
      <c r="E3" s="7"/>
      <c r="F3" s="333">
        <v>2017</v>
      </c>
      <c r="G3" s="351"/>
      <c r="H3" s="351"/>
      <c r="I3" s="334"/>
    </row>
    <row r="4" spans="1:10" ht="14.4" customHeight="1" thickBot="1" x14ac:dyDescent="0.35">
      <c r="A4" s="262" t="s">
        <v>0</v>
      </c>
      <c r="B4" s="263" t="s">
        <v>175</v>
      </c>
      <c r="C4" s="352" t="s">
        <v>59</v>
      </c>
      <c r="D4" s="353"/>
      <c r="E4" s="264"/>
      <c r="F4" s="259" t="s">
        <v>59</v>
      </c>
      <c r="G4" s="260" t="s">
        <v>60</v>
      </c>
      <c r="H4" s="260" t="s">
        <v>54</v>
      </c>
      <c r="I4" s="261" t="s">
        <v>61</v>
      </c>
    </row>
    <row r="5" spans="1:10" ht="14.4" customHeight="1" x14ac:dyDescent="0.3">
      <c r="A5" s="421" t="s">
        <v>432</v>
      </c>
      <c r="B5" s="422" t="s">
        <v>433</v>
      </c>
      <c r="C5" s="423" t="s">
        <v>434</v>
      </c>
      <c r="D5" s="423" t="s">
        <v>434</v>
      </c>
      <c r="E5" s="423"/>
      <c r="F5" s="423" t="s">
        <v>434</v>
      </c>
      <c r="G5" s="423" t="s">
        <v>434</v>
      </c>
      <c r="H5" s="423" t="s">
        <v>434</v>
      </c>
      <c r="I5" s="424" t="s">
        <v>434</v>
      </c>
      <c r="J5" s="425" t="s">
        <v>55</v>
      </c>
    </row>
    <row r="6" spans="1:10" ht="14.4" customHeight="1" x14ac:dyDescent="0.3">
      <c r="A6" s="421" t="s">
        <v>432</v>
      </c>
      <c r="B6" s="422" t="s">
        <v>478</v>
      </c>
      <c r="C6" s="423">
        <v>257.39270999999991</v>
      </c>
      <c r="D6" s="423">
        <v>392.83846000000005</v>
      </c>
      <c r="E6" s="423"/>
      <c r="F6" s="423">
        <v>323.33629000000002</v>
      </c>
      <c r="G6" s="423">
        <v>466.66665625000002</v>
      </c>
      <c r="H6" s="423">
        <v>-143.33036625</v>
      </c>
      <c r="I6" s="424">
        <v>0.69286349403713154</v>
      </c>
      <c r="J6" s="425" t="s">
        <v>1</v>
      </c>
    </row>
    <row r="7" spans="1:10" ht="14.4" customHeight="1" x14ac:dyDescent="0.3">
      <c r="A7" s="421" t="s">
        <v>432</v>
      </c>
      <c r="B7" s="422" t="s">
        <v>479</v>
      </c>
      <c r="C7" s="423">
        <v>52.949869999999997</v>
      </c>
      <c r="D7" s="423">
        <v>80.929360000000003</v>
      </c>
      <c r="E7" s="423"/>
      <c r="F7" s="423">
        <v>69.328720000000004</v>
      </c>
      <c r="G7" s="423">
        <v>87.5</v>
      </c>
      <c r="H7" s="423">
        <v>-18.171279999999996</v>
      </c>
      <c r="I7" s="424">
        <v>0.79232822857142859</v>
      </c>
      <c r="J7" s="425" t="s">
        <v>1</v>
      </c>
    </row>
    <row r="8" spans="1:10" ht="14.4" customHeight="1" x14ac:dyDescent="0.3">
      <c r="A8" s="421" t="s">
        <v>432</v>
      </c>
      <c r="B8" s="422" t="s">
        <v>480</v>
      </c>
      <c r="C8" s="423">
        <v>16.248190000000001</v>
      </c>
      <c r="D8" s="423">
        <v>18.626439999999999</v>
      </c>
      <c r="E8" s="423"/>
      <c r="F8" s="423">
        <v>26.825040000000001</v>
      </c>
      <c r="G8" s="423">
        <v>17.5</v>
      </c>
      <c r="H8" s="423">
        <v>9.3250400000000013</v>
      </c>
      <c r="I8" s="424">
        <v>1.5328594285714285</v>
      </c>
      <c r="J8" s="425" t="s">
        <v>1</v>
      </c>
    </row>
    <row r="9" spans="1:10" ht="14.4" customHeight="1" x14ac:dyDescent="0.3">
      <c r="A9" s="421" t="s">
        <v>432</v>
      </c>
      <c r="B9" s="422" t="s">
        <v>481</v>
      </c>
      <c r="C9" s="423">
        <v>117.36389</v>
      </c>
      <c r="D9" s="423">
        <v>53.019160000000007</v>
      </c>
      <c r="E9" s="423"/>
      <c r="F9" s="423">
        <v>97.881929999999997</v>
      </c>
      <c r="G9" s="423">
        <v>116.6666640625</v>
      </c>
      <c r="H9" s="423">
        <v>-18.784734062500007</v>
      </c>
      <c r="I9" s="424">
        <v>0.83898799015598191</v>
      </c>
      <c r="J9" s="425" t="s">
        <v>1</v>
      </c>
    </row>
    <row r="10" spans="1:10" ht="14.4" customHeight="1" x14ac:dyDescent="0.3">
      <c r="A10" s="421" t="s">
        <v>432</v>
      </c>
      <c r="B10" s="422" t="s">
        <v>482</v>
      </c>
      <c r="C10" s="423">
        <v>0.33900000000000002</v>
      </c>
      <c r="D10" s="423">
        <v>0</v>
      </c>
      <c r="E10" s="423"/>
      <c r="F10" s="423">
        <v>0.27500000000000002</v>
      </c>
      <c r="G10" s="423">
        <v>0</v>
      </c>
      <c r="H10" s="423">
        <v>0.27500000000000002</v>
      </c>
      <c r="I10" s="424" t="s">
        <v>434</v>
      </c>
      <c r="J10" s="425" t="s">
        <v>1</v>
      </c>
    </row>
    <row r="11" spans="1:10" ht="14.4" customHeight="1" x14ac:dyDescent="0.3">
      <c r="A11" s="421" t="s">
        <v>432</v>
      </c>
      <c r="B11" s="422" t="s">
        <v>483</v>
      </c>
      <c r="C11" s="423">
        <v>23.978999999999999</v>
      </c>
      <c r="D11" s="423">
        <v>29.584860000000003</v>
      </c>
      <c r="E11" s="423"/>
      <c r="F11" s="423">
        <v>34.049060000000004</v>
      </c>
      <c r="G11" s="423">
        <v>29.166666015625001</v>
      </c>
      <c r="H11" s="423">
        <v>4.8823939843750033</v>
      </c>
      <c r="I11" s="424">
        <v>1.1673963689150977</v>
      </c>
      <c r="J11" s="425" t="s">
        <v>1</v>
      </c>
    </row>
    <row r="12" spans="1:10" ht="14.4" customHeight="1" x14ac:dyDescent="0.3">
      <c r="A12" s="421" t="s">
        <v>432</v>
      </c>
      <c r="B12" s="422" t="s">
        <v>437</v>
      </c>
      <c r="C12" s="423">
        <v>468.27265999999986</v>
      </c>
      <c r="D12" s="423">
        <v>574.99828000000014</v>
      </c>
      <c r="E12" s="423"/>
      <c r="F12" s="423">
        <v>551.69604000000004</v>
      </c>
      <c r="G12" s="423">
        <v>717.49998632812492</v>
      </c>
      <c r="H12" s="423">
        <v>-165.80394632812488</v>
      </c>
      <c r="I12" s="424">
        <v>0.76891435611498404</v>
      </c>
      <c r="J12" s="425" t="s">
        <v>438</v>
      </c>
    </row>
    <row r="14" spans="1:10" ht="14.4" customHeight="1" x14ac:dyDescent="0.3">
      <c r="A14" s="421" t="s">
        <v>432</v>
      </c>
      <c r="B14" s="422" t="s">
        <v>433</v>
      </c>
      <c r="C14" s="423" t="s">
        <v>434</v>
      </c>
      <c r="D14" s="423" t="s">
        <v>434</v>
      </c>
      <c r="E14" s="423"/>
      <c r="F14" s="423" t="s">
        <v>434</v>
      </c>
      <c r="G14" s="423" t="s">
        <v>434</v>
      </c>
      <c r="H14" s="423" t="s">
        <v>434</v>
      </c>
      <c r="I14" s="424" t="s">
        <v>434</v>
      </c>
      <c r="J14" s="425" t="s">
        <v>55</v>
      </c>
    </row>
    <row r="15" spans="1:10" ht="14.4" customHeight="1" x14ac:dyDescent="0.3">
      <c r="A15" s="421" t="s">
        <v>439</v>
      </c>
      <c r="B15" s="422" t="s">
        <v>440</v>
      </c>
      <c r="C15" s="423" t="s">
        <v>434</v>
      </c>
      <c r="D15" s="423" t="s">
        <v>434</v>
      </c>
      <c r="E15" s="423"/>
      <c r="F15" s="423" t="s">
        <v>434</v>
      </c>
      <c r="G15" s="423" t="s">
        <v>434</v>
      </c>
      <c r="H15" s="423" t="s">
        <v>434</v>
      </c>
      <c r="I15" s="424" t="s">
        <v>434</v>
      </c>
      <c r="J15" s="425" t="s">
        <v>0</v>
      </c>
    </row>
    <row r="16" spans="1:10" ht="14.4" customHeight="1" x14ac:dyDescent="0.3">
      <c r="A16" s="421" t="s">
        <v>439</v>
      </c>
      <c r="B16" s="422" t="s">
        <v>478</v>
      </c>
      <c r="C16" s="423">
        <v>257.39270999999991</v>
      </c>
      <c r="D16" s="423">
        <v>392.83846000000005</v>
      </c>
      <c r="E16" s="423"/>
      <c r="F16" s="423">
        <v>323.33629000000002</v>
      </c>
      <c r="G16" s="423">
        <v>467</v>
      </c>
      <c r="H16" s="423">
        <v>-143.66370999999998</v>
      </c>
      <c r="I16" s="424">
        <v>0.69236892933618843</v>
      </c>
      <c r="J16" s="425" t="s">
        <v>1</v>
      </c>
    </row>
    <row r="17" spans="1:10" ht="14.4" customHeight="1" x14ac:dyDescent="0.3">
      <c r="A17" s="421" t="s">
        <v>439</v>
      </c>
      <c r="B17" s="422" t="s">
        <v>479</v>
      </c>
      <c r="C17" s="423">
        <v>52.949869999999997</v>
      </c>
      <c r="D17" s="423">
        <v>80.929360000000003</v>
      </c>
      <c r="E17" s="423"/>
      <c r="F17" s="423">
        <v>69.328720000000004</v>
      </c>
      <c r="G17" s="423">
        <v>88</v>
      </c>
      <c r="H17" s="423">
        <v>-18.671279999999996</v>
      </c>
      <c r="I17" s="424">
        <v>0.78782636363636371</v>
      </c>
      <c r="J17" s="425" t="s">
        <v>1</v>
      </c>
    </row>
    <row r="18" spans="1:10" ht="14.4" customHeight="1" x14ac:dyDescent="0.3">
      <c r="A18" s="421" t="s">
        <v>439</v>
      </c>
      <c r="B18" s="422" t="s">
        <v>480</v>
      </c>
      <c r="C18" s="423">
        <v>16.248190000000001</v>
      </c>
      <c r="D18" s="423">
        <v>18.626439999999999</v>
      </c>
      <c r="E18" s="423"/>
      <c r="F18" s="423">
        <v>26.825040000000001</v>
      </c>
      <c r="G18" s="423">
        <v>18</v>
      </c>
      <c r="H18" s="423">
        <v>8.8250400000000013</v>
      </c>
      <c r="I18" s="424">
        <v>1.49028</v>
      </c>
      <c r="J18" s="425" t="s">
        <v>1</v>
      </c>
    </row>
    <row r="19" spans="1:10" ht="14.4" customHeight="1" x14ac:dyDescent="0.3">
      <c r="A19" s="421" t="s">
        <v>439</v>
      </c>
      <c r="B19" s="422" t="s">
        <v>481</v>
      </c>
      <c r="C19" s="423">
        <v>117.36389</v>
      </c>
      <c r="D19" s="423">
        <v>53.019160000000007</v>
      </c>
      <c r="E19" s="423"/>
      <c r="F19" s="423">
        <v>97.881929999999997</v>
      </c>
      <c r="G19" s="423">
        <v>117</v>
      </c>
      <c r="H19" s="423">
        <v>-19.118070000000003</v>
      </c>
      <c r="I19" s="424">
        <v>0.83659769230769232</v>
      </c>
      <c r="J19" s="425" t="s">
        <v>1</v>
      </c>
    </row>
    <row r="20" spans="1:10" ht="14.4" customHeight="1" x14ac:dyDescent="0.3">
      <c r="A20" s="421" t="s">
        <v>439</v>
      </c>
      <c r="B20" s="422" t="s">
        <v>482</v>
      </c>
      <c r="C20" s="423">
        <v>0.33900000000000002</v>
      </c>
      <c r="D20" s="423">
        <v>0</v>
      </c>
      <c r="E20" s="423"/>
      <c r="F20" s="423">
        <v>0.27500000000000002</v>
      </c>
      <c r="G20" s="423">
        <v>0</v>
      </c>
      <c r="H20" s="423">
        <v>0.27500000000000002</v>
      </c>
      <c r="I20" s="424" t="s">
        <v>434</v>
      </c>
      <c r="J20" s="425" t="s">
        <v>1</v>
      </c>
    </row>
    <row r="21" spans="1:10" ht="14.4" customHeight="1" x14ac:dyDescent="0.3">
      <c r="A21" s="421" t="s">
        <v>439</v>
      </c>
      <c r="B21" s="422" t="s">
        <v>483</v>
      </c>
      <c r="C21" s="423">
        <v>23.978999999999999</v>
      </c>
      <c r="D21" s="423">
        <v>29.584860000000003</v>
      </c>
      <c r="E21" s="423"/>
      <c r="F21" s="423">
        <v>34.049060000000004</v>
      </c>
      <c r="G21" s="423">
        <v>29</v>
      </c>
      <c r="H21" s="423">
        <v>5.0490600000000043</v>
      </c>
      <c r="I21" s="424">
        <v>1.1741055172413795</v>
      </c>
      <c r="J21" s="425" t="s">
        <v>1</v>
      </c>
    </row>
    <row r="22" spans="1:10" ht="14.4" customHeight="1" x14ac:dyDescent="0.3">
      <c r="A22" s="421" t="s">
        <v>439</v>
      </c>
      <c r="B22" s="422" t="s">
        <v>441</v>
      </c>
      <c r="C22" s="423">
        <v>468.27265999999986</v>
      </c>
      <c r="D22" s="423">
        <v>574.99828000000014</v>
      </c>
      <c r="E22" s="423"/>
      <c r="F22" s="423">
        <v>551.69604000000004</v>
      </c>
      <c r="G22" s="423">
        <v>717</v>
      </c>
      <c r="H22" s="423">
        <v>-165.30395999999996</v>
      </c>
      <c r="I22" s="424">
        <v>0.76945054393305445</v>
      </c>
      <c r="J22" s="425" t="s">
        <v>442</v>
      </c>
    </row>
    <row r="23" spans="1:10" ht="14.4" customHeight="1" x14ac:dyDescent="0.3">
      <c r="A23" s="421" t="s">
        <v>434</v>
      </c>
      <c r="B23" s="422" t="s">
        <v>434</v>
      </c>
      <c r="C23" s="423" t="s">
        <v>434</v>
      </c>
      <c r="D23" s="423" t="s">
        <v>434</v>
      </c>
      <c r="E23" s="423"/>
      <c r="F23" s="423" t="s">
        <v>434</v>
      </c>
      <c r="G23" s="423" t="s">
        <v>434</v>
      </c>
      <c r="H23" s="423" t="s">
        <v>434</v>
      </c>
      <c r="I23" s="424" t="s">
        <v>434</v>
      </c>
      <c r="J23" s="425" t="s">
        <v>443</v>
      </c>
    </row>
    <row r="24" spans="1:10" ht="14.4" customHeight="1" x14ac:dyDescent="0.3">
      <c r="A24" s="421" t="s">
        <v>432</v>
      </c>
      <c r="B24" s="422" t="s">
        <v>437</v>
      </c>
      <c r="C24" s="423">
        <v>468.27265999999986</v>
      </c>
      <c r="D24" s="423">
        <v>574.99828000000014</v>
      </c>
      <c r="E24" s="423"/>
      <c r="F24" s="423">
        <v>551.69604000000004</v>
      </c>
      <c r="G24" s="423">
        <v>717</v>
      </c>
      <c r="H24" s="423">
        <v>-165.30395999999996</v>
      </c>
      <c r="I24" s="424">
        <v>0.76945054393305445</v>
      </c>
      <c r="J24" s="425" t="s">
        <v>438</v>
      </c>
    </row>
  </sheetData>
  <mergeCells count="3">
    <mergeCell ref="A1:I1"/>
    <mergeCell ref="F3:I3"/>
    <mergeCell ref="C4:D4"/>
  </mergeCells>
  <conditionalFormatting sqref="F13 F25:F65537">
    <cfRule type="cellIs" dxfId="26" priority="18" stopIfTrue="1" operator="greaterThan">
      <formula>1</formula>
    </cfRule>
  </conditionalFormatting>
  <conditionalFormatting sqref="H5:H12">
    <cfRule type="expression" dxfId="25" priority="14">
      <formula>$H5&gt;0</formula>
    </cfRule>
  </conditionalFormatting>
  <conditionalFormatting sqref="I5:I12">
    <cfRule type="expression" dxfId="24" priority="15">
      <formula>$I5&gt;1</formula>
    </cfRule>
  </conditionalFormatting>
  <conditionalFormatting sqref="B5:B12">
    <cfRule type="expression" dxfId="23" priority="11">
      <formula>OR($J5="NS",$J5="SumaNS",$J5="Účet")</formula>
    </cfRule>
  </conditionalFormatting>
  <conditionalFormatting sqref="F5:I12 B5:D12">
    <cfRule type="expression" dxfId="22" priority="17">
      <formula>AND($J5&lt;&gt;"",$J5&lt;&gt;"mezeraKL")</formula>
    </cfRule>
  </conditionalFormatting>
  <conditionalFormatting sqref="B5:D12 F5:I12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20" priority="13">
      <formula>OR($J5="SumaNS",$J5="NS")</formula>
    </cfRule>
  </conditionalFormatting>
  <conditionalFormatting sqref="A5:A12">
    <cfRule type="expression" dxfId="19" priority="9">
      <formula>AND($J5&lt;&gt;"mezeraKL",$J5&lt;&gt;"")</formula>
    </cfRule>
  </conditionalFormatting>
  <conditionalFormatting sqref="A5:A12">
    <cfRule type="expression" dxfId="18" priority="10">
      <formula>AND($J5&lt;&gt;"",$J5&lt;&gt;"mezeraKL")</formula>
    </cfRule>
  </conditionalFormatting>
  <conditionalFormatting sqref="H14:H24">
    <cfRule type="expression" dxfId="17" priority="6">
      <formula>$H14&gt;0</formula>
    </cfRule>
  </conditionalFormatting>
  <conditionalFormatting sqref="A14:A24">
    <cfRule type="expression" dxfId="16" priority="5">
      <formula>AND($J14&lt;&gt;"mezeraKL",$J14&lt;&gt;"")</formula>
    </cfRule>
  </conditionalFormatting>
  <conditionalFormatting sqref="I14:I24">
    <cfRule type="expression" dxfId="15" priority="7">
      <formula>$I14&gt;1</formula>
    </cfRule>
  </conditionalFormatting>
  <conditionalFormatting sqref="B14:B24">
    <cfRule type="expression" dxfId="14" priority="4">
      <formula>OR($J14="NS",$J14="SumaNS",$J14="Účet")</formula>
    </cfRule>
  </conditionalFormatting>
  <conditionalFormatting sqref="A14:D24 F14:I24">
    <cfRule type="expression" dxfId="13" priority="8">
      <formula>AND($J14&lt;&gt;"",$J14&lt;&gt;"mezeraKL")</formula>
    </cfRule>
  </conditionalFormatting>
  <conditionalFormatting sqref="B14:D24 F14:I24">
    <cfRule type="expression" dxfId="12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11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2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61" t="s">
        <v>737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14.4" customHeight="1" thickBot="1" x14ac:dyDescent="0.35">
      <c r="A2" s="203" t="s">
        <v>229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57"/>
      <c r="D3" s="358"/>
      <c r="E3" s="358"/>
      <c r="F3" s="358"/>
      <c r="G3" s="358"/>
      <c r="H3" s="116" t="s">
        <v>112</v>
      </c>
      <c r="I3" s="74">
        <f>IF(J3&lt;&gt;0,K3/J3,0)</f>
        <v>4.6007554322980848</v>
      </c>
      <c r="J3" s="74">
        <f>SUBTOTAL(9,J5:J1048576)</f>
        <v>103001</v>
      </c>
      <c r="K3" s="75">
        <f>SUBTOTAL(9,K5:K1048576)</f>
        <v>473882.41028213501</v>
      </c>
    </row>
    <row r="4" spans="1:11" s="181" customFormat="1" ht="14.4" customHeight="1" thickBot="1" x14ac:dyDescent="0.35">
      <c r="A4" s="426" t="s">
        <v>4</v>
      </c>
      <c r="B4" s="427" t="s">
        <v>5</v>
      </c>
      <c r="C4" s="427" t="s">
        <v>0</v>
      </c>
      <c r="D4" s="427" t="s">
        <v>6</v>
      </c>
      <c r="E4" s="427" t="s">
        <v>7</v>
      </c>
      <c r="F4" s="427" t="s">
        <v>1</v>
      </c>
      <c r="G4" s="427" t="s">
        <v>57</v>
      </c>
      <c r="H4" s="429" t="s">
        <v>11</v>
      </c>
      <c r="I4" s="430" t="s">
        <v>119</v>
      </c>
      <c r="J4" s="430" t="s">
        <v>13</v>
      </c>
      <c r="K4" s="431" t="s">
        <v>127</v>
      </c>
    </row>
    <row r="5" spans="1:11" ht="14.4" customHeight="1" x14ac:dyDescent="0.3">
      <c r="A5" s="432" t="s">
        <v>432</v>
      </c>
      <c r="B5" s="433" t="s">
        <v>433</v>
      </c>
      <c r="C5" s="434" t="s">
        <v>439</v>
      </c>
      <c r="D5" s="435" t="s">
        <v>440</v>
      </c>
      <c r="E5" s="434" t="s">
        <v>484</v>
      </c>
      <c r="F5" s="435" t="s">
        <v>485</v>
      </c>
      <c r="G5" s="434" t="s">
        <v>486</v>
      </c>
      <c r="H5" s="434" t="s">
        <v>487</v>
      </c>
      <c r="I5" s="437">
        <v>5982.240234375</v>
      </c>
      <c r="J5" s="437">
        <v>1</v>
      </c>
      <c r="K5" s="438">
        <v>5982.240234375</v>
      </c>
    </row>
    <row r="6" spans="1:11" ht="14.4" customHeight="1" x14ac:dyDescent="0.3">
      <c r="A6" s="439" t="s">
        <v>432</v>
      </c>
      <c r="B6" s="440" t="s">
        <v>433</v>
      </c>
      <c r="C6" s="441" t="s">
        <v>439</v>
      </c>
      <c r="D6" s="442" t="s">
        <v>440</v>
      </c>
      <c r="E6" s="441" t="s">
        <v>484</v>
      </c>
      <c r="F6" s="442" t="s">
        <v>485</v>
      </c>
      <c r="G6" s="441" t="s">
        <v>488</v>
      </c>
      <c r="H6" s="441" t="s">
        <v>489</v>
      </c>
      <c r="I6" s="444">
        <v>3606</v>
      </c>
      <c r="J6" s="444">
        <v>1</v>
      </c>
      <c r="K6" s="445">
        <v>3606</v>
      </c>
    </row>
    <row r="7" spans="1:11" ht="14.4" customHeight="1" x14ac:dyDescent="0.3">
      <c r="A7" s="439" t="s">
        <v>432</v>
      </c>
      <c r="B7" s="440" t="s">
        <v>433</v>
      </c>
      <c r="C7" s="441" t="s">
        <v>439</v>
      </c>
      <c r="D7" s="442" t="s">
        <v>440</v>
      </c>
      <c r="E7" s="441" t="s">
        <v>484</v>
      </c>
      <c r="F7" s="442" t="s">
        <v>485</v>
      </c>
      <c r="G7" s="441" t="s">
        <v>490</v>
      </c>
      <c r="H7" s="441" t="s">
        <v>491</v>
      </c>
      <c r="I7" s="444">
        <v>5653.14013671875</v>
      </c>
      <c r="J7" s="444">
        <v>1</v>
      </c>
      <c r="K7" s="445">
        <v>5653.14013671875</v>
      </c>
    </row>
    <row r="8" spans="1:11" ht="14.4" customHeight="1" x14ac:dyDescent="0.3">
      <c r="A8" s="439" t="s">
        <v>432</v>
      </c>
      <c r="B8" s="440" t="s">
        <v>433</v>
      </c>
      <c r="C8" s="441" t="s">
        <v>439</v>
      </c>
      <c r="D8" s="442" t="s">
        <v>440</v>
      </c>
      <c r="E8" s="441" t="s">
        <v>484</v>
      </c>
      <c r="F8" s="442" t="s">
        <v>485</v>
      </c>
      <c r="G8" s="441" t="s">
        <v>492</v>
      </c>
      <c r="H8" s="441" t="s">
        <v>493</v>
      </c>
      <c r="I8" s="444">
        <v>147.17999267578125</v>
      </c>
      <c r="J8" s="444">
        <v>1</v>
      </c>
      <c r="K8" s="445">
        <v>147.17999267578125</v>
      </c>
    </row>
    <row r="9" spans="1:11" ht="14.4" customHeight="1" x14ac:dyDescent="0.3">
      <c r="A9" s="439" t="s">
        <v>432</v>
      </c>
      <c r="B9" s="440" t="s">
        <v>433</v>
      </c>
      <c r="C9" s="441" t="s">
        <v>439</v>
      </c>
      <c r="D9" s="442" t="s">
        <v>440</v>
      </c>
      <c r="E9" s="441" t="s">
        <v>484</v>
      </c>
      <c r="F9" s="442" t="s">
        <v>485</v>
      </c>
      <c r="G9" s="441" t="s">
        <v>494</v>
      </c>
      <c r="H9" s="441" t="s">
        <v>495</v>
      </c>
      <c r="I9" s="444">
        <v>139.44000244140625</v>
      </c>
      <c r="J9" s="444">
        <v>1</v>
      </c>
      <c r="K9" s="445">
        <v>139.44000244140625</v>
      </c>
    </row>
    <row r="10" spans="1:11" ht="14.4" customHeight="1" x14ac:dyDescent="0.3">
      <c r="A10" s="439" t="s">
        <v>432</v>
      </c>
      <c r="B10" s="440" t="s">
        <v>433</v>
      </c>
      <c r="C10" s="441" t="s">
        <v>439</v>
      </c>
      <c r="D10" s="442" t="s">
        <v>440</v>
      </c>
      <c r="E10" s="441" t="s">
        <v>484</v>
      </c>
      <c r="F10" s="442" t="s">
        <v>485</v>
      </c>
      <c r="G10" s="441" t="s">
        <v>496</v>
      </c>
      <c r="H10" s="441" t="s">
        <v>497</v>
      </c>
      <c r="I10" s="444">
        <v>147.17999267578125</v>
      </c>
      <c r="J10" s="444">
        <v>1</v>
      </c>
      <c r="K10" s="445">
        <v>147.17999267578125</v>
      </c>
    </row>
    <row r="11" spans="1:11" ht="14.4" customHeight="1" x14ac:dyDescent="0.3">
      <c r="A11" s="439" t="s">
        <v>432</v>
      </c>
      <c r="B11" s="440" t="s">
        <v>433</v>
      </c>
      <c r="C11" s="441" t="s">
        <v>439</v>
      </c>
      <c r="D11" s="442" t="s">
        <v>440</v>
      </c>
      <c r="E11" s="441" t="s">
        <v>484</v>
      </c>
      <c r="F11" s="442" t="s">
        <v>485</v>
      </c>
      <c r="G11" s="441" t="s">
        <v>498</v>
      </c>
      <c r="H11" s="441" t="s">
        <v>499</v>
      </c>
      <c r="I11" s="444">
        <v>147.17999267578125</v>
      </c>
      <c r="J11" s="444">
        <v>1</v>
      </c>
      <c r="K11" s="445">
        <v>147.17999267578125</v>
      </c>
    </row>
    <row r="12" spans="1:11" ht="14.4" customHeight="1" x14ac:dyDescent="0.3">
      <c r="A12" s="439" t="s">
        <v>432</v>
      </c>
      <c r="B12" s="440" t="s">
        <v>433</v>
      </c>
      <c r="C12" s="441" t="s">
        <v>439</v>
      </c>
      <c r="D12" s="442" t="s">
        <v>440</v>
      </c>
      <c r="E12" s="441" t="s">
        <v>484</v>
      </c>
      <c r="F12" s="442" t="s">
        <v>485</v>
      </c>
      <c r="G12" s="441" t="s">
        <v>500</v>
      </c>
      <c r="H12" s="441" t="s">
        <v>501</v>
      </c>
      <c r="I12" s="444">
        <v>30.25</v>
      </c>
      <c r="J12" s="444">
        <v>170</v>
      </c>
      <c r="K12" s="445">
        <v>5142.5</v>
      </c>
    </row>
    <row r="13" spans="1:11" ht="14.4" customHeight="1" x14ac:dyDescent="0.3">
      <c r="A13" s="439" t="s">
        <v>432</v>
      </c>
      <c r="B13" s="440" t="s">
        <v>433</v>
      </c>
      <c r="C13" s="441" t="s">
        <v>439</v>
      </c>
      <c r="D13" s="442" t="s">
        <v>440</v>
      </c>
      <c r="E13" s="441" t="s">
        <v>484</v>
      </c>
      <c r="F13" s="442" t="s">
        <v>485</v>
      </c>
      <c r="G13" s="441" t="s">
        <v>502</v>
      </c>
      <c r="H13" s="441" t="s">
        <v>503</v>
      </c>
      <c r="I13" s="444">
        <v>4210.7998046875</v>
      </c>
      <c r="J13" s="444">
        <v>1</v>
      </c>
      <c r="K13" s="445">
        <v>4210.7998046875</v>
      </c>
    </row>
    <row r="14" spans="1:11" ht="14.4" customHeight="1" x14ac:dyDescent="0.3">
      <c r="A14" s="439" t="s">
        <v>432</v>
      </c>
      <c r="B14" s="440" t="s">
        <v>433</v>
      </c>
      <c r="C14" s="441" t="s">
        <v>439</v>
      </c>
      <c r="D14" s="442" t="s">
        <v>440</v>
      </c>
      <c r="E14" s="441" t="s">
        <v>484</v>
      </c>
      <c r="F14" s="442" t="s">
        <v>485</v>
      </c>
      <c r="G14" s="441" t="s">
        <v>504</v>
      </c>
      <c r="H14" s="441" t="s">
        <v>505</v>
      </c>
      <c r="I14" s="444">
        <v>6231.5</v>
      </c>
      <c r="J14" s="444">
        <v>1</v>
      </c>
      <c r="K14" s="445">
        <v>6231.5</v>
      </c>
    </row>
    <row r="15" spans="1:11" ht="14.4" customHeight="1" x14ac:dyDescent="0.3">
      <c r="A15" s="439" t="s">
        <v>432</v>
      </c>
      <c r="B15" s="440" t="s">
        <v>433</v>
      </c>
      <c r="C15" s="441" t="s">
        <v>439</v>
      </c>
      <c r="D15" s="442" t="s">
        <v>440</v>
      </c>
      <c r="E15" s="441" t="s">
        <v>484</v>
      </c>
      <c r="F15" s="442" t="s">
        <v>485</v>
      </c>
      <c r="G15" s="441" t="s">
        <v>506</v>
      </c>
      <c r="H15" s="441" t="s">
        <v>507</v>
      </c>
      <c r="I15" s="444">
        <v>264.46143014090404</v>
      </c>
      <c r="J15" s="444">
        <v>168</v>
      </c>
      <c r="K15" s="445">
        <v>44429.630859375</v>
      </c>
    </row>
    <row r="16" spans="1:11" ht="14.4" customHeight="1" x14ac:dyDescent="0.3">
      <c r="A16" s="439" t="s">
        <v>432</v>
      </c>
      <c r="B16" s="440" t="s">
        <v>433</v>
      </c>
      <c r="C16" s="441" t="s">
        <v>439</v>
      </c>
      <c r="D16" s="442" t="s">
        <v>440</v>
      </c>
      <c r="E16" s="441" t="s">
        <v>484</v>
      </c>
      <c r="F16" s="442" t="s">
        <v>485</v>
      </c>
      <c r="G16" s="441" t="s">
        <v>508</v>
      </c>
      <c r="H16" s="441" t="s">
        <v>509</v>
      </c>
      <c r="I16" s="444">
        <v>1.4299999475479126</v>
      </c>
      <c r="J16" s="444">
        <v>1000</v>
      </c>
      <c r="K16" s="445">
        <v>1427.800048828125</v>
      </c>
    </row>
    <row r="17" spans="1:11" ht="14.4" customHeight="1" x14ac:dyDescent="0.3">
      <c r="A17" s="439" t="s">
        <v>432</v>
      </c>
      <c r="B17" s="440" t="s">
        <v>433</v>
      </c>
      <c r="C17" s="441" t="s">
        <v>439</v>
      </c>
      <c r="D17" s="442" t="s">
        <v>440</v>
      </c>
      <c r="E17" s="441" t="s">
        <v>484</v>
      </c>
      <c r="F17" s="442" t="s">
        <v>485</v>
      </c>
      <c r="G17" s="441" t="s">
        <v>510</v>
      </c>
      <c r="H17" s="441" t="s">
        <v>511</v>
      </c>
      <c r="I17" s="444">
        <v>7529.820068359375</v>
      </c>
      <c r="J17" s="444">
        <v>2</v>
      </c>
      <c r="K17" s="445">
        <v>15059.64013671875</v>
      </c>
    </row>
    <row r="18" spans="1:11" ht="14.4" customHeight="1" x14ac:dyDescent="0.3">
      <c r="A18" s="439" t="s">
        <v>432</v>
      </c>
      <c r="B18" s="440" t="s">
        <v>433</v>
      </c>
      <c r="C18" s="441" t="s">
        <v>439</v>
      </c>
      <c r="D18" s="442" t="s">
        <v>440</v>
      </c>
      <c r="E18" s="441" t="s">
        <v>484</v>
      </c>
      <c r="F18" s="442" t="s">
        <v>485</v>
      </c>
      <c r="G18" s="441" t="s">
        <v>512</v>
      </c>
      <c r="H18" s="441" t="s">
        <v>513</v>
      </c>
      <c r="I18" s="444">
        <v>2762.8400065104165</v>
      </c>
      <c r="J18" s="444">
        <v>3</v>
      </c>
      <c r="K18" s="445">
        <v>8288.52001953125</v>
      </c>
    </row>
    <row r="19" spans="1:11" ht="14.4" customHeight="1" x14ac:dyDescent="0.3">
      <c r="A19" s="439" t="s">
        <v>432</v>
      </c>
      <c r="B19" s="440" t="s">
        <v>433</v>
      </c>
      <c r="C19" s="441" t="s">
        <v>439</v>
      </c>
      <c r="D19" s="442" t="s">
        <v>440</v>
      </c>
      <c r="E19" s="441" t="s">
        <v>484</v>
      </c>
      <c r="F19" s="442" t="s">
        <v>485</v>
      </c>
      <c r="G19" s="441" t="s">
        <v>514</v>
      </c>
      <c r="H19" s="441" t="s">
        <v>515</v>
      </c>
      <c r="I19" s="444">
        <v>15277.5</v>
      </c>
      <c r="J19" s="444">
        <v>1</v>
      </c>
      <c r="K19" s="445">
        <v>15277.5</v>
      </c>
    </row>
    <row r="20" spans="1:11" ht="14.4" customHeight="1" x14ac:dyDescent="0.3">
      <c r="A20" s="439" t="s">
        <v>432</v>
      </c>
      <c r="B20" s="440" t="s">
        <v>433</v>
      </c>
      <c r="C20" s="441" t="s">
        <v>439</v>
      </c>
      <c r="D20" s="442" t="s">
        <v>440</v>
      </c>
      <c r="E20" s="441" t="s">
        <v>484</v>
      </c>
      <c r="F20" s="442" t="s">
        <v>485</v>
      </c>
      <c r="G20" s="441" t="s">
        <v>516</v>
      </c>
      <c r="H20" s="441" t="s">
        <v>517</v>
      </c>
      <c r="I20" s="444">
        <v>15427.51953125</v>
      </c>
      <c r="J20" s="444">
        <v>1</v>
      </c>
      <c r="K20" s="445">
        <v>15427.51953125</v>
      </c>
    </row>
    <row r="21" spans="1:11" ht="14.4" customHeight="1" x14ac:dyDescent="0.3">
      <c r="A21" s="439" t="s">
        <v>432</v>
      </c>
      <c r="B21" s="440" t="s">
        <v>433</v>
      </c>
      <c r="C21" s="441" t="s">
        <v>439</v>
      </c>
      <c r="D21" s="442" t="s">
        <v>440</v>
      </c>
      <c r="E21" s="441" t="s">
        <v>484</v>
      </c>
      <c r="F21" s="442" t="s">
        <v>485</v>
      </c>
      <c r="G21" s="441" t="s">
        <v>518</v>
      </c>
      <c r="H21" s="441" t="s">
        <v>519</v>
      </c>
      <c r="I21" s="444">
        <v>15627.1396484375</v>
      </c>
      <c r="J21" s="444">
        <v>1</v>
      </c>
      <c r="K21" s="445">
        <v>15627.1396484375</v>
      </c>
    </row>
    <row r="22" spans="1:11" ht="14.4" customHeight="1" x14ac:dyDescent="0.3">
      <c r="A22" s="439" t="s">
        <v>432</v>
      </c>
      <c r="B22" s="440" t="s">
        <v>433</v>
      </c>
      <c r="C22" s="441" t="s">
        <v>439</v>
      </c>
      <c r="D22" s="442" t="s">
        <v>440</v>
      </c>
      <c r="E22" s="441" t="s">
        <v>484</v>
      </c>
      <c r="F22" s="442" t="s">
        <v>485</v>
      </c>
      <c r="G22" s="441" t="s">
        <v>520</v>
      </c>
      <c r="H22" s="441" t="s">
        <v>521</v>
      </c>
      <c r="I22" s="444">
        <v>2813.2550048828125</v>
      </c>
      <c r="J22" s="444">
        <v>2</v>
      </c>
      <c r="K22" s="445">
        <v>5626.510009765625</v>
      </c>
    </row>
    <row r="23" spans="1:11" ht="14.4" customHeight="1" x14ac:dyDescent="0.3">
      <c r="A23" s="439" t="s">
        <v>432</v>
      </c>
      <c r="B23" s="440" t="s">
        <v>433</v>
      </c>
      <c r="C23" s="441" t="s">
        <v>439</v>
      </c>
      <c r="D23" s="442" t="s">
        <v>440</v>
      </c>
      <c r="E23" s="441" t="s">
        <v>484</v>
      </c>
      <c r="F23" s="442" t="s">
        <v>485</v>
      </c>
      <c r="G23" s="441" t="s">
        <v>522</v>
      </c>
      <c r="H23" s="441" t="s">
        <v>523</v>
      </c>
      <c r="I23" s="444">
        <v>2662</v>
      </c>
      <c r="J23" s="444">
        <v>1</v>
      </c>
      <c r="K23" s="445">
        <v>2662</v>
      </c>
    </row>
    <row r="24" spans="1:11" ht="14.4" customHeight="1" x14ac:dyDescent="0.3">
      <c r="A24" s="439" t="s">
        <v>432</v>
      </c>
      <c r="B24" s="440" t="s">
        <v>433</v>
      </c>
      <c r="C24" s="441" t="s">
        <v>439</v>
      </c>
      <c r="D24" s="442" t="s">
        <v>440</v>
      </c>
      <c r="E24" s="441" t="s">
        <v>484</v>
      </c>
      <c r="F24" s="442" t="s">
        <v>485</v>
      </c>
      <c r="G24" s="441" t="s">
        <v>524</v>
      </c>
      <c r="H24" s="441" t="s">
        <v>525</v>
      </c>
      <c r="I24" s="444">
        <v>2661.989990234375</v>
      </c>
      <c r="J24" s="444">
        <v>1</v>
      </c>
      <c r="K24" s="445">
        <v>2661.989990234375</v>
      </c>
    </row>
    <row r="25" spans="1:11" ht="14.4" customHeight="1" x14ac:dyDescent="0.3">
      <c r="A25" s="439" t="s">
        <v>432</v>
      </c>
      <c r="B25" s="440" t="s">
        <v>433</v>
      </c>
      <c r="C25" s="441" t="s">
        <v>439</v>
      </c>
      <c r="D25" s="442" t="s">
        <v>440</v>
      </c>
      <c r="E25" s="441" t="s">
        <v>484</v>
      </c>
      <c r="F25" s="442" t="s">
        <v>485</v>
      </c>
      <c r="G25" s="441" t="s">
        <v>526</v>
      </c>
      <c r="H25" s="441" t="s">
        <v>527</v>
      </c>
      <c r="I25" s="444">
        <v>2662</v>
      </c>
      <c r="J25" s="444">
        <v>1</v>
      </c>
      <c r="K25" s="445">
        <v>2662</v>
      </c>
    </row>
    <row r="26" spans="1:11" ht="14.4" customHeight="1" x14ac:dyDescent="0.3">
      <c r="A26" s="439" t="s">
        <v>432</v>
      </c>
      <c r="B26" s="440" t="s">
        <v>433</v>
      </c>
      <c r="C26" s="441" t="s">
        <v>439</v>
      </c>
      <c r="D26" s="442" t="s">
        <v>440</v>
      </c>
      <c r="E26" s="441" t="s">
        <v>484</v>
      </c>
      <c r="F26" s="442" t="s">
        <v>485</v>
      </c>
      <c r="G26" s="441" t="s">
        <v>528</v>
      </c>
      <c r="H26" s="441" t="s">
        <v>529</v>
      </c>
      <c r="I26" s="444">
        <v>2855.5999755859375</v>
      </c>
      <c r="J26" s="444">
        <v>2</v>
      </c>
      <c r="K26" s="445">
        <v>5711.199951171875</v>
      </c>
    </row>
    <row r="27" spans="1:11" ht="14.4" customHeight="1" x14ac:dyDescent="0.3">
      <c r="A27" s="439" t="s">
        <v>432</v>
      </c>
      <c r="B27" s="440" t="s">
        <v>433</v>
      </c>
      <c r="C27" s="441" t="s">
        <v>439</v>
      </c>
      <c r="D27" s="442" t="s">
        <v>440</v>
      </c>
      <c r="E27" s="441" t="s">
        <v>484</v>
      </c>
      <c r="F27" s="442" t="s">
        <v>485</v>
      </c>
      <c r="G27" s="441" t="s">
        <v>530</v>
      </c>
      <c r="H27" s="441" t="s">
        <v>531</v>
      </c>
      <c r="I27" s="444">
        <v>15276.2802734375</v>
      </c>
      <c r="J27" s="444">
        <v>1</v>
      </c>
      <c r="K27" s="445">
        <v>15276.2802734375</v>
      </c>
    </row>
    <row r="28" spans="1:11" ht="14.4" customHeight="1" x14ac:dyDescent="0.3">
      <c r="A28" s="439" t="s">
        <v>432</v>
      </c>
      <c r="B28" s="440" t="s">
        <v>433</v>
      </c>
      <c r="C28" s="441" t="s">
        <v>439</v>
      </c>
      <c r="D28" s="442" t="s">
        <v>440</v>
      </c>
      <c r="E28" s="441" t="s">
        <v>484</v>
      </c>
      <c r="F28" s="442" t="s">
        <v>485</v>
      </c>
      <c r="G28" s="441" t="s">
        <v>532</v>
      </c>
      <c r="H28" s="441" t="s">
        <v>533</v>
      </c>
      <c r="I28" s="444">
        <v>1930.56005859375</v>
      </c>
      <c r="J28" s="444">
        <v>1</v>
      </c>
      <c r="K28" s="445">
        <v>1930.56005859375</v>
      </c>
    </row>
    <row r="29" spans="1:11" ht="14.4" customHeight="1" x14ac:dyDescent="0.3">
      <c r="A29" s="439" t="s">
        <v>432</v>
      </c>
      <c r="B29" s="440" t="s">
        <v>433</v>
      </c>
      <c r="C29" s="441" t="s">
        <v>439</v>
      </c>
      <c r="D29" s="442" t="s">
        <v>440</v>
      </c>
      <c r="E29" s="441" t="s">
        <v>484</v>
      </c>
      <c r="F29" s="442" t="s">
        <v>485</v>
      </c>
      <c r="G29" s="441" t="s">
        <v>534</v>
      </c>
      <c r="H29" s="441" t="s">
        <v>535</v>
      </c>
      <c r="I29" s="444">
        <v>2662</v>
      </c>
      <c r="J29" s="444">
        <v>1</v>
      </c>
      <c r="K29" s="445">
        <v>2662</v>
      </c>
    </row>
    <row r="30" spans="1:11" ht="14.4" customHeight="1" x14ac:dyDescent="0.3">
      <c r="A30" s="439" t="s">
        <v>432</v>
      </c>
      <c r="B30" s="440" t="s">
        <v>433</v>
      </c>
      <c r="C30" s="441" t="s">
        <v>439</v>
      </c>
      <c r="D30" s="442" t="s">
        <v>440</v>
      </c>
      <c r="E30" s="441" t="s">
        <v>484</v>
      </c>
      <c r="F30" s="442" t="s">
        <v>485</v>
      </c>
      <c r="G30" s="441" t="s">
        <v>536</v>
      </c>
      <c r="H30" s="441" t="s">
        <v>537</v>
      </c>
      <c r="I30" s="444">
        <v>2662.010009765625</v>
      </c>
      <c r="J30" s="444">
        <v>1</v>
      </c>
      <c r="K30" s="445">
        <v>2662.010009765625</v>
      </c>
    </row>
    <row r="31" spans="1:11" ht="14.4" customHeight="1" x14ac:dyDescent="0.3">
      <c r="A31" s="439" t="s">
        <v>432</v>
      </c>
      <c r="B31" s="440" t="s">
        <v>433</v>
      </c>
      <c r="C31" s="441" t="s">
        <v>439</v>
      </c>
      <c r="D31" s="442" t="s">
        <v>440</v>
      </c>
      <c r="E31" s="441" t="s">
        <v>484</v>
      </c>
      <c r="F31" s="442" t="s">
        <v>485</v>
      </c>
      <c r="G31" s="441" t="s">
        <v>538</v>
      </c>
      <c r="H31" s="441" t="s">
        <v>539</v>
      </c>
      <c r="I31" s="444">
        <v>2662</v>
      </c>
      <c r="J31" s="444">
        <v>1</v>
      </c>
      <c r="K31" s="445">
        <v>2662</v>
      </c>
    </row>
    <row r="32" spans="1:11" ht="14.4" customHeight="1" x14ac:dyDescent="0.3">
      <c r="A32" s="439" t="s">
        <v>432</v>
      </c>
      <c r="B32" s="440" t="s">
        <v>433</v>
      </c>
      <c r="C32" s="441" t="s">
        <v>439</v>
      </c>
      <c r="D32" s="442" t="s">
        <v>440</v>
      </c>
      <c r="E32" s="441" t="s">
        <v>484</v>
      </c>
      <c r="F32" s="442" t="s">
        <v>485</v>
      </c>
      <c r="G32" s="441" t="s">
        <v>540</v>
      </c>
      <c r="H32" s="441" t="s">
        <v>541</v>
      </c>
      <c r="I32" s="444">
        <v>1208.7900390625</v>
      </c>
      <c r="J32" s="444">
        <v>1</v>
      </c>
      <c r="K32" s="445">
        <v>1208.7900390625</v>
      </c>
    </row>
    <row r="33" spans="1:11" ht="14.4" customHeight="1" x14ac:dyDescent="0.3">
      <c r="A33" s="439" t="s">
        <v>432</v>
      </c>
      <c r="B33" s="440" t="s">
        <v>433</v>
      </c>
      <c r="C33" s="441" t="s">
        <v>439</v>
      </c>
      <c r="D33" s="442" t="s">
        <v>440</v>
      </c>
      <c r="E33" s="441" t="s">
        <v>484</v>
      </c>
      <c r="F33" s="442" t="s">
        <v>485</v>
      </c>
      <c r="G33" s="441" t="s">
        <v>542</v>
      </c>
      <c r="H33" s="441" t="s">
        <v>543</v>
      </c>
      <c r="I33" s="444">
        <v>1547.5899658203125</v>
      </c>
      <c r="J33" s="444">
        <v>1</v>
      </c>
      <c r="K33" s="445">
        <v>1547.5899658203125</v>
      </c>
    </row>
    <row r="34" spans="1:11" ht="14.4" customHeight="1" x14ac:dyDescent="0.3">
      <c r="A34" s="439" t="s">
        <v>432</v>
      </c>
      <c r="B34" s="440" t="s">
        <v>433</v>
      </c>
      <c r="C34" s="441" t="s">
        <v>439</v>
      </c>
      <c r="D34" s="442" t="s">
        <v>440</v>
      </c>
      <c r="E34" s="441" t="s">
        <v>484</v>
      </c>
      <c r="F34" s="442" t="s">
        <v>485</v>
      </c>
      <c r="G34" s="441" t="s">
        <v>544</v>
      </c>
      <c r="H34" s="441" t="s">
        <v>545</v>
      </c>
      <c r="I34" s="444">
        <v>4428.58984375</v>
      </c>
      <c r="J34" s="444">
        <v>1</v>
      </c>
      <c r="K34" s="445">
        <v>4428.58984375</v>
      </c>
    </row>
    <row r="35" spans="1:11" ht="14.4" customHeight="1" x14ac:dyDescent="0.3">
      <c r="A35" s="439" t="s">
        <v>432</v>
      </c>
      <c r="B35" s="440" t="s">
        <v>433</v>
      </c>
      <c r="C35" s="441" t="s">
        <v>439</v>
      </c>
      <c r="D35" s="442" t="s">
        <v>440</v>
      </c>
      <c r="E35" s="441" t="s">
        <v>484</v>
      </c>
      <c r="F35" s="442" t="s">
        <v>485</v>
      </c>
      <c r="G35" s="441" t="s">
        <v>546</v>
      </c>
      <c r="H35" s="441" t="s">
        <v>547</v>
      </c>
      <c r="I35" s="444">
        <v>4428.58984375</v>
      </c>
      <c r="J35" s="444">
        <v>1</v>
      </c>
      <c r="K35" s="445">
        <v>4428.58984375</v>
      </c>
    </row>
    <row r="36" spans="1:11" ht="14.4" customHeight="1" x14ac:dyDescent="0.3">
      <c r="A36" s="439" t="s">
        <v>432</v>
      </c>
      <c r="B36" s="440" t="s">
        <v>433</v>
      </c>
      <c r="C36" s="441" t="s">
        <v>439</v>
      </c>
      <c r="D36" s="442" t="s">
        <v>440</v>
      </c>
      <c r="E36" s="441" t="s">
        <v>484</v>
      </c>
      <c r="F36" s="442" t="s">
        <v>485</v>
      </c>
      <c r="G36" s="441" t="s">
        <v>548</v>
      </c>
      <c r="H36" s="441" t="s">
        <v>549</v>
      </c>
      <c r="I36" s="444">
        <v>6630</v>
      </c>
      <c r="J36" s="444">
        <v>1</v>
      </c>
      <c r="K36" s="445">
        <v>6630</v>
      </c>
    </row>
    <row r="37" spans="1:11" ht="14.4" customHeight="1" x14ac:dyDescent="0.3">
      <c r="A37" s="439" t="s">
        <v>432</v>
      </c>
      <c r="B37" s="440" t="s">
        <v>433</v>
      </c>
      <c r="C37" s="441" t="s">
        <v>439</v>
      </c>
      <c r="D37" s="442" t="s">
        <v>440</v>
      </c>
      <c r="E37" s="441" t="s">
        <v>484</v>
      </c>
      <c r="F37" s="442" t="s">
        <v>485</v>
      </c>
      <c r="G37" s="441" t="s">
        <v>550</v>
      </c>
      <c r="H37" s="441" t="s">
        <v>551</v>
      </c>
      <c r="I37" s="444">
        <v>344.83270263671875</v>
      </c>
      <c r="J37" s="444">
        <v>20</v>
      </c>
      <c r="K37" s="445">
        <v>6896.6000366210937</v>
      </c>
    </row>
    <row r="38" spans="1:11" ht="14.4" customHeight="1" x14ac:dyDescent="0.3">
      <c r="A38" s="439" t="s">
        <v>432</v>
      </c>
      <c r="B38" s="440" t="s">
        <v>433</v>
      </c>
      <c r="C38" s="441" t="s">
        <v>439</v>
      </c>
      <c r="D38" s="442" t="s">
        <v>440</v>
      </c>
      <c r="E38" s="441" t="s">
        <v>484</v>
      </c>
      <c r="F38" s="442" t="s">
        <v>485</v>
      </c>
      <c r="G38" s="441" t="s">
        <v>552</v>
      </c>
      <c r="H38" s="441" t="s">
        <v>553</v>
      </c>
      <c r="I38" s="444">
        <v>114.92799987792969</v>
      </c>
      <c r="J38" s="444">
        <v>9</v>
      </c>
      <c r="K38" s="445">
        <v>1034.9100189208984</v>
      </c>
    </row>
    <row r="39" spans="1:11" ht="14.4" customHeight="1" x14ac:dyDescent="0.3">
      <c r="A39" s="439" t="s">
        <v>432</v>
      </c>
      <c r="B39" s="440" t="s">
        <v>433</v>
      </c>
      <c r="C39" s="441" t="s">
        <v>439</v>
      </c>
      <c r="D39" s="442" t="s">
        <v>440</v>
      </c>
      <c r="E39" s="441" t="s">
        <v>484</v>
      </c>
      <c r="F39" s="442" t="s">
        <v>485</v>
      </c>
      <c r="G39" s="441" t="s">
        <v>554</v>
      </c>
      <c r="H39" s="441" t="s">
        <v>555</v>
      </c>
      <c r="I39" s="444">
        <v>81.069999694824219</v>
      </c>
      <c r="J39" s="444">
        <v>50</v>
      </c>
      <c r="K39" s="445">
        <v>4053.5</v>
      </c>
    </row>
    <row r="40" spans="1:11" ht="14.4" customHeight="1" x14ac:dyDescent="0.3">
      <c r="A40" s="439" t="s">
        <v>432</v>
      </c>
      <c r="B40" s="440" t="s">
        <v>433</v>
      </c>
      <c r="C40" s="441" t="s">
        <v>439</v>
      </c>
      <c r="D40" s="442" t="s">
        <v>440</v>
      </c>
      <c r="E40" s="441" t="s">
        <v>484</v>
      </c>
      <c r="F40" s="442" t="s">
        <v>485</v>
      </c>
      <c r="G40" s="441" t="s">
        <v>556</v>
      </c>
      <c r="H40" s="441" t="s">
        <v>557</v>
      </c>
      <c r="I40" s="444">
        <v>461</v>
      </c>
      <c r="J40" s="444">
        <v>31</v>
      </c>
      <c r="K40" s="445">
        <v>14291</v>
      </c>
    </row>
    <row r="41" spans="1:11" ht="14.4" customHeight="1" x14ac:dyDescent="0.3">
      <c r="A41" s="439" t="s">
        <v>432</v>
      </c>
      <c r="B41" s="440" t="s">
        <v>433</v>
      </c>
      <c r="C41" s="441" t="s">
        <v>439</v>
      </c>
      <c r="D41" s="442" t="s">
        <v>440</v>
      </c>
      <c r="E41" s="441" t="s">
        <v>484</v>
      </c>
      <c r="F41" s="442" t="s">
        <v>485</v>
      </c>
      <c r="G41" s="441" t="s">
        <v>558</v>
      </c>
      <c r="H41" s="441" t="s">
        <v>559</v>
      </c>
      <c r="I41" s="444">
        <v>196.02000427246094</v>
      </c>
      <c r="J41" s="444">
        <v>15</v>
      </c>
      <c r="K41" s="445">
        <v>2940.300048828125</v>
      </c>
    </row>
    <row r="42" spans="1:11" ht="14.4" customHeight="1" x14ac:dyDescent="0.3">
      <c r="A42" s="439" t="s">
        <v>432</v>
      </c>
      <c r="B42" s="440" t="s">
        <v>433</v>
      </c>
      <c r="C42" s="441" t="s">
        <v>439</v>
      </c>
      <c r="D42" s="442" t="s">
        <v>440</v>
      </c>
      <c r="E42" s="441" t="s">
        <v>484</v>
      </c>
      <c r="F42" s="442" t="s">
        <v>485</v>
      </c>
      <c r="G42" s="441" t="s">
        <v>560</v>
      </c>
      <c r="H42" s="441" t="s">
        <v>561</v>
      </c>
      <c r="I42" s="444">
        <v>97.660003662109375</v>
      </c>
      <c r="J42" s="444">
        <v>1</v>
      </c>
      <c r="K42" s="445">
        <v>97.660003662109375</v>
      </c>
    </row>
    <row r="43" spans="1:11" ht="14.4" customHeight="1" x14ac:dyDescent="0.3">
      <c r="A43" s="439" t="s">
        <v>432</v>
      </c>
      <c r="B43" s="440" t="s">
        <v>433</v>
      </c>
      <c r="C43" s="441" t="s">
        <v>439</v>
      </c>
      <c r="D43" s="442" t="s">
        <v>440</v>
      </c>
      <c r="E43" s="441" t="s">
        <v>484</v>
      </c>
      <c r="F43" s="442" t="s">
        <v>485</v>
      </c>
      <c r="G43" s="441" t="s">
        <v>562</v>
      </c>
      <c r="H43" s="441" t="s">
        <v>563</v>
      </c>
      <c r="I43" s="444">
        <v>3.3499999046325684</v>
      </c>
      <c r="J43" s="444">
        <v>500</v>
      </c>
      <c r="K43" s="445">
        <v>1677.06005859375</v>
      </c>
    </row>
    <row r="44" spans="1:11" ht="14.4" customHeight="1" x14ac:dyDescent="0.3">
      <c r="A44" s="439" t="s">
        <v>432</v>
      </c>
      <c r="B44" s="440" t="s">
        <v>433</v>
      </c>
      <c r="C44" s="441" t="s">
        <v>439</v>
      </c>
      <c r="D44" s="442" t="s">
        <v>440</v>
      </c>
      <c r="E44" s="441" t="s">
        <v>484</v>
      </c>
      <c r="F44" s="442" t="s">
        <v>485</v>
      </c>
      <c r="G44" s="441" t="s">
        <v>564</v>
      </c>
      <c r="H44" s="441" t="s">
        <v>565</v>
      </c>
      <c r="I44" s="444">
        <v>260.1875</v>
      </c>
      <c r="J44" s="444">
        <v>6</v>
      </c>
      <c r="K44" s="445">
        <v>1473.75</v>
      </c>
    </row>
    <row r="45" spans="1:11" ht="14.4" customHeight="1" x14ac:dyDescent="0.3">
      <c r="A45" s="439" t="s">
        <v>432</v>
      </c>
      <c r="B45" s="440" t="s">
        <v>433</v>
      </c>
      <c r="C45" s="441" t="s">
        <v>439</v>
      </c>
      <c r="D45" s="442" t="s">
        <v>440</v>
      </c>
      <c r="E45" s="441" t="s">
        <v>484</v>
      </c>
      <c r="F45" s="442" t="s">
        <v>485</v>
      </c>
      <c r="G45" s="441" t="s">
        <v>566</v>
      </c>
      <c r="H45" s="441" t="s">
        <v>567</v>
      </c>
      <c r="I45" s="444">
        <v>2.7100000381469727</v>
      </c>
      <c r="J45" s="444">
        <v>500</v>
      </c>
      <c r="K45" s="445">
        <v>1354.22998046875</v>
      </c>
    </row>
    <row r="46" spans="1:11" ht="14.4" customHeight="1" x14ac:dyDescent="0.3">
      <c r="A46" s="439" t="s">
        <v>432</v>
      </c>
      <c r="B46" s="440" t="s">
        <v>433</v>
      </c>
      <c r="C46" s="441" t="s">
        <v>439</v>
      </c>
      <c r="D46" s="442" t="s">
        <v>440</v>
      </c>
      <c r="E46" s="441" t="s">
        <v>484</v>
      </c>
      <c r="F46" s="442" t="s">
        <v>485</v>
      </c>
      <c r="G46" s="441" t="s">
        <v>568</v>
      </c>
      <c r="H46" s="441" t="s">
        <v>569</v>
      </c>
      <c r="I46" s="444">
        <v>73.006665547688797</v>
      </c>
      <c r="J46" s="444">
        <v>6</v>
      </c>
      <c r="K46" s="445">
        <v>438.01999664306641</v>
      </c>
    </row>
    <row r="47" spans="1:11" ht="14.4" customHeight="1" x14ac:dyDescent="0.3">
      <c r="A47" s="439" t="s">
        <v>432</v>
      </c>
      <c r="B47" s="440" t="s">
        <v>433</v>
      </c>
      <c r="C47" s="441" t="s">
        <v>439</v>
      </c>
      <c r="D47" s="442" t="s">
        <v>440</v>
      </c>
      <c r="E47" s="441" t="s">
        <v>484</v>
      </c>
      <c r="F47" s="442" t="s">
        <v>485</v>
      </c>
      <c r="G47" s="441" t="s">
        <v>570</v>
      </c>
      <c r="H47" s="441" t="s">
        <v>571</v>
      </c>
      <c r="I47" s="444">
        <v>4410.4599609375</v>
      </c>
      <c r="J47" s="444">
        <v>1</v>
      </c>
      <c r="K47" s="445">
        <v>4410.4599609375</v>
      </c>
    </row>
    <row r="48" spans="1:11" ht="14.4" customHeight="1" x14ac:dyDescent="0.3">
      <c r="A48" s="439" t="s">
        <v>432</v>
      </c>
      <c r="B48" s="440" t="s">
        <v>433</v>
      </c>
      <c r="C48" s="441" t="s">
        <v>439</v>
      </c>
      <c r="D48" s="442" t="s">
        <v>440</v>
      </c>
      <c r="E48" s="441" t="s">
        <v>484</v>
      </c>
      <c r="F48" s="442" t="s">
        <v>485</v>
      </c>
      <c r="G48" s="441" t="s">
        <v>572</v>
      </c>
      <c r="H48" s="441" t="s">
        <v>573</v>
      </c>
      <c r="I48" s="444">
        <v>85.305000305175781</v>
      </c>
      <c r="J48" s="444">
        <v>12</v>
      </c>
      <c r="K48" s="445">
        <v>1023.6600036621094</v>
      </c>
    </row>
    <row r="49" spans="1:11" ht="14.4" customHeight="1" x14ac:dyDescent="0.3">
      <c r="A49" s="439" t="s">
        <v>432</v>
      </c>
      <c r="B49" s="440" t="s">
        <v>433</v>
      </c>
      <c r="C49" s="441" t="s">
        <v>439</v>
      </c>
      <c r="D49" s="442" t="s">
        <v>440</v>
      </c>
      <c r="E49" s="441" t="s">
        <v>484</v>
      </c>
      <c r="F49" s="442" t="s">
        <v>485</v>
      </c>
      <c r="G49" s="441" t="s">
        <v>574</v>
      </c>
      <c r="H49" s="441" t="s">
        <v>575</v>
      </c>
      <c r="I49" s="444">
        <v>30.25</v>
      </c>
      <c r="J49" s="444">
        <v>20</v>
      </c>
      <c r="K49" s="445">
        <v>605</v>
      </c>
    </row>
    <row r="50" spans="1:11" ht="14.4" customHeight="1" x14ac:dyDescent="0.3">
      <c r="A50" s="439" t="s">
        <v>432</v>
      </c>
      <c r="B50" s="440" t="s">
        <v>433</v>
      </c>
      <c r="C50" s="441" t="s">
        <v>439</v>
      </c>
      <c r="D50" s="442" t="s">
        <v>440</v>
      </c>
      <c r="E50" s="441" t="s">
        <v>484</v>
      </c>
      <c r="F50" s="442" t="s">
        <v>485</v>
      </c>
      <c r="G50" s="441" t="s">
        <v>576</v>
      </c>
      <c r="H50" s="441" t="s">
        <v>577</v>
      </c>
      <c r="I50" s="444">
        <v>1643.949951171875</v>
      </c>
      <c r="J50" s="444">
        <v>1</v>
      </c>
      <c r="K50" s="445">
        <v>1643.949951171875</v>
      </c>
    </row>
    <row r="51" spans="1:11" ht="14.4" customHeight="1" x14ac:dyDescent="0.3">
      <c r="A51" s="439" t="s">
        <v>432</v>
      </c>
      <c r="B51" s="440" t="s">
        <v>433</v>
      </c>
      <c r="C51" s="441" t="s">
        <v>439</v>
      </c>
      <c r="D51" s="442" t="s">
        <v>440</v>
      </c>
      <c r="E51" s="441" t="s">
        <v>484</v>
      </c>
      <c r="F51" s="442" t="s">
        <v>485</v>
      </c>
      <c r="G51" s="441" t="s">
        <v>578</v>
      </c>
      <c r="H51" s="441" t="s">
        <v>579</v>
      </c>
      <c r="I51" s="444">
        <v>617.0679931640625</v>
      </c>
      <c r="J51" s="444">
        <v>5</v>
      </c>
      <c r="K51" s="445">
        <v>3085.340087890625</v>
      </c>
    </row>
    <row r="52" spans="1:11" ht="14.4" customHeight="1" x14ac:dyDescent="0.3">
      <c r="A52" s="439" t="s">
        <v>432</v>
      </c>
      <c r="B52" s="440" t="s">
        <v>433</v>
      </c>
      <c r="C52" s="441" t="s">
        <v>439</v>
      </c>
      <c r="D52" s="442" t="s">
        <v>440</v>
      </c>
      <c r="E52" s="441" t="s">
        <v>484</v>
      </c>
      <c r="F52" s="442" t="s">
        <v>485</v>
      </c>
      <c r="G52" s="441" t="s">
        <v>580</v>
      </c>
      <c r="H52" s="441" t="s">
        <v>581</v>
      </c>
      <c r="I52" s="444">
        <v>108.90000152587891</v>
      </c>
      <c r="J52" s="444">
        <v>20</v>
      </c>
      <c r="K52" s="445">
        <v>2178</v>
      </c>
    </row>
    <row r="53" spans="1:11" ht="14.4" customHeight="1" x14ac:dyDescent="0.3">
      <c r="A53" s="439" t="s">
        <v>432</v>
      </c>
      <c r="B53" s="440" t="s">
        <v>433</v>
      </c>
      <c r="C53" s="441" t="s">
        <v>439</v>
      </c>
      <c r="D53" s="442" t="s">
        <v>440</v>
      </c>
      <c r="E53" s="441" t="s">
        <v>484</v>
      </c>
      <c r="F53" s="442" t="s">
        <v>485</v>
      </c>
      <c r="G53" s="441" t="s">
        <v>582</v>
      </c>
      <c r="H53" s="441" t="s">
        <v>583</v>
      </c>
      <c r="I53" s="444">
        <v>1830.75</v>
      </c>
      <c r="J53" s="444">
        <v>2</v>
      </c>
      <c r="K53" s="445">
        <v>3661.5</v>
      </c>
    </row>
    <row r="54" spans="1:11" ht="14.4" customHeight="1" x14ac:dyDescent="0.3">
      <c r="A54" s="439" t="s">
        <v>432</v>
      </c>
      <c r="B54" s="440" t="s">
        <v>433</v>
      </c>
      <c r="C54" s="441" t="s">
        <v>439</v>
      </c>
      <c r="D54" s="442" t="s">
        <v>440</v>
      </c>
      <c r="E54" s="441" t="s">
        <v>484</v>
      </c>
      <c r="F54" s="442" t="s">
        <v>485</v>
      </c>
      <c r="G54" s="441" t="s">
        <v>584</v>
      </c>
      <c r="H54" s="441" t="s">
        <v>585</v>
      </c>
      <c r="I54" s="444">
        <v>0.15999999642372131</v>
      </c>
      <c r="J54" s="444">
        <v>3000</v>
      </c>
      <c r="K54" s="445">
        <v>475.52999877929687</v>
      </c>
    </row>
    <row r="55" spans="1:11" ht="14.4" customHeight="1" x14ac:dyDescent="0.3">
      <c r="A55" s="439" t="s">
        <v>432</v>
      </c>
      <c r="B55" s="440" t="s">
        <v>433</v>
      </c>
      <c r="C55" s="441" t="s">
        <v>439</v>
      </c>
      <c r="D55" s="442" t="s">
        <v>440</v>
      </c>
      <c r="E55" s="441" t="s">
        <v>484</v>
      </c>
      <c r="F55" s="442" t="s">
        <v>485</v>
      </c>
      <c r="G55" s="441" t="s">
        <v>586</v>
      </c>
      <c r="H55" s="441" t="s">
        <v>587</v>
      </c>
      <c r="I55" s="444">
        <v>5.9999998658895493E-2</v>
      </c>
      <c r="J55" s="444">
        <v>22000</v>
      </c>
      <c r="K55" s="445">
        <v>1322.3699951171875</v>
      </c>
    </row>
    <row r="56" spans="1:11" ht="14.4" customHeight="1" x14ac:dyDescent="0.3">
      <c r="A56" s="439" t="s">
        <v>432</v>
      </c>
      <c r="B56" s="440" t="s">
        <v>433</v>
      </c>
      <c r="C56" s="441" t="s">
        <v>439</v>
      </c>
      <c r="D56" s="442" t="s">
        <v>440</v>
      </c>
      <c r="E56" s="441" t="s">
        <v>484</v>
      </c>
      <c r="F56" s="442" t="s">
        <v>485</v>
      </c>
      <c r="G56" s="441" t="s">
        <v>588</v>
      </c>
      <c r="H56" s="441" t="s">
        <v>589</v>
      </c>
      <c r="I56" s="444">
        <v>847</v>
      </c>
      <c r="J56" s="444">
        <v>30</v>
      </c>
      <c r="K56" s="445">
        <v>25410</v>
      </c>
    </row>
    <row r="57" spans="1:11" ht="14.4" customHeight="1" x14ac:dyDescent="0.3">
      <c r="A57" s="439" t="s">
        <v>432</v>
      </c>
      <c r="B57" s="440" t="s">
        <v>433</v>
      </c>
      <c r="C57" s="441" t="s">
        <v>439</v>
      </c>
      <c r="D57" s="442" t="s">
        <v>440</v>
      </c>
      <c r="E57" s="441" t="s">
        <v>484</v>
      </c>
      <c r="F57" s="442" t="s">
        <v>485</v>
      </c>
      <c r="G57" s="441" t="s">
        <v>590</v>
      </c>
      <c r="H57" s="441" t="s">
        <v>591</v>
      </c>
      <c r="I57" s="444">
        <v>15.630000114440918</v>
      </c>
      <c r="J57" s="444">
        <v>25</v>
      </c>
      <c r="K57" s="445">
        <v>390.82998657226562</v>
      </c>
    </row>
    <row r="58" spans="1:11" ht="14.4" customHeight="1" x14ac:dyDescent="0.3">
      <c r="A58" s="439" t="s">
        <v>432</v>
      </c>
      <c r="B58" s="440" t="s">
        <v>433</v>
      </c>
      <c r="C58" s="441" t="s">
        <v>439</v>
      </c>
      <c r="D58" s="442" t="s">
        <v>440</v>
      </c>
      <c r="E58" s="441" t="s">
        <v>484</v>
      </c>
      <c r="F58" s="442" t="s">
        <v>485</v>
      </c>
      <c r="G58" s="441" t="s">
        <v>592</v>
      </c>
      <c r="H58" s="441" t="s">
        <v>593</v>
      </c>
      <c r="I58" s="444">
        <v>1222.0999755859375</v>
      </c>
      <c r="J58" s="444">
        <v>1</v>
      </c>
      <c r="K58" s="445">
        <v>1222.0999755859375</v>
      </c>
    </row>
    <row r="59" spans="1:11" ht="14.4" customHeight="1" x14ac:dyDescent="0.3">
      <c r="A59" s="439" t="s">
        <v>432</v>
      </c>
      <c r="B59" s="440" t="s">
        <v>433</v>
      </c>
      <c r="C59" s="441" t="s">
        <v>439</v>
      </c>
      <c r="D59" s="442" t="s">
        <v>440</v>
      </c>
      <c r="E59" s="441" t="s">
        <v>484</v>
      </c>
      <c r="F59" s="442" t="s">
        <v>485</v>
      </c>
      <c r="G59" s="441" t="s">
        <v>594</v>
      </c>
      <c r="H59" s="441" t="s">
        <v>595</v>
      </c>
      <c r="I59" s="444">
        <v>0.40000000596046448</v>
      </c>
      <c r="J59" s="444">
        <v>1000</v>
      </c>
      <c r="K59" s="445">
        <v>395.67001342773437</v>
      </c>
    </row>
    <row r="60" spans="1:11" ht="14.4" customHeight="1" x14ac:dyDescent="0.3">
      <c r="A60" s="439" t="s">
        <v>432</v>
      </c>
      <c r="B60" s="440" t="s">
        <v>433</v>
      </c>
      <c r="C60" s="441" t="s">
        <v>439</v>
      </c>
      <c r="D60" s="442" t="s">
        <v>440</v>
      </c>
      <c r="E60" s="441" t="s">
        <v>484</v>
      </c>
      <c r="F60" s="442" t="s">
        <v>485</v>
      </c>
      <c r="G60" s="441" t="s">
        <v>596</v>
      </c>
      <c r="H60" s="441" t="s">
        <v>597</v>
      </c>
      <c r="I60" s="444">
        <v>61.290000915527344</v>
      </c>
      <c r="J60" s="444">
        <v>6</v>
      </c>
      <c r="K60" s="445">
        <v>366.15000152587891</v>
      </c>
    </row>
    <row r="61" spans="1:11" ht="14.4" customHeight="1" x14ac:dyDescent="0.3">
      <c r="A61" s="439" t="s">
        <v>432</v>
      </c>
      <c r="B61" s="440" t="s">
        <v>433</v>
      </c>
      <c r="C61" s="441" t="s">
        <v>439</v>
      </c>
      <c r="D61" s="442" t="s">
        <v>440</v>
      </c>
      <c r="E61" s="441" t="s">
        <v>484</v>
      </c>
      <c r="F61" s="442" t="s">
        <v>485</v>
      </c>
      <c r="G61" s="441" t="s">
        <v>598</v>
      </c>
      <c r="H61" s="441" t="s">
        <v>599</v>
      </c>
      <c r="I61" s="444">
        <v>1282.5999755859375</v>
      </c>
      <c r="J61" s="444">
        <v>1</v>
      </c>
      <c r="K61" s="445">
        <v>1282.5999755859375</v>
      </c>
    </row>
    <row r="62" spans="1:11" ht="14.4" customHeight="1" x14ac:dyDescent="0.3">
      <c r="A62" s="439" t="s">
        <v>432</v>
      </c>
      <c r="B62" s="440" t="s">
        <v>433</v>
      </c>
      <c r="C62" s="441" t="s">
        <v>439</v>
      </c>
      <c r="D62" s="442" t="s">
        <v>440</v>
      </c>
      <c r="E62" s="441" t="s">
        <v>484</v>
      </c>
      <c r="F62" s="442" t="s">
        <v>485</v>
      </c>
      <c r="G62" s="441" t="s">
        <v>600</v>
      </c>
      <c r="H62" s="441" t="s">
        <v>601</v>
      </c>
      <c r="I62" s="444">
        <v>2597.300048828125</v>
      </c>
      <c r="J62" s="444">
        <v>1</v>
      </c>
      <c r="K62" s="445">
        <v>2597.300048828125</v>
      </c>
    </row>
    <row r="63" spans="1:11" ht="14.4" customHeight="1" x14ac:dyDescent="0.3">
      <c r="A63" s="439" t="s">
        <v>432</v>
      </c>
      <c r="B63" s="440" t="s">
        <v>433</v>
      </c>
      <c r="C63" s="441" t="s">
        <v>439</v>
      </c>
      <c r="D63" s="442" t="s">
        <v>440</v>
      </c>
      <c r="E63" s="441" t="s">
        <v>602</v>
      </c>
      <c r="F63" s="442" t="s">
        <v>603</v>
      </c>
      <c r="G63" s="441" t="s">
        <v>604</v>
      </c>
      <c r="H63" s="441" t="s">
        <v>605</v>
      </c>
      <c r="I63" s="444">
        <v>76.230003356933594</v>
      </c>
      <c r="J63" s="444">
        <v>4</v>
      </c>
      <c r="K63" s="445">
        <v>304.92001342773437</v>
      </c>
    </row>
    <row r="64" spans="1:11" ht="14.4" customHeight="1" x14ac:dyDescent="0.3">
      <c r="A64" s="439" t="s">
        <v>432</v>
      </c>
      <c r="B64" s="440" t="s">
        <v>433</v>
      </c>
      <c r="C64" s="441" t="s">
        <v>439</v>
      </c>
      <c r="D64" s="442" t="s">
        <v>440</v>
      </c>
      <c r="E64" s="441" t="s">
        <v>602</v>
      </c>
      <c r="F64" s="442" t="s">
        <v>603</v>
      </c>
      <c r="G64" s="441" t="s">
        <v>606</v>
      </c>
      <c r="H64" s="441" t="s">
        <v>607</v>
      </c>
      <c r="I64" s="444">
        <v>0.25</v>
      </c>
      <c r="J64" s="444">
        <v>3000</v>
      </c>
      <c r="K64" s="445">
        <v>750</v>
      </c>
    </row>
    <row r="65" spans="1:11" ht="14.4" customHeight="1" x14ac:dyDescent="0.3">
      <c r="A65" s="439" t="s">
        <v>432</v>
      </c>
      <c r="B65" s="440" t="s">
        <v>433</v>
      </c>
      <c r="C65" s="441" t="s">
        <v>439</v>
      </c>
      <c r="D65" s="442" t="s">
        <v>440</v>
      </c>
      <c r="E65" s="441" t="s">
        <v>602</v>
      </c>
      <c r="F65" s="442" t="s">
        <v>603</v>
      </c>
      <c r="G65" s="441" t="s">
        <v>608</v>
      </c>
      <c r="H65" s="441" t="s">
        <v>609</v>
      </c>
      <c r="I65" s="444">
        <v>227.47999572753906</v>
      </c>
      <c r="J65" s="444">
        <v>20</v>
      </c>
      <c r="K65" s="445">
        <v>4549.60009765625</v>
      </c>
    </row>
    <row r="66" spans="1:11" ht="14.4" customHeight="1" x14ac:dyDescent="0.3">
      <c r="A66" s="439" t="s">
        <v>432</v>
      </c>
      <c r="B66" s="440" t="s">
        <v>433</v>
      </c>
      <c r="C66" s="441" t="s">
        <v>439</v>
      </c>
      <c r="D66" s="442" t="s">
        <v>440</v>
      </c>
      <c r="E66" s="441" t="s">
        <v>602</v>
      </c>
      <c r="F66" s="442" t="s">
        <v>603</v>
      </c>
      <c r="G66" s="441" t="s">
        <v>610</v>
      </c>
      <c r="H66" s="441" t="s">
        <v>611</v>
      </c>
      <c r="I66" s="444">
        <v>1232.989990234375</v>
      </c>
      <c r="J66" s="444">
        <v>2</v>
      </c>
      <c r="K66" s="445">
        <v>2465.97998046875</v>
      </c>
    </row>
    <row r="67" spans="1:11" ht="14.4" customHeight="1" x14ac:dyDescent="0.3">
      <c r="A67" s="439" t="s">
        <v>432</v>
      </c>
      <c r="B67" s="440" t="s">
        <v>433</v>
      </c>
      <c r="C67" s="441" t="s">
        <v>439</v>
      </c>
      <c r="D67" s="442" t="s">
        <v>440</v>
      </c>
      <c r="E67" s="441" t="s">
        <v>602</v>
      </c>
      <c r="F67" s="442" t="s">
        <v>603</v>
      </c>
      <c r="G67" s="441" t="s">
        <v>612</v>
      </c>
      <c r="H67" s="441" t="s">
        <v>613</v>
      </c>
      <c r="I67" s="444">
        <v>0.15999999642372131</v>
      </c>
      <c r="J67" s="444">
        <v>2000</v>
      </c>
      <c r="K67" s="445">
        <v>329.1199951171875</v>
      </c>
    </row>
    <row r="68" spans="1:11" ht="14.4" customHeight="1" x14ac:dyDescent="0.3">
      <c r="A68" s="439" t="s">
        <v>432</v>
      </c>
      <c r="B68" s="440" t="s">
        <v>433</v>
      </c>
      <c r="C68" s="441" t="s">
        <v>439</v>
      </c>
      <c r="D68" s="442" t="s">
        <v>440</v>
      </c>
      <c r="E68" s="441" t="s">
        <v>602</v>
      </c>
      <c r="F68" s="442" t="s">
        <v>603</v>
      </c>
      <c r="G68" s="441" t="s">
        <v>614</v>
      </c>
      <c r="H68" s="441" t="s">
        <v>615</v>
      </c>
      <c r="I68" s="444">
        <v>1.3999999761581421</v>
      </c>
      <c r="J68" s="444">
        <v>5000</v>
      </c>
      <c r="K68" s="445">
        <v>7018</v>
      </c>
    </row>
    <row r="69" spans="1:11" ht="14.4" customHeight="1" x14ac:dyDescent="0.3">
      <c r="A69" s="439" t="s">
        <v>432</v>
      </c>
      <c r="B69" s="440" t="s">
        <v>433</v>
      </c>
      <c r="C69" s="441" t="s">
        <v>439</v>
      </c>
      <c r="D69" s="442" t="s">
        <v>440</v>
      </c>
      <c r="E69" s="441" t="s">
        <v>602</v>
      </c>
      <c r="F69" s="442" t="s">
        <v>603</v>
      </c>
      <c r="G69" s="441" t="s">
        <v>616</v>
      </c>
      <c r="H69" s="441" t="s">
        <v>617</v>
      </c>
      <c r="I69" s="444">
        <v>53.069999694824219</v>
      </c>
      <c r="J69" s="444">
        <v>3</v>
      </c>
      <c r="K69" s="445">
        <v>159.19999694824219</v>
      </c>
    </row>
    <row r="70" spans="1:11" ht="14.4" customHeight="1" x14ac:dyDescent="0.3">
      <c r="A70" s="439" t="s">
        <v>432</v>
      </c>
      <c r="B70" s="440" t="s">
        <v>433</v>
      </c>
      <c r="C70" s="441" t="s">
        <v>439</v>
      </c>
      <c r="D70" s="442" t="s">
        <v>440</v>
      </c>
      <c r="E70" s="441" t="s">
        <v>602</v>
      </c>
      <c r="F70" s="442" t="s">
        <v>603</v>
      </c>
      <c r="G70" s="441" t="s">
        <v>618</v>
      </c>
      <c r="H70" s="441" t="s">
        <v>619</v>
      </c>
      <c r="I70" s="444">
        <v>53.069999694824219</v>
      </c>
      <c r="J70" s="444">
        <v>3</v>
      </c>
      <c r="K70" s="445">
        <v>159.19999694824219</v>
      </c>
    </row>
    <row r="71" spans="1:11" ht="14.4" customHeight="1" x14ac:dyDescent="0.3">
      <c r="A71" s="439" t="s">
        <v>432</v>
      </c>
      <c r="B71" s="440" t="s">
        <v>433</v>
      </c>
      <c r="C71" s="441" t="s">
        <v>439</v>
      </c>
      <c r="D71" s="442" t="s">
        <v>440</v>
      </c>
      <c r="E71" s="441" t="s">
        <v>602</v>
      </c>
      <c r="F71" s="442" t="s">
        <v>603</v>
      </c>
      <c r="G71" s="441" t="s">
        <v>620</v>
      </c>
      <c r="H71" s="441" t="s">
        <v>621</v>
      </c>
      <c r="I71" s="444">
        <v>5.713333447774251</v>
      </c>
      <c r="J71" s="444">
        <v>1500</v>
      </c>
      <c r="K71" s="445">
        <v>8572.97998046875</v>
      </c>
    </row>
    <row r="72" spans="1:11" ht="14.4" customHeight="1" x14ac:dyDescent="0.3">
      <c r="A72" s="439" t="s">
        <v>432</v>
      </c>
      <c r="B72" s="440" t="s">
        <v>433</v>
      </c>
      <c r="C72" s="441" t="s">
        <v>439</v>
      </c>
      <c r="D72" s="442" t="s">
        <v>440</v>
      </c>
      <c r="E72" s="441" t="s">
        <v>602</v>
      </c>
      <c r="F72" s="442" t="s">
        <v>603</v>
      </c>
      <c r="G72" s="441" t="s">
        <v>622</v>
      </c>
      <c r="H72" s="441" t="s">
        <v>623</v>
      </c>
      <c r="I72" s="444">
        <v>0.27800000309944151</v>
      </c>
      <c r="J72" s="444">
        <v>7000</v>
      </c>
      <c r="K72" s="445">
        <v>1946.3999328613281</v>
      </c>
    </row>
    <row r="73" spans="1:11" ht="14.4" customHeight="1" x14ac:dyDescent="0.3">
      <c r="A73" s="439" t="s">
        <v>432</v>
      </c>
      <c r="B73" s="440" t="s">
        <v>433</v>
      </c>
      <c r="C73" s="441" t="s">
        <v>439</v>
      </c>
      <c r="D73" s="442" t="s">
        <v>440</v>
      </c>
      <c r="E73" s="441" t="s">
        <v>602</v>
      </c>
      <c r="F73" s="442" t="s">
        <v>603</v>
      </c>
      <c r="G73" s="441" t="s">
        <v>624</v>
      </c>
      <c r="H73" s="441" t="s">
        <v>625</v>
      </c>
      <c r="I73" s="444">
        <v>1.5199999809265137</v>
      </c>
      <c r="J73" s="444">
        <v>2000</v>
      </c>
      <c r="K73" s="445">
        <v>3040</v>
      </c>
    </row>
    <row r="74" spans="1:11" ht="14.4" customHeight="1" x14ac:dyDescent="0.3">
      <c r="A74" s="439" t="s">
        <v>432</v>
      </c>
      <c r="B74" s="440" t="s">
        <v>433</v>
      </c>
      <c r="C74" s="441" t="s">
        <v>439</v>
      </c>
      <c r="D74" s="442" t="s">
        <v>440</v>
      </c>
      <c r="E74" s="441" t="s">
        <v>602</v>
      </c>
      <c r="F74" s="442" t="s">
        <v>603</v>
      </c>
      <c r="G74" s="441" t="s">
        <v>626</v>
      </c>
      <c r="H74" s="441" t="s">
        <v>627</v>
      </c>
      <c r="I74" s="444">
        <v>0.27000001072883606</v>
      </c>
      <c r="J74" s="444">
        <v>11000</v>
      </c>
      <c r="K74" s="445">
        <v>2928.2001342773437</v>
      </c>
    </row>
    <row r="75" spans="1:11" ht="14.4" customHeight="1" x14ac:dyDescent="0.3">
      <c r="A75" s="439" t="s">
        <v>432</v>
      </c>
      <c r="B75" s="440" t="s">
        <v>433</v>
      </c>
      <c r="C75" s="441" t="s">
        <v>439</v>
      </c>
      <c r="D75" s="442" t="s">
        <v>440</v>
      </c>
      <c r="E75" s="441" t="s">
        <v>602</v>
      </c>
      <c r="F75" s="442" t="s">
        <v>603</v>
      </c>
      <c r="G75" s="441" t="s">
        <v>628</v>
      </c>
      <c r="H75" s="441" t="s">
        <v>629</v>
      </c>
      <c r="I75" s="444">
        <v>5.690000057220459</v>
      </c>
      <c r="J75" s="444">
        <v>1500</v>
      </c>
      <c r="K75" s="445">
        <v>8536.420166015625</v>
      </c>
    </row>
    <row r="76" spans="1:11" ht="14.4" customHeight="1" x14ac:dyDescent="0.3">
      <c r="A76" s="439" t="s">
        <v>432</v>
      </c>
      <c r="B76" s="440" t="s">
        <v>433</v>
      </c>
      <c r="C76" s="441" t="s">
        <v>439</v>
      </c>
      <c r="D76" s="442" t="s">
        <v>440</v>
      </c>
      <c r="E76" s="441" t="s">
        <v>602</v>
      </c>
      <c r="F76" s="442" t="s">
        <v>603</v>
      </c>
      <c r="G76" s="441" t="s">
        <v>630</v>
      </c>
      <c r="H76" s="441" t="s">
        <v>631</v>
      </c>
      <c r="I76" s="444">
        <v>87.115001678466797</v>
      </c>
      <c r="J76" s="444">
        <v>5</v>
      </c>
      <c r="K76" s="445">
        <v>432.57000732421875</v>
      </c>
    </row>
    <row r="77" spans="1:11" ht="14.4" customHeight="1" x14ac:dyDescent="0.3">
      <c r="A77" s="439" t="s">
        <v>432</v>
      </c>
      <c r="B77" s="440" t="s">
        <v>433</v>
      </c>
      <c r="C77" s="441" t="s">
        <v>439</v>
      </c>
      <c r="D77" s="442" t="s">
        <v>440</v>
      </c>
      <c r="E77" s="441" t="s">
        <v>602</v>
      </c>
      <c r="F77" s="442" t="s">
        <v>603</v>
      </c>
      <c r="G77" s="441" t="s">
        <v>632</v>
      </c>
      <c r="H77" s="441" t="s">
        <v>633</v>
      </c>
      <c r="I77" s="444">
        <v>13.140000343322754</v>
      </c>
      <c r="J77" s="444">
        <v>700</v>
      </c>
      <c r="K77" s="445">
        <v>9198.419921875</v>
      </c>
    </row>
    <row r="78" spans="1:11" ht="14.4" customHeight="1" x14ac:dyDescent="0.3">
      <c r="A78" s="439" t="s">
        <v>432</v>
      </c>
      <c r="B78" s="440" t="s">
        <v>433</v>
      </c>
      <c r="C78" s="441" t="s">
        <v>439</v>
      </c>
      <c r="D78" s="442" t="s">
        <v>440</v>
      </c>
      <c r="E78" s="441" t="s">
        <v>602</v>
      </c>
      <c r="F78" s="442" t="s">
        <v>603</v>
      </c>
      <c r="G78" s="441" t="s">
        <v>634</v>
      </c>
      <c r="H78" s="441" t="s">
        <v>635</v>
      </c>
      <c r="I78" s="444">
        <v>254.10000610351563</v>
      </c>
      <c r="J78" s="444">
        <v>50</v>
      </c>
      <c r="K78" s="445">
        <v>12705</v>
      </c>
    </row>
    <row r="79" spans="1:11" ht="14.4" customHeight="1" x14ac:dyDescent="0.3">
      <c r="A79" s="439" t="s">
        <v>432</v>
      </c>
      <c r="B79" s="440" t="s">
        <v>433</v>
      </c>
      <c r="C79" s="441" t="s">
        <v>439</v>
      </c>
      <c r="D79" s="442" t="s">
        <v>440</v>
      </c>
      <c r="E79" s="441" t="s">
        <v>636</v>
      </c>
      <c r="F79" s="442" t="s">
        <v>637</v>
      </c>
      <c r="G79" s="441" t="s">
        <v>638</v>
      </c>
      <c r="H79" s="441" t="s">
        <v>639</v>
      </c>
      <c r="I79" s="444">
        <v>1.3799999952316284</v>
      </c>
      <c r="J79" s="444">
        <v>100</v>
      </c>
      <c r="K79" s="445">
        <v>138</v>
      </c>
    </row>
    <row r="80" spans="1:11" ht="14.4" customHeight="1" x14ac:dyDescent="0.3">
      <c r="A80" s="439" t="s">
        <v>432</v>
      </c>
      <c r="B80" s="440" t="s">
        <v>433</v>
      </c>
      <c r="C80" s="441" t="s">
        <v>439</v>
      </c>
      <c r="D80" s="442" t="s">
        <v>440</v>
      </c>
      <c r="E80" s="441" t="s">
        <v>636</v>
      </c>
      <c r="F80" s="442" t="s">
        <v>637</v>
      </c>
      <c r="G80" s="441" t="s">
        <v>640</v>
      </c>
      <c r="H80" s="441" t="s">
        <v>641</v>
      </c>
      <c r="I80" s="444">
        <v>7.5900001525878906</v>
      </c>
      <c r="J80" s="444">
        <v>4</v>
      </c>
      <c r="K80" s="445">
        <v>30.360000610351563</v>
      </c>
    </row>
    <row r="81" spans="1:11" ht="14.4" customHeight="1" x14ac:dyDescent="0.3">
      <c r="A81" s="439" t="s">
        <v>432</v>
      </c>
      <c r="B81" s="440" t="s">
        <v>433</v>
      </c>
      <c r="C81" s="441" t="s">
        <v>439</v>
      </c>
      <c r="D81" s="442" t="s">
        <v>440</v>
      </c>
      <c r="E81" s="441" t="s">
        <v>636</v>
      </c>
      <c r="F81" s="442" t="s">
        <v>637</v>
      </c>
      <c r="G81" s="441" t="s">
        <v>642</v>
      </c>
      <c r="H81" s="441" t="s">
        <v>643</v>
      </c>
      <c r="I81" s="444">
        <v>8.630000114440918</v>
      </c>
      <c r="J81" s="444">
        <v>4</v>
      </c>
      <c r="K81" s="445">
        <v>34.520000457763672</v>
      </c>
    </row>
    <row r="82" spans="1:11" ht="14.4" customHeight="1" x14ac:dyDescent="0.3">
      <c r="A82" s="439" t="s">
        <v>432</v>
      </c>
      <c r="B82" s="440" t="s">
        <v>433</v>
      </c>
      <c r="C82" s="441" t="s">
        <v>439</v>
      </c>
      <c r="D82" s="442" t="s">
        <v>440</v>
      </c>
      <c r="E82" s="441" t="s">
        <v>636</v>
      </c>
      <c r="F82" s="442" t="s">
        <v>637</v>
      </c>
      <c r="G82" s="441" t="s">
        <v>644</v>
      </c>
      <c r="H82" s="441" t="s">
        <v>645</v>
      </c>
      <c r="I82" s="444">
        <v>10.520000457763672</v>
      </c>
      <c r="J82" s="444">
        <v>4</v>
      </c>
      <c r="K82" s="445">
        <v>42.080001831054688</v>
      </c>
    </row>
    <row r="83" spans="1:11" ht="14.4" customHeight="1" x14ac:dyDescent="0.3">
      <c r="A83" s="439" t="s">
        <v>432</v>
      </c>
      <c r="B83" s="440" t="s">
        <v>433</v>
      </c>
      <c r="C83" s="441" t="s">
        <v>439</v>
      </c>
      <c r="D83" s="442" t="s">
        <v>440</v>
      </c>
      <c r="E83" s="441" t="s">
        <v>636</v>
      </c>
      <c r="F83" s="442" t="s">
        <v>637</v>
      </c>
      <c r="G83" s="441" t="s">
        <v>646</v>
      </c>
      <c r="H83" s="441" t="s">
        <v>647</v>
      </c>
      <c r="I83" s="444">
        <v>10.119999885559082</v>
      </c>
      <c r="J83" s="444">
        <v>5</v>
      </c>
      <c r="K83" s="445">
        <v>50.599998474121094</v>
      </c>
    </row>
    <row r="84" spans="1:11" ht="14.4" customHeight="1" x14ac:dyDescent="0.3">
      <c r="A84" s="439" t="s">
        <v>432</v>
      </c>
      <c r="B84" s="440" t="s">
        <v>433</v>
      </c>
      <c r="C84" s="441" t="s">
        <v>439</v>
      </c>
      <c r="D84" s="442" t="s">
        <v>440</v>
      </c>
      <c r="E84" s="441" t="s">
        <v>636</v>
      </c>
      <c r="F84" s="442" t="s">
        <v>637</v>
      </c>
      <c r="G84" s="441" t="s">
        <v>648</v>
      </c>
      <c r="H84" s="441" t="s">
        <v>649</v>
      </c>
      <c r="I84" s="444">
        <v>28.733332951863606</v>
      </c>
      <c r="J84" s="444">
        <v>106</v>
      </c>
      <c r="K84" s="445">
        <v>3045.6799926757812</v>
      </c>
    </row>
    <row r="85" spans="1:11" ht="14.4" customHeight="1" x14ac:dyDescent="0.3">
      <c r="A85" s="439" t="s">
        <v>432</v>
      </c>
      <c r="B85" s="440" t="s">
        <v>433</v>
      </c>
      <c r="C85" s="441" t="s">
        <v>439</v>
      </c>
      <c r="D85" s="442" t="s">
        <v>440</v>
      </c>
      <c r="E85" s="441" t="s">
        <v>636</v>
      </c>
      <c r="F85" s="442" t="s">
        <v>637</v>
      </c>
      <c r="G85" s="441" t="s">
        <v>650</v>
      </c>
      <c r="H85" s="441" t="s">
        <v>651</v>
      </c>
      <c r="I85" s="444">
        <v>260.29998779296875</v>
      </c>
      <c r="J85" s="444">
        <v>80</v>
      </c>
      <c r="K85" s="445">
        <v>20823.999938964844</v>
      </c>
    </row>
    <row r="86" spans="1:11" ht="14.4" customHeight="1" x14ac:dyDescent="0.3">
      <c r="A86" s="439" t="s">
        <v>432</v>
      </c>
      <c r="B86" s="440" t="s">
        <v>433</v>
      </c>
      <c r="C86" s="441" t="s">
        <v>439</v>
      </c>
      <c r="D86" s="442" t="s">
        <v>440</v>
      </c>
      <c r="E86" s="441" t="s">
        <v>652</v>
      </c>
      <c r="F86" s="442" t="s">
        <v>653</v>
      </c>
      <c r="G86" s="441" t="s">
        <v>654</v>
      </c>
      <c r="H86" s="441" t="s">
        <v>655</v>
      </c>
      <c r="I86" s="444">
        <v>2.9000000953674316</v>
      </c>
      <c r="J86" s="444">
        <v>200</v>
      </c>
      <c r="K86" s="445">
        <v>580.79998779296875</v>
      </c>
    </row>
    <row r="87" spans="1:11" ht="14.4" customHeight="1" x14ac:dyDescent="0.3">
      <c r="A87" s="439" t="s">
        <v>432</v>
      </c>
      <c r="B87" s="440" t="s">
        <v>433</v>
      </c>
      <c r="C87" s="441" t="s">
        <v>439</v>
      </c>
      <c r="D87" s="442" t="s">
        <v>440</v>
      </c>
      <c r="E87" s="441" t="s">
        <v>652</v>
      </c>
      <c r="F87" s="442" t="s">
        <v>653</v>
      </c>
      <c r="G87" s="441" t="s">
        <v>656</v>
      </c>
      <c r="H87" s="441" t="s">
        <v>657</v>
      </c>
      <c r="I87" s="444">
        <v>2.9050000905990601</v>
      </c>
      <c r="J87" s="444">
        <v>200</v>
      </c>
      <c r="K87" s="445">
        <v>581</v>
      </c>
    </row>
    <row r="88" spans="1:11" ht="14.4" customHeight="1" x14ac:dyDescent="0.3">
      <c r="A88" s="439" t="s">
        <v>432</v>
      </c>
      <c r="B88" s="440" t="s">
        <v>433</v>
      </c>
      <c r="C88" s="441" t="s">
        <v>439</v>
      </c>
      <c r="D88" s="442" t="s">
        <v>440</v>
      </c>
      <c r="E88" s="441" t="s">
        <v>652</v>
      </c>
      <c r="F88" s="442" t="s">
        <v>653</v>
      </c>
      <c r="G88" s="441" t="s">
        <v>658</v>
      </c>
      <c r="H88" s="441" t="s">
        <v>659</v>
      </c>
      <c r="I88" s="444">
        <v>4.619999885559082</v>
      </c>
      <c r="J88" s="444">
        <v>500</v>
      </c>
      <c r="K88" s="445">
        <v>2310</v>
      </c>
    </row>
    <row r="89" spans="1:11" ht="14.4" customHeight="1" x14ac:dyDescent="0.3">
      <c r="A89" s="439" t="s">
        <v>432</v>
      </c>
      <c r="B89" s="440" t="s">
        <v>433</v>
      </c>
      <c r="C89" s="441" t="s">
        <v>439</v>
      </c>
      <c r="D89" s="442" t="s">
        <v>440</v>
      </c>
      <c r="E89" s="441" t="s">
        <v>652</v>
      </c>
      <c r="F89" s="442" t="s">
        <v>653</v>
      </c>
      <c r="G89" s="441" t="s">
        <v>660</v>
      </c>
      <c r="H89" s="441" t="s">
        <v>661</v>
      </c>
      <c r="I89" s="444">
        <v>3.1450001001358032</v>
      </c>
      <c r="J89" s="444">
        <v>150</v>
      </c>
      <c r="K89" s="445">
        <v>472</v>
      </c>
    </row>
    <row r="90" spans="1:11" ht="14.4" customHeight="1" x14ac:dyDescent="0.3">
      <c r="A90" s="439" t="s">
        <v>432</v>
      </c>
      <c r="B90" s="440" t="s">
        <v>433</v>
      </c>
      <c r="C90" s="441" t="s">
        <v>439</v>
      </c>
      <c r="D90" s="442" t="s">
        <v>440</v>
      </c>
      <c r="E90" s="441" t="s">
        <v>652</v>
      </c>
      <c r="F90" s="442" t="s">
        <v>653</v>
      </c>
      <c r="G90" s="441" t="s">
        <v>662</v>
      </c>
      <c r="H90" s="441" t="s">
        <v>663</v>
      </c>
      <c r="I90" s="444">
        <v>8.3500003814697266</v>
      </c>
      <c r="J90" s="444">
        <v>200</v>
      </c>
      <c r="K90" s="445">
        <v>1669.800048828125</v>
      </c>
    </row>
    <row r="91" spans="1:11" ht="14.4" customHeight="1" x14ac:dyDescent="0.3">
      <c r="A91" s="439" t="s">
        <v>432</v>
      </c>
      <c r="B91" s="440" t="s">
        <v>433</v>
      </c>
      <c r="C91" s="441" t="s">
        <v>439</v>
      </c>
      <c r="D91" s="442" t="s">
        <v>440</v>
      </c>
      <c r="E91" s="441" t="s">
        <v>652</v>
      </c>
      <c r="F91" s="442" t="s">
        <v>653</v>
      </c>
      <c r="G91" s="441" t="s">
        <v>664</v>
      </c>
      <c r="H91" s="441" t="s">
        <v>665</v>
      </c>
      <c r="I91" s="444">
        <v>11.729999542236328</v>
      </c>
      <c r="J91" s="444">
        <v>10</v>
      </c>
      <c r="K91" s="445">
        <v>117.30000305175781</v>
      </c>
    </row>
    <row r="92" spans="1:11" ht="14.4" customHeight="1" x14ac:dyDescent="0.3">
      <c r="A92" s="439" t="s">
        <v>432</v>
      </c>
      <c r="B92" s="440" t="s">
        <v>433</v>
      </c>
      <c r="C92" s="441" t="s">
        <v>439</v>
      </c>
      <c r="D92" s="442" t="s">
        <v>440</v>
      </c>
      <c r="E92" s="441" t="s">
        <v>652</v>
      </c>
      <c r="F92" s="442" t="s">
        <v>653</v>
      </c>
      <c r="G92" s="441" t="s">
        <v>666</v>
      </c>
      <c r="H92" s="441" t="s">
        <v>667</v>
      </c>
      <c r="I92" s="444">
        <v>51.209999084472656</v>
      </c>
      <c r="J92" s="444">
        <v>10</v>
      </c>
      <c r="K92" s="445">
        <v>512.07000732421875</v>
      </c>
    </row>
    <row r="93" spans="1:11" ht="14.4" customHeight="1" x14ac:dyDescent="0.3">
      <c r="A93" s="439" t="s">
        <v>432</v>
      </c>
      <c r="B93" s="440" t="s">
        <v>433</v>
      </c>
      <c r="C93" s="441" t="s">
        <v>439</v>
      </c>
      <c r="D93" s="442" t="s">
        <v>440</v>
      </c>
      <c r="E93" s="441" t="s">
        <v>652</v>
      </c>
      <c r="F93" s="442" t="s">
        <v>653</v>
      </c>
      <c r="G93" s="441" t="s">
        <v>668</v>
      </c>
      <c r="H93" s="441" t="s">
        <v>669</v>
      </c>
      <c r="I93" s="444">
        <v>13.310000419616699</v>
      </c>
      <c r="J93" s="444">
        <v>20</v>
      </c>
      <c r="K93" s="445">
        <v>266.20001220703125</v>
      </c>
    </row>
    <row r="94" spans="1:11" ht="14.4" customHeight="1" x14ac:dyDescent="0.3">
      <c r="A94" s="439" t="s">
        <v>432</v>
      </c>
      <c r="B94" s="440" t="s">
        <v>433</v>
      </c>
      <c r="C94" s="441" t="s">
        <v>439</v>
      </c>
      <c r="D94" s="442" t="s">
        <v>440</v>
      </c>
      <c r="E94" s="441" t="s">
        <v>652</v>
      </c>
      <c r="F94" s="442" t="s">
        <v>653</v>
      </c>
      <c r="G94" s="441" t="s">
        <v>670</v>
      </c>
      <c r="H94" s="441" t="s">
        <v>671</v>
      </c>
      <c r="I94" s="444">
        <v>25.530000686645508</v>
      </c>
      <c r="J94" s="444">
        <v>10</v>
      </c>
      <c r="K94" s="445">
        <v>255.30000305175781</v>
      </c>
    </row>
    <row r="95" spans="1:11" ht="14.4" customHeight="1" x14ac:dyDescent="0.3">
      <c r="A95" s="439" t="s">
        <v>432</v>
      </c>
      <c r="B95" s="440" t="s">
        <v>433</v>
      </c>
      <c r="C95" s="441" t="s">
        <v>439</v>
      </c>
      <c r="D95" s="442" t="s">
        <v>440</v>
      </c>
      <c r="E95" s="441" t="s">
        <v>652</v>
      </c>
      <c r="F95" s="442" t="s">
        <v>653</v>
      </c>
      <c r="G95" s="441" t="s">
        <v>672</v>
      </c>
      <c r="H95" s="441" t="s">
        <v>673</v>
      </c>
      <c r="I95" s="444">
        <v>70.180000305175781</v>
      </c>
      <c r="J95" s="444">
        <v>10</v>
      </c>
      <c r="K95" s="445">
        <v>701.79998779296875</v>
      </c>
    </row>
    <row r="96" spans="1:11" ht="14.4" customHeight="1" x14ac:dyDescent="0.3">
      <c r="A96" s="439" t="s">
        <v>432</v>
      </c>
      <c r="B96" s="440" t="s">
        <v>433</v>
      </c>
      <c r="C96" s="441" t="s">
        <v>439</v>
      </c>
      <c r="D96" s="442" t="s">
        <v>440</v>
      </c>
      <c r="E96" s="441" t="s">
        <v>652</v>
      </c>
      <c r="F96" s="442" t="s">
        <v>653</v>
      </c>
      <c r="G96" s="441" t="s">
        <v>674</v>
      </c>
      <c r="H96" s="441" t="s">
        <v>675</v>
      </c>
      <c r="I96" s="444">
        <v>202.47000122070312</v>
      </c>
      <c r="J96" s="444">
        <v>20</v>
      </c>
      <c r="K96" s="445">
        <v>4089.7401123046875</v>
      </c>
    </row>
    <row r="97" spans="1:11" ht="14.4" customHeight="1" x14ac:dyDescent="0.3">
      <c r="A97" s="439" t="s">
        <v>432</v>
      </c>
      <c r="B97" s="440" t="s">
        <v>433</v>
      </c>
      <c r="C97" s="441" t="s">
        <v>439</v>
      </c>
      <c r="D97" s="442" t="s">
        <v>440</v>
      </c>
      <c r="E97" s="441" t="s">
        <v>652</v>
      </c>
      <c r="F97" s="442" t="s">
        <v>653</v>
      </c>
      <c r="G97" s="441" t="s">
        <v>676</v>
      </c>
      <c r="H97" s="441" t="s">
        <v>677</v>
      </c>
      <c r="I97" s="444">
        <v>90.209999084472656</v>
      </c>
      <c r="J97" s="444">
        <v>25</v>
      </c>
      <c r="K97" s="445">
        <v>2255.199951171875</v>
      </c>
    </row>
    <row r="98" spans="1:11" ht="14.4" customHeight="1" x14ac:dyDescent="0.3">
      <c r="A98" s="439" t="s">
        <v>432</v>
      </c>
      <c r="B98" s="440" t="s">
        <v>433</v>
      </c>
      <c r="C98" s="441" t="s">
        <v>439</v>
      </c>
      <c r="D98" s="442" t="s">
        <v>440</v>
      </c>
      <c r="E98" s="441" t="s">
        <v>652</v>
      </c>
      <c r="F98" s="442" t="s">
        <v>653</v>
      </c>
      <c r="G98" s="441" t="s">
        <v>678</v>
      </c>
      <c r="H98" s="441" t="s">
        <v>679</v>
      </c>
      <c r="I98" s="444">
        <v>1.6733332872390747</v>
      </c>
      <c r="J98" s="444">
        <v>300</v>
      </c>
      <c r="K98" s="445">
        <v>502</v>
      </c>
    </row>
    <row r="99" spans="1:11" ht="14.4" customHeight="1" x14ac:dyDescent="0.3">
      <c r="A99" s="439" t="s">
        <v>432</v>
      </c>
      <c r="B99" s="440" t="s">
        <v>433</v>
      </c>
      <c r="C99" s="441" t="s">
        <v>439</v>
      </c>
      <c r="D99" s="442" t="s">
        <v>440</v>
      </c>
      <c r="E99" s="441" t="s">
        <v>652</v>
      </c>
      <c r="F99" s="442" t="s">
        <v>653</v>
      </c>
      <c r="G99" s="441" t="s">
        <v>680</v>
      </c>
      <c r="H99" s="441" t="s">
        <v>681</v>
      </c>
      <c r="I99" s="444">
        <v>2844.530029296875</v>
      </c>
      <c r="J99" s="444">
        <v>7</v>
      </c>
      <c r="K99" s="445">
        <v>19902.99951171875</v>
      </c>
    </row>
    <row r="100" spans="1:11" ht="14.4" customHeight="1" x14ac:dyDescent="0.3">
      <c r="A100" s="439" t="s">
        <v>432</v>
      </c>
      <c r="B100" s="440" t="s">
        <v>433</v>
      </c>
      <c r="C100" s="441" t="s">
        <v>439</v>
      </c>
      <c r="D100" s="442" t="s">
        <v>440</v>
      </c>
      <c r="E100" s="441" t="s">
        <v>652</v>
      </c>
      <c r="F100" s="442" t="s">
        <v>653</v>
      </c>
      <c r="G100" s="441" t="s">
        <v>682</v>
      </c>
      <c r="H100" s="441" t="s">
        <v>683</v>
      </c>
      <c r="I100" s="444">
        <v>4.8299999237060547</v>
      </c>
      <c r="J100" s="444">
        <v>100</v>
      </c>
      <c r="K100" s="445">
        <v>483.32000732421875</v>
      </c>
    </row>
    <row r="101" spans="1:11" ht="14.4" customHeight="1" x14ac:dyDescent="0.3">
      <c r="A101" s="439" t="s">
        <v>432</v>
      </c>
      <c r="B101" s="440" t="s">
        <v>433</v>
      </c>
      <c r="C101" s="441" t="s">
        <v>439</v>
      </c>
      <c r="D101" s="442" t="s">
        <v>440</v>
      </c>
      <c r="E101" s="441" t="s">
        <v>652</v>
      </c>
      <c r="F101" s="442" t="s">
        <v>653</v>
      </c>
      <c r="G101" s="441" t="s">
        <v>684</v>
      </c>
      <c r="H101" s="441" t="s">
        <v>685</v>
      </c>
      <c r="I101" s="444">
        <v>1.4299999475479126</v>
      </c>
      <c r="J101" s="444">
        <v>3500</v>
      </c>
      <c r="K101" s="445">
        <v>4997.3000793457031</v>
      </c>
    </row>
    <row r="102" spans="1:11" ht="14.4" customHeight="1" x14ac:dyDescent="0.3">
      <c r="A102" s="439" t="s">
        <v>432</v>
      </c>
      <c r="B102" s="440" t="s">
        <v>433</v>
      </c>
      <c r="C102" s="441" t="s">
        <v>439</v>
      </c>
      <c r="D102" s="442" t="s">
        <v>440</v>
      </c>
      <c r="E102" s="441" t="s">
        <v>652</v>
      </c>
      <c r="F102" s="442" t="s">
        <v>653</v>
      </c>
      <c r="G102" s="441" t="s">
        <v>686</v>
      </c>
      <c r="H102" s="441" t="s">
        <v>687</v>
      </c>
      <c r="I102" s="444">
        <v>211.75</v>
      </c>
      <c r="J102" s="444">
        <v>5</v>
      </c>
      <c r="K102" s="445">
        <v>1058.75</v>
      </c>
    </row>
    <row r="103" spans="1:11" ht="14.4" customHeight="1" x14ac:dyDescent="0.3">
      <c r="A103" s="439" t="s">
        <v>432</v>
      </c>
      <c r="B103" s="440" t="s">
        <v>433</v>
      </c>
      <c r="C103" s="441" t="s">
        <v>439</v>
      </c>
      <c r="D103" s="442" t="s">
        <v>440</v>
      </c>
      <c r="E103" s="441" t="s">
        <v>652</v>
      </c>
      <c r="F103" s="442" t="s">
        <v>653</v>
      </c>
      <c r="G103" s="441" t="s">
        <v>688</v>
      </c>
      <c r="H103" s="441" t="s">
        <v>689</v>
      </c>
      <c r="I103" s="444">
        <v>1.8700000047683716</v>
      </c>
      <c r="J103" s="444">
        <v>3600</v>
      </c>
      <c r="K103" s="445">
        <v>6730.0298309326172</v>
      </c>
    </row>
    <row r="104" spans="1:11" ht="14.4" customHeight="1" x14ac:dyDescent="0.3">
      <c r="A104" s="439" t="s">
        <v>432</v>
      </c>
      <c r="B104" s="440" t="s">
        <v>433</v>
      </c>
      <c r="C104" s="441" t="s">
        <v>439</v>
      </c>
      <c r="D104" s="442" t="s">
        <v>440</v>
      </c>
      <c r="E104" s="441" t="s">
        <v>652</v>
      </c>
      <c r="F104" s="442" t="s">
        <v>653</v>
      </c>
      <c r="G104" s="441" t="s">
        <v>690</v>
      </c>
      <c r="H104" s="441" t="s">
        <v>691</v>
      </c>
      <c r="I104" s="444">
        <v>21.229999542236328</v>
      </c>
      <c r="J104" s="444">
        <v>10</v>
      </c>
      <c r="K104" s="445">
        <v>212.30000305175781</v>
      </c>
    </row>
    <row r="105" spans="1:11" ht="14.4" customHeight="1" x14ac:dyDescent="0.3">
      <c r="A105" s="439" t="s">
        <v>432</v>
      </c>
      <c r="B105" s="440" t="s">
        <v>433</v>
      </c>
      <c r="C105" s="441" t="s">
        <v>439</v>
      </c>
      <c r="D105" s="442" t="s">
        <v>440</v>
      </c>
      <c r="E105" s="441" t="s">
        <v>652</v>
      </c>
      <c r="F105" s="442" t="s">
        <v>653</v>
      </c>
      <c r="G105" s="441" t="s">
        <v>692</v>
      </c>
      <c r="H105" s="441" t="s">
        <v>693</v>
      </c>
      <c r="I105" s="444">
        <v>2.059999942779541</v>
      </c>
      <c r="J105" s="444">
        <v>100</v>
      </c>
      <c r="K105" s="445">
        <v>206</v>
      </c>
    </row>
    <row r="106" spans="1:11" ht="14.4" customHeight="1" x14ac:dyDescent="0.3">
      <c r="A106" s="439" t="s">
        <v>432</v>
      </c>
      <c r="B106" s="440" t="s">
        <v>433</v>
      </c>
      <c r="C106" s="441" t="s">
        <v>439</v>
      </c>
      <c r="D106" s="442" t="s">
        <v>440</v>
      </c>
      <c r="E106" s="441" t="s">
        <v>652</v>
      </c>
      <c r="F106" s="442" t="s">
        <v>653</v>
      </c>
      <c r="G106" s="441" t="s">
        <v>694</v>
      </c>
      <c r="H106" s="441" t="s">
        <v>695</v>
      </c>
      <c r="I106" s="444">
        <v>2.0899999141693115</v>
      </c>
      <c r="J106" s="444">
        <v>300</v>
      </c>
      <c r="K106" s="445">
        <v>627</v>
      </c>
    </row>
    <row r="107" spans="1:11" ht="14.4" customHeight="1" x14ac:dyDescent="0.3">
      <c r="A107" s="439" t="s">
        <v>432</v>
      </c>
      <c r="B107" s="440" t="s">
        <v>433</v>
      </c>
      <c r="C107" s="441" t="s">
        <v>439</v>
      </c>
      <c r="D107" s="442" t="s">
        <v>440</v>
      </c>
      <c r="E107" s="441" t="s">
        <v>652</v>
      </c>
      <c r="F107" s="442" t="s">
        <v>653</v>
      </c>
      <c r="G107" s="441" t="s">
        <v>696</v>
      </c>
      <c r="H107" s="441" t="s">
        <v>697</v>
      </c>
      <c r="I107" s="444">
        <v>3.75</v>
      </c>
      <c r="J107" s="444">
        <v>250</v>
      </c>
      <c r="K107" s="445">
        <v>937.5</v>
      </c>
    </row>
    <row r="108" spans="1:11" ht="14.4" customHeight="1" x14ac:dyDescent="0.3">
      <c r="A108" s="439" t="s">
        <v>432</v>
      </c>
      <c r="B108" s="440" t="s">
        <v>433</v>
      </c>
      <c r="C108" s="441" t="s">
        <v>439</v>
      </c>
      <c r="D108" s="442" t="s">
        <v>440</v>
      </c>
      <c r="E108" s="441" t="s">
        <v>652</v>
      </c>
      <c r="F108" s="442" t="s">
        <v>653</v>
      </c>
      <c r="G108" s="441" t="s">
        <v>698</v>
      </c>
      <c r="H108" s="441" t="s">
        <v>699</v>
      </c>
      <c r="I108" s="444">
        <v>1.9900000095367432</v>
      </c>
      <c r="J108" s="444">
        <v>50</v>
      </c>
      <c r="K108" s="445">
        <v>99.5</v>
      </c>
    </row>
    <row r="109" spans="1:11" ht="14.4" customHeight="1" x14ac:dyDescent="0.3">
      <c r="A109" s="439" t="s">
        <v>432</v>
      </c>
      <c r="B109" s="440" t="s">
        <v>433</v>
      </c>
      <c r="C109" s="441" t="s">
        <v>439</v>
      </c>
      <c r="D109" s="442" t="s">
        <v>440</v>
      </c>
      <c r="E109" s="441" t="s">
        <v>652</v>
      </c>
      <c r="F109" s="442" t="s">
        <v>653</v>
      </c>
      <c r="G109" s="441" t="s">
        <v>700</v>
      </c>
      <c r="H109" s="441" t="s">
        <v>701</v>
      </c>
      <c r="I109" s="444">
        <v>1.9666666984558105</v>
      </c>
      <c r="J109" s="444">
        <v>1160</v>
      </c>
      <c r="K109" s="445">
        <v>2277.7799682617187</v>
      </c>
    </row>
    <row r="110" spans="1:11" ht="14.4" customHeight="1" x14ac:dyDescent="0.3">
      <c r="A110" s="439" t="s">
        <v>432</v>
      </c>
      <c r="B110" s="440" t="s">
        <v>433</v>
      </c>
      <c r="C110" s="441" t="s">
        <v>439</v>
      </c>
      <c r="D110" s="442" t="s">
        <v>440</v>
      </c>
      <c r="E110" s="441" t="s">
        <v>652</v>
      </c>
      <c r="F110" s="442" t="s">
        <v>653</v>
      </c>
      <c r="G110" s="441" t="s">
        <v>700</v>
      </c>
      <c r="H110" s="441" t="s">
        <v>702</v>
      </c>
      <c r="I110" s="444">
        <v>1.9700000286102295</v>
      </c>
      <c r="J110" s="444">
        <v>900</v>
      </c>
      <c r="K110" s="445">
        <v>1770.1699829101562</v>
      </c>
    </row>
    <row r="111" spans="1:11" ht="14.4" customHeight="1" x14ac:dyDescent="0.3">
      <c r="A111" s="439" t="s">
        <v>432</v>
      </c>
      <c r="B111" s="440" t="s">
        <v>433</v>
      </c>
      <c r="C111" s="441" t="s">
        <v>439</v>
      </c>
      <c r="D111" s="442" t="s">
        <v>440</v>
      </c>
      <c r="E111" s="441" t="s">
        <v>652</v>
      </c>
      <c r="F111" s="442" t="s">
        <v>653</v>
      </c>
      <c r="G111" s="441" t="s">
        <v>703</v>
      </c>
      <c r="H111" s="441" t="s">
        <v>704</v>
      </c>
      <c r="I111" s="444">
        <v>21.239999771118164</v>
      </c>
      <c r="J111" s="444">
        <v>30</v>
      </c>
      <c r="K111" s="445">
        <v>637.20001220703125</v>
      </c>
    </row>
    <row r="112" spans="1:11" ht="14.4" customHeight="1" x14ac:dyDescent="0.3">
      <c r="A112" s="439" t="s">
        <v>432</v>
      </c>
      <c r="B112" s="440" t="s">
        <v>433</v>
      </c>
      <c r="C112" s="441" t="s">
        <v>439</v>
      </c>
      <c r="D112" s="442" t="s">
        <v>440</v>
      </c>
      <c r="E112" s="441" t="s">
        <v>652</v>
      </c>
      <c r="F112" s="442" t="s">
        <v>653</v>
      </c>
      <c r="G112" s="441" t="s">
        <v>705</v>
      </c>
      <c r="H112" s="441" t="s">
        <v>706</v>
      </c>
      <c r="I112" s="444">
        <v>56.810001373291016</v>
      </c>
      <c r="J112" s="444">
        <v>150</v>
      </c>
      <c r="K112" s="445">
        <v>8499.68017578125</v>
      </c>
    </row>
    <row r="113" spans="1:11" ht="14.4" customHeight="1" x14ac:dyDescent="0.3">
      <c r="A113" s="439" t="s">
        <v>432</v>
      </c>
      <c r="B113" s="440" t="s">
        <v>433</v>
      </c>
      <c r="C113" s="441" t="s">
        <v>439</v>
      </c>
      <c r="D113" s="442" t="s">
        <v>440</v>
      </c>
      <c r="E113" s="441" t="s">
        <v>707</v>
      </c>
      <c r="F113" s="442" t="s">
        <v>708</v>
      </c>
      <c r="G113" s="441" t="s">
        <v>709</v>
      </c>
      <c r="H113" s="441" t="s">
        <v>710</v>
      </c>
      <c r="I113" s="444">
        <v>0.55000001192092896</v>
      </c>
      <c r="J113" s="444">
        <v>500</v>
      </c>
      <c r="K113" s="445">
        <v>275</v>
      </c>
    </row>
    <row r="114" spans="1:11" ht="14.4" customHeight="1" x14ac:dyDescent="0.3">
      <c r="A114" s="439" t="s">
        <v>432</v>
      </c>
      <c r="B114" s="440" t="s">
        <v>433</v>
      </c>
      <c r="C114" s="441" t="s">
        <v>439</v>
      </c>
      <c r="D114" s="442" t="s">
        <v>440</v>
      </c>
      <c r="E114" s="441" t="s">
        <v>711</v>
      </c>
      <c r="F114" s="442" t="s">
        <v>712</v>
      </c>
      <c r="G114" s="441" t="s">
        <v>713</v>
      </c>
      <c r="H114" s="441" t="s">
        <v>714</v>
      </c>
      <c r="I114" s="444">
        <v>0.68999999761581421</v>
      </c>
      <c r="J114" s="444">
        <v>19400</v>
      </c>
      <c r="K114" s="445">
        <v>13386</v>
      </c>
    </row>
    <row r="115" spans="1:11" ht="14.4" customHeight="1" x14ac:dyDescent="0.3">
      <c r="A115" s="439" t="s">
        <v>432</v>
      </c>
      <c r="B115" s="440" t="s">
        <v>433</v>
      </c>
      <c r="C115" s="441" t="s">
        <v>439</v>
      </c>
      <c r="D115" s="442" t="s">
        <v>440</v>
      </c>
      <c r="E115" s="441" t="s">
        <v>711</v>
      </c>
      <c r="F115" s="442" t="s">
        <v>712</v>
      </c>
      <c r="G115" s="441" t="s">
        <v>715</v>
      </c>
      <c r="H115" s="441" t="s">
        <v>716</v>
      </c>
      <c r="I115" s="444">
        <v>0.68999999761581421</v>
      </c>
      <c r="J115" s="444">
        <v>5600</v>
      </c>
      <c r="K115" s="445">
        <v>3864</v>
      </c>
    </row>
    <row r="116" spans="1:11" ht="14.4" customHeight="1" x14ac:dyDescent="0.3">
      <c r="A116" s="439" t="s">
        <v>432</v>
      </c>
      <c r="B116" s="440" t="s">
        <v>433</v>
      </c>
      <c r="C116" s="441" t="s">
        <v>439</v>
      </c>
      <c r="D116" s="442" t="s">
        <v>440</v>
      </c>
      <c r="E116" s="441" t="s">
        <v>711</v>
      </c>
      <c r="F116" s="442" t="s">
        <v>712</v>
      </c>
      <c r="G116" s="441" t="s">
        <v>717</v>
      </c>
      <c r="H116" s="441" t="s">
        <v>718</v>
      </c>
      <c r="I116" s="444">
        <v>0.68999999761581421</v>
      </c>
      <c r="J116" s="444">
        <v>1600</v>
      </c>
      <c r="K116" s="445">
        <v>1104</v>
      </c>
    </row>
    <row r="117" spans="1:11" ht="14.4" customHeight="1" x14ac:dyDescent="0.3">
      <c r="A117" s="439" t="s">
        <v>432</v>
      </c>
      <c r="B117" s="440" t="s">
        <v>433</v>
      </c>
      <c r="C117" s="441" t="s">
        <v>439</v>
      </c>
      <c r="D117" s="442" t="s">
        <v>440</v>
      </c>
      <c r="E117" s="441" t="s">
        <v>711</v>
      </c>
      <c r="F117" s="442" t="s">
        <v>712</v>
      </c>
      <c r="G117" s="441" t="s">
        <v>719</v>
      </c>
      <c r="H117" s="441" t="s">
        <v>720</v>
      </c>
      <c r="I117" s="444">
        <v>12.590000152587891</v>
      </c>
      <c r="J117" s="444">
        <v>50</v>
      </c>
      <c r="K117" s="445">
        <v>629.5</v>
      </c>
    </row>
    <row r="118" spans="1:11" ht="14.4" customHeight="1" x14ac:dyDescent="0.3">
      <c r="A118" s="439" t="s">
        <v>432</v>
      </c>
      <c r="B118" s="440" t="s">
        <v>433</v>
      </c>
      <c r="C118" s="441" t="s">
        <v>439</v>
      </c>
      <c r="D118" s="442" t="s">
        <v>440</v>
      </c>
      <c r="E118" s="441" t="s">
        <v>711</v>
      </c>
      <c r="F118" s="442" t="s">
        <v>712</v>
      </c>
      <c r="G118" s="441" t="s">
        <v>721</v>
      </c>
      <c r="H118" s="441" t="s">
        <v>722</v>
      </c>
      <c r="I118" s="444">
        <v>9.4300003051757812</v>
      </c>
      <c r="J118" s="444">
        <v>100</v>
      </c>
      <c r="K118" s="445">
        <v>943</v>
      </c>
    </row>
    <row r="119" spans="1:11" ht="14.4" customHeight="1" x14ac:dyDescent="0.3">
      <c r="A119" s="439" t="s">
        <v>432</v>
      </c>
      <c r="B119" s="440" t="s">
        <v>433</v>
      </c>
      <c r="C119" s="441" t="s">
        <v>439</v>
      </c>
      <c r="D119" s="442" t="s">
        <v>440</v>
      </c>
      <c r="E119" s="441" t="s">
        <v>711</v>
      </c>
      <c r="F119" s="442" t="s">
        <v>712</v>
      </c>
      <c r="G119" s="441" t="s">
        <v>723</v>
      </c>
      <c r="H119" s="441" t="s">
        <v>724</v>
      </c>
      <c r="I119" s="444">
        <v>16.209999084472656</v>
      </c>
      <c r="J119" s="444">
        <v>100</v>
      </c>
      <c r="K119" s="445">
        <v>1621.3900146484375</v>
      </c>
    </row>
    <row r="120" spans="1:11" ht="14.4" customHeight="1" x14ac:dyDescent="0.3">
      <c r="A120" s="439" t="s">
        <v>432</v>
      </c>
      <c r="B120" s="440" t="s">
        <v>433</v>
      </c>
      <c r="C120" s="441" t="s">
        <v>439</v>
      </c>
      <c r="D120" s="442" t="s">
        <v>440</v>
      </c>
      <c r="E120" s="441" t="s">
        <v>711</v>
      </c>
      <c r="F120" s="442" t="s">
        <v>712</v>
      </c>
      <c r="G120" s="441" t="s">
        <v>725</v>
      </c>
      <c r="H120" s="441" t="s">
        <v>726</v>
      </c>
      <c r="I120" s="444">
        <v>10.159999847412109</v>
      </c>
      <c r="J120" s="444">
        <v>150</v>
      </c>
      <c r="K120" s="445">
        <v>1524.5999755859375</v>
      </c>
    </row>
    <row r="121" spans="1:11" ht="14.4" customHeight="1" x14ac:dyDescent="0.3">
      <c r="A121" s="439" t="s">
        <v>432</v>
      </c>
      <c r="B121" s="440" t="s">
        <v>433</v>
      </c>
      <c r="C121" s="441" t="s">
        <v>439</v>
      </c>
      <c r="D121" s="442" t="s">
        <v>440</v>
      </c>
      <c r="E121" s="441" t="s">
        <v>711</v>
      </c>
      <c r="F121" s="442" t="s">
        <v>712</v>
      </c>
      <c r="G121" s="441" t="s">
        <v>727</v>
      </c>
      <c r="H121" s="441" t="s">
        <v>728</v>
      </c>
      <c r="I121" s="444">
        <v>7.5</v>
      </c>
      <c r="J121" s="444">
        <v>0</v>
      </c>
      <c r="K121" s="445">
        <v>0</v>
      </c>
    </row>
    <row r="122" spans="1:11" ht="14.4" customHeight="1" x14ac:dyDescent="0.3">
      <c r="A122" s="439" t="s">
        <v>432</v>
      </c>
      <c r="B122" s="440" t="s">
        <v>433</v>
      </c>
      <c r="C122" s="441" t="s">
        <v>439</v>
      </c>
      <c r="D122" s="442" t="s">
        <v>440</v>
      </c>
      <c r="E122" s="441" t="s">
        <v>711</v>
      </c>
      <c r="F122" s="442" t="s">
        <v>712</v>
      </c>
      <c r="G122" s="441" t="s">
        <v>729</v>
      </c>
      <c r="H122" s="441" t="s">
        <v>730</v>
      </c>
      <c r="I122" s="444">
        <v>7.505000114440918</v>
      </c>
      <c r="J122" s="444">
        <v>400</v>
      </c>
      <c r="K122" s="445">
        <v>3002</v>
      </c>
    </row>
    <row r="123" spans="1:11" ht="14.4" customHeight="1" x14ac:dyDescent="0.3">
      <c r="A123" s="439" t="s">
        <v>432</v>
      </c>
      <c r="B123" s="440" t="s">
        <v>433</v>
      </c>
      <c r="C123" s="441" t="s">
        <v>439</v>
      </c>
      <c r="D123" s="442" t="s">
        <v>440</v>
      </c>
      <c r="E123" s="441" t="s">
        <v>711</v>
      </c>
      <c r="F123" s="442" t="s">
        <v>712</v>
      </c>
      <c r="G123" s="441" t="s">
        <v>731</v>
      </c>
      <c r="H123" s="441" t="s">
        <v>732</v>
      </c>
      <c r="I123" s="444">
        <v>6.2300000190734863</v>
      </c>
      <c r="J123" s="444">
        <v>140</v>
      </c>
      <c r="K123" s="445">
        <v>872.41998291015625</v>
      </c>
    </row>
    <row r="124" spans="1:11" ht="14.4" customHeight="1" x14ac:dyDescent="0.3">
      <c r="A124" s="439" t="s">
        <v>432</v>
      </c>
      <c r="B124" s="440" t="s">
        <v>433</v>
      </c>
      <c r="C124" s="441" t="s">
        <v>439</v>
      </c>
      <c r="D124" s="442" t="s">
        <v>440</v>
      </c>
      <c r="E124" s="441" t="s">
        <v>711</v>
      </c>
      <c r="F124" s="442" t="s">
        <v>712</v>
      </c>
      <c r="G124" s="441" t="s">
        <v>733</v>
      </c>
      <c r="H124" s="441" t="s">
        <v>734</v>
      </c>
      <c r="I124" s="444">
        <v>6.2399997711181641</v>
      </c>
      <c r="J124" s="444">
        <v>69</v>
      </c>
      <c r="K124" s="445">
        <v>430.55999755859375</v>
      </c>
    </row>
    <row r="125" spans="1:11" ht="14.4" customHeight="1" thickBot="1" x14ac:dyDescent="0.35">
      <c r="A125" s="446" t="s">
        <v>432</v>
      </c>
      <c r="B125" s="447" t="s">
        <v>433</v>
      </c>
      <c r="C125" s="448" t="s">
        <v>439</v>
      </c>
      <c r="D125" s="449" t="s">
        <v>440</v>
      </c>
      <c r="E125" s="448" t="s">
        <v>711</v>
      </c>
      <c r="F125" s="449" t="s">
        <v>712</v>
      </c>
      <c r="G125" s="448" t="s">
        <v>735</v>
      </c>
      <c r="H125" s="448" t="s">
        <v>736</v>
      </c>
      <c r="I125" s="451">
        <v>6.2399997711181641</v>
      </c>
      <c r="J125" s="451">
        <v>350</v>
      </c>
      <c r="K125" s="452">
        <v>2183.43994140625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4" ht="18.600000000000001" thickBot="1" x14ac:dyDescent="0.4">
      <c r="A1" s="371" t="s">
        <v>92</v>
      </c>
      <c r="B1" s="371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291"/>
    </row>
    <row r="2" spans="1:14" ht="15" thickBot="1" x14ac:dyDescent="0.35">
      <c r="A2" s="203" t="s">
        <v>229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N2" s="291"/>
    </row>
    <row r="3" spans="1:14" x14ac:dyDescent="0.3">
      <c r="A3" s="222" t="s">
        <v>164</v>
      </c>
      <c r="B3" s="369" t="s">
        <v>146</v>
      </c>
      <c r="C3" s="205">
        <v>25</v>
      </c>
      <c r="D3" s="205">
        <v>30</v>
      </c>
      <c r="E3" s="205">
        <v>99</v>
      </c>
      <c r="F3" s="225">
        <v>101</v>
      </c>
      <c r="G3" s="225">
        <v>103</v>
      </c>
      <c r="H3" s="225">
        <v>409</v>
      </c>
      <c r="I3" s="225">
        <v>521</v>
      </c>
      <c r="J3" s="225">
        <v>522</v>
      </c>
      <c r="K3" s="225">
        <v>526</v>
      </c>
      <c r="L3" s="205">
        <v>642</v>
      </c>
      <c r="M3" s="206">
        <v>746</v>
      </c>
      <c r="N3" s="291"/>
    </row>
    <row r="4" spans="1:14" ht="36.6" outlineLevel="1" thickBot="1" x14ac:dyDescent="0.35">
      <c r="A4" s="223">
        <v>2017</v>
      </c>
      <c r="B4" s="370"/>
      <c r="C4" s="207" t="s">
        <v>148</v>
      </c>
      <c r="D4" s="207" t="s">
        <v>166</v>
      </c>
      <c r="E4" s="207" t="s">
        <v>147</v>
      </c>
      <c r="F4" s="226" t="s">
        <v>191</v>
      </c>
      <c r="G4" s="226" t="s">
        <v>192</v>
      </c>
      <c r="H4" s="226" t="s">
        <v>171</v>
      </c>
      <c r="I4" s="226" t="s">
        <v>193</v>
      </c>
      <c r="J4" s="226" t="s">
        <v>194</v>
      </c>
      <c r="K4" s="226" t="s">
        <v>172</v>
      </c>
      <c r="L4" s="207" t="s">
        <v>173</v>
      </c>
      <c r="M4" s="208" t="s">
        <v>174</v>
      </c>
      <c r="N4" s="291"/>
    </row>
    <row r="5" spans="1:14" x14ac:dyDescent="0.3">
      <c r="A5" s="209" t="s">
        <v>149</v>
      </c>
      <c r="B5" s="242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4"/>
      <c r="N5" s="291"/>
    </row>
    <row r="6" spans="1:14" ht="15" collapsed="1" thickBot="1" x14ac:dyDescent="0.35">
      <c r="A6" s="210" t="s">
        <v>59</v>
      </c>
      <c r="B6" s="245">
        <f xml:space="preserve">
TRUNC(IF($A$4&lt;=12,SUMIFS('ON Data'!F:F,'ON Data'!$D:$D,$A$4,'ON Data'!$E:$E,1),SUMIFS('ON Data'!F:F,'ON Data'!$E:$E,1)/'ON Data'!$D$3),1)</f>
        <v>23.3</v>
      </c>
      <c r="C6" s="246">
        <f xml:space="preserve">
TRUNC(IF($A$4&lt;=12,SUMIFS('ON Data'!H:H,'ON Data'!$D:$D,$A$4,'ON Data'!$E:$E,1),SUMIFS('ON Data'!H:H,'ON Data'!$E:$E,1)/'ON Data'!$D$3),1)</f>
        <v>0.4</v>
      </c>
      <c r="D6" s="246">
        <f xml:space="preserve">
TRUNC(IF($A$4&lt;=12,SUMIFS('ON Data'!I:I,'ON Data'!$D:$D,$A$4,'ON Data'!$E:$E,1),SUMIFS('ON Data'!I:I,'ON Data'!$E:$E,1)/'ON Data'!$D$3),1)</f>
        <v>2.1</v>
      </c>
      <c r="E6" s="246">
        <f xml:space="preserve">
TRUNC(IF($A$4&lt;=12,SUMIFS('ON Data'!J:J,'ON Data'!$D:$D,$A$4,'ON Data'!$E:$E,1),SUMIFS('ON Data'!J:J,'ON Data'!$E:$E,1)/'ON Data'!$D$3),1)</f>
        <v>0.9</v>
      </c>
      <c r="F6" s="246">
        <f xml:space="preserve">
TRUNC(IF($A$4&lt;=12,SUMIFS('ON Data'!L:L,'ON Data'!$D:$D,$A$4,'ON Data'!$E:$E,1),SUMIFS('ON Data'!L:L,'ON Data'!$E:$E,1)/'ON Data'!$D$3),1)</f>
        <v>3.9</v>
      </c>
      <c r="G6" s="246">
        <f xml:space="preserve">
TRUNC(IF($A$4&lt;=12,SUMIFS('ON Data'!N:N,'ON Data'!$D:$D,$A$4,'ON Data'!$E:$E,1),SUMIFS('ON Data'!N:N,'ON Data'!$E:$E,1)/'ON Data'!$D$3),1)</f>
        <v>0</v>
      </c>
      <c r="H6" s="246">
        <f xml:space="preserve">
TRUNC(IF($A$4&lt;=12,SUMIFS('ON Data'!W:W,'ON Data'!$D:$D,$A$4,'ON Data'!$E:$E,1),SUMIFS('ON Data'!W:W,'ON Data'!$E:$E,1)/'ON Data'!$D$3),1)</f>
        <v>8.1999999999999993</v>
      </c>
      <c r="I6" s="246">
        <f xml:space="preserve">
TRUNC(IF($A$4&lt;=12,SUMIFS('ON Data'!AG:AG,'ON Data'!$D:$D,$A$4,'ON Data'!$E:$E,1),SUMIFS('ON Data'!AG:AG,'ON Data'!$E:$E,1)/'ON Data'!$D$3),1)</f>
        <v>0</v>
      </c>
      <c r="J6" s="246">
        <f xml:space="preserve">
TRUNC(IF($A$4&lt;=12,SUMIFS('ON Data'!AH:AH,'ON Data'!$D:$D,$A$4,'ON Data'!$E:$E,1),SUMIFS('ON Data'!AH:AH,'ON Data'!$E:$E,1)/'ON Data'!$D$3),1)</f>
        <v>0</v>
      </c>
      <c r="K6" s="246">
        <f xml:space="preserve">
TRUNC(IF($A$4&lt;=12,SUMIFS('ON Data'!AL:AL,'ON Data'!$D:$D,$A$4,'ON Data'!$E:$E,1),SUMIFS('ON Data'!AL:AL,'ON Data'!$E:$E,1)/'ON Data'!$D$3),1)</f>
        <v>3.3</v>
      </c>
      <c r="L6" s="246">
        <f xml:space="preserve">
TRUNC(IF($A$4&lt;=12,SUMIFS('ON Data'!AT:AT,'ON Data'!$D:$D,$A$4,'ON Data'!$E:$E,1),SUMIFS('ON Data'!AT:AT,'ON Data'!$E:$E,1)/'ON Data'!$D$3),1)</f>
        <v>4.2</v>
      </c>
      <c r="M6" s="247">
        <f xml:space="preserve">
TRUNC(IF($A$4&lt;=12,SUMIFS('ON Data'!AW:AW,'ON Data'!$D:$D,$A$4,'ON Data'!$E:$E,1),SUMIFS('ON Data'!AW:AW,'ON Data'!$E:$E,1)/'ON Data'!$D$3),1)</f>
        <v>0</v>
      </c>
      <c r="N6" s="291"/>
    </row>
    <row r="7" spans="1:14" ht="15" hidden="1" outlineLevel="1" thickBot="1" x14ac:dyDescent="0.35">
      <c r="A7" s="210" t="s">
        <v>93</v>
      </c>
      <c r="B7" s="245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7"/>
      <c r="N7" s="291"/>
    </row>
    <row r="8" spans="1:14" ht="15" hidden="1" outlineLevel="1" thickBot="1" x14ac:dyDescent="0.35">
      <c r="A8" s="210" t="s">
        <v>61</v>
      </c>
      <c r="B8" s="245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7"/>
      <c r="N8" s="291"/>
    </row>
    <row r="9" spans="1:14" ht="15" hidden="1" outlineLevel="1" thickBot="1" x14ac:dyDescent="0.35">
      <c r="A9" s="211" t="s">
        <v>54</v>
      </c>
      <c r="B9" s="248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50"/>
      <c r="N9" s="291"/>
    </row>
    <row r="10" spans="1:14" x14ac:dyDescent="0.3">
      <c r="A10" s="212" t="s">
        <v>150</v>
      </c>
      <c r="B10" s="227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9"/>
      <c r="N10" s="291"/>
    </row>
    <row r="11" spans="1:14" x14ac:dyDescent="0.3">
      <c r="A11" s="213" t="s">
        <v>151</v>
      </c>
      <c r="B11" s="230">
        <f xml:space="preserve">
IF($A$4&lt;=12,SUMIFS('ON Data'!F:F,'ON Data'!$D:$D,$A$4,'ON Data'!$E:$E,2),SUMIFS('ON Data'!F:F,'ON Data'!$E:$E,2))</f>
        <v>26938.400000000001</v>
      </c>
      <c r="C11" s="231">
        <f xml:space="preserve">
IF($A$4&lt;=12,SUMIFS('ON Data'!H:H,'ON Data'!$D:$D,$A$4,'ON Data'!$E:$E,2),SUMIFS('ON Data'!H:H,'ON Data'!$E:$E,2))</f>
        <v>546</v>
      </c>
      <c r="D11" s="231">
        <f xml:space="preserve">
IF($A$4&lt;=12,SUMIFS('ON Data'!I:I,'ON Data'!$D:$D,$A$4,'ON Data'!$E:$E,2),SUMIFS('ON Data'!I:I,'ON Data'!$E:$E,2))</f>
        <v>2738</v>
      </c>
      <c r="E11" s="231">
        <f xml:space="preserve">
IF($A$4&lt;=12,SUMIFS('ON Data'!J:J,'ON Data'!$D:$D,$A$4,'ON Data'!$E:$E,2),SUMIFS('ON Data'!J:J,'ON Data'!$E:$E,2))</f>
        <v>1294.4000000000001</v>
      </c>
      <c r="F11" s="231">
        <f xml:space="preserve">
IF($A$4&lt;=12,SUMIFS('ON Data'!L:L,'ON Data'!$D:$D,$A$4,'ON Data'!$E:$E,2),SUMIFS('ON Data'!L:L,'ON Data'!$E:$E,2))</f>
        <v>4460</v>
      </c>
      <c r="G11" s="231">
        <f xml:space="preserve">
IF($A$4&lt;=12,SUMIFS('ON Data'!N:N,'ON Data'!$D:$D,$A$4,'ON Data'!$E:$E,2),SUMIFS('ON Data'!N:N,'ON Data'!$E:$E,2))</f>
        <v>0</v>
      </c>
      <c r="H11" s="231">
        <f xml:space="preserve">
IF($A$4&lt;=12,SUMIFS('ON Data'!W:W,'ON Data'!$D:$D,$A$4,'ON Data'!$E:$E,2),SUMIFS('ON Data'!W:W,'ON Data'!$E:$E,2))</f>
        <v>8980</v>
      </c>
      <c r="I11" s="231">
        <f xml:space="preserve">
IF($A$4&lt;=12,SUMIFS('ON Data'!AG:AG,'ON Data'!$D:$D,$A$4,'ON Data'!$E:$E,2),SUMIFS('ON Data'!AG:AG,'ON Data'!$E:$E,2))</f>
        <v>0</v>
      </c>
      <c r="J11" s="231">
        <f xml:space="preserve">
IF($A$4&lt;=12,SUMIFS('ON Data'!AH:AH,'ON Data'!$D:$D,$A$4,'ON Data'!$E:$E,2),SUMIFS('ON Data'!AH:AH,'ON Data'!$E:$E,2))</f>
        <v>0</v>
      </c>
      <c r="K11" s="231">
        <f xml:space="preserve">
IF($A$4&lt;=12,SUMIFS('ON Data'!AL:AL,'ON Data'!$D:$D,$A$4,'ON Data'!$E:$E,2),SUMIFS('ON Data'!AL:AL,'ON Data'!$E:$E,2))</f>
        <v>4080</v>
      </c>
      <c r="L11" s="231">
        <f xml:space="preserve">
IF($A$4&lt;=12,SUMIFS('ON Data'!AT:AT,'ON Data'!$D:$D,$A$4,'ON Data'!$E:$E,2),SUMIFS('ON Data'!AT:AT,'ON Data'!$E:$E,2))</f>
        <v>4840</v>
      </c>
      <c r="M11" s="232">
        <f xml:space="preserve">
IF($A$4&lt;=12,SUMIFS('ON Data'!AW:AW,'ON Data'!$D:$D,$A$4,'ON Data'!$E:$E,2),SUMIFS('ON Data'!AW:AW,'ON Data'!$E:$E,2))</f>
        <v>0</v>
      </c>
      <c r="N11" s="291"/>
    </row>
    <row r="12" spans="1:14" x14ac:dyDescent="0.3">
      <c r="A12" s="213" t="s">
        <v>152</v>
      </c>
      <c r="B12" s="230">
        <f xml:space="preserve">
IF($A$4&lt;=12,SUMIFS('ON Data'!F:F,'ON Data'!$D:$D,$A$4,'ON Data'!$E:$E,3),SUMIFS('ON Data'!F:F,'ON Data'!$E:$E,3))</f>
        <v>344.00000000000006</v>
      </c>
      <c r="C12" s="231">
        <f xml:space="preserve">
IF($A$4&lt;=12,SUMIFS('ON Data'!H:H,'ON Data'!$D:$D,$A$4,'ON Data'!$E:$E,3),SUMIFS('ON Data'!H:H,'ON Data'!$E:$E,3))</f>
        <v>0</v>
      </c>
      <c r="D12" s="231">
        <f xml:space="preserve">
IF($A$4&lt;=12,SUMIFS('ON Data'!I:I,'ON Data'!$D:$D,$A$4,'ON Data'!$E:$E,3),SUMIFS('ON Data'!I:I,'ON Data'!$E:$E,3))</f>
        <v>0</v>
      </c>
      <c r="E12" s="231">
        <f xml:space="preserve">
IF($A$4&lt;=12,SUMIFS('ON Data'!J:J,'ON Data'!$D:$D,$A$4,'ON Data'!$E:$E,3),SUMIFS('ON Data'!J:J,'ON Data'!$E:$E,3))</f>
        <v>0</v>
      </c>
      <c r="F12" s="231">
        <f xml:space="preserve">
IF($A$4&lt;=12,SUMIFS('ON Data'!L:L,'ON Data'!$D:$D,$A$4,'ON Data'!$E:$E,3),SUMIFS('ON Data'!L:L,'ON Data'!$E:$E,3))</f>
        <v>0</v>
      </c>
      <c r="G12" s="231">
        <f xml:space="preserve">
IF($A$4&lt;=12,SUMIFS('ON Data'!N:N,'ON Data'!$D:$D,$A$4,'ON Data'!$E:$E,3),SUMIFS('ON Data'!N:N,'ON Data'!$E:$E,3))</f>
        <v>0</v>
      </c>
      <c r="H12" s="231">
        <f xml:space="preserve">
IF($A$4&lt;=12,SUMIFS('ON Data'!W:W,'ON Data'!$D:$D,$A$4,'ON Data'!$E:$E,3),SUMIFS('ON Data'!W:W,'ON Data'!$E:$E,3))</f>
        <v>0</v>
      </c>
      <c r="I12" s="231">
        <f xml:space="preserve">
IF($A$4&lt;=12,SUMIFS('ON Data'!AG:AG,'ON Data'!$D:$D,$A$4,'ON Data'!$E:$E,3),SUMIFS('ON Data'!AG:AG,'ON Data'!$E:$E,3))</f>
        <v>0</v>
      </c>
      <c r="J12" s="231">
        <f xml:space="preserve">
IF($A$4&lt;=12,SUMIFS('ON Data'!AH:AH,'ON Data'!$D:$D,$A$4,'ON Data'!$E:$E,3),SUMIFS('ON Data'!AH:AH,'ON Data'!$E:$E,3))</f>
        <v>0</v>
      </c>
      <c r="K12" s="231">
        <f xml:space="preserve">
IF($A$4&lt;=12,SUMIFS('ON Data'!AL:AL,'ON Data'!$D:$D,$A$4,'ON Data'!$E:$E,3),SUMIFS('ON Data'!AL:AL,'ON Data'!$E:$E,3))</f>
        <v>344.00000000000006</v>
      </c>
      <c r="L12" s="231">
        <f xml:space="preserve">
IF($A$4&lt;=12,SUMIFS('ON Data'!AT:AT,'ON Data'!$D:$D,$A$4,'ON Data'!$E:$E,3),SUMIFS('ON Data'!AT:AT,'ON Data'!$E:$E,3))</f>
        <v>0</v>
      </c>
      <c r="M12" s="232">
        <f xml:space="preserve">
IF($A$4&lt;=12,SUMIFS('ON Data'!AW:AW,'ON Data'!$D:$D,$A$4,'ON Data'!$E:$E,3),SUMIFS('ON Data'!AW:AW,'ON Data'!$E:$E,3))</f>
        <v>0</v>
      </c>
      <c r="N12" s="291"/>
    </row>
    <row r="13" spans="1:14" x14ac:dyDescent="0.3">
      <c r="A13" s="213" t="s">
        <v>159</v>
      </c>
      <c r="B13" s="230">
        <f xml:space="preserve">
IF($A$4&lt;=12,SUMIFS('ON Data'!F:F,'ON Data'!$D:$D,$A$4,'ON Data'!$E:$E,4),SUMIFS('ON Data'!F:F,'ON Data'!$E:$E,4))</f>
        <v>743.90000000000009</v>
      </c>
      <c r="C13" s="231">
        <f xml:space="preserve">
IF($A$4&lt;=12,SUMIFS('ON Data'!H:H,'ON Data'!$D:$D,$A$4,'ON Data'!$E:$E,4),SUMIFS('ON Data'!H:H,'ON Data'!$E:$E,4))</f>
        <v>0</v>
      </c>
      <c r="D13" s="231">
        <f xml:space="preserve">
IF($A$4&lt;=12,SUMIFS('ON Data'!I:I,'ON Data'!$D:$D,$A$4,'ON Data'!$E:$E,4),SUMIFS('ON Data'!I:I,'ON Data'!$E:$E,4))</f>
        <v>8</v>
      </c>
      <c r="E13" s="231">
        <f xml:space="preserve">
IF($A$4&lt;=12,SUMIFS('ON Data'!J:J,'ON Data'!$D:$D,$A$4,'ON Data'!$E:$E,4),SUMIFS('ON Data'!J:J,'ON Data'!$E:$E,4))</f>
        <v>0</v>
      </c>
      <c r="F13" s="231">
        <f xml:space="preserve">
IF($A$4&lt;=12,SUMIFS('ON Data'!L:L,'ON Data'!$D:$D,$A$4,'ON Data'!$E:$E,4),SUMIFS('ON Data'!L:L,'ON Data'!$E:$E,4))</f>
        <v>8</v>
      </c>
      <c r="G13" s="231">
        <f xml:space="preserve">
IF($A$4&lt;=12,SUMIFS('ON Data'!N:N,'ON Data'!$D:$D,$A$4,'ON Data'!$E:$E,4),SUMIFS('ON Data'!N:N,'ON Data'!$E:$E,4))</f>
        <v>0</v>
      </c>
      <c r="H13" s="231">
        <f xml:space="preserve">
IF($A$4&lt;=12,SUMIFS('ON Data'!W:W,'ON Data'!$D:$D,$A$4,'ON Data'!$E:$E,4),SUMIFS('ON Data'!W:W,'ON Data'!$E:$E,4))</f>
        <v>0</v>
      </c>
      <c r="I13" s="231">
        <f xml:space="preserve">
IF($A$4&lt;=12,SUMIFS('ON Data'!AG:AG,'ON Data'!$D:$D,$A$4,'ON Data'!$E:$E,4),SUMIFS('ON Data'!AG:AG,'ON Data'!$E:$E,4))</f>
        <v>0</v>
      </c>
      <c r="J13" s="231">
        <f xml:space="preserve">
IF($A$4&lt;=12,SUMIFS('ON Data'!AH:AH,'ON Data'!$D:$D,$A$4,'ON Data'!$E:$E,4),SUMIFS('ON Data'!AH:AH,'ON Data'!$E:$E,4))</f>
        <v>0</v>
      </c>
      <c r="K13" s="231">
        <f xml:space="preserve">
IF($A$4&lt;=12,SUMIFS('ON Data'!AL:AL,'ON Data'!$D:$D,$A$4,'ON Data'!$E:$E,4),SUMIFS('ON Data'!AL:AL,'ON Data'!$E:$E,4))</f>
        <v>623.40000000000009</v>
      </c>
      <c r="L13" s="231">
        <f xml:space="preserve">
IF($A$4&lt;=12,SUMIFS('ON Data'!AT:AT,'ON Data'!$D:$D,$A$4,'ON Data'!$E:$E,4),SUMIFS('ON Data'!AT:AT,'ON Data'!$E:$E,4))</f>
        <v>104.5</v>
      </c>
      <c r="M13" s="232">
        <f xml:space="preserve">
IF($A$4&lt;=12,SUMIFS('ON Data'!AW:AW,'ON Data'!$D:$D,$A$4,'ON Data'!$E:$E,4),SUMIFS('ON Data'!AW:AW,'ON Data'!$E:$E,4))</f>
        <v>0</v>
      </c>
      <c r="N13" s="291"/>
    </row>
    <row r="14" spans="1:14" ht="15" thickBot="1" x14ac:dyDescent="0.35">
      <c r="A14" s="214" t="s">
        <v>153</v>
      </c>
      <c r="B14" s="233">
        <f xml:space="preserve">
IF($A$4&lt;=12,SUMIFS('ON Data'!F:F,'ON Data'!$D:$D,$A$4,'ON Data'!$E:$E,5),SUMIFS('ON Data'!F:F,'ON Data'!$E:$E,5))</f>
        <v>6157</v>
      </c>
      <c r="C14" s="234">
        <f xml:space="preserve">
IF($A$4&lt;=12,SUMIFS('ON Data'!H:H,'ON Data'!$D:$D,$A$4,'ON Data'!$E:$E,5),SUMIFS('ON Data'!H:H,'ON Data'!$E:$E,5))</f>
        <v>0</v>
      </c>
      <c r="D14" s="234">
        <f xml:space="preserve">
IF($A$4&lt;=12,SUMIFS('ON Data'!I:I,'ON Data'!$D:$D,$A$4,'ON Data'!$E:$E,5),SUMIFS('ON Data'!I:I,'ON Data'!$E:$E,5))</f>
        <v>0</v>
      </c>
      <c r="E14" s="234">
        <f xml:space="preserve">
IF($A$4&lt;=12,SUMIFS('ON Data'!J:J,'ON Data'!$D:$D,$A$4,'ON Data'!$E:$E,5),SUMIFS('ON Data'!J:J,'ON Data'!$E:$E,5))</f>
        <v>0</v>
      </c>
      <c r="F14" s="234">
        <f xml:space="preserve">
IF($A$4&lt;=12,SUMIFS('ON Data'!L:L,'ON Data'!$D:$D,$A$4,'ON Data'!$E:$E,5),SUMIFS('ON Data'!L:L,'ON Data'!$E:$E,5))</f>
        <v>28</v>
      </c>
      <c r="G14" s="234">
        <f xml:space="preserve">
IF($A$4&lt;=12,SUMIFS('ON Data'!N:N,'ON Data'!$D:$D,$A$4,'ON Data'!$E:$E,5),SUMIFS('ON Data'!N:N,'ON Data'!$E:$E,5))</f>
        <v>0</v>
      </c>
      <c r="H14" s="234">
        <f xml:space="preserve">
IF($A$4&lt;=12,SUMIFS('ON Data'!W:W,'ON Data'!$D:$D,$A$4,'ON Data'!$E:$E,5),SUMIFS('ON Data'!W:W,'ON Data'!$E:$E,5))</f>
        <v>0</v>
      </c>
      <c r="I14" s="234">
        <f xml:space="preserve">
IF($A$4&lt;=12,SUMIFS('ON Data'!AG:AG,'ON Data'!$D:$D,$A$4,'ON Data'!$E:$E,5),SUMIFS('ON Data'!AG:AG,'ON Data'!$E:$E,5))</f>
        <v>0</v>
      </c>
      <c r="J14" s="234">
        <f xml:space="preserve">
IF($A$4&lt;=12,SUMIFS('ON Data'!AH:AH,'ON Data'!$D:$D,$A$4,'ON Data'!$E:$E,5),SUMIFS('ON Data'!AH:AH,'ON Data'!$E:$E,5))</f>
        <v>0</v>
      </c>
      <c r="K14" s="234">
        <f xml:space="preserve">
IF($A$4&lt;=12,SUMIFS('ON Data'!AL:AL,'ON Data'!$D:$D,$A$4,'ON Data'!$E:$E,5),SUMIFS('ON Data'!AL:AL,'ON Data'!$E:$E,5))</f>
        <v>2074</v>
      </c>
      <c r="L14" s="234">
        <f xml:space="preserve">
IF($A$4&lt;=12,SUMIFS('ON Data'!AT:AT,'ON Data'!$D:$D,$A$4,'ON Data'!$E:$E,5),SUMIFS('ON Data'!AT:AT,'ON Data'!$E:$E,5))</f>
        <v>3371</v>
      </c>
      <c r="M14" s="235">
        <f xml:space="preserve">
IF($A$4&lt;=12,SUMIFS('ON Data'!AW:AW,'ON Data'!$D:$D,$A$4,'ON Data'!$E:$E,5),SUMIFS('ON Data'!AW:AW,'ON Data'!$E:$E,5))</f>
        <v>684</v>
      </c>
      <c r="N14" s="291"/>
    </row>
    <row r="15" spans="1:14" x14ac:dyDescent="0.3">
      <c r="A15" s="135" t="s">
        <v>163</v>
      </c>
      <c r="B15" s="236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8"/>
      <c r="N15" s="291"/>
    </row>
    <row r="16" spans="1:14" x14ac:dyDescent="0.3">
      <c r="A16" s="215" t="s">
        <v>154</v>
      </c>
      <c r="B16" s="230">
        <f xml:space="preserve">
IF($A$4&lt;=12,SUMIFS('ON Data'!F:F,'ON Data'!$D:$D,$A$4,'ON Data'!$E:$E,7),SUMIFS('ON Data'!F:F,'ON Data'!$E:$E,7))</f>
        <v>0</v>
      </c>
      <c r="C16" s="231">
        <f xml:space="preserve">
IF($A$4&lt;=12,SUMIFS('ON Data'!H:H,'ON Data'!$D:$D,$A$4,'ON Data'!$E:$E,7),SUMIFS('ON Data'!H:H,'ON Data'!$E:$E,7))</f>
        <v>0</v>
      </c>
      <c r="D16" s="231">
        <f xml:space="preserve">
IF($A$4&lt;=12,SUMIFS('ON Data'!I:I,'ON Data'!$D:$D,$A$4,'ON Data'!$E:$E,7),SUMIFS('ON Data'!I:I,'ON Data'!$E:$E,7))</f>
        <v>0</v>
      </c>
      <c r="E16" s="231">
        <f xml:space="preserve">
IF($A$4&lt;=12,SUMIFS('ON Data'!J:J,'ON Data'!$D:$D,$A$4,'ON Data'!$E:$E,7),SUMIFS('ON Data'!J:J,'ON Data'!$E:$E,7))</f>
        <v>0</v>
      </c>
      <c r="F16" s="231">
        <f xml:space="preserve">
IF($A$4&lt;=12,SUMIFS('ON Data'!L:L,'ON Data'!$D:$D,$A$4,'ON Data'!$E:$E,7),SUMIFS('ON Data'!L:L,'ON Data'!$E:$E,7))</f>
        <v>0</v>
      </c>
      <c r="G16" s="231">
        <f xml:space="preserve">
IF($A$4&lt;=12,SUMIFS('ON Data'!N:N,'ON Data'!$D:$D,$A$4,'ON Data'!$E:$E,7),SUMIFS('ON Data'!N:N,'ON Data'!$E:$E,7))</f>
        <v>0</v>
      </c>
      <c r="H16" s="231">
        <f xml:space="preserve">
IF($A$4&lt;=12,SUMIFS('ON Data'!W:W,'ON Data'!$D:$D,$A$4,'ON Data'!$E:$E,7),SUMIFS('ON Data'!W:W,'ON Data'!$E:$E,7))</f>
        <v>0</v>
      </c>
      <c r="I16" s="231">
        <f xml:space="preserve">
IF($A$4&lt;=12,SUMIFS('ON Data'!AG:AG,'ON Data'!$D:$D,$A$4,'ON Data'!$E:$E,7),SUMIFS('ON Data'!AG:AG,'ON Data'!$E:$E,7))</f>
        <v>0</v>
      </c>
      <c r="J16" s="231">
        <f xml:space="preserve">
IF($A$4&lt;=12,SUMIFS('ON Data'!AH:AH,'ON Data'!$D:$D,$A$4,'ON Data'!$E:$E,7),SUMIFS('ON Data'!AH:AH,'ON Data'!$E:$E,7))</f>
        <v>0</v>
      </c>
      <c r="K16" s="231">
        <f xml:space="preserve">
IF($A$4&lt;=12,SUMIFS('ON Data'!AL:AL,'ON Data'!$D:$D,$A$4,'ON Data'!$E:$E,7),SUMIFS('ON Data'!AL:AL,'ON Data'!$E:$E,7))</f>
        <v>0</v>
      </c>
      <c r="L16" s="231">
        <f xml:space="preserve">
IF($A$4&lt;=12,SUMIFS('ON Data'!AT:AT,'ON Data'!$D:$D,$A$4,'ON Data'!$E:$E,7),SUMIFS('ON Data'!AT:AT,'ON Data'!$E:$E,7))</f>
        <v>0</v>
      </c>
      <c r="M16" s="232">
        <f xml:space="preserve">
IF($A$4&lt;=12,SUMIFS('ON Data'!AW:AW,'ON Data'!$D:$D,$A$4,'ON Data'!$E:$E,7),SUMIFS('ON Data'!AW:AW,'ON Data'!$E:$E,7))</f>
        <v>0</v>
      </c>
      <c r="N16" s="291"/>
    </row>
    <row r="17" spans="1:46" x14ac:dyDescent="0.3">
      <c r="A17" s="215" t="s">
        <v>155</v>
      </c>
      <c r="B17" s="230">
        <f xml:space="preserve">
IF($A$4&lt;=12,SUMIFS('ON Data'!F:F,'ON Data'!$D:$D,$A$4,'ON Data'!$E:$E,8),SUMIFS('ON Data'!F:F,'ON Data'!$E:$E,8))</f>
        <v>0</v>
      </c>
      <c r="C17" s="231">
        <f xml:space="preserve">
IF($A$4&lt;=12,SUMIFS('ON Data'!H:H,'ON Data'!$D:$D,$A$4,'ON Data'!$E:$E,8),SUMIFS('ON Data'!H:H,'ON Data'!$E:$E,8))</f>
        <v>0</v>
      </c>
      <c r="D17" s="231">
        <f xml:space="preserve">
IF($A$4&lt;=12,SUMIFS('ON Data'!I:I,'ON Data'!$D:$D,$A$4,'ON Data'!$E:$E,8),SUMIFS('ON Data'!I:I,'ON Data'!$E:$E,8))</f>
        <v>0</v>
      </c>
      <c r="E17" s="231">
        <f xml:space="preserve">
IF($A$4&lt;=12,SUMIFS('ON Data'!J:J,'ON Data'!$D:$D,$A$4,'ON Data'!$E:$E,8),SUMIFS('ON Data'!J:J,'ON Data'!$E:$E,8))</f>
        <v>0</v>
      </c>
      <c r="F17" s="231">
        <f xml:space="preserve">
IF($A$4&lt;=12,SUMIFS('ON Data'!L:L,'ON Data'!$D:$D,$A$4,'ON Data'!$E:$E,8),SUMIFS('ON Data'!L:L,'ON Data'!$E:$E,8))</f>
        <v>0</v>
      </c>
      <c r="G17" s="231">
        <f xml:space="preserve">
IF($A$4&lt;=12,SUMIFS('ON Data'!N:N,'ON Data'!$D:$D,$A$4,'ON Data'!$E:$E,8),SUMIFS('ON Data'!N:N,'ON Data'!$E:$E,8))</f>
        <v>0</v>
      </c>
      <c r="H17" s="231">
        <f xml:space="preserve">
IF($A$4&lt;=12,SUMIFS('ON Data'!W:W,'ON Data'!$D:$D,$A$4,'ON Data'!$E:$E,8),SUMIFS('ON Data'!W:W,'ON Data'!$E:$E,8))</f>
        <v>0</v>
      </c>
      <c r="I17" s="231">
        <f xml:space="preserve">
IF($A$4&lt;=12,SUMIFS('ON Data'!AG:AG,'ON Data'!$D:$D,$A$4,'ON Data'!$E:$E,8),SUMIFS('ON Data'!AG:AG,'ON Data'!$E:$E,8))</f>
        <v>0</v>
      </c>
      <c r="J17" s="231">
        <f xml:space="preserve">
IF($A$4&lt;=12,SUMIFS('ON Data'!AH:AH,'ON Data'!$D:$D,$A$4,'ON Data'!$E:$E,8),SUMIFS('ON Data'!AH:AH,'ON Data'!$E:$E,8))</f>
        <v>0</v>
      </c>
      <c r="K17" s="231">
        <f xml:space="preserve">
IF($A$4&lt;=12,SUMIFS('ON Data'!AL:AL,'ON Data'!$D:$D,$A$4,'ON Data'!$E:$E,8),SUMIFS('ON Data'!AL:AL,'ON Data'!$E:$E,8))</f>
        <v>0</v>
      </c>
      <c r="L17" s="231">
        <f xml:space="preserve">
IF($A$4&lt;=12,SUMIFS('ON Data'!AT:AT,'ON Data'!$D:$D,$A$4,'ON Data'!$E:$E,8),SUMIFS('ON Data'!AT:AT,'ON Data'!$E:$E,8))</f>
        <v>0</v>
      </c>
      <c r="M17" s="232">
        <f xml:space="preserve">
IF($A$4&lt;=12,SUMIFS('ON Data'!AW:AW,'ON Data'!$D:$D,$A$4,'ON Data'!$E:$E,8),SUMIFS('ON Data'!AW:AW,'ON Data'!$E:$E,8))</f>
        <v>0</v>
      </c>
      <c r="N17" s="291"/>
    </row>
    <row r="18" spans="1:46" x14ac:dyDescent="0.3">
      <c r="A18" s="215" t="s">
        <v>156</v>
      </c>
      <c r="B18" s="230">
        <f xml:space="preserve">
B19-B16-B17</f>
        <v>736750</v>
      </c>
      <c r="C18" s="231">
        <f t="shared" ref="C18:M18" si="0" xml:space="preserve">
C19-C16-C17</f>
        <v>0</v>
      </c>
      <c r="D18" s="231">
        <f t="shared" si="0"/>
        <v>37237</v>
      </c>
      <c r="E18" s="231">
        <f t="shared" si="0"/>
        <v>13513</v>
      </c>
      <c r="F18" s="231">
        <f t="shared" si="0"/>
        <v>332584</v>
      </c>
      <c r="G18" s="231">
        <f t="shared" si="0"/>
        <v>5273</v>
      </c>
      <c r="H18" s="231">
        <f t="shared" si="0"/>
        <v>94438</v>
      </c>
      <c r="I18" s="231">
        <f t="shared" si="0"/>
        <v>4632</v>
      </c>
      <c r="J18" s="231">
        <f t="shared" si="0"/>
        <v>1158</v>
      </c>
      <c r="K18" s="231">
        <f t="shared" si="0"/>
        <v>158700</v>
      </c>
      <c r="L18" s="231">
        <f t="shared" si="0"/>
        <v>89215</v>
      </c>
      <c r="M18" s="232">
        <f t="shared" si="0"/>
        <v>0</v>
      </c>
      <c r="N18" s="291"/>
    </row>
    <row r="19" spans="1:46" ht="15" thickBot="1" x14ac:dyDescent="0.35">
      <c r="A19" s="216" t="s">
        <v>157</v>
      </c>
      <c r="B19" s="239">
        <f xml:space="preserve">
IF($A$4&lt;=12,SUMIFS('ON Data'!F:F,'ON Data'!$D:$D,$A$4,'ON Data'!$E:$E,9),SUMIFS('ON Data'!F:F,'ON Data'!$E:$E,9))</f>
        <v>736750</v>
      </c>
      <c r="C19" s="240">
        <f xml:space="preserve">
IF($A$4&lt;=12,SUMIFS('ON Data'!H:H,'ON Data'!$D:$D,$A$4,'ON Data'!$E:$E,9),SUMIFS('ON Data'!H:H,'ON Data'!$E:$E,9))</f>
        <v>0</v>
      </c>
      <c r="D19" s="240">
        <f xml:space="preserve">
IF($A$4&lt;=12,SUMIFS('ON Data'!I:I,'ON Data'!$D:$D,$A$4,'ON Data'!$E:$E,9),SUMIFS('ON Data'!I:I,'ON Data'!$E:$E,9))</f>
        <v>37237</v>
      </c>
      <c r="E19" s="240">
        <f xml:space="preserve">
IF($A$4&lt;=12,SUMIFS('ON Data'!J:J,'ON Data'!$D:$D,$A$4,'ON Data'!$E:$E,9),SUMIFS('ON Data'!J:J,'ON Data'!$E:$E,9))</f>
        <v>13513</v>
      </c>
      <c r="F19" s="240">
        <f xml:space="preserve">
IF($A$4&lt;=12,SUMIFS('ON Data'!L:L,'ON Data'!$D:$D,$A$4,'ON Data'!$E:$E,9),SUMIFS('ON Data'!L:L,'ON Data'!$E:$E,9))</f>
        <v>332584</v>
      </c>
      <c r="G19" s="240">
        <f xml:space="preserve">
IF($A$4&lt;=12,SUMIFS('ON Data'!N:N,'ON Data'!$D:$D,$A$4,'ON Data'!$E:$E,9),SUMIFS('ON Data'!N:N,'ON Data'!$E:$E,9))</f>
        <v>5273</v>
      </c>
      <c r="H19" s="240">
        <f xml:space="preserve">
IF($A$4&lt;=12,SUMIFS('ON Data'!W:W,'ON Data'!$D:$D,$A$4,'ON Data'!$E:$E,9),SUMIFS('ON Data'!W:W,'ON Data'!$E:$E,9))</f>
        <v>94438</v>
      </c>
      <c r="I19" s="240">
        <f xml:space="preserve">
IF($A$4&lt;=12,SUMIFS('ON Data'!AG:AG,'ON Data'!$D:$D,$A$4,'ON Data'!$E:$E,9),SUMIFS('ON Data'!AG:AG,'ON Data'!$E:$E,9))</f>
        <v>4632</v>
      </c>
      <c r="J19" s="240">
        <f xml:space="preserve">
IF($A$4&lt;=12,SUMIFS('ON Data'!AH:AH,'ON Data'!$D:$D,$A$4,'ON Data'!$E:$E,9),SUMIFS('ON Data'!AH:AH,'ON Data'!$E:$E,9))</f>
        <v>1158</v>
      </c>
      <c r="K19" s="240">
        <f xml:space="preserve">
IF($A$4&lt;=12,SUMIFS('ON Data'!AL:AL,'ON Data'!$D:$D,$A$4,'ON Data'!$E:$E,9),SUMIFS('ON Data'!AL:AL,'ON Data'!$E:$E,9))</f>
        <v>158700</v>
      </c>
      <c r="L19" s="240">
        <f xml:space="preserve">
IF($A$4&lt;=12,SUMIFS('ON Data'!AT:AT,'ON Data'!$D:$D,$A$4,'ON Data'!$E:$E,9),SUMIFS('ON Data'!AT:AT,'ON Data'!$E:$E,9))</f>
        <v>89215</v>
      </c>
      <c r="M19" s="241">
        <f xml:space="preserve">
IF($A$4&lt;=12,SUMIFS('ON Data'!AW:AW,'ON Data'!$D:$D,$A$4,'ON Data'!$E:$E,9),SUMIFS('ON Data'!AW:AW,'ON Data'!$E:$E,9))</f>
        <v>0</v>
      </c>
      <c r="N19" s="291"/>
    </row>
    <row r="20" spans="1:46" ht="15" collapsed="1" thickBot="1" x14ac:dyDescent="0.35">
      <c r="A20" s="217" t="s">
        <v>59</v>
      </c>
      <c r="B20" s="317">
        <f xml:space="preserve">
IF($A$4&lt;=12,SUMIFS('ON Data'!F:F,'ON Data'!$D:$D,$A$4,'ON Data'!$E:$E,6),SUMIFS('ON Data'!F:F,'ON Data'!$E:$E,6))</f>
        <v>8520217</v>
      </c>
      <c r="C20" s="318">
        <f xml:space="preserve">
IF($A$4&lt;=12,SUMIFS('ON Data'!H:H,'ON Data'!$D:$D,$A$4,'ON Data'!$E:$E,6),SUMIFS('ON Data'!H:H,'ON Data'!$E:$E,6))</f>
        <v>70115</v>
      </c>
      <c r="D20" s="318">
        <f xml:space="preserve">
IF($A$4&lt;=12,SUMIFS('ON Data'!I:I,'ON Data'!$D:$D,$A$4,'ON Data'!$E:$E,6),SUMIFS('ON Data'!I:I,'ON Data'!$E:$E,6))</f>
        <v>513183</v>
      </c>
      <c r="E20" s="318">
        <f xml:space="preserve">
IF($A$4&lt;=12,SUMIFS('ON Data'!J:J,'ON Data'!$D:$D,$A$4,'ON Data'!$E:$E,6),SUMIFS('ON Data'!J:J,'ON Data'!$E:$E,6))</f>
        <v>286513</v>
      </c>
      <c r="F20" s="318">
        <f xml:space="preserve">
IF($A$4&lt;=12,SUMIFS('ON Data'!L:L,'ON Data'!$D:$D,$A$4,'ON Data'!$E:$E,6),SUMIFS('ON Data'!L:L,'ON Data'!$E:$E,6))</f>
        <v>2164073</v>
      </c>
      <c r="G20" s="318">
        <f xml:space="preserve">
IF($A$4&lt;=12,SUMIFS('ON Data'!N:N,'ON Data'!$D:$D,$A$4,'ON Data'!$E:$E,6),SUMIFS('ON Data'!N:N,'ON Data'!$E:$E,6))</f>
        <v>5273</v>
      </c>
      <c r="H20" s="318">
        <f xml:space="preserve">
IF($A$4&lt;=12,SUMIFS('ON Data'!W:W,'ON Data'!$D:$D,$A$4,'ON Data'!$E:$E,6),SUMIFS('ON Data'!W:W,'ON Data'!$E:$E,6))</f>
        <v>2034055</v>
      </c>
      <c r="I20" s="318">
        <f xml:space="preserve">
IF($A$4&lt;=12,SUMIFS('ON Data'!AG:AG,'ON Data'!$D:$D,$A$4,'ON Data'!$E:$E,6),SUMIFS('ON Data'!AG:AG,'ON Data'!$E:$E,6))</f>
        <v>4632</v>
      </c>
      <c r="J20" s="318">
        <f xml:space="preserve">
IF($A$4&lt;=12,SUMIFS('ON Data'!AH:AH,'ON Data'!$D:$D,$A$4,'ON Data'!$E:$E,6),SUMIFS('ON Data'!AH:AH,'ON Data'!$E:$E,6))</f>
        <v>1158</v>
      </c>
      <c r="K20" s="318">
        <f xml:space="preserve">
IF($A$4&lt;=12,SUMIFS('ON Data'!AL:AL,'ON Data'!$D:$D,$A$4,'ON Data'!$E:$E,6),SUMIFS('ON Data'!AL:AL,'ON Data'!$E:$E,6))</f>
        <v>2230907</v>
      </c>
      <c r="L20" s="318">
        <f xml:space="preserve">
IF($A$4&lt;=12,SUMIFS('ON Data'!AT:AT,'ON Data'!$D:$D,$A$4,'ON Data'!$E:$E,6),SUMIFS('ON Data'!AT:AT,'ON Data'!$E:$E,6))</f>
        <v>1093308</v>
      </c>
      <c r="M20" s="319">
        <f xml:space="preserve">
IF($A$4&lt;=12,SUMIFS('ON Data'!AW:AW,'ON Data'!$D:$D,$A$4,'ON Data'!$E:$E,6),SUMIFS('ON Data'!AW:AW,'ON Data'!$E:$E,6))</f>
        <v>117000</v>
      </c>
      <c r="N20" s="291"/>
    </row>
    <row r="21" spans="1:46" ht="15" hidden="1" outlineLevel="1" thickBot="1" x14ac:dyDescent="0.35">
      <c r="A21" s="210" t="s">
        <v>93</v>
      </c>
      <c r="B21" s="311">
        <f xml:space="preserve">
IF($A$4&lt;=12,SUMIFS('ON Data'!F:F,'ON Data'!$D:$D,$A$4,'ON Data'!$E:$E,12),SUMIFS('ON Data'!F:F,'ON Data'!$E:$E,12))</f>
        <v>0</v>
      </c>
      <c r="C21" s="296">
        <f xml:space="preserve">
IF($A$4&lt;=12,SUMIFS('ON Data'!H:H,'ON Data'!$D:$D,$A$4,'ON Data'!$E:$E,12),SUMIFS('ON Data'!H:H,'ON Data'!$E:$E,12))</f>
        <v>0</v>
      </c>
      <c r="D21" s="296"/>
      <c r="E21" s="296">
        <f xml:space="preserve">
IF($A$4&lt;=12,SUMIFS('ON Data'!J:J,'ON Data'!$D:$D,$A$4,'ON Data'!$E:$E,12),SUMIFS('ON Data'!J:J,'ON Data'!$E:$E,12))</f>
        <v>0</v>
      </c>
      <c r="F21" s="296">
        <f xml:space="preserve">
IF($A$4&lt;=12,SUMIFS('ON Data'!L:L,'ON Data'!$D:$D,$A$4,'ON Data'!$E:$E,12),SUMIFS('ON Data'!L:L,'ON Data'!$E:$E,12))</f>
        <v>0</v>
      </c>
      <c r="G21" s="296">
        <f xml:space="preserve">
IF($A$4&lt;=12,SUMIFS('ON Data'!N:N,'ON Data'!$D:$D,$A$4,'ON Data'!$E:$E,12),SUMIFS('ON Data'!N:N,'ON Data'!$E:$E,12))</f>
        <v>0</v>
      </c>
      <c r="H21" s="296">
        <f xml:space="preserve">
IF($A$4&lt;=12,SUMIFS('ON Data'!W:W,'ON Data'!$D:$D,$A$4,'ON Data'!$E:$E,12),SUMIFS('ON Data'!W:W,'ON Data'!$E:$E,12))</f>
        <v>0</v>
      </c>
      <c r="I21" s="296">
        <f xml:space="preserve">
IF($A$4&lt;=12,SUMIFS('ON Data'!AG:AG,'ON Data'!$D:$D,$A$4,'ON Data'!$E:$E,12),SUMIFS('ON Data'!AG:AG,'ON Data'!$E:$E,12))</f>
        <v>0</v>
      </c>
      <c r="J21" s="296">
        <f xml:space="preserve">
IF($A$4&lt;=12,SUMIFS('ON Data'!AH:AH,'ON Data'!$D:$D,$A$4,'ON Data'!$E:$E,12),SUMIFS('ON Data'!AH:AH,'ON Data'!$E:$E,12))</f>
        <v>0</v>
      </c>
      <c r="K21" s="296">
        <f xml:space="preserve">
IF($A$4&lt;=12,SUMIFS('ON Data'!AL:AL,'ON Data'!$D:$D,$A$4,'ON Data'!$E:$E,12),SUMIFS('ON Data'!AL:AL,'ON Data'!$E:$E,12))</f>
        <v>0</v>
      </c>
      <c r="L21" s="296"/>
      <c r="M21" s="297"/>
      <c r="N21" s="291"/>
    </row>
    <row r="22" spans="1:46" ht="15" hidden="1" outlineLevel="1" thickBot="1" x14ac:dyDescent="0.35">
      <c r="A22" s="210" t="s">
        <v>61</v>
      </c>
      <c r="B22" s="312" t="str">
        <f xml:space="preserve">
IF(OR(B21="",B21=0),"",B20/B21)</f>
        <v/>
      </c>
      <c r="C22" s="281" t="str">
        <f t="shared" ref="C22:F22" si="1" xml:space="preserve">
IF(OR(C21="",C21=0),"",C20/C21)</f>
        <v/>
      </c>
      <c r="D22" s="281"/>
      <c r="E22" s="281" t="str">
        <f t="shared" si="1"/>
        <v/>
      </c>
      <c r="F22" s="281" t="str">
        <f t="shared" si="1"/>
        <v/>
      </c>
      <c r="G22" s="281" t="str">
        <f t="shared" ref="G22:K22" si="2" xml:space="preserve">
IF(OR(G21="",G21=0),"",G20/G21)</f>
        <v/>
      </c>
      <c r="H22" s="281" t="str">
        <f t="shared" si="2"/>
        <v/>
      </c>
      <c r="I22" s="281" t="str">
        <f t="shared" si="2"/>
        <v/>
      </c>
      <c r="J22" s="281" t="str">
        <f t="shared" si="2"/>
        <v/>
      </c>
      <c r="K22" s="281" t="str">
        <f t="shared" si="2"/>
        <v/>
      </c>
      <c r="L22" s="281"/>
      <c r="M22" s="282"/>
      <c r="N22" s="291"/>
    </row>
    <row r="23" spans="1:46" ht="15" hidden="1" outlineLevel="1" thickBot="1" x14ac:dyDescent="0.35">
      <c r="A23" s="218" t="s">
        <v>54</v>
      </c>
      <c r="B23" s="313">
        <f xml:space="preserve">
IF(B21="","",B20-B21)</f>
        <v>8520217</v>
      </c>
      <c r="C23" s="234">
        <f t="shared" ref="C23:F23" si="3" xml:space="preserve">
IF(C21="","",C20-C21)</f>
        <v>70115</v>
      </c>
      <c r="D23" s="234"/>
      <c r="E23" s="234">
        <f t="shared" si="3"/>
        <v>286513</v>
      </c>
      <c r="F23" s="234">
        <f t="shared" si="3"/>
        <v>2164073</v>
      </c>
      <c r="G23" s="234">
        <f t="shared" ref="G23:K23" si="4" xml:space="preserve">
IF(G21="","",G20-G21)</f>
        <v>5273</v>
      </c>
      <c r="H23" s="234">
        <f t="shared" si="4"/>
        <v>2034055</v>
      </c>
      <c r="I23" s="234">
        <f t="shared" si="4"/>
        <v>4632</v>
      </c>
      <c r="J23" s="234">
        <f t="shared" si="4"/>
        <v>1158</v>
      </c>
      <c r="K23" s="234">
        <f t="shared" si="4"/>
        <v>2230907</v>
      </c>
      <c r="L23" s="234"/>
      <c r="M23" s="235"/>
      <c r="N23" s="291"/>
    </row>
    <row r="24" spans="1:46" x14ac:dyDescent="0.3">
      <c r="A24" s="212" t="s">
        <v>158</v>
      </c>
      <c r="B24" s="255" t="s">
        <v>3</v>
      </c>
      <c r="C24" s="308" t="s">
        <v>226</v>
      </c>
      <c r="D24" s="309" t="s">
        <v>227</v>
      </c>
      <c r="E24" s="309" t="s">
        <v>228</v>
      </c>
      <c r="F24" s="310" t="s">
        <v>169</v>
      </c>
      <c r="AT24" s="291"/>
    </row>
    <row r="25" spans="1:46" x14ac:dyDescent="0.3">
      <c r="A25" s="213" t="s">
        <v>59</v>
      </c>
      <c r="B25" s="230">
        <f xml:space="preserve">
SUM(C25:F25)</f>
        <v>32150</v>
      </c>
      <c r="C25" s="299">
        <f xml:space="preserve">
IF($A$4&lt;=12,SUMIFS('ON Data'!$G:$G,'ON Data'!$D:$D,$A$4,'ON Data'!$E:$E,10),SUMIFS('ON Data'!$G:$G,'ON Data'!$E:$E,10))</f>
        <v>4150</v>
      </c>
      <c r="D25" s="300">
        <f xml:space="preserve">
IF($A$4&lt;=12,SUMIFS('ON Data'!$J:$J,'ON Data'!$D:$D,$A$4,'ON Data'!$E:$E,10),SUMIFS('ON Data'!$J:$J,'ON Data'!$E:$E,10))</f>
        <v>28000</v>
      </c>
      <c r="E25" s="300">
        <f xml:space="preserve">
IF($A$4&lt;=12,SUMIFS('ON Data'!$H:$H,'ON Data'!$D:$D,$A$4,'ON Data'!$E:$E,10),SUMIFS('ON Data'!$H:$H,'ON Data'!$E:$E,10))</f>
        <v>0</v>
      </c>
      <c r="F25" s="301">
        <f xml:space="preserve">
IF($A$4&lt;=12,SUMIFS('ON Data'!$I:$I,'ON Data'!$D:$D,$A$4,'ON Data'!$E:$E,10),SUMIFS('ON Data'!$I:$I,'ON Data'!$E:$E,10))</f>
        <v>0</v>
      </c>
    </row>
    <row r="26" spans="1:46" x14ac:dyDescent="0.3">
      <c r="A26" s="219" t="s">
        <v>168</v>
      </c>
      <c r="B26" s="239">
        <f xml:space="preserve">
SUM(C26:F26)</f>
        <v>31712.096423157163</v>
      </c>
      <c r="C26" s="299">
        <f xml:space="preserve">
IF($A$4&lt;=12,SUMIFS('ON Data'!$G:$G,'ON Data'!$D:$D,$A$4,'ON Data'!$E:$E,11),SUMIFS('ON Data'!$G:$G,'ON Data'!$E:$E,11))</f>
        <v>13378.763089823831</v>
      </c>
      <c r="D26" s="300">
        <f xml:space="preserve">
IF($A$4&lt;=12,SUMIFS('ON Data'!$J:$J,'ON Data'!$D:$D,$A$4,'ON Data'!$E:$E,11),SUMIFS('ON Data'!$J:$J,'ON Data'!$E:$E,11))</f>
        <v>8333.3333333333339</v>
      </c>
      <c r="E26" s="300">
        <f xml:space="preserve">
IF($A$4&lt;=12,SUMIFS('ON Data'!$H:$H,'ON Data'!$D:$D,$A$4,'ON Data'!$E:$E,11),SUMIFS('ON Data'!$H:$H,'ON Data'!$E:$E,11))</f>
        <v>10000</v>
      </c>
      <c r="F26" s="301">
        <f xml:space="preserve">
IF($A$4&lt;=12,SUMIFS('ON Data'!$I:$I,'ON Data'!$D:$D,$A$4,'ON Data'!$E:$E,11),SUMIFS('ON Data'!$I:$I,'ON Data'!$E:$E,11))</f>
        <v>0</v>
      </c>
    </row>
    <row r="27" spans="1:46" x14ac:dyDescent="0.3">
      <c r="A27" s="219" t="s">
        <v>61</v>
      </c>
      <c r="B27" s="256">
        <f xml:space="preserve">
IF(B26=0,0,B25/B26)</f>
        <v>1.0138087236806919</v>
      </c>
      <c r="C27" s="302">
        <f xml:space="preserve">
IF(C26=0,0,C25/C26)</f>
        <v>0.31019310022438301</v>
      </c>
      <c r="D27" s="303">
        <f t="shared" ref="D27:E27" si="5" xml:space="preserve">
IF(D26=0,0,D25/D26)</f>
        <v>3.36</v>
      </c>
      <c r="E27" s="303">
        <f t="shared" si="5"/>
        <v>0</v>
      </c>
      <c r="F27" s="304">
        <f xml:space="preserve">
IF(F26=0,0,F25/F26)</f>
        <v>0</v>
      </c>
    </row>
    <row r="28" spans="1:46" ht="15" thickBot="1" x14ac:dyDescent="0.35">
      <c r="A28" s="219" t="s">
        <v>167</v>
      </c>
      <c r="B28" s="239">
        <f xml:space="preserve">
SUM(C28:F28)</f>
        <v>-437.90357684283299</v>
      </c>
      <c r="C28" s="305">
        <f xml:space="preserve">
C26-C25</f>
        <v>9228.7630898238313</v>
      </c>
      <c r="D28" s="306">
        <f t="shared" ref="D28:E28" si="6" xml:space="preserve">
D26-D25</f>
        <v>-19666.666666666664</v>
      </c>
      <c r="E28" s="306">
        <f t="shared" si="6"/>
        <v>10000</v>
      </c>
      <c r="F28" s="307">
        <f xml:space="preserve">
F26-F25</f>
        <v>0</v>
      </c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</row>
    <row r="29" spans="1:46" x14ac:dyDescent="0.3">
      <c r="A29" s="220"/>
      <c r="B29" s="220"/>
      <c r="C29" s="221"/>
      <c r="D29" s="220"/>
      <c r="E29" s="220"/>
      <c r="F29" s="220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  <c r="AI29" s="127"/>
      <c r="AJ29" s="127"/>
      <c r="AK29" s="127"/>
      <c r="AL29" s="127"/>
      <c r="AM29" s="127"/>
    </row>
    <row r="30" spans="1:46" x14ac:dyDescent="0.3">
      <c r="A30" s="88" t="s">
        <v>128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23"/>
      <c r="AL30" s="123"/>
      <c r="AM30" s="123"/>
    </row>
    <row r="31" spans="1:46" x14ac:dyDescent="0.3">
      <c r="A31" s="89" t="s">
        <v>165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23"/>
      <c r="AL31" s="123"/>
      <c r="AM31" s="123"/>
    </row>
    <row r="32" spans="1:46" ht="14.4" customHeight="1" x14ac:dyDescent="0.3">
      <c r="A32" s="252" t="s">
        <v>162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</row>
    <row r="33" spans="1:1" x14ac:dyDescent="0.3">
      <c r="A33" s="254" t="s">
        <v>222</v>
      </c>
    </row>
    <row r="34" spans="1:1" x14ac:dyDescent="0.3">
      <c r="A34" s="254" t="s">
        <v>223</v>
      </c>
    </row>
    <row r="35" spans="1:1" x14ac:dyDescent="0.3">
      <c r="A35" s="254" t="s">
        <v>224</v>
      </c>
    </row>
    <row r="36" spans="1:1" x14ac:dyDescent="0.3">
      <c r="A36" s="254" t="s">
        <v>225</v>
      </c>
    </row>
    <row r="37" spans="1:1" x14ac:dyDescent="0.3">
      <c r="A37" s="254" t="s">
        <v>170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M22">
    <cfRule type="cellIs" dxfId="8" priority="15" operator="greaterThan">
      <formula>1</formula>
    </cfRule>
  </conditionalFormatting>
  <conditionalFormatting sqref="B23:M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5"/>
  <sheetViews>
    <sheetView showGridLines="0" workbookViewId="0"/>
  </sheetViews>
  <sheetFormatPr defaultRowHeight="14.4" x14ac:dyDescent="0.3"/>
  <cols>
    <col min="1" max="16384" width="8.88671875" style="199"/>
  </cols>
  <sheetData>
    <row r="1" spans="1:49" x14ac:dyDescent="0.3">
      <c r="A1" s="199" t="s">
        <v>738</v>
      </c>
    </row>
    <row r="2" spans="1:49" x14ac:dyDescent="0.3">
      <c r="A2" s="203" t="s">
        <v>229</v>
      </c>
    </row>
    <row r="3" spans="1:49" x14ac:dyDescent="0.3">
      <c r="A3" s="199" t="s">
        <v>133</v>
      </c>
      <c r="B3" s="224">
        <v>2017</v>
      </c>
      <c r="D3" s="200">
        <f>MAX(D5:D1048576)</f>
        <v>8</v>
      </c>
      <c r="F3" s="200">
        <f>SUMIF($E5:$E1048576,"&lt;10",F5:F1048576)</f>
        <v>9291336.9000000022</v>
      </c>
      <c r="G3" s="200">
        <f t="shared" ref="G3:AW3" si="0">SUMIF($E5:$E1048576,"&lt;10",G5:G1048576)</f>
        <v>0</v>
      </c>
      <c r="H3" s="200">
        <f t="shared" si="0"/>
        <v>70664.5</v>
      </c>
      <c r="I3" s="200">
        <f t="shared" si="0"/>
        <v>553183.5</v>
      </c>
      <c r="J3" s="200">
        <f t="shared" si="0"/>
        <v>301328.19999999995</v>
      </c>
      <c r="K3" s="200">
        <f t="shared" si="0"/>
        <v>0</v>
      </c>
      <c r="L3" s="200">
        <f t="shared" si="0"/>
        <v>2501184.4</v>
      </c>
      <c r="M3" s="200">
        <f t="shared" si="0"/>
        <v>0</v>
      </c>
      <c r="N3" s="200">
        <f t="shared" si="0"/>
        <v>10546</v>
      </c>
      <c r="O3" s="200">
        <f t="shared" si="0"/>
        <v>0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2137539</v>
      </c>
      <c r="X3" s="200">
        <f t="shared" si="0"/>
        <v>0</v>
      </c>
      <c r="Y3" s="200">
        <f t="shared" si="0"/>
        <v>0</v>
      </c>
      <c r="Z3" s="200">
        <f t="shared" si="0"/>
        <v>0</v>
      </c>
      <c r="AA3" s="200">
        <f t="shared" si="0"/>
        <v>0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9264</v>
      </c>
      <c r="AH3" s="200">
        <f t="shared" si="0"/>
        <v>2316</v>
      </c>
      <c r="AI3" s="200">
        <f t="shared" si="0"/>
        <v>0</v>
      </c>
      <c r="AJ3" s="200">
        <f t="shared" si="0"/>
        <v>0</v>
      </c>
      <c r="AK3" s="200">
        <f t="shared" si="0"/>
        <v>0</v>
      </c>
      <c r="AL3" s="200">
        <f t="shared" si="0"/>
        <v>2396754.7999999998</v>
      </c>
      <c r="AM3" s="200">
        <f t="shared" si="0"/>
        <v>0</v>
      </c>
      <c r="AN3" s="200">
        <f t="shared" si="0"/>
        <v>0</v>
      </c>
      <c r="AO3" s="200">
        <f t="shared" si="0"/>
        <v>0</v>
      </c>
      <c r="AP3" s="200">
        <f t="shared" si="0"/>
        <v>0</v>
      </c>
      <c r="AQ3" s="200">
        <f t="shared" si="0"/>
        <v>0</v>
      </c>
      <c r="AR3" s="200">
        <f t="shared" si="0"/>
        <v>0</v>
      </c>
      <c r="AS3" s="200">
        <f t="shared" si="0"/>
        <v>0</v>
      </c>
      <c r="AT3" s="200">
        <f t="shared" si="0"/>
        <v>1190872.5</v>
      </c>
      <c r="AU3" s="200">
        <f t="shared" si="0"/>
        <v>0</v>
      </c>
      <c r="AV3" s="200">
        <f t="shared" si="0"/>
        <v>0</v>
      </c>
      <c r="AW3" s="200">
        <f t="shared" si="0"/>
        <v>117684</v>
      </c>
    </row>
    <row r="4" spans="1:49" x14ac:dyDescent="0.3">
      <c r="A4" s="199" t="s">
        <v>134</v>
      </c>
      <c r="B4" s="224">
        <v>1</v>
      </c>
      <c r="C4" s="201" t="s">
        <v>5</v>
      </c>
      <c r="D4" s="202" t="s">
        <v>53</v>
      </c>
      <c r="E4" s="202" t="s">
        <v>132</v>
      </c>
      <c r="F4" s="202" t="s">
        <v>3</v>
      </c>
      <c r="G4" s="202">
        <v>0</v>
      </c>
      <c r="H4" s="202">
        <v>25</v>
      </c>
      <c r="I4" s="202">
        <v>30</v>
      </c>
      <c r="J4" s="202">
        <v>99</v>
      </c>
      <c r="K4" s="202">
        <v>100</v>
      </c>
      <c r="L4" s="202">
        <v>101</v>
      </c>
      <c r="M4" s="202">
        <v>102</v>
      </c>
      <c r="N4" s="202">
        <v>103</v>
      </c>
      <c r="O4" s="202">
        <v>203</v>
      </c>
      <c r="P4" s="202">
        <v>302</v>
      </c>
      <c r="Q4" s="202">
        <v>303</v>
      </c>
      <c r="R4" s="202">
        <v>304</v>
      </c>
      <c r="S4" s="202">
        <v>305</v>
      </c>
      <c r="T4" s="202">
        <v>306</v>
      </c>
      <c r="U4" s="202">
        <v>407</v>
      </c>
      <c r="V4" s="202">
        <v>408</v>
      </c>
      <c r="W4" s="202">
        <v>409</v>
      </c>
      <c r="X4" s="202">
        <v>410</v>
      </c>
      <c r="Y4" s="202">
        <v>415</v>
      </c>
      <c r="Z4" s="202">
        <v>416</v>
      </c>
      <c r="AA4" s="202">
        <v>418</v>
      </c>
      <c r="AB4" s="202">
        <v>419</v>
      </c>
      <c r="AC4" s="202">
        <v>420</v>
      </c>
      <c r="AD4" s="202">
        <v>421</v>
      </c>
      <c r="AE4" s="202">
        <v>422</v>
      </c>
      <c r="AF4" s="202">
        <v>520</v>
      </c>
      <c r="AG4" s="202">
        <v>521</v>
      </c>
      <c r="AH4" s="202">
        <v>522</v>
      </c>
      <c r="AI4" s="202">
        <v>523</v>
      </c>
      <c r="AJ4" s="202">
        <v>524</v>
      </c>
      <c r="AK4" s="202">
        <v>525</v>
      </c>
      <c r="AL4" s="202">
        <v>526</v>
      </c>
      <c r="AM4" s="202">
        <v>527</v>
      </c>
      <c r="AN4" s="202">
        <v>528</v>
      </c>
      <c r="AO4" s="202">
        <v>629</v>
      </c>
      <c r="AP4" s="202">
        <v>630</v>
      </c>
      <c r="AQ4" s="202">
        <v>636</v>
      </c>
      <c r="AR4" s="202">
        <v>637</v>
      </c>
      <c r="AS4" s="202">
        <v>640</v>
      </c>
      <c r="AT4" s="202">
        <v>642</v>
      </c>
      <c r="AU4" s="202">
        <v>743</v>
      </c>
      <c r="AV4" s="202">
        <v>745</v>
      </c>
      <c r="AW4" s="202">
        <v>746</v>
      </c>
    </row>
    <row r="5" spans="1:49" x14ac:dyDescent="0.3">
      <c r="A5" s="199" t="s">
        <v>135</v>
      </c>
      <c r="B5" s="224">
        <v>2</v>
      </c>
      <c r="C5" s="199">
        <v>38</v>
      </c>
      <c r="D5" s="199">
        <v>1</v>
      </c>
      <c r="E5" s="199">
        <v>1</v>
      </c>
      <c r="F5" s="199">
        <v>27.2</v>
      </c>
      <c r="G5" s="199">
        <v>0</v>
      </c>
      <c r="H5" s="199">
        <v>0.5</v>
      </c>
      <c r="I5" s="199">
        <v>2.5</v>
      </c>
      <c r="J5" s="199">
        <v>1</v>
      </c>
      <c r="K5" s="199">
        <v>0</v>
      </c>
      <c r="L5" s="199">
        <v>4.2</v>
      </c>
      <c r="M5" s="199">
        <v>0</v>
      </c>
      <c r="N5" s="199">
        <v>0</v>
      </c>
      <c r="O5" s="199">
        <v>0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10</v>
      </c>
      <c r="X5" s="199">
        <v>0</v>
      </c>
      <c r="Y5" s="199">
        <v>0</v>
      </c>
      <c r="Z5" s="199">
        <v>0</v>
      </c>
      <c r="AA5" s="199">
        <v>0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0</v>
      </c>
      <c r="AI5" s="199">
        <v>0</v>
      </c>
      <c r="AJ5" s="199">
        <v>0</v>
      </c>
      <c r="AK5" s="199">
        <v>0</v>
      </c>
      <c r="AL5" s="199">
        <v>4</v>
      </c>
      <c r="AM5" s="199">
        <v>0</v>
      </c>
      <c r="AN5" s="199">
        <v>0</v>
      </c>
      <c r="AO5" s="199">
        <v>0</v>
      </c>
      <c r="AP5" s="199">
        <v>0</v>
      </c>
      <c r="AQ5" s="199">
        <v>0</v>
      </c>
      <c r="AR5" s="199">
        <v>0</v>
      </c>
      <c r="AS5" s="199">
        <v>0</v>
      </c>
      <c r="AT5" s="199">
        <v>5</v>
      </c>
      <c r="AU5" s="199">
        <v>0</v>
      </c>
      <c r="AV5" s="199">
        <v>0</v>
      </c>
      <c r="AW5" s="199">
        <v>0</v>
      </c>
    </row>
    <row r="6" spans="1:49" x14ac:dyDescent="0.3">
      <c r="A6" s="199" t="s">
        <v>136</v>
      </c>
      <c r="B6" s="224">
        <v>3</v>
      </c>
      <c r="C6" s="199">
        <v>38</v>
      </c>
      <c r="D6" s="199">
        <v>1</v>
      </c>
      <c r="E6" s="199">
        <v>2</v>
      </c>
      <c r="F6" s="199">
        <v>3970.4</v>
      </c>
      <c r="G6" s="199">
        <v>0</v>
      </c>
      <c r="H6" s="199">
        <v>48</v>
      </c>
      <c r="I6" s="199">
        <v>440</v>
      </c>
      <c r="J6" s="199">
        <v>176</v>
      </c>
      <c r="K6" s="199">
        <v>0</v>
      </c>
      <c r="L6" s="199">
        <v>644</v>
      </c>
      <c r="M6" s="199">
        <v>0</v>
      </c>
      <c r="N6" s="199">
        <v>0</v>
      </c>
      <c r="O6" s="199">
        <v>0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1260</v>
      </c>
      <c r="X6" s="199">
        <v>0</v>
      </c>
      <c r="Y6" s="199">
        <v>0</v>
      </c>
      <c r="Z6" s="199">
        <v>0</v>
      </c>
      <c r="AA6" s="199">
        <v>0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0</v>
      </c>
      <c r="AI6" s="199">
        <v>0</v>
      </c>
      <c r="AJ6" s="199">
        <v>0</v>
      </c>
      <c r="AK6" s="199">
        <v>0</v>
      </c>
      <c r="AL6" s="199">
        <v>654.4</v>
      </c>
      <c r="AM6" s="199">
        <v>0</v>
      </c>
      <c r="AN6" s="199">
        <v>0</v>
      </c>
      <c r="AO6" s="199">
        <v>0</v>
      </c>
      <c r="AP6" s="199">
        <v>0</v>
      </c>
      <c r="AQ6" s="199">
        <v>0</v>
      </c>
      <c r="AR6" s="199">
        <v>0</v>
      </c>
      <c r="AS6" s="199">
        <v>0</v>
      </c>
      <c r="AT6" s="199">
        <v>748</v>
      </c>
      <c r="AU6" s="199">
        <v>0</v>
      </c>
      <c r="AV6" s="199">
        <v>0</v>
      </c>
      <c r="AW6" s="199">
        <v>0</v>
      </c>
    </row>
    <row r="7" spans="1:49" x14ac:dyDescent="0.3">
      <c r="A7" s="199" t="s">
        <v>137</v>
      </c>
      <c r="B7" s="224">
        <v>4</v>
      </c>
      <c r="C7" s="199">
        <v>38</v>
      </c>
      <c r="D7" s="199">
        <v>1</v>
      </c>
      <c r="E7" s="199">
        <v>3</v>
      </c>
      <c r="F7" s="199">
        <v>65.599999999999994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  <c r="Z7" s="199">
        <v>0</v>
      </c>
      <c r="AA7" s="199">
        <v>0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65.599999999999994</v>
      </c>
      <c r="AM7" s="199">
        <v>0</v>
      </c>
      <c r="AN7" s="199">
        <v>0</v>
      </c>
      <c r="AO7" s="199">
        <v>0</v>
      </c>
      <c r="AP7" s="199">
        <v>0</v>
      </c>
      <c r="AQ7" s="199">
        <v>0</v>
      </c>
      <c r="AR7" s="199">
        <v>0</v>
      </c>
      <c r="AS7" s="199">
        <v>0</v>
      </c>
      <c r="AT7" s="199">
        <v>0</v>
      </c>
      <c r="AU7" s="199">
        <v>0</v>
      </c>
      <c r="AV7" s="199">
        <v>0</v>
      </c>
      <c r="AW7" s="199">
        <v>0</v>
      </c>
    </row>
    <row r="8" spans="1:49" x14ac:dyDescent="0.3">
      <c r="A8" s="199" t="s">
        <v>138</v>
      </c>
      <c r="B8" s="224">
        <v>5</v>
      </c>
      <c r="C8" s="199">
        <v>38</v>
      </c>
      <c r="D8" s="199">
        <v>1</v>
      </c>
      <c r="E8" s="199">
        <v>4</v>
      </c>
      <c r="F8" s="199">
        <v>105.9</v>
      </c>
      <c r="G8" s="199">
        <v>0</v>
      </c>
      <c r="H8" s="199">
        <v>0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0</v>
      </c>
      <c r="Z8" s="199">
        <v>0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0</v>
      </c>
      <c r="AI8" s="199">
        <v>0</v>
      </c>
      <c r="AJ8" s="199">
        <v>0</v>
      </c>
      <c r="AK8" s="199">
        <v>0</v>
      </c>
      <c r="AL8" s="199">
        <v>92.4</v>
      </c>
      <c r="AM8" s="199">
        <v>0</v>
      </c>
      <c r="AN8" s="199">
        <v>0</v>
      </c>
      <c r="AO8" s="199">
        <v>0</v>
      </c>
      <c r="AP8" s="199">
        <v>0</v>
      </c>
      <c r="AQ8" s="199">
        <v>0</v>
      </c>
      <c r="AR8" s="199">
        <v>0</v>
      </c>
      <c r="AS8" s="199">
        <v>0</v>
      </c>
      <c r="AT8" s="199">
        <v>13.5</v>
      </c>
      <c r="AU8" s="199">
        <v>0</v>
      </c>
      <c r="AV8" s="199">
        <v>0</v>
      </c>
      <c r="AW8" s="199">
        <v>0</v>
      </c>
    </row>
    <row r="9" spans="1:49" x14ac:dyDescent="0.3">
      <c r="A9" s="199" t="s">
        <v>139</v>
      </c>
      <c r="B9" s="224">
        <v>6</v>
      </c>
      <c r="C9" s="199">
        <v>38</v>
      </c>
      <c r="D9" s="199">
        <v>1</v>
      </c>
      <c r="E9" s="199">
        <v>5</v>
      </c>
      <c r="F9" s="199">
        <v>814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335</v>
      </c>
      <c r="AM9" s="199">
        <v>0</v>
      </c>
      <c r="AN9" s="199">
        <v>0</v>
      </c>
      <c r="AO9" s="199">
        <v>0</v>
      </c>
      <c r="AP9" s="199">
        <v>0</v>
      </c>
      <c r="AQ9" s="199">
        <v>0</v>
      </c>
      <c r="AR9" s="199">
        <v>0</v>
      </c>
      <c r="AS9" s="199">
        <v>0</v>
      </c>
      <c r="AT9" s="199">
        <v>479</v>
      </c>
      <c r="AU9" s="199">
        <v>0</v>
      </c>
      <c r="AV9" s="199">
        <v>0</v>
      </c>
      <c r="AW9" s="199">
        <v>0</v>
      </c>
    </row>
    <row r="10" spans="1:49" x14ac:dyDescent="0.3">
      <c r="A10" s="199" t="s">
        <v>140</v>
      </c>
      <c r="B10" s="224">
        <v>7</v>
      </c>
      <c r="C10" s="199">
        <v>38</v>
      </c>
      <c r="D10" s="199">
        <v>1</v>
      </c>
      <c r="E10" s="199">
        <v>6</v>
      </c>
      <c r="F10" s="199">
        <v>1119612</v>
      </c>
      <c r="G10" s="199">
        <v>0</v>
      </c>
      <c r="H10" s="199">
        <v>11092</v>
      </c>
      <c r="I10" s="199">
        <v>68379</v>
      </c>
      <c r="J10" s="199">
        <v>35073</v>
      </c>
      <c r="K10" s="199">
        <v>0</v>
      </c>
      <c r="L10" s="199">
        <v>244990</v>
      </c>
      <c r="M10" s="199">
        <v>0</v>
      </c>
      <c r="N10" s="199">
        <v>0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284764</v>
      </c>
      <c r="X10" s="199">
        <v>0</v>
      </c>
      <c r="Y10" s="199">
        <v>0</v>
      </c>
      <c r="Z10" s="199">
        <v>0</v>
      </c>
      <c r="AA10" s="199">
        <v>0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  <c r="AL10" s="199">
        <v>324119</v>
      </c>
      <c r="AM10" s="199">
        <v>0</v>
      </c>
      <c r="AN10" s="199">
        <v>0</v>
      </c>
      <c r="AO10" s="199">
        <v>0</v>
      </c>
      <c r="AP10" s="199">
        <v>0</v>
      </c>
      <c r="AQ10" s="199">
        <v>0</v>
      </c>
      <c r="AR10" s="199">
        <v>0</v>
      </c>
      <c r="AS10" s="199">
        <v>0</v>
      </c>
      <c r="AT10" s="199">
        <v>151195</v>
      </c>
      <c r="AU10" s="199">
        <v>0</v>
      </c>
      <c r="AV10" s="199">
        <v>0</v>
      </c>
      <c r="AW10" s="199">
        <v>0</v>
      </c>
    </row>
    <row r="11" spans="1:49" x14ac:dyDescent="0.3">
      <c r="A11" s="199" t="s">
        <v>141</v>
      </c>
      <c r="B11" s="224">
        <v>8</v>
      </c>
      <c r="C11" s="199">
        <v>38</v>
      </c>
      <c r="D11" s="199">
        <v>1</v>
      </c>
      <c r="E11" s="199">
        <v>9</v>
      </c>
      <c r="F11" s="199">
        <v>17698</v>
      </c>
      <c r="G11" s="199">
        <v>0</v>
      </c>
      <c r="H11" s="199">
        <v>0</v>
      </c>
      <c r="I11" s="199">
        <v>1294</v>
      </c>
      <c r="J11" s="199">
        <v>0</v>
      </c>
      <c r="K11" s="199">
        <v>0</v>
      </c>
      <c r="L11" s="199">
        <v>5805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0</v>
      </c>
      <c r="X11" s="199">
        <v>0</v>
      </c>
      <c r="Y11" s="199">
        <v>0</v>
      </c>
      <c r="Z11" s="199">
        <v>0</v>
      </c>
      <c r="AA11" s="199">
        <v>0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  <c r="AL11" s="199">
        <v>8448</v>
      </c>
      <c r="AM11" s="199">
        <v>0</v>
      </c>
      <c r="AN11" s="199">
        <v>0</v>
      </c>
      <c r="AO11" s="199">
        <v>0</v>
      </c>
      <c r="AP11" s="199">
        <v>0</v>
      </c>
      <c r="AQ11" s="199">
        <v>0</v>
      </c>
      <c r="AR11" s="199">
        <v>0</v>
      </c>
      <c r="AS11" s="199">
        <v>0</v>
      </c>
      <c r="AT11" s="199">
        <v>2151</v>
      </c>
      <c r="AU11" s="199">
        <v>0</v>
      </c>
      <c r="AV11" s="199">
        <v>0</v>
      </c>
      <c r="AW11" s="199">
        <v>0</v>
      </c>
    </row>
    <row r="12" spans="1:49" x14ac:dyDescent="0.3">
      <c r="A12" s="199" t="s">
        <v>142</v>
      </c>
      <c r="B12" s="224">
        <v>9</v>
      </c>
      <c r="C12" s="199">
        <v>38</v>
      </c>
      <c r="D12" s="199">
        <v>1</v>
      </c>
      <c r="E12" s="199">
        <v>10</v>
      </c>
      <c r="F12" s="199">
        <v>14500</v>
      </c>
      <c r="G12" s="199">
        <v>0</v>
      </c>
      <c r="H12" s="199">
        <v>0</v>
      </c>
      <c r="I12" s="199">
        <v>0</v>
      </c>
      <c r="J12" s="199">
        <v>14500</v>
      </c>
      <c r="K12" s="199">
        <v>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0</v>
      </c>
      <c r="AI12" s="199">
        <v>0</v>
      </c>
      <c r="AJ12" s="199">
        <v>0</v>
      </c>
      <c r="AK12" s="199">
        <v>0</v>
      </c>
      <c r="AL12" s="199">
        <v>0</v>
      </c>
      <c r="AM12" s="199">
        <v>0</v>
      </c>
      <c r="AN12" s="199">
        <v>0</v>
      </c>
      <c r="AO12" s="199">
        <v>0</v>
      </c>
      <c r="AP12" s="199">
        <v>0</v>
      </c>
      <c r="AQ12" s="199">
        <v>0</v>
      </c>
      <c r="AR12" s="199">
        <v>0</v>
      </c>
      <c r="AS12" s="199">
        <v>0</v>
      </c>
      <c r="AT12" s="199">
        <v>0</v>
      </c>
      <c r="AU12" s="199">
        <v>0</v>
      </c>
      <c r="AV12" s="199">
        <v>0</v>
      </c>
      <c r="AW12" s="199">
        <v>0</v>
      </c>
    </row>
    <row r="13" spans="1:49" x14ac:dyDescent="0.3">
      <c r="A13" s="199" t="s">
        <v>143</v>
      </c>
      <c r="B13" s="224">
        <v>10</v>
      </c>
      <c r="C13" s="199">
        <v>38</v>
      </c>
      <c r="D13" s="199">
        <v>1</v>
      </c>
      <c r="E13" s="199">
        <v>11</v>
      </c>
      <c r="F13" s="199">
        <v>3964.0120528946463</v>
      </c>
      <c r="G13" s="199">
        <v>1672.3453862279791</v>
      </c>
      <c r="H13" s="199">
        <v>1250</v>
      </c>
      <c r="I13" s="199">
        <v>0</v>
      </c>
      <c r="J13" s="199">
        <v>1041.6666666666667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0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0</v>
      </c>
      <c r="AJ13" s="199">
        <v>0</v>
      </c>
      <c r="AK13" s="199">
        <v>0</v>
      </c>
      <c r="AL13" s="199">
        <v>0</v>
      </c>
      <c r="AM13" s="199">
        <v>0</v>
      </c>
      <c r="AN13" s="199">
        <v>0</v>
      </c>
      <c r="AO13" s="199">
        <v>0</v>
      </c>
      <c r="AP13" s="199">
        <v>0</v>
      </c>
      <c r="AQ13" s="199">
        <v>0</v>
      </c>
      <c r="AR13" s="199">
        <v>0</v>
      </c>
      <c r="AS13" s="199">
        <v>0</v>
      </c>
      <c r="AT13" s="199">
        <v>0</v>
      </c>
      <c r="AU13" s="199">
        <v>0</v>
      </c>
      <c r="AV13" s="199">
        <v>0</v>
      </c>
      <c r="AW13" s="199">
        <v>0</v>
      </c>
    </row>
    <row r="14" spans="1:49" x14ac:dyDescent="0.3">
      <c r="A14" s="199" t="s">
        <v>144</v>
      </c>
      <c r="B14" s="224">
        <v>11</v>
      </c>
      <c r="C14" s="199">
        <v>38</v>
      </c>
      <c r="D14" s="199">
        <v>2</v>
      </c>
      <c r="E14" s="199">
        <v>1</v>
      </c>
      <c r="F14" s="199">
        <v>27.2</v>
      </c>
      <c r="G14" s="199">
        <v>0</v>
      </c>
      <c r="H14" s="199">
        <v>0.5</v>
      </c>
      <c r="I14" s="199">
        <v>2.5</v>
      </c>
      <c r="J14" s="199">
        <v>1</v>
      </c>
      <c r="K14" s="199">
        <v>0</v>
      </c>
      <c r="L14" s="199">
        <v>4.2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10</v>
      </c>
      <c r="X14" s="199">
        <v>0</v>
      </c>
      <c r="Y14" s="199">
        <v>0</v>
      </c>
      <c r="Z14" s="199">
        <v>0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0</v>
      </c>
      <c r="AJ14" s="199">
        <v>0</v>
      </c>
      <c r="AK14" s="199">
        <v>0</v>
      </c>
      <c r="AL14" s="199">
        <v>4</v>
      </c>
      <c r="AM14" s="199">
        <v>0</v>
      </c>
      <c r="AN14" s="199">
        <v>0</v>
      </c>
      <c r="AO14" s="199">
        <v>0</v>
      </c>
      <c r="AP14" s="199">
        <v>0</v>
      </c>
      <c r="AQ14" s="199">
        <v>0</v>
      </c>
      <c r="AR14" s="199">
        <v>0</v>
      </c>
      <c r="AS14" s="199">
        <v>0</v>
      </c>
      <c r="AT14" s="199">
        <v>5</v>
      </c>
      <c r="AU14" s="199">
        <v>0</v>
      </c>
      <c r="AV14" s="199">
        <v>0</v>
      </c>
      <c r="AW14" s="199">
        <v>0</v>
      </c>
    </row>
    <row r="15" spans="1:49" x14ac:dyDescent="0.3">
      <c r="A15" s="199" t="s">
        <v>145</v>
      </c>
      <c r="B15" s="224">
        <v>12</v>
      </c>
      <c r="C15" s="199">
        <v>38</v>
      </c>
      <c r="D15" s="199">
        <v>2</v>
      </c>
      <c r="E15" s="199">
        <v>2</v>
      </c>
      <c r="F15" s="199">
        <v>3701.2</v>
      </c>
      <c r="G15" s="199">
        <v>0</v>
      </c>
      <c r="H15" s="199">
        <v>80</v>
      </c>
      <c r="I15" s="199">
        <v>366</v>
      </c>
      <c r="J15" s="199">
        <v>152</v>
      </c>
      <c r="K15" s="199">
        <v>0</v>
      </c>
      <c r="L15" s="199">
        <v>632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1244</v>
      </c>
      <c r="X15" s="199">
        <v>0</v>
      </c>
      <c r="Y15" s="199">
        <v>0</v>
      </c>
      <c r="Z15" s="199">
        <v>0</v>
      </c>
      <c r="AA15" s="199">
        <v>0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0</v>
      </c>
      <c r="AI15" s="199">
        <v>0</v>
      </c>
      <c r="AJ15" s="199">
        <v>0</v>
      </c>
      <c r="AK15" s="199">
        <v>0</v>
      </c>
      <c r="AL15" s="199">
        <v>587.20000000000005</v>
      </c>
      <c r="AM15" s="199">
        <v>0</v>
      </c>
      <c r="AN15" s="199">
        <v>0</v>
      </c>
      <c r="AO15" s="199">
        <v>0</v>
      </c>
      <c r="AP15" s="199">
        <v>0</v>
      </c>
      <c r="AQ15" s="199">
        <v>0</v>
      </c>
      <c r="AR15" s="199">
        <v>0</v>
      </c>
      <c r="AS15" s="199">
        <v>0</v>
      </c>
      <c r="AT15" s="199">
        <v>640</v>
      </c>
      <c r="AU15" s="199">
        <v>0</v>
      </c>
      <c r="AV15" s="199">
        <v>0</v>
      </c>
      <c r="AW15" s="199">
        <v>0</v>
      </c>
    </row>
    <row r="16" spans="1:49" x14ac:dyDescent="0.3">
      <c r="A16" s="199" t="s">
        <v>133</v>
      </c>
      <c r="B16" s="224">
        <v>2017</v>
      </c>
      <c r="C16" s="199">
        <v>38</v>
      </c>
      <c r="D16" s="199">
        <v>2</v>
      </c>
      <c r="E16" s="199">
        <v>3</v>
      </c>
      <c r="F16" s="199">
        <v>52.8</v>
      </c>
      <c r="G16" s="199">
        <v>0</v>
      </c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0</v>
      </c>
      <c r="Z16" s="199">
        <v>0</v>
      </c>
      <c r="AA16" s="199">
        <v>0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0</v>
      </c>
      <c r="AI16" s="199">
        <v>0</v>
      </c>
      <c r="AJ16" s="199">
        <v>0</v>
      </c>
      <c r="AK16" s="199">
        <v>0</v>
      </c>
      <c r="AL16" s="199">
        <v>52.8</v>
      </c>
      <c r="AM16" s="199">
        <v>0</v>
      </c>
      <c r="AN16" s="199">
        <v>0</v>
      </c>
      <c r="AO16" s="199">
        <v>0</v>
      </c>
      <c r="AP16" s="199">
        <v>0</v>
      </c>
      <c r="AQ16" s="199">
        <v>0</v>
      </c>
      <c r="AR16" s="199">
        <v>0</v>
      </c>
      <c r="AS16" s="199">
        <v>0</v>
      </c>
      <c r="AT16" s="199">
        <v>0</v>
      </c>
      <c r="AU16" s="199">
        <v>0</v>
      </c>
      <c r="AV16" s="199">
        <v>0</v>
      </c>
      <c r="AW16" s="199">
        <v>0</v>
      </c>
    </row>
    <row r="17" spans="3:49" x14ac:dyDescent="0.3">
      <c r="C17" s="199">
        <v>38</v>
      </c>
      <c r="D17" s="199">
        <v>2</v>
      </c>
      <c r="E17" s="199">
        <v>4</v>
      </c>
      <c r="F17" s="199">
        <v>107.2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0</v>
      </c>
      <c r="X17" s="199">
        <v>0</v>
      </c>
      <c r="Y17" s="199">
        <v>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0</v>
      </c>
      <c r="AI17" s="199">
        <v>0</v>
      </c>
      <c r="AJ17" s="199">
        <v>0</v>
      </c>
      <c r="AK17" s="199">
        <v>0</v>
      </c>
      <c r="AL17" s="199">
        <v>94.2</v>
      </c>
      <c r="AM17" s="199">
        <v>0</v>
      </c>
      <c r="AN17" s="199">
        <v>0</v>
      </c>
      <c r="AO17" s="199">
        <v>0</v>
      </c>
      <c r="AP17" s="199">
        <v>0</v>
      </c>
      <c r="AQ17" s="199">
        <v>0</v>
      </c>
      <c r="AR17" s="199">
        <v>0</v>
      </c>
      <c r="AS17" s="199">
        <v>0</v>
      </c>
      <c r="AT17" s="199">
        <v>13</v>
      </c>
      <c r="AU17" s="199">
        <v>0</v>
      </c>
      <c r="AV17" s="199">
        <v>0</v>
      </c>
      <c r="AW17" s="199">
        <v>0</v>
      </c>
    </row>
    <row r="18" spans="3:49" x14ac:dyDescent="0.3">
      <c r="C18" s="199">
        <v>38</v>
      </c>
      <c r="D18" s="199">
        <v>2</v>
      </c>
      <c r="E18" s="199">
        <v>5</v>
      </c>
      <c r="F18" s="199">
        <v>843</v>
      </c>
      <c r="G18" s="199">
        <v>0</v>
      </c>
      <c r="H18" s="199">
        <v>0</v>
      </c>
      <c r="I18" s="199">
        <v>0</v>
      </c>
      <c r="J18" s="199">
        <v>0</v>
      </c>
      <c r="K18" s="199">
        <v>0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0</v>
      </c>
      <c r="AI18" s="199">
        <v>0</v>
      </c>
      <c r="AJ18" s="199">
        <v>0</v>
      </c>
      <c r="AK18" s="199">
        <v>0</v>
      </c>
      <c r="AL18" s="199">
        <v>415</v>
      </c>
      <c r="AM18" s="199">
        <v>0</v>
      </c>
      <c r="AN18" s="199">
        <v>0</v>
      </c>
      <c r="AO18" s="199">
        <v>0</v>
      </c>
      <c r="AP18" s="199">
        <v>0</v>
      </c>
      <c r="AQ18" s="199">
        <v>0</v>
      </c>
      <c r="AR18" s="199">
        <v>0</v>
      </c>
      <c r="AS18" s="199">
        <v>0</v>
      </c>
      <c r="AT18" s="199">
        <v>428</v>
      </c>
      <c r="AU18" s="199">
        <v>0</v>
      </c>
      <c r="AV18" s="199">
        <v>0</v>
      </c>
      <c r="AW18" s="199">
        <v>0</v>
      </c>
    </row>
    <row r="19" spans="3:49" x14ac:dyDescent="0.3">
      <c r="C19" s="199">
        <v>38</v>
      </c>
      <c r="D19" s="199">
        <v>2</v>
      </c>
      <c r="E19" s="199">
        <v>6</v>
      </c>
      <c r="F19" s="199">
        <v>1119387</v>
      </c>
      <c r="G19" s="199">
        <v>0</v>
      </c>
      <c r="H19" s="199">
        <v>10865</v>
      </c>
      <c r="I19" s="199">
        <v>67853</v>
      </c>
      <c r="J19" s="199">
        <v>34930</v>
      </c>
      <c r="K19" s="199">
        <v>0</v>
      </c>
      <c r="L19" s="199">
        <v>259577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270876</v>
      </c>
      <c r="X19" s="199">
        <v>0</v>
      </c>
      <c r="Y19" s="199">
        <v>0</v>
      </c>
      <c r="Z19" s="199">
        <v>0</v>
      </c>
      <c r="AA19" s="199">
        <v>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0</v>
      </c>
      <c r="AH19" s="199">
        <v>0</v>
      </c>
      <c r="AI19" s="199">
        <v>0</v>
      </c>
      <c r="AJ19" s="199">
        <v>0</v>
      </c>
      <c r="AK19" s="199">
        <v>0</v>
      </c>
      <c r="AL19" s="199">
        <v>325235</v>
      </c>
      <c r="AM19" s="199">
        <v>0</v>
      </c>
      <c r="AN19" s="199">
        <v>0</v>
      </c>
      <c r="AO19" s="199">
        <v>0</v>
      </c>
      <c r="AP19" s="199">
        <v>0</v>
      </c>
      <c r="AQ19" s="199">
        <v>0</v>
      </c>
      <c r="AR19" s="199">
        <v>0</v>
      </c>
      <c r="AS19" s="199">
        <v>0</v>
      </c>
      <c r="AT19" s="199">
        <v>150051</v>
      </c>
      <c r="AU19" s="199">
        <v>0</v>
      </c>
      <c r="AV19" s="199">
        <v>0</v>
      </c>
      <c r="AW19" s="199">
        <v>0</v>
      </c>
    </row>
    <row r="20" spans="3:49" x14ac:dyDescent="0.3">
      <c r="C20" s="199">
        <v>38</v>
      </c>
      <c r="D20" s="199">
        <v>2</v>
      </c>
      <c r="E20" s="199">
        <v>9</v>
      </c>
      <c r="F20" s="199">
        <v>21099</v>
      </c>
      <c r="G20" s="199">
        <v>0</v>
      </c>
      <c r="H20" s="199">
        <v>0</v>
      </c>
      <c r="I20" s="199">
        <v>993</v>
      </c>
      <c r="J20" s="199">
        <v>0</v>
      </c>
      <c r="K20" s="199">
        <v>0</v>
      </c>
      <c r="L20" s="199">
        <v>10423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0</v>
      </c>
      <c r="Z20" s="199">
        <v>0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0</v>
      </c>
      <c r="AH20" s="199">
        <v>0</v>
      </c>
      <c r="AI20" s="199">
        <v>0</v>
      </c>
      <c r="AJ20" s="199">
        <v>0</v>
      </c>
      <c r="AK20" s="199">
        <v>0</v>
      </c>
      <c r="AL20" s="199">
        <v>7488</v>
      </c>
      <c r="AM20" s="199">
        <v>0</v>
      </c>
      <c r="AN20" s="199">
        <v>0</v>
      </c>
      <c r="AO20" s="199">
        <v>0</v>
      </c>
      <c r="AP20" s="199">
        <v>0</v>
      </c>
      <c r="AQ20" s="199">
        <v>0</v>
      </c>
      <c r="AR20" s="199">
        <v>0</v>
      </c>
      <c r="AS20" s="199">
        <v>0</v>
      </c>
      <c r="AT20" s="199">
        <v>2195</v>
      </c>
      <c r="AU20" s="199">
        <v>0</v>
      </c>
      <c r="AV20" s="199">
        <v>0</v>
      </c>
      <c r="AW20" s="199">
        <v>0</v>
      </c>
    </row>
    <row r="21" spans="3:49" x14ac:dyDescent="0.3">
      <c r="C21" s="199">
        <v>38</v>
      </c>
      <c r="D21" s="199">
        <v>2</v>
      </c>
      <c r="E21" s="199">
        <v>11</v>
      </c>
      <c r="F21" s="199">
        <v>3964.0120528946463</v>
      </c>
      <c r="G21" s="199">
        <v>1672.3453862279791</v>
      </c>
      <c r="H21" s="199">
        <v>1250</v>
      </c>
      <c r="I21" s="199">
        <v>0</v>
      </c>
      <c r="J21" s="199">
        <v>1041.6666666666667</v>
      </c>
      <c r="K21" s="199">
        <v>0</v>
      </c>
      <c r="L21" s="199">
        <v>0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0</v>
      </c>
      <c r="X21" s="199">
        <v>0</v>
      </c>
      <c r="Y21" s="199">
        <v>0</v>
      </c>
      <c r="Z21" s="199">
        <v>0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0</v>
      </c>
      <c r="AI21" s="199">
        <v>0</v>
      </c>
      <c r="AJ21" s="199">
        <v>0</v>
      </c>
      <c r="AK21" s="199">
        <v>0</v>
      </c>
      <c r="AL21" s="199">
        <v>0</v>
      </c>
      <c r="AM21" s="199">
        <v>0</v>
      </c>
      <c r="AN21" s="199">
        <v>0</v>
      </c>
      <c r="AO21" s="199">
        <v>0</v>
      </c>
      <c r="AP21" s="199">
        <v>0</v>
      </c>
      <c r="AQ21" s="199">
        <v>0</v>
      </c>
      <c r="AR21" s="199">
        <v>0</v>
      </c>
      <c r="AS21" s="199">
        <v>0</v>
      </c>
      <c r="AT21" s="199">
        <v>0</v>
      </c>
      <c r="AU21" s="199">
        <v>0</v>
      </c>
      <c r="AV21" s="199">
        <v>0</v>
      </c>
      <c r="AW21" s="199">
        <v>0</v>
      </c>
    </row>
    <row r="22" spans="3:49" x14ac:dyDescent="0.3">
      <c r="C22" s="199">
        <v>38</v>
      </c>
      <c r="D22" s="199">
        <v>3</v>
      </c>
      <c r="E22" s="199">
        <v>1</v>
      </c>
      <c r="F22" s="199">
        <v>27.2</v>
      </c>
      <c r="G22" s="199">
        <v>0</v>
      </c>
      <c r="H22" s="199">
        <v>0.5</v>
      </c>
      <c r="I22" s="199">
        <v>2.5</v>
      </c>
      <c r="J22" s="199">
        <v>1</v>
      </c>
      <c r="K22" s="199">
        <v>0</v>
      </c>
      <c r="L22" s="199">
        <v>4.2</v>
      </c>
      <c r="M22" s="199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10</v>
      </c>
      <c r="X22" s="199">
        <v>0</v>
      </c>
      <c r="Y22" s="199">
        <v>0</v>
      </c>
      <c r="Z22" s="199">
        <v>0</v>
      </c>
      <c r="AA22" s="199">
        <v>0</v>
      </c>
      <c r="AB22" s="199">
        <v>0</v>
      </c>
      <c r="AC22" s="199">
        <v>0</v>
      </c>
      <c r="AD22" s="199">
        <v>0</v>
      </c>
      <c r="AE22" s="199">
        <v>0</v>
      </c>
      <c r="AF22" s="199">
        <v>0</v>
      </c>
      <c r="AG22" s="199">
        <v>0</v>
      </c>
      <c r="AH22" s="199">
        <v>0</v>
      </c>
      <c r="AI22" s="199">
        <v>0</v>
      </c>
      <c r="AJ22" s="199">
        <v>0</v>
      </c>
      <c r="AK22" s="199">
        <v>0</v>
      </c>
      <c r="AL22" s="199">
        <v>4</v>
      </c>
      <c r="AM22" s="199">
        <v>0</v>
      </c>
      <c r="AN22" s="199">
        <v>0</v>
      </c>
      <c r="AO22" s="199">
        <v>0</v>
      </c>
      <c r="AP22" s="199">
        <v>0</v>
      </c>
      <c r="AQ22" s="199">
        <v>0</v>
      </c>
      <c r="AR22" s="199">
        <v>0</v>
      </c>
      <c r="AS22" s="199">
        <v>0</v>
      </c>
      <c r="AT22" s="199">
        <v>5</v>
      </c>
      <c r="AU22" s="199">
        <v>0</v>
      </c>
      <c r="AV22" s="199">
        <v>0</v>
      </c>
      <c r="AW22" s="199">
        <v>0</v>
      </c>
    </row>
    <row r="23" spans="3:49" x14ac:dyDescent="0.3">
      <c r="C23" s="199">
        <v>38</v>
      </c>
      <c r="D23" s="199">
        <v>3</v>
      </c>
      <c r="E23" s="199">
        <v>2</v>
      </c>
      <c r="F23" s="199">
        <v>4372.3999999999996</v>
      </c>
      <c r="G23" s="199">
        <v>0</v>
      </c>
      <c r="H23" s="199">
        <v>78</v>
      </c>
      <c r="I23" s="199">
        <v>392</v>
      </c>
      <c r="J23" s="199">
        <v>144</v>
      </c>
      <c r="K23" s="199">
        <v>0</v>
      </c>
      <c r="L23" s="199">
        <v>740</v>
      </c>
      <c r="M23" s="199">
        <v>0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1500</v>
      </c>
      <c r="X23" s="199">
        <v>0</v>
      </c>
      <c r="Y23" s="199">
        <v>0</v>
      </c>
      <c r="Z23" s="199">
        <v>0</v>
      </c>
      <c r="AA23" s="199">
        <v>0</v>
      </c>
      <c r="AB23" s="199">
        <v>0</v>
      </c>
      <c r="AC23" s="199">
        <v>0</v>
      </c>
      <c r="AD23" s="199">
        <v>0</v>
      </c>
      <c r="AE23" s="199">
        <v>0</v>
      </c>
      <c r="AF23" s="199">
        <v>0</v>
      </c>
      <c r="AG23" s="199">
        <v>0</v>
      </c>
      <c r="AH23" s="199">
        <v>0</v>
      </c>
      <c r="AI23" s="199">
        <v>0</v>
      </c>
      <c r="AJ23" s="199">
        <v>0</v>
      </c>
      <c r="AK23" s="199">
        <v>0</v>
      </c>
      <c r="AL23" s="199">
        <v>694.4</v>
      </c>
      <c r="AM23" s="199">
        <v>0</v>
      </c>
      <c r="AN23" s="199">
        <v>0</v>
      </c>
      <c r="AO23" s="199">
        <v>0</v>
      </c>
      <c r="AP23" s="199">
        <v>0</v>
      </c>
      <c r="AQ23" s="199">
        <v>0</v>
      </c>
      <c r="AR23" s="199">
        <v>0</v>
      </c>
      <c r="AS23" s="199">
        <v>0</v>
      </c>
      <c r="AT23" s="199">
        <v>824</v>
      </c>
      <c r="AU23" s="199">
        <v>0</v>
      </c>
      <c r="AV23" s="199">
        <v>0</v>
      </c>
      <c r="AW23" s="199">
        <v>0</v>
      </c>
    </row>
    <row r="24" spans="3:49" x14ac:dyDescent="0.3">
      <c r="C24" s="199">
        <v>38</v>
      </c>
      <c r="D24" s="199">
        <v>3</v>
      </c>
      <c r="E24" s="199">
        <v>3</v>
      </c>
      <c r="F24" s="199">
        <v>73.599999999999994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0</v>
      </c>
      <c r="X24" s="199">
        <v>0</v>
      </c>
      <c r="Y24" s="199">
        <v>0</v>
      </c>
      <c r="Z24" s="199">
        <v>0</v>
      </c>
      <c r="AA24" s="199">
        <v>0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199">
        <v>0</v>
      </c>
      <c r="AI24" s="199">
        <v>0</v>
      </c>
      <c r="AJ24" s="199">
        <v>0</v>
      </c>
      <c r="AK24" s="199">
        <v>0</v>
      </c>
      <c r="AL24" s="199">
        <v>73.599999999999994</v>
      </c>
      <c r="AM24" s="199">
        <v>0</v>
      </c>
      <c r="AN24" s="199">
        <v>0</v>
      </c>
      <c r="AO24" s="199">
        <v>0</v>
      </c>
      <c r="AP24" s="199">
        <v>0</v>
      </c>
      <c r="AQ24" s="199">
        <v>0</v>
      </c>
      <c r="AR24" s="199">
        <v>0</v>
      </c>
      <c r="AS24" s="199">
        <v>0</v>
      </c>
      <c r="AT24" s="199">
        <v>0</v>
      </c>
      <c r="AU24" s="199">
        <v>0</v>
      </c>
      <c r="AV24" s="199">
        <v>0</v>
      </c>
      <c r="AW24" s="199">
        <v>0</v>
      </c>
    </row>
    <row r="25" spans="3:49" x14ac:dyDescent="0.3">
      <c r="C25" s="199">
        <v>38</v>
      </c>
      <c r="D25" s="199">
        <v>3</v>
      </c>
      <c r="E25" s="199">
        <v>4</v>
      </c>
      <c r="F25" s="199">
        <v>118.80000000000001</v>
      </c>
      <c r="G25" s="199">
        <v>0</v>
      </c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0</v>
      </c>
      <c r="X25" s="199">
        <v>0</v>
      </c>
      <c r="Y25" s="199">
        <v>0</v>
      </c>
      <c r="Z25" s="199">
        <v>0</v>
      </c>
      <c r="AA25" s="199">
        <v>0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199">
        <v>0</v>
      </c>
      <c r="AI25" s="199">
        <v>0</v>
      </c>
      <c r="AJ25" s="199">
        <v>0</v>
      </c>
      <c r="AK25" s="199">
        <v>0</v>
      </c>
      <c r="AL25" s="199">
        <v>107.80000000000001</v>
      </c>
      <c r="AM25" s="199">
        <v>0</v>
      </c>
      <c r="AN25" s="199">
        <v>0</v>
      </c>
      <c r="AO25" s="199">
        <v>0</v>
      </c>
      <c r="AP25" s="199">
        <v>0</v>
      </c>
      <c r="AQ25" s="199">
        <v>0</v>
      </c>
      <c r="AR25" s="199">
        <v>0</v>
      </c>
      <c r="AS25" s="199">
        <v>0</v>
      </c>
      <c r="AT25" s="199">
        <v>11</v>
      </c>
      <c r="AU25" s="199">
        <v>0</v>
      </c>
      <c r="AV25" s="199">
        <v>0</v>
      </c>
      <c r="AW25" s="199">
        <v>0</v>
      </c>
    </row>
    <row r="26" spans="3:49" x14ac:dyDescent="0.3">
      <c r="C26" s="199">
        <v>38</v>
      </c>
      <c r="D26" s="199">
        <v>3</v>
      </c>
      <c r="E26" s="199">
        <v>5</v>
      </c>
      <c r="F26" s="199">
        <v>823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0</v>
      </c>
      <c r="X26" s="199">
        <v>0</v>
      </c>
      <c r="Y26" s="199">
        <v>0</v>
      </c>
      <c r="Z26" s="199">
        <v>0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  <c r="AL26" s="199">
        <v>366</v>
      </c>
      <c r="AM26" s="199">
        <v>0</v>
      </c>
      <c r="AN26" s="199">
        <v>0</v>
      </c>
      <c r="AO26" s="199">
        <v>0</v>
      </c>
      <c r="AP26" s="199">
        <v>0</v>
      </c>
      <c r="AQ26" s="199">
        <v>0</v>
      </c>
      <c r="AR26" s="199">
        <v>0</v>
      </c>
      <c r="AS26" s="199">
        <v>0</v>
      </c>
      <c r="AT26" s="199">
        <v>457</v>
      </c>
      <c r="AU26" s="199">
        <v>0</v>
      </c>
      <c r="AV26" s="199">
        <v>0</v>
      </c>
      <c r="AW26" s="199">
        <v>0</v>
      </c>
    </row>
    <row r="27" spans="3:49" x14ac:dyDescent="0.3">
      <c r="C27" s="199">
        <v>38</v>
      </c>
      <c r="D27" s="199">
        <v>3</v>
      </c>
      <c r="E27" s="199">
        <v>6</v>
      </c>
      <c r="F27" s="199">
        <v>1223004</v>
      </c>
      <c r="G27" s="199">
        <v>0</v>
      </c>
      <c r="H27" s="199">
        <v>11018</v>
      </c>
      <c r="I27" s="199">
        <v>75165</v>
      </c>
      <c r="J27" s="199">
        <v>35501</v>
      </c>
      <c r="K27" s="199">
        <v>0</v>
      </c>
      <c r="L27" s="199">
        <v>328189</v>
      </c>
      <c r="M27" s="199">
        <v>0</v>
      </c>
      <c r="N27" s="199">
        <v>3474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274738</v>
      </c>
      <c r="X27" s="199">
        <v>0</v>
      </c>
      <c r="Y27" s="199">
        <v>0</v>
      </c>
      <c r="Z27" s="199">
        <v>0</v>
      </c>
      <c r="AA27" s="199">
        <v>0</v>
      </c>
      <c r="AB27" s="199">
        <v>0</v>
      </c>
      <c r="AC27" s="199">
        <v>0</v>
      </c>
      <c r="AD27" s="199">
        <v>0</v>
      </c>
      <c r="AE27" s="199">
        <v>0</v>
      </c>
      <c r="AF27" s="199">
        <v>0</v>
      </c>
      <c r="AG27" s="199">
        <v>0</v>
      </c>
      <c r="AH27" s="199">
        <v>1158</v>
      </c>
      <c r="AI27" s="199">
        <v>0</v>
      </c>
      <c r="AJ27" s="199">
        <v>0</v>
      </c>
      <c r="AK27" s="199">
        <v>0</v>
      </c>
      <c r="AL27" s="199">
        <v>336462</v>
      </c>
      <c r="AM27" s="199">
        <v>0</v>
      </c>
      <c r="AN27" s="199">
        <v>0</v>
      </c>
      <c r="AO27" s="199">
        <v>0</v>
      </c>
      <c r="AP27" s="199">
        <v>0</v>
      </c>
      <c r="AQ27" s="199">
        <v>0</v>
      </c>
      <c r="AR27" s="199">
        <v>0</v>
      </c>
      <c r="AS27" s="199">
        <v>0</v>
      </c>
      <c r="AT27" s="199">
        <v>157299</v>
      </c>
      <c r="AU27" s="199">
        <v>0</v>
      </c>
      <c r="AV27" s="199">
        <v>0</v>
      </c>
      <c r="AW27" s="199">
        <v>0</v>
      </c>
    </row>
    <row r="28" spans="3:49" x14ac:dyDescent="0.3">
      <c r="C28" s="199">
        <v>38</v>
      </c>
      <c r="D28" s="199">
        <v>3</v>
      </c>
      <c r="E28" s="199">
        <v>9</v>
      </c>
      <c r="F28" s="199">
        <v>100205</v>
      </c>
      <c r="G28" s="199">
        <v>0</v>
      </c>
      <c r="H28" s="199">
        <v>0</v>
      </c>
      <c r="I28" s="199">
        <v>6256</v>
      </c>
      <c r="J28" s="199">
        <v>0</v>
      </c>
      <c r="K28" s="199">
        <v>0</v>
      </c>
      <c r="L28" s="199">
        <v>76430</v>
      </c>
      <c r="M28" s="199">
        <v>0</v>
      </c>
      <c r="N28" s="199">
        <v>3474</v>
      </c>
      <c r="O28" s="199">
        <v>0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0</v>
      </c>
      <c r="Z28" s="199">
        <v>0</v>
      </c>
      <c r="AA28" s="199">
        <v>0</v>
      </c>
      <c r="AB28" s="199">
        <v>0</v>
      </c>
      <c r="AC28" s="199">
        <v>0</v>
      </c>
      <c r="AD28" s="199">
        <v>0</v>
      </c>
      <c r="AE28" s="199">
        <v>0</v>
      </c>
      <c r="AF28" s="199">
        <v>0</v>
      </c>
      <c r="AG28" s="199">
        <v>0</v>
      </c>
      <c r="AH28" s="199">
        <v>1158</v>
      </c>
      <c r="AI28" s="199">
        <v>0</v>
      </c>
      <c r="AJ28" s="199">
        <v>0</v>
      </c>
      <c r="AK28" s="199">
        <v>0</v>
      </c>
      <c r="AL28" s="199">
        <v>10383</v>
      </c>
      <c r="AM28" s="199">
        <v>0</v>
      </c>
      <c r="AN28" s="199">
        <v>0</v>
      </c>
      <c r="AO28" s="199">
        <v>0</v>
      </c>
      <c r="AP28" s="199">
        <v>0</v>
      </c>
      <c r="AQ28" s="199">
        <v>0</v>
      </c>
      <c r="AR28" s="199">
        <v>0</v>
      </c>
      <c r="AS28" s="199">
        <v>0</v>
      </c>
      <c r="AT28" s="199">
        <v>2504</v>
      </c>
      <c r="AU28" s="199">
        <v>0</v>
      </c>
      <c r="AV28" s="199">
        <v>0</v>
      </c>
      <c r="AW28" s="199">
        <v>0</v>
      </c>
    </row>
    <row r="29" spans="3:49" x14ac:dyDescent="0.3">
      <c r="C29" s="199">
        <v>38</v>
      </c>
      <c r="D29" s="199">
        <v>3</v>
      </c>
      <c r="E29" s="199">
        <v>11</v>
      </c>
      <c r="F29" s="199">
        <v>3964.0120528946463</v>
      </c>
      <c r="G29" s="199">
        <v>1672.3453862279791</v>
      </c>
      <c r="H29" s="199">
        <v>1250</v>
      </c>
      <c r="I29" s="199">
        <v>0</v>
      </c>
      <c r="J29" s="199">
        <v>1041.6666666666667</v>
      </c>
      <c r="K29" s="199">
        <v>0</v>
      </c>
      <c r="L29" s="199">
        <v>0</v>
      </c>
      <c r="M29" s="199">
        <v>0</v>
      </c>
      <c r="N29" s="199">
        <v>0</v>
      </c>
      <c r="O29" s="199">
        <v>0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199">
        <v>0</v>
      </c>
      <c r="V29" s="199">
        <v>0</v>
      </c>
      <c r="W29" s="199">
        <v>0</v>
      </c>
      <c r="X29" s="199">
        <v>0</v>
      </c>
      <c r="Y29" s="199">
        <v>0</v>
      </c>
      <c r="Z29" s="199">
        <v>0</v>
      </c>
      <c r="AA29" s="199">
        <v>0</v>
      </c>
      <c r="AB29" s="199">
        <v>0</v>
      </c>
      <c r="AC29" s="199">
        <v>0</v>
      </c>
      <c r="AD29" s="199">
        <v>0</v>
      </c>
      <c r="AE29" s="199">
        <v>0</v>
      </c>
      <c r="AF29" s="199">
        <v>0</v>
      </c>
      <c r="AG29" s="199">
        <v>0</v>
      </c>
      <c r="AH29" s="199">
        <v>0</v>
      </c>
      <c r="AI29" s="199">
        <v>0</v>
      </c>
      <c r="AJ29" s="199">
        <v>0</v>
      </c>
      <c r="AK29" s="199">
        <v>0</v>
      </c>
      <c r="AL29" s="199">
        <v>0</v>
      </c>
      <c r="AM29" s="199">
        <v>0</v>
      </c>
      <c r="AN29" s="199">
        <v>0</v>
      </c>
      <c r="AO29" s="199">
        <v>0</v>
      </c>
      <c r="AP29" s="199">
        <v>0</v>
      </c>
      <c r="AQ29" s="199">
        <v>0</v>
      </c>
      <c r="AR29" s="199">
        <v>0</v>
      </c>
      <c r="AS29" s="199">
        <v>0</v>
      </c>
      <c r="AT29" s="199">
        <v>0</v>
      </c>
      <c r="AU29" s="199">
        <v>0</v>
      </c>
      <c r="AV29" s="199">
        <v>0</v>
      </c>
      <c r="AW29" s="199">
        <v>0</v>
      </c>
    </row>
    <row r="30" spans="3:49" x14ac:dyDescent="0.3">
      <c r="C30" s="199">
        <v>38</v>
      </c>
      <c r="D30" s="199">
        <v>4</v>
      </c>
      <c r="E30" s="199">
        <v>1</v>
      </c>
      <c r="F30" s="199">
        <v>26.2</v>
      </c>
      <c r="G30" s="199">
        <v>0</v>
      </c>
      <c r="H30" s="199">
        <v>0.5</v>
      </c>
      <c r="I30" s="199">
        <v>2.5</v>
      </c>
      <c r="J30" s="199">
        <v>1</v>
      </c>
      <c r="K30" s="199">
        <v>0</v>
      </c>
      <c r="L30" s="199">
        <v>4.2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9</v>
      </c>
      <c r="X30" s="199">
        <v>0</v>
      </c>
      <c r="Y30" s="199">
        <v>0</v>
      </c>
      <c r="Z30" s="199">
        <v>0</v>
      </c>
      <c r="AA30" s="199">
        <v>0</v>
      </c>
      <c r="AB30" s="199">
        <v>0</v>
      </c>
      <c r="AC30" s="199">
        <v>0</v>
      </c>
      <c r="AD30" s="199">
        <v>0</v>
      </c>
      <c r="AE30" s="199">
        <v>0</v>
      </c>
      <c r="AF30" s="199">
        <v>0</v>
      </c>
      <c r="AG30" s="199">
        <v>0</v>
      </c>
      <c r="AH30" s="199">
        <v>0</v>
      </c>
      <c r="AI30" s="199">
        <v>0</v>
      </c>
      <c r="AJ30" s="199">
        <v>0</v>
      </c>
      <c r="AK30" s="199">
        <v>0</v>
      </c>
      <c r="AL30" s="199">
        <v>4</v>
      </c>
      <c r="AM30" s="199">
        <v>0</v>
      </c>
      <c r="AN30" s="199">
        <v>0</v>
      </c>
      <c r="AO30" s="199">
        <v>0</v>
      </c>
      <c r="AP30" s="199">
        <v>0</v>
      </c>
      <c r="AQ30" s="199">
        <v>0</v>
      </c>
      <c r="AR30" s="199">
        <v>0</v>
      </c>
      <c r="AS30" s="199">
        <v>0</v>
      </c>
      <c r="AT30" s="199">
        <v>5</v>
      </c>
      <c r="AU30" s="199">
        <v>0</v>
      </c>
      <c r="AV30" s="199">
        <v>0</v>
      </c>
      <c r="AW30" s="199">
        <v>0</v>
      </c>
    </row>
    <row r="31" spans="3:49" x14ac:dyDescent="0.3">
      <c r="C31" s="199">
        <v>38</v>
      </c>
      <c r="D31" s="199">
        <v>4</v>
      </c>
      <c r="E31" s="199">
        <v>2</v>
      </c>
      <c r="F31" s="199">
        <v>3804</v>
      </c>
      <c r="G31" s="199">
        <v>0</v>
      </c>
      <c r="H31" s="199">
        <v>80</v>
      </c>
      <c r="I31" s="199">
        <v>336</v>
      </c>
      <c r="J31" s="199">
        <v>160</v>
      </c>
      <c r="K31" s="199">
        <v>0</v>
      </c>
      <c r="L31" s="199">
        <v>656</v>
      </c>
      <c r="M31" s="199">
        <v>0</v>
      </c>
      <c r="N31" s="199">
        <v>0</v>
      </c>
      <c r="O31" s="199">
        <v>0</v>
      </c>
      <c r="P31" s="199">
        <v>0</v>
      </c>
      <c r="Q31" s="199">
        <v>0</v>
      </c>
      <c r="R31" s="199">
        <v>0</v>
      </c>
      <c r="S31" s="199">
        <v>0</v>
      </c>
      <c r="T31" s="199">
        <v>0</v>
      </c>
      <c r="U31" s="199">
        <v>0</v>
      </c>
      <c r="V31" s="199">
        <v>0</v>
      </c>
      <c r="W31" s="199">
        <v>1304</v>
      </c>
      <c r="X31" s="199">
        <v>0</v>
      </c>
      <c r="Y31" s="199">
        <v>0</v>
      </c>
      <c r="Z31" s="199">
        <v>0</v>
      </c>
      <c r="AA31" s="199">
        <v>0</v>
      </c>
      <c r="AB31" s="199">
        <v>0</v>
      </c>
      <c r="AC31" s="199">
        <v>0</v>
      </c>
      <c r="AD31" s="199">
        <v>0</v>
      </c>
      <c r="AE31" s="199">
        <v>0</v>
      </c>
      <c r="AF31" s="199">
        <v>0</v>
      </c>
      <c r="AG31" s="199">
        <v>0</v>
      </c>
      <c r="AH31" s="199">
        <v>0</v>
      </c>
      <c r="AI31" s="199">
        <v>0</v>
      </c>
      <c r="AJ31" s="199">
        <v>0</v>
      </c>
      <c r="AK31" s="199">
        <v>0</v>
      </c>
      <c r="AL31" s="199">
        <v>628</v>
      </c>
      <c r="AM31" s="199">
        <v>0</v>
      </c>
      <c r="AN31" s="199">
        <v>0</v>
      </c>
      <c r="AO31" s="199">
        <v>0</v>
      </c>
      <c r="AP31" s="199">
        <v>0</v>
      </c>
      <c r="AQ31" s="199">
        <v>0</v>
      </c>
      <c r="AR31" s="199">
        <v>0</v>
      </c>
      <c r="AS31" s="199">
        <v>0</v>
      </c>
      <c r="AT31" s="199">
        <v>640</v>
      </c>
      <c r="AU31" s="199">
        <v>0</v>
      </c>
      <c r="AV31" s="199">
        <v>0</v>
      </c>
      <c r="AW31" s="199">
        <v>0</v>
      </c>
    </row>
    <row r="32" spans="3:49" x14ac:dyDescent="0.3">
      <c r="C32" s="199">
        <v>38</v>
      </c>
      <c r="D32" s="199">
        <v>4</v>
      </c>
      <c r="E32" s="199">
        <v>3</v>
      </c>
      <c r="F32" s="199">
        <v>56</v>
      </c>
      <c r="G32" s="199">
        <v>0</v>
      </c>
      <c r="H32" s="199">
        <v>0</v>
      </c>
      <c r="I32" s="199">
        <v>0</v>
      </c>
      <c r="J32" s="199"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0</v>
      </c>
      <c r="P32" s="199">
        <v>0</v>
      </c>
      <c r="Q32" s="199">
        <v>0</v>
      </c>
      <c r="R32" s="199">
        <v>0</v>
      </c>
      <c r="S32" s="199">
        <v>0</v>
      </c>
      <c r="T32" s="199">
        <v>0</v>
      </c>
      <c r="U32" s="199">
        <v>0</v>
      </c>
      <c r="V32" s="199">
        <v>0</v>
      </c>
      <c r="W32" s="199">
        <v>0</v>
      </c>
      <c r="X32" s="199">
        <v>0</v>
      </c>
      <c r="Y32" s="199">
        <v>0</v>
      </c>
      <c r="Z32" s="199">
        <v>0</v>
      </c>
      <c r="AA32" s="199">
        <v>0</v>
      </c>
      <c r="AB32" s="199">
        <v>0</v>
      </c>
      <c r="AC32" s="199">
        <v>0</v>
      </c>
      <c r="AD32" s="199">
        <v>0</v>
      </c>
      <c r="AE32" s="199">
        <v>0</v>
      </c>
      <c r="AF32" s="199">
        <v>0</v>
      </c>
      <c r="AG32" s="199">
        <v>0</v>
      </c>
      <c r="AH32" s="199">
        <v>0</v>
      </c>
      <c r="AI32" s="199">
        <v>0</v>
      </c>
      <c r="AJ32" s="199">
        <v>0</v>
      </c>
      <c r="AK32" s="199">
        <v>0</v>
      </c>
      <c r="AL32" s="199">
        <v>56</v>
      </c>
      <c r="AM32" s="199">
        <v>0</v>
      </c>
      <c r="AN32" s="199">
        <v>0</v>
      </c>
      <c r="AO32" s="199">
        <v>0</v>
      </c>
      <c r="AP32" s="199">
        <v>0</v>
      </c>
      <c r="AQ32" s="199">
        <v>0</v>
      </c>
      <c r="AR32" s="199">
        <v>0</v>
      </c>
      <c r="AS32" s="199">
        <v>0</v>
      </c>
      <c r="AT32" s="199">
        <v>0</v>
      </c>
      <c r="AU32" s="199">
        <v>0</v>
      </c>
      <c r="AV32" s="199">
        <v>0</v>
      </c>
      <c r="AW32" s="199">
        <v>0</v>
      </c>
    </row>
    <row r="33" spans="3:49" x14ac:dyDescent="0.3">
      <c r="C33" s="199">
        <v>38</v>
      </c>
      <c r="D33" s="199">
        <v>4</v>
      </c>
      <c r="E33" s="199">
        <v>4</v>
      </c>
      <c r="F33" s="199">
        <v>90</v>
      </c>
      <c r="G33" s="199">
        <v>0</v>
      </c>
      <c r="H33" s="199">
        <v>0</v>
      </c>
      <c r="I33" s="199">
        <v>0</v>
      </c>
      <c r="J33" s="199"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9">
        <v>0</v>
      </c>
      <c r="R33" s="199">
        <v>0</v>
      </c>
      <c r="S33" s="199">
        <v>0</v>
      </c>
      <c r="T33" s="199">
        <v>0</v>
      </c>
      <c r="U33" s="199">
        <v>0</v>
      </c>
      <c r="V33" s="199">
        <v>0</v>
      </c>
      <c r="W33" s="199">
        <v>0</v>
      </c>
      <c r="X33" s="199">
        <v>0</v>
      </c>
      <c r="Y33" s="199">
        <v>0</v>
      </c>
      <c r="Z33" s="199">
        <v>0</v>
      </c>
      <c r="AA33" s="199">
        <v>0</v>
      </c>
      <c r="AB33" s="199">
        <v>0</v>
      </c>
      <c r="AC33" s="199">
        <v>0</v>
      </c>
      <c r="AD33" s="199">
        <v>0</v>
      </c>
      <c r="AE33" s="199">
        <v>0</v>
      </c>
      <c r="AF33" s="199">
        <v>0</v>
      </c>
      <c r="AG33" s="199">
        <v>0</v>
      </c>
      <c r="AH33" s="199">
        <v>0</v>
      </c>
      <c r="AI33" s="199">
        <v>0</v>
      </c>
      <c r="AJ33" s="199">
        <v>0</v>
      </c>
      <c r="AK33" s="199">
        <v>0</v>
      </c>
      <c r="AL33" s="199">
        <v>80</v>
      </c>
      <c r="AM33" s="199">
        <v>0</v>
      </c>
      <c r="AN33" s="199">
        <v>0</v>
      </c>
      <c r="AO33" s="199">
        <v>0</v>
      </c>
      <c r="AP33" s="199">
        <v>0</v>
      </c>
      <c r="AQ33" s="199">
        <v>0</v>
      </c>
      <c r="AR33" s="199">
        <v>0</v>
      </c>
      <c r="AS33" s="199">
        <v>0</v>
      </c>
      <c r="AT33" s="199">
        <v>10</v>
      </c>
      <c r="AU33" s="199">
        <v>0</v>
      </c>
      <c r="AV33" s="199">
        <v>0</v>
      </c>
      <c r="AW33" s="199">
        <v>0</v>
      </c>
    </row>
    <row r="34" spans="3:49" x14ac:dyDescent="0.3">
      <c r="C34" s="199">
        <v>38</v>
      </c>
      <c r="D34" s="199">
        <v>4</v>
      </c>
      <c r="E34" s="199">
        <v>5</v>
      </c>
      <c r="F34" s="199">
        <v>875</v>
      </c>
      <c r="G34" s="199">
        <v>0</v>
      </c>
      <c r="H34" s="199">
        <v>0</v>
      </c>
      <c r="I34" s="199">
        <v>0</v>
      </c>
      <c r="J34" s="199"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9">
        <v>0</v>
      </c>
      <c r="R34" s="199">
        <v>0</v>
      </c>
      <c r="S34" s="199">
        <v>0</v>
      </c>
      <c r="T34" s="199">
        <v>0</v>
      </c>
      <c r="U34" s="199">
        <v>0</v>
      </c>
      <c r="V34" s="199">
        <v>0</v>
      </c>
      <c r="W34" s="199">
        <v>0</v>
      </c>
      <c r="X34" s="199">
        <v>0</v>
      </c>
      <c r="Y34" s="199">
        <v>0</v>
      </c>
      <c r="Z34" s="199">
        <v>0</v>
      </c>
      <c r="AA34" s="199">
        <v>0</v>
      </c>
      <c r="AB34" s="199">
        <v>0</v>
      </c>
      <c r="AC34" s="199">
        <v>0</v>
      </c>
      <c r="AD34" s="199">
        <v>0</v>
      </c>
      <c r="AE34" s="199">
        <v>0</v>
      </c>
      <c r="AF34" s="199">
        <v>0</v>
      </c>
      <c r="AG34" s="199">
        <v>0</v>
      </c>
      <c r="AH34" s="199">
        <v>0</v>
      </c>
      <c r="AI34" s="199">
        <v>0</v>
      </c>
      <c r="AJ34" s="199">
        <v>0</v>
      </c>
      <c r="AK34" s="199">
        <v>0</v>
      </c>
      <c r="AL34" s="199">
        <v>386</v>
      </c>
      <c r="AM34" s="199">
        <v>0</v>
      </c>
      <c r="AN34" s="199">
        <v>0</v>
      </c>
      <c r="AO34" s="199">
        <v>0</v>
      </c>
      <c r="AP34" s="199">
        <v>0</v>
      </c>
      <c r="AQ34" s="199">
        <v>0</v>
      </c>
      <c r="AR34" s="199">
        <v>0</v>
      </c>
      <c r="AS34" s="199">
        <v>0</v>
      </c>
      <c r="AT34" s="199">
        <v>489</v>
      </c>
      <c r="AU34" s="199">
        <v>0</v>
      </c>
      <c r="AV34" s="199">
        <v>0</v>
      </c>
      <c r="AW34" s="199">
        <v>0</v>
      </c>
    </row>
    <row r="35" spans="3:49" x14ac:dyDescent="0.3">
      <c r="C35" s="199">
        <v>38</v>
      </c>
      <c r="D35" s="199">
        <v>4</v>
      </c>
      <c r="E35" s="199">
        <v>6</v>
      </c>
      <c r="F35" s="199">
        <v>1163731</v>
      </c>
      <c r="G35" s="199">
        <v>0</v>
      </c>
      <c r="H35" s="199">
        <v>9050</v>
      </c>
      <c r="I35" s="199">
        <v>69981</v>
      </c>
      <c r="J35" s="199">
        <v>35073</v>
      </c>
      <c r="K35" s="199">
        <v>0</v>
      </c>
      <c r="L35" s="199">
        <v>291789</v>
      </c>
      <c r="M35" s="199">
        <v>0</v>
      </c>
      <c r="N35" s="199">
        <v>0</v>
      </c>
      <c r="O35" s="199">
        <v>0</v>
      </c>
      <c r="P35" s="199">
        <v>0</v>
      </c>
      <c r="Q35" s="199">
        <v>0</v>
      </c>
      <c r="R35" s="199">
        <v>0</v>
      </c>
      <c r="S35" s="199">
        <v>0</v>
      </c>
      <c r="T35" s="199">
        <v>0</v>
      </c>
      <c r="U35" s="199">
        <v>0</v>
      </c>
      <c r="V35" s="199">
        <v>0</v>
      </c>
      <c r="W35" s="199">
        <v>274903</v>
      </c>
      <c r="X35" s="199">
        <v>0</v>
      </c>
      <c r="Y35" s="199">
        <v>0</v>
      </c>
      <c r="Z35" s="199">
        <v>0</v>
      </c>
      <c r="AA35" s="199">
        <v>0</v>
      </c>
      <c r="AB35" s="199">
        <v>0</v>
      </c>
      <c r="AC35" s="199">
        <v>0</v>
      </c>
      <c r="AD35" s="199">
        <v>0</v>
      </c>
      <c r="AE35" s="199">
        <v>0</v>
      </c>
      <c r="AF35" s="199">
        <v>0</v>
      </c>
      <c r="AG35" s="199">
        <v>0</v>
      </c>
      <c r="AH35" s="199">
        <v>0</v>
      </c>
      <c r="AI35" s="199">
        <v>0</v>
      </c>
      <c r="AJ35" s="199">
        <v>0</v>
      </c>
      <c r="AK35" s="199">
        <v>0</v>
      </c>
      <c r="AL35" s="199">
        <v>329059</v>
      </c>
      <c r="AM35" s="199">
        <v>0</v>
      </c>
      <c r="AN35" s="199">
        <v>0</v>
      </c>
      <c r="AO35" s="199">
        <v>0</v>
      </c>
      <c r="AP35" s="199">
        <v>0</v>
      </c>
      <c r="AQ35" s="199">
        <v>0</v>
      </c>
      <c r="AR35" s="199">
        <v>0</v>
      </c>
      <c r="AS35" s="199">
        <v>0</v>
      </c>
      <c r="AT35" s="199">
        <v>153876</v>
      </c>
      <c r="AU35" s="199">
        <v>0</v>
      </c>
      <c r="AV35" s="199">
        <v>0</v>
      </c>
      <c r="AW35" s="199">
        <v>0</v>
      </c>
    </row>
    <row r="36" spans="3:49" x14ac:dyDescent="0.3">
      <c r="C36" s="199">
        <v>38</v>
      </c>
      <c r="D36" s="199">
        <v>4</v>
      </c>
      <c r="E36" s="199">
        <v>9</v>
      </c>
      <c r="F36" s="199">
        <v>54959</v>
      </c>
      <c r="G36" s="199">
        <v>0</v>
      </c>
      <c r="H36" s="199">
        <v>0</v>
      </c>
      <c r="I36" s="199">
        <v>2782</v>
      </c>
      <c r="J36" s="199">
        <v>0</v>
      </c>
      <c r="K36" s="199">
        <v>0</v>
      </c>
      <c r="L36" s="199">
        <v>40531</v>
      </c>
      <c r="M36" s="199">
        <v>0</v>
      </c>
      <c r="N36" s="199">
        <v>0</v>
      </c>
      <c r="O36" s="199">
        <v>0</v>
      </c>
      <c r="P36" s="199">
        <v>0</v>
      </c>
      <c r="Q36" s="199">
        <v>0</v>
      </c>
      <c r="R36" s="199">
        <v>0</v>
      </c>
      <c r="S36" s="199">
        <v>0</v>
      </c>
      <c r="T36" s="199">
        <v>0</v>
      </c>
      <c r="U36" s="199">
        <v>0</v>
      </c>
      <c r="V36" s="199">
        <v>0</v>
      </c>
      <c r="W36" s="199">
        <v>0</v>
      </c>
      <c r="X36" s="199">
        <v>0</v>
      </c>
      <c r="Y36" s="199">
        <v>0</v>
      </c>
      <c r="Z36" s="199">
        <v>0</v>
      </c>
      <c r="AA36" s="199">
        <v>0</v>
      </c>
      <c r="AB36" s="199">
        <v>0</v>
      </c>
      <c r="AC36" s="199">
        <v>0</v>
      </c>
      <c r="AD36" s="199">
        <v>0</v>
      </c>
      <c r="AE36" s="199">
        <v>0</v>
      </c>
      <c r="AF36" s="199">
        <v>0</v>
      </c>
      <c r="AG36" s="199">
        <v>0</v>
      </c>
      <c r="AH36" s="199">
        <v>0</v>
      </c>
      <c r="AI36" s="199">
        <v>0</v>
      </c>
      <c r="AJ36" s="199">
        <v>0</v>
      </c>
      <c r="AK36" s="199">
        <v>0</v>
      </c>
      <c r="AL36" s="199">
        <v>8328</v>
      </c>
      <c r="AM36" s="199">
        <v>0</v>
      </c>
      <c r="AN36" s="199">
        <v>0</v>
      </c>
      <c r="AO36" s="199">
        <v>0</v>
      </c>
      <c r="AP36" s="199">
        <v>0</v>
      </c>
      <c r="AQ36" s="199">
        <v>0</v>
      </c>
      <c r="AR36" s="199">
        <v>0</v>
      </c>
      <c r="AS36" s="199">
        <v>0</v>
      </c>
      <c r="AT36" s="199">
        <v>3318</v>
      </c>
      <c r="AU36" s="199">
        <v>0</v>
      </c>
      <c r="AV36" s="199">
        <v>0</v>
      </c>
      <c r="AW36" s="199">
        <v>0</v>
      </c>
    </row>
    <row r="37" spans="3:49" x14ac:dyDescent="0.3">
      <c r="C37" s="199">
        <v>38</v>
      </c>
      <c r="D37" s="199">
        <v>4</v>
      </c>
      <c r="E37" s="199">
        <v>10</v>
      </c>
      <c r="F37" s="199">
        <v>2900</v>
      </c>
      <c r="G37" s="199">
        <v>2900</v>
      </c>
      <c r="H37" s="199">
        <v>0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199">
        <v>0</v>
      </c>
      <c r="AA37" s="199">
        <v>0</v>
      </c>
      <c r="AB37" s="199">
        <v>0</v>
      </c>
      <c r="AC37" s="199">
        <v>0</v>
      </c>
      <c r="AD37" s="199">
        <v>0</v>
      </c>
      <c r="AE37" s="199">
        <v>0</v>
      </c>
      <c r="AF37" s="199">
        <v>0</v>
      </c>
      <c r="AG37" s="199">
        <v>0</v>
      </c>
      <c r="AH37" s="199">
        <v>0</v>
      </c>
      <c r="AI37" s="199">
        <v>0</v>
      </c>
      <c r="AJ37" s="199">
        <v>0</v>
      </c>
      <c r="AK37" s="199">
        <v>0</v>
      </c>
      <c r="AL37" s="199">
        <v>0</v>
      </c>
      <c r="AM37" s="199">
        <v>0</v>
      </c>
      <c r="AN37" s="199">
        <v>0</v>
      </c>
      <c r="AO37" s="199">
        <v>0</v>
      </c>
      <c r="AP37" s="199">
        <v>0</v>
      </c>
      <c r="AQ37" s="199">
        <v>0</v>
      </c>
      <c r="AR37" s="199">
        <v>0</v>
      </c>
      <c r="AS37" s="199">
        <v>0</v>
      </c>
      <c r="AT37" s="199">
        <v>0</v>
      </c>
      <c r="AU37" s="199">
        <v>0</v>
      </c>
      <c r="AV37" s="199">
        <v>0</v>
      </c>
      <c r="AW37" s="199">
        <v>0</v>
      </c>
    </row>
    <row r="38" spans="3:49" x14ac:dyDescent="0.3">
      <c r="C38" s="199">
        <v>38</v>
      </c>
      <c r="D38" s="199">
        <v>4</v>
      </c>
      <c r="E38" s="199">
        <v>11</v>
      </c>
      <c r="F38" s="199">
        <v>3964.0120528946463</v>
      </c>
      <c r="G38" s="199">
        <v>1672.3453862279791</v>
      </c>
      <c r="H38" s="199">
        <v>1250</v>
      </c>
      <c r="I38" s="199">
        <v>0</v>
      </c>
      <c r="J38" s="199">
        <v>1041.6666666666667</v>
      </c>
      <c r="K38" s="199">
        <v>0</v>
      </c>
      <c r="L38" s="199">
        <v>0</v>
      </c>
      <c r="M38" s="199">
        <v>0</v>
      </c>
      <c r="N38" s="199">
        <v>0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199">
        <v>0</v>
      </c>
      <c r="W38" s="199">
        <v>0</v>
      </c>
      <c r="X38" s="199">
        <v>0</v>
      </c>
      <c r="Y38" s="199">
        <v>0</v>
      </c>
      <c r="Z38" s="199">
        <v>0</v>
      </c>
      <c r="AA38" s="199">
        <v>0</v>
      </c>
      <c r="AB38" s="199">
        <v>0</v>
      </c>
      <c r="AC38" s="199">
        <v>0</v>
      </c>
      <c r="AD38" s="199">
        <v>0</v>
      </c>
      <c r="AE38" s="199">
        <v>0</v>
      </c>
      <c r="AF38" s="199">
        <v>0</v>
      </c>
      <c r="AG38" s="199">
        <v>0</v>
      </c>
      <c r="AH38" s="199">
        <v>0</v>
      </c>
      <c r="AI38" s="199">
        <v>0</v>
      </c>
      <c r="AJ38" s="199">
        <v>0</v>
      </c>
      <c r="AK38" s="199">
        <v>0</v>
      </c>
      <c r="AL38" s="199">
        <v>0</v>
      </c>
      <c r="AM38" s="199">
        <v>0</v>
      </c>
      <c r="AN38" s="199">
        <v>0</v>
      </c>
      <c r="AO38" s="199">
        <v>0</v>
      </c>
      <c r="AP38" s="199">
        <v>0</v>
      </c>
      <c r="AQ38" s="199">
        <v>0</v>
      </c>
      <c r="AR38" s="199">
        <v>0</v>
      </c>
      <c r="AS38" s="199">
        <v>0</v>
      </c>
      <c r="AT38" s="199">
        <v>0</v>
      </c>
      <c r="AU38" s="199">
        <v>0</v>
      </c>
      <c r="AV38" s="199">
        <v>0</v>
      </c>
      <c r="AW38" s="199">
        <v>0</v>
      </c>
    </row>
    <row r="39" spans="3:49" x14ac:dyDescent="0.3">
      <c r="C39" s="199">
        <v>38</v>
      </c>
      <c r="D39" s="199">
        <v>5</v>
      </c>
      <c r="E39" s="199">
        <v>1</v>
      </c>
      <c r="F39" s="199">
        <v>27.2</v>
      </c>
      <c r="G39" s="199">
        <v>0</v>
      </c>
      <c r="H39" s="199">
        <v>0.5</v>
      </c>
      <c r="I39" s="199">
        <v>2.5</v>
      </c>
      <c r="J39" s="199">
        <v>1</v>
      </c>
      <c r="K39" s="199">
        <v>0</v>
      </c>
      <c r="L39" s="199">
        <v>5.2</v>
      </c>
      <c r="M39" s="199">
        <v>0</v>
      </c>
      <c r="N39" s="199">
        <v>0</v>
      </c>
      <c r="O39" s="199">
        <v>0</v>
      </c>
      <c r="P39" s="199">
        <v>0</v>
      </c>
      <c r="Q39" s="199">
        <v>0</v>
      </c>
      <c r="R39" s="199">
        <v>0</v>
      </c>
      <c r="S39" s="199">
        <v>0</v>
      </c>
      <c r="T39" s="199">
        <v>0</v>
      </c>
      <c r="U39" s="199">
        <v>0</v>
      </c>
      <c r="V39" s="199">
        <v>0</v>
      </c>
      <c r="W39" s="199">
        <v>9</v>
      </c>
      <c r="X39" s="199">
        <v>0</v>
      </c>
      <c r="Y39" s="199">
        <v>0</v>
      </c>
      <c r="Z39" s="199">
        <v>0</v>
      </c>
      <c r="AA39" s="199">
        <v>0</v>
      </c>
      <c r="AB39" s="199">
        <v>0</v>
      </c>
      <c r="AC39" s="199">
        <v>0</v>
      </c>
      <c r="AD39" s="199">
        <v>0</v>
      </c>
      <c r="AE39" s="199">
        <v>0</v>
      </c>
      <c r="AF39" s="199">
        <v>0</v>
      </c>
      <c r="AG39" s="199">
        <v>0</v>
      </c>
      <c r="AH39" s="199">
        <v>0</v>
      </c>
      <c r="AI39" s="199">
        <v>0</v>
      </c>
      <c r="AJ39" s="199">
        <v>0</v>
      </c>
      <c r="AK39" s="199">
        <v>0</v>
      </c>
      <c r="AL39" s="199">
        <v>4</v>
      </c>
      <c r="AM39" s="199">
        <v>0</v>
      </c>
      <c r="AN39" s="199">
        <v>0</v>
      </c>
      <c r="AO39" s="199">
        <v>0</v>
      </c>
      <c r="AP39" s="199">
        <v>0</v>
      </c>
      <c r="AQ39" s="199">
        <v>0</v>
      </c>
      <c r="AR39" s="199">
        <v>0</v>
      </c>
      <c r="AS39" s="199">
        <v>0</v>
      </c>
      <c r="AT39" s="199">
        <v>5</v>
      </c>
      <c r="AU39" s="199">
        <v>0</v>
      </c>
      <c r="AV39" s="199">
        <v>0</v>
      </c>
      <c r="AW39" s="199">
        <v>0</v>
      </c>
    </row>
    <row r="40" spans="3:49" x14ac:dyDescent="0.3">
      <c r="C40" s="199">
        <v>38</v>
      </c>
      <c r="D40" s="199">
        <v>5</v>
      </c>
      <c r="E40" s="199">
        <v>2</v>
      </c>
      <c r="F40" s="199">
        <v>4058.4</v>
      </c>
      <c r="G40" s="199">
        <v>0</v>
      </c>
      <c r="H40" s="199">
        <v>92</v>
      </c>
      <c r="I40" s="199">
        <v>460</v>
      </c>
      <c r="J40" s="199">
        <v>184</v>
      </c>
      <c r="K40" s="199">
        <v>0</v>
      </c>
      <c r="L40" s="199">
        <v>664</v>
      </c>
      <c r="M40" s="199">
        <v>0</v>
      </c>
      <c r="N40" s="199">
        <v>0</v>
      </c>
      <c r="O40" s="199">
        <v>0</v>
      </c>
      <c r="P40" s="199">
        <v>0</v>
      </c>
      <c r="Q40" s="199">
        <v>0</v>
      </c>
      <c r="R40" s="199">
        <v>0</v>
      </c>
      <c r="S40" s="199">
        <v>0</v>
      </c>
      <c r="T40" s="199">
        <v>0</v>
      </c>
      <c r="U40" s="199">
        <v>0</v>
      </c>
      <c r="V40" s="199">
        <v>0</v>
      </c>
      <c r="W40" s="199">
        <v>1372</v>
      </c>
      <c r="X40" s="199">
        <v>0</v>
      </c>
      <c r="Y40" s="199">
        <v>0</v>
      </c>
      <c r="Z40" s="199">
        <v>0</v>
      </c>
      <c r="AA40" s="199">
        <v>0</v>
      </c>
      <c r="AB40" s="199">
        <v>0</v>
      </c>
      <c r="AC40" s="199">
        <v>0</v>
      </c>
      <c r="AD40" s="199">
        <v>0</v>
      </c>
      <c r="AE40" s="199">
        <v>0</v>
      </c>
      <c r="AF40" s="199">
        <v>0</v>
      </c>
      <c r="AG40" s="199">
        <v>0</v>
      </c>
      <c r="AH40" s="199">
        <v>0</v>
      </c>
      <c r="AI40" s="199">
        <v>0</v>
      </c>
      <c r="AJ40" s="199">
        <v>0</v>
      </c>
      <c r="AK40" s="199">
        <v>0</v>
      </c>
      <c r="AL40" s="199">
        <v>618.4</v>
      </c>
      <c r="AM40" s="199">
        <v>0</v>
      </c>
      <c r="AN40" s="199">
        <v>0</v>
      </c>
      <c r="AO40" s="199">
        <v>0</v>
      </c>
      <c r="AP40" s="199">
        <v>0</v>
      </c>
      <c r="AQ40" s="199">
        <v>0</v>
      </c>
      <c r="AR40" s="199">
        <v>0</v>
      </c>
      <c r="AS40" s="199">
        <v>0</v>
      </c>
      <c r="AT40" s="199">
        <v>668</v>
      </c>
      <c r="AU40" s="199">
        <v>0</v>
      </c>
      <c r="AV40" s="199">
        <v>0</v>
      </c>
      <c r="AW40" s="199">
        <v>0</v>
      </c>
    </row>
    <row r="41" spans="3:49" x14ac:dyDescent="0.3">
      <c r="C41" s="199">
        <v>38</v>
      </c>
      <c r="D41" s="199">
        <v>5</v>
      </c>
      <c r="E41" s="199">
        <v>3</v>
      </c>
      <c r="F41" s="199">
        <v>41.6</v>
      </c>
      <c r="G41" s="199">
        <v>0</v>
      </c>
      <c r="H41" s="199">
        <v>0</v>
      </c>
      <c r="I41" s="199">
        <v>0</v>
      </c>
      <c r="J41" s="199"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9">
        <v>0</v>
      </c>
      <c r="R41" s="199">
        <v>0</v>
      </c>
      <c r="S41" s="199">
        <v>0</v>
      </c>
      <c r="T41" s="199">
        <v>0</v>
      </c>
      <c r="U41" s="199">
        <v>0</v>
      </c>
      <c r="V41" s="199">
        <v>0</v>
      </c>
      <c r="W41" s="199">
        <v>0</v>
      </c>
      <c r="X41" s="199">
        <v>0</v>
      </c>
      <c r="Y41" s="199">
        <v>0</v>
      </c>
      <c r="Z41" s="199">
        <v>0</v>
      </c>
      <c r="AA41" s="199">
        <v>0</v>
      </c>
      <c r="AB41" s="199">
        <v>0</v>
      </c>
      <c r="AC41" s="199">
        <v>0</v>
      </c>
      <c r="AD41" s="199">
        <v>0</v>
      </c>
      <c r="AE41" s="199">
        <v>0</v>
      </c>
      <c r="AF41" s="199">
        <v>0</v>
      </c>
      <c r="AG41" s="199">
        <v>0</v>
      </c>
      <c r="AH41" s="199">
        <v>0</v>
      </c>
      <c r="AI41" s="199">
        <v>0</v>
      </c>
      <c r="AJ41" s="199">
        <v>0</v>
      </c>
      <c r="AK41" s="199">
        <v>0</v>
      </c>
      <c r="AL41" s="199">
        <v>41.6</v>
      </c>
      <c r="AM41" s="199">
        <v>0</v>
      </c>
      <c r="AN41" s="199">
        <v>0</v>
      </c>
      <c r="AO41" s="199">
        <v>0</v>
      </c>
      <c r="AP41" s="199">
        <v>0</v>
      </c>
      <c r="AQ41" s="199">
        <v>0</v>
      </c>
      <c r="AR41" s="199">
        <v>0</v>
      </c>
      <c r="AS41" s="199">
        <v>0</v>
      </c>
      <c r="AT41" s="199">
        <v>0</v>
      </c>
      <c r="AU41" s="199">
        <v>0</v>
      </c>
      <c r="AV41" s="199">
        <v>0</v>
      </c>
      <c r="AW41" s="199">
        <v>0</v>
      </c>
    </row>
    <row r="42" spans="3:49" x14ac:dyDescent="0.3">
      <c r="C42" s="199">
        <v>38</v>
      </c>
      <c r="D42" s="199">
        <v>5</v>
      </c>
      <c r="E42" s="199">
        <v>4</v>
      </c>
      <c r="F42" s="199">
        <v>103.4</v>
      </c>
      <c r="G42" s="199">
        <v>0</v>
      </c>
      <c r="H42" s="199">
        <v>0</v>
      </c>
      <c r="I42" s="199">
        <v>0</v>
      </c>
      <c r="J42" s="199">
        <v>0</v>
      </c>
      <c r="K42" s="199"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9">
        <v>0</v>
      </c>
      <c r="R42" s="199">
        <v>0</v>
      </c>
      <c r="S42" s="199">
        <v>0</v>
      </c>
      <c r="T42" s="199">
        <v>0</v>
      </c>
      <c r="U42" s="199">
        <v>0</v>
      </c>
      <c r="V42" s="199">
        <v>0</v>
      </c>
      <c r="W42" s="199">
        <v>0</v>
      </c>
      <c r="X42" s="199">
        <v>0</v>
      </c>
      <c r="Y42" s="199">
        <v>0</v>
      </c>
      <c r="Z42" s="199">
        <v>0</v>
      </c>
      <c r="AA42" s="199">
        <v>0</v>
      </c>
      <c r="AB42" s="199">
        <v>0</v>
      </c>
      <c r="AC42" s="199">
        <v>0</v>
      </c>
      <c r="AD42" s="199">
        <v>0</v>
      </c>
      <c r="AE42" s="199">
        <v>0</v>
      </c>
      <c r="AF42" s="199">
        <v>0</v>
      </c>
      <c r="AG42" s="199">
        <v>0</v>
      </c>
      <c r="AH42" s="199">
        <v>0</v>
      </c>
      <c r="AI42" s="199">
        <v>0</v>
      </c>
      <c r="AJ42" s="199">
        <v>0</v>
      </c>
      <c r="AK42" s="199">
        <v>0</v>
      </c>
      <c r="AL42" s="199">
        <v>95.4</v>
      </c>
      <c r="AM42" s="199">
        <v>0</v>
      </c>
      <c r="AN42" s="199">
        <v>0</v>
      </c>
      <c r="AO42" s="199">
        <v>0</v>
      </c>
      <c r="AP42" s="199">
        <v>0</v>
      </c>
      <c r="AQ42" s="199">
        <v>0</v>
      </c>
      <c r="AR42" s="199">
        <v>0</v>
      </c>
      <c r="AS42" s="199">
        <v>0</v>
      </c>
      <c r="AT42" s="199">
        <v>8</v>
      </c>
      <c r="AU42" s="199">
        <v>0</v>
      </c>
      <c r="AV42" s="199">
        <v>0</v>
      </c>
      <c r="AW42" s="199">
        <v>0</v>
      </c>
    </row>
    <row r="43" spans="3:49" x14ac:dyDescent="0.3">
      <c r="C43" s="199">
        <v>38</v>
      </c>
      <c r="D43" s="199">
        <v>5</v>
      </c>
      <c r="E43" s="199">
        <v>5</v>
      </c>
      <c r="F43" s="199">
        <v>914</v>
      </c>
      <c r="G43" s="199">
        <v>0</v>
      </c>
      <c r="H43" s="199">
        <v>0</v>
      </c>
      <c r="I43" s="199">
        <v>0</v>
      </c>
      <c r="J43" s="199">
        <v>0</v>
      </c>
      <c r="K43" s="199">
        <v>0</v>
      </c>
      <c r="L43" s="199">
        <v>0</v>
      </c>
      <c r="M43" s="199">
        <v>0</v>
      </c>
      <c r="N43" s="199">
        <v>0</v>
      </c>
      <c r="O43" s="199">
        <v>0</v>
      </c>
      <c r="P43" s="199">
        <v>0</v>
      </c>
      <c r="Q43" s="199">
        <v>0</v>
      </c>
      <c r="R43" s="199">
        <v>0</v>
      </c>
      <c r="S43" s="199">
        <v>0</v>
      </c>
      <c r="T43" s="199">
        <v>0</v>
      </c>
      <c r="U43" s="199">
        <v>0</v>
      </c>
      <c r="V43" s="199">
        <v>0</v>
      </c>
      <c r="W43" s="199">
        <v>0</v>
      </c>
      <c r="X43" s="199">
        <v>0</v>
      </c>
      <c r="Y43" s="199">
        <v>0</v>
      </c>
      <c r="Z43" s="199">
        <v>0</v>
      </c>
      <c r="AA43" s="199">
        <v>0</v>
      </c>
      <c r="AB43" s="199">
        <v>0</v>
      </c>
      <c r="AC43" s="199">
        <v>0</v>
      </c>
      <c r="AD43" s="199">
        <v>0</v>
      </c>
      <c r="AE43" s="199">
        <v>0</v>
      </c>
      <c r="AF43" s="199">
        <v>0</v>
      </c>
      <c r="AG43" s="199">
        <v>0</v>
      </c>
      <c r="AH43" s="199">
        <v>0</v>
      </c>
      <c r="AI43" s="199">
        <v>0</v>
      </c>
      <c r="AJ43" s="199">
        <v>0</v>
      </c>
      <c r="AK43" s="199">
        <v>0</v>
      </c>
      <c r="AL43" s="199">
        <v>396</v>
      </c>
      <c r="AM43" s="199">
        <v>0</v>
      </c>
      <c r="AN43" s="199">
        <v>0</v>
      </c>
      <c r="AO43" s="199">
        <v>0</v>
      </c>
      <c r="AP43" s="199">
        <v>0</v>
      </c>
      <c r="AQ43" s="199">
        <v>0</v>
      </c>
      <c r="AR43" s="199">
        <v>0</v>
      </c>
      <c r="AS43" s="199">
        <v>0</v>
      </c>
      <c r="AT43" s="199">
        <v>518</v>
      </c>
      <c r="AU43" s="199">
        <v>0</v>
      </c>
      <c r="AV43" s="199">
        <v>0</v>
      </c>
      <c r="AW43" s="199">
        <v>0</v>
      </c>
    </row>
    <row r="44" spans="3:49" x14ac:dyDescent="0.3">
      <c r="C44" s="199">
        <v>38</v>
      </c>
      <c r="D44" s="199">
        <v>5</v>
      </c>
      <c r="E44" s="199">
        <v>6</v>
      </c>
      <c r="F44" s="199">
        <v>1144382</v>
      </c>
      <c r="G44" s="199">
        <v>0</v>
      </c>
      <c r="H44" s="199">
        <v>9050</v>
      </c>
      <c r="I44" s="199">
        <v>69269</v>
      </c>
      <c r="J44" s="199">
        <v>35073</v>
      </c>
      <c r="K44" s="199">
        <v>0</v>
      </c>
      <c r="L44" s="199">
        <v>274206</v>
      </c>
      <c r="M44" s="199">
        <v>0</v>
      </c>
      <c r="N44" s="199">
        <v>0</v>
      </c>
      <c r="O44" s="199">
        <v>0</v>
      </c>
      <c r="P44" s="199">
        <v>0</v>
      </c>
      <c r="Q44" s="199">
        <v>0</v>
      </c>
      <c r="R44" s="199">
        <v>0</v>
      </c>
      <c r="S44" s="199">
        <v>0</v>
      </c>
      <c r="T44" s="199">
        <v>0</v>
      </c>
      <c r="U44" s="199">
        <v>0</v>
      </c>
      <c r="V44" s="199">
        <v>0</v>
      </c>
      <c r="W44" s="199">
        <v>279446</v>
      </c>
      <c r="X44" s="199">
        <v>0</v>
      </c>
      <c r="Y44" s="199">
        <v>0</v>
      </c>
      <c r="Z44" s="199">
        <v>0</v>
      </c>
      <c r="AA44" s="199">
        <v>0</v>
      </c>
      <c r="AB44" s="199">
        <v>0</v>
      </c>
      <c r="AC44" s="199">
        <v>0</v>
      </c>
      <c r="AD44" s="199">
        <v>0</v>
      </c>
      <c r="AE44" s="199">
        <v>0</v>
      </c>
      <c r="AF44" s="199">
        <v>0</v>
      </c>
      <c r="AG44" s="199">
        <v>4632</v>
      </c>
      <c r="AH44" s="199">
        <v>0</v>
      </c>
      <c r="AI44" s="199">
        <v>0</v>
      </c>
      <c r="AJ44" s="199">
        <v>0</v>
      </c>
      <c r="AK44" s="199">
        <v>0</v>
      </c>
      <c r="AL44" s="199">
        <v>329539</v>
      </c>
      <c r="AM44" s="199">
        <v>0</v>
      </c>
      <c r="AN44" s="199">
        <v>0</v>
      </c>
      <c r="AO44" s="199">
        <v>0</v>
      </c>
      <c r="AP44" s="199">
        <v>0</v>
      </c>
      <c r="AQ44" s="199">
        <v>0</v>
      </c>
      <c r="AR44" s="199">
        <v>0</v>
      </c>
      <c r="AS44" s="199">
        <v>0</v>
      </c>
      <c r="AT44" s="199">
        <v>143167</v>
      </c>
      <c r="AU44" s="199">
        <v>0</v>
      </c>
      <c r="AV44" s="199">
        <v>0</v>
      </c>
      <c r="AW44" s="199">
        <v>0</v>
      </c>
    </row>
    <row r="45" spans="3:49" x14ac:dyDescent="0.3">
      <c r="C45" s="199">
        <v>38</v>
      </c>
      <c r="D45" s="199">
        <v>5</v>
      </c>
      <c r="E45" s="199">
        <v>9</v>
      </c>
      <c r="F45" s="199">
        <v>37007</v>
      </c>
      <c r="G45" s="199">
        <v>0</v>
      </c>
      <c r="H45" s="199">
        <v>0</v>
      </c>
      <c r="I45" s="199">
        <v>2184</v>
      </c>
      <c r="J45" s="199">
        <v>0</v>
      </c>
      <c r="K45" s="199">
        <v>0</v>
      </c>
      <c r="L45" s="199">
        <v>14824</v>
      </c>
      <c r="M45" s="199">
        <v>0</v>
      </c>
      <c r="N45" s="199">
        <v>0</v>
      </c>
      <c r="O45" s="199">
        <v>0</v>
      </c>
      <c r="P45" s="199">
        <v>0</v>
      </c>
      <c r="Q45" s="199">
        <v>0</v>
      </c>
      <c r="R45" s="199">
        <v>0</v>
      </c>
      <c r="S45" s="199">
        <v>0</v>
      </c>
      <c r="T45" s="199">
        <v>0</v>
      </c>
      <c r="U45" s="199">
        <v>0</v>
      </c>
      <c r="V45" s="199">
        <v>0</v>
      </c>
      <c r="W45" s="199">
        <v>0</v>
      </c>
      <c r="X45" s="199">
        <v>0</v>
      </c>
      <c r="Y45" s="199">
        <v>0</v>
      </c>
      <c r="Z45" s="199">
        <v>0</v>
      </c>
      <c r="AA45" s="199">
        <v>0</v>
      </c>
      <c r="AB45" s="199">
        <v>0</v>
      </c>
      <c r="AC45" s="199">
        <v>0</v>
      </c>
      <c r="AD45" s="199">
        <v>0</v>
      </c>
      <c r="AE45" s="199">
        <v>0</v>
      </c>
      <c r="AF45" s="199">
        <v>0</v>
      </c>
      <c r="AG45" s="199">
        <v>4632</v>
      </c>
      <c r="AH45" s="199">
        <v>0</v>
      </c>
      <c r="AI45" s="199">
        <v>0</v>
      </c>
      <c r="AJ45" s="199">
        <v>0</v>
      </c>
      <c r="AK45" s="199">
        <v>0</v>
      </c>
      <c r="AL45" s="199">
        <v>7023</v>
      </c>
      <c r="AM45" s="199">
        <v>0</v>
      </c>
      <c r="AN45" s="199">
        <v>0</v>
      </c>
      <c r="AO45" s="199">
        <v>0</v>
      </c>
      <c r="AP45" s="199">
        <v>0</v>
      </c>
      <c r="AQ45" s="199">
        <v>0</v>
      </c>
      <c r="AR45" s="199">
        <v>0</v>
      </c>
      <c r="AS45" s="199">
        <v>0</v>
      </c>
      <c r="AT45" s="199">
        <v>8344</v>
      </c>
      <c r="AU45" s="199">
        <v>0</v>
      </c>
      <c r="AV45" s="199">
        <v>0</v>
      </c>
      <c r="AW45" s="199">
        <v>0</v>
      </c>
    </row>
    <row r="46" spans="3:49" x14ac:dyDescent="0.3">
      <c r="C46" s="199">
        <v>38</v>
      </c>
      <c r="D46" s="199">
        <v>5</v>
      </c>
      <c r="E46" s="199">
        <v>10</v>
      </c>
      <c r="F46" s="199">
        <v>4600</v>
      </c>
      <c r="G46" s="199">
        <v>1250</v>
      </c>
      <c r="H46" s="199">
        <v>0</v>
      </c>
      <c r="I46" s="199">
        <v>0</v>
      </c>
      <c r="J46" s="199">
        <v>3350</v>
      </c>
      <c r="K46" s="199">
        <v>0</v>
      </c>
      <c r="L46" s="199">
        <v>0</v>
      </c>
      <c r="M46" s="199">
        <v>0</v>
      </c>
      <c r="N46" s="199">
        <v>0</v>
      </c>
      <c r="O46" s="199">
        <v>0</v>
      </c>
      <c r="P46" s="199">
        <v>0</v>
      </c>
      <c r="Q46" s="199">
        <v>0</v>
      </c>
      <c r="R46" s="199">
        <v>0</v>
      </c>
      <c r="S46" s="199">
        <v>0</v>
      </c>
      <c r="T46" s="199">
        <v>0</v>
      </c>
      <c r="U46" s="199">
        <v>0</v>
      </c>
      <c r="V46" s="199">
        <v>0</v>
      </c>
      <c r="W46" s="199">
        <v>0</v>
      </c>
      <c r="X46" s="199">
        <v>0</v>
      </c>
      <c r="Y46" s="199">
        <v>0</v>
      </c>
      <c r="Z46" s="199">
        <v>0</v>
      </c>
      <c r="AA46" s="199">
        <v>0</v>
      </c>
      <c r="AB46" s="199">
        <v>0</v>
      </c>
      <c r="AC46" s="199">
        <v>0</v>
      </c>
      <c r="AD46" s="199">
        <v>0</v>
      </c>
      <c r="AE46" s="199">
        <v>0</v>
      </c>
      <c r="AF46" s="199">
        <v>0</v>
      </c>
      <c r="AG46" s="199">
        <v>0</v>
      </c>
      <c r="AH46" s="199">
        <v>0</v>
      </c>
      <c r="AI46" s="199">
        <v>0</v>
      </c>
      <c r="AJ46" s="199">
        <v>0</v>
      </c>
      <c r="AK46" s="199">
        <v>0</v>
      </c>
      <c r="AL46" s="199">
        <v>0</v>
      </c>
      <c r="AM46" s="199">
        <v>0</v>
      </c>
      <c r="AN46" s="199">
        <v>0</v>
      </c>
      <c r="AO46" s="199">
        <v>0</v>
      </c>
      <c r="AP46" s="199">
        <v>0</v>
      </c>
      <c r="AQ46" s="199">
        <v>0</v>
      </c>
      <c r="AR46" s="199">
        <v>0</v>
      </c>
      <c r="AS46" s="199">
        <v>0</v>
      </c>
      <c r="AT46" s="199">
        <v>0</v>
      </c>
      <c r="AU46" s="199">
        <v>0</v>
      </c>
      <c r="AV46" s="199">
        <v>0</v>
      </c>
      <c r="AW46" s="199">
        <v>0</v>
      </c>
    </row>
    <row r="47" spans="3:49" x14ac:dyDescent="0.3">
      <c r="C47" s="199">
        <v>38</v>
      </c>
      <c r="D47" s="199">
        <v>5</v>
      </c>
      <c r="E47" s="199">
        <v>11</v>
      </c>
      <c r="F47" s="199">
        <v>3964.0120528946463</v>
      </c>
      <c r="G47" s="199">
        <v>1672.3453862279791</v>
      </c>
      <c r="H47" s="199">
        <v>1250</v>
      </c>
      <c r="I47" s="199">
        <v>0</v>
      </c>
      <c r="J47" s="199">
        <v>1041.6666666666667</v>
      </c>
      <c r="K47" s="199">
        <v>0</v>
      </c>
      <c r="L47" s="199">
        <v>0</v>
      </c>
      <c r="M47" s="199">
        <v>0</v>
      </c>
      <c r="N47" s="199">
        <v>0</v>
      </c>
      <c r="O47" s="199">
        <v>0</v>
      </c>
      <c r="P47" s="199">
        <v>0</v>
      </c>
      <c r="Q47" s="199">
        <v>0</v>
      </c>
      <c r="R47" s="199">
        <v>0</v>
      </c>
      <c r="S47" s="199">
        <v>0</v>
      </c>
      <c r="T47" s="199">
        <v>0</v>
      </c>
      <c r="U47" s="199">
        <v>0</v>
      </c>
      <c r="V47" s="199">
        <v>0</v>
      </c>
      <c r="W47" s="199">
        <v>0</v>
      </c>
      <c r="X47" s="199">
        <v>0</v>
      </c>
      <c r="Y47" s="199">
        <v>0</v>
      </c>
      <c r="Z47" s="199">
        <v>0</v>
      </c>
      <c r="AA47" s="199">
        <v>0</v>
      </c>
      <c r="AB47" s="199">
        <v>0</v>
      </c>
      <c r="AC47" s="199">
        <v>0</v>
      </c>
      <c r="AD47" s="199">
        <v>0</v>
      </c>
      <c r="AE47" s="199">
        <v>0</v>
      </c>
      <c r="AF47" s="199">
        <v>0</v>
      </c>
      <c r="AG47" s="199">
        <v>0</v>
      </c>
      <c r="AH47" s="199">
        <v>0</v>
      </c>
      <c r="AI47" s="199">
        <v>0</v>
      </c>
      <c r="AJ47" s="199">
        <v>0</v>
      </c>
      <c r="AK47" s="199">
        <v>0</v>
      </c>
      <c r="AL47" s="199">
        <v>0</v>
      </c>
      <c r="AM47" s="199">
        <v>0</v>
      </c>
      <c r="AN47" s="199">
        <v>0</v>
      </c>
      <c r="AO47" s="199">
        <v>0</v>
      </c>
      <c r="AP47" s="199">
        <v>0</v>
      </c>
      <c r="AQ47" s="199">
        <v>0</v>
      </c>
      <c r="AR47" s="199">
        <v>0</v>
      </c>
      <c r="AS47" s="199">
        <v>0</v>
      </c>
      <c r="AT47" s="199">
        <v>0</v>
      </c>
      <c r="AU47" s="199">
        <v>0</v>
      </c>
      <c r="AV47" s="199">
        <v>0</v>
      </c>
      <c r="AW47" s="199">
        <v>0</v>
      </c>
    </row>
    <row r="48" spans="3:49" x14ac:dyDescent="0.3">
      <c r="C48" s="199">
        <v>38</v>
      </c>
      <c r="D48" s="199">
        <v>6</v>
      </c>
      <c r="E48" s="199">
        <v>1</v>
      </c>
      <c r="F48" s="199">
        <v>26.4</v>
      </c>
      <c r="G48" s="199">
        <v>0</v>
      </c>
      <c r="H48" s="199">
        <v>0.5</v>
      </c>
      <c r="I48" s="199">
        <v>2.5</v>
      </c>
      <c r="J48" s="199">
        <v>1</v>
      </c>
      <c r="K48" s="199">
        <v>0</v>
      </c>
      <c r="L48" s="199">
        <v>5.2</v>
      </c>
      <c r="M48" s="199">
        <v>0</v>
      </c>
      <c r="N48" s="199">
        <v>0</v>
      </c>
      <c r="O48" s="199">
        <v>0</v>
      </c>
      <c r="P48" s="199">
        <v>0</v>
      </c>
      <c r="Q48" s="199">
        <v>0</v>
      </c>
      <c r="R48" s="199">
        <v>0</v>
      </c>
      <c r="S48" s="199">
        <v>0</v>
      </c>
      <c r="T48" s="199">
        <v>0</v>
      </c>
      <c r="U48" s="199">
        <v>0</v>
      </c>
      <c r="V48" s="199">
        <v>0</v>
      </c>
      <c r="W48" s="199">
        <v>9</v>
      </c>
      <c r="X48" s="199">
        <v>0</v>
      </c>
      <c r="Y48" s="199">
        <v>0</v>
      </c>
      <c r="Z48" s="199">
        <v>0</v>
      </c>
      <c r="AA48" s="199">
        <v>0</v>
      </c>
      <c r="AB48" s="199">
        <v>0</v>
      </c>
      <c r="AC48" s="199">
        <v>0</v>
      </c>
      <c r="AD48" s="199">
        <v>0</v>
      </c>
      <c r="AE48" s="199">
        <v>0</v>
      </c>
      <c r="AF48" s="199">
        <v>0</v>
      </c>
      <c r="AG48" s="199">
        <v>0</v>
      </c>
      <c r="AH48" s="199">
        <v>0</v>
      </c>
      <c r="AI48" s="199">
        <v>0</v>
      </c>
      <c r="AJ48" s="199">
        <v>0</v>
      </c>
      <c r="AK48" s="199">
        <v>0</v>
      </c>
      <c r="AL48" s="199">
        <v>3.2</v>
      </c>
      <c r="AM48" s="199">
        <v>0</v>
      </c>
      <c r="AN48" s="199">
        <v>0</v>
      </c>
      <c r="AO48" s="199">
        <v>0</v>
      </c>
      <c r="AP48" s="199">
        <v>0</v>
      </c>
      <c r="AQ48" s="199">
        <v>0</v>
      </c>
      <c r="AR48" s="199">
        <v>0</v>
      </c>
      <c r="AS48" s="199">
        <v>0</v>
      </c>
      <c r="AT48" s="199">
        <v>5</v>
      </c>
      <c r="AU48" s="199">
        <v>0</v>
      </c>
      <c r="AV48" s="199">
        <v>0</v>
      </c>
      <c r="AW48" s="199">
        <v>0</v>
      </c>
    </row>
    <row r="49" spans="3:49" x14ac:dyDescent="0.3">
      <c r="C49" s="199">
        <v>38</v>
      </c>
      <c r="D49" s="199">
        <v>6</v>
      </c>
      <c r="E49" s="199">
        <v>2</v>
      </c>
      <c r="F49" s="199">
        <v>3767.2</v>
      </c>
      <c r="G49" s="199">
        <v>0</v>
      </c>
      <c r="H49" s="199">
        <v>88</v>
      </c>
      <c r="I49" s="199">
        <v>348</v>
      </c>
      <c r="J49" s="199">
        <v>176</v>
      </c>
      <c r="K49" s="199">
        <v>0</v>
      </c>
      <c r="L49" s="199">
        <v>660</v>
      </c>
      <c r="M49" s="199">
        <v>0</v>
      </c>
      <c r="N49" s="199">
        <v>0</v>
      </c>
      <c r="O49" s="199">
        <v>0</v>
      </c>
      <c r="P49" s="199">
        <v>0</v>
      </c>
      <c r="Q49" s="199">
        <v>0</v>
      </c>
      <c r="R49" s="199">
        <v>0</v>
      </c>
      <c r="S49" s="199">
        <v>0</v>
      </c>
      <c r="T49" s="199">
        <v>0</v>
      </c>
      <c r="U49" s="199">
        <v>0</v>
      </c>
      <c r="V49" s="199">
        <v>0</v>
      </c>
      <c r="W49" s="199">
        <v>1300</v>
      </c>
      <c r="X49" s="199">
        <v>0</v>
      </c>
      <c r="Y49" s="199">
        <v>0</v>
      </c>
      <c r="Z49" s="199">
        <v>0</v>
      </c>
      <c r="AA49" s="199">
        <v>0</v>
      </c>
      <c r="AB49" s="199">
        <v>0</v>
      </c>
      <c r="AC49" s="199">
        <v>0</v>
      </c>
      <c r="AD49" s="199">
        <v>0</v>
      </c>
      <c r="AE49" s="199">
        <v>0</v>
      </c>
      <c r="AF49" s="199">
        <v>0</v>
      </c>
      <c r="AG49" s="199">
        <v>0</v>
      </c>
      <c r="AH49" s="199">
        <v>0</v>
      </c>
      <c r="AI49" s="199">
        <v>0</v>
      </c>
      <c r="AJ49" s="199">
        <v>0</v>
      </c>
      <c r="AK49" s="199">
        <v>0</v>
      </c>
      <c r="AL49" s="199">
        <v>475.2</v>
      </c>
      <c r="AM49" s="199">
        <v>0</v>
      </c>
      <c r="AN49" s="199">
        <v>0</v>
      </c>
      <c r="AO49" s="199">
        <v>0</v>
      </c>
      <c r="AP49" s="199">
        <v>0</v>
      </c>
      <c r="AQ49" s="199">
        <v>0</v>
      </c>
      <c r="AR49" s="199">
        <v>0</v>
      </c>
      <c r="AS49" s="199">
        <v>0</v>
      </c>
      <c r="AT49" s="199">
        <v>720</v>
      </c>
      <c r="AU49" s="199">
        <v>0</v>
      </c>
      <c r="AV49" s="199">
        <v>0</v>
      </c>
      <c r="AW49" s="199">
        <v>0</v>
      </c>
    </row>
    <row r="50" spans="3:49" x14ac:dyDescent="0.3">
      <c r="C50" s="199">
        <v>38</v>
      </c>
      <c r="D50" s="199">
        <v>6</v>
      </c>
      <c r="E50" s="199">
        <v>3</v>
      </c>
      <c r="F50" s="199">
        <v>20.8</v>
      </c>
      <c r="G50" s="199">
        <v>0</v>
      </c>
      <c r="H50" s="199">
        <v>0</v>
      </c>
      <c r="I50" s="199">
        <v>0</v>
      </c>
      <c r="J50" s="199">
        <v>0</v>
      </c>
      <c r="K50" s="199">
        <v>0</v>
      </c>
      <c r="L50" s="199">
        <v>0</v>
      </c>
      <c r="M50" s="199">
        <v>0</v>
      </c>
      <c r="N50" s="199">
        <v>0</v>
      </c>
      <c r="O50" s="199">
        <v>0</v>
      </c>
      <c r="P50" s="199">
        <v>0</v>
      </c>
      <c r="Q50" s="199">
        <v>0</v>
      </c>
      <c r="R50" s="199">
        <v>0</v>
      </c>
      <c r="S50" s="199">
        <v>0</v>
      </c>
      <c r="T50" s="199">
        <v>0</v>
      </c>
      <c r="U50" s="199">
        <v>0</v>
      </c>
      <c r="V50" s="199">
        <v>0</v>
      </c>
      <c r="W50" s="199">
        <v>0</v>
      </c>
      <c r="X50" s="199">
        <v>0</v>
      </c>
      <c r="Y50" s="199">
        <v>0</v>
      </c>
      <c r="Z50" s="199">
        <v>0</v>
      </c>
      <c r="AA50" s="199">
        <v>0</v>
      </c>
      <c r="AB50" s="199">
        <v>0</v>
      </c>
      <c r="AC50" s="199">
        <v>0</v>
      </c>
      <c r="AD50" s="199">
        <v>0</v>
      </c>
      <c r="AE50" s="199">
        <v>0</v>
      </c>
      <c r="AF50" s="199">
        <v>0</v>
      </c>
      <c r="AG50" s="199">
        <v>0</v>
      </c>
      <c r="AH50" s="199">
        <v>0</v>
      </c>
      <c r="AI50" s="199">
        <v>0</v>
      </c>
      <c r="AJ50" s="199">
        <v>0</v>
      </c>
      <c r="AK50" s="199">
        <v>0</v>
      </c>
      <c r="AL50" s="199">
        <v>20.8</v>
      </c>
      <c r="AM50" s="199">
        <v>0</v>
      </c>
      <c r="AN50" s="199">
        <v>0</v>
      </c>
      <c r="AO50" s="199">
        <v>0</v>
      </c>
      <c r="AP50" s="199">
        <v>0</v>
      </c>
      <c r="AQ50" s="199">
        <v>0</v>
      </c>
      <c r="AR50" s="199">
        <v>0</v>
      </c>
      <c r="AS50" s="199">
        <v>0</v>
      </c>
      <c r="AT50" s="199">
        <v>0</v>
      </c>
      <c r="AU50" s="199">
        <v>0</v>
      </c>
      <c r="AV50" s="199">
        <v>0</v>
      </c>
      <c r="AW50" s="199">
        <v>0</v>
      </c>
    </row>
    <row r="51" spans="3:49" x14ac:dyDescent="0.3">
      <c r="C51" s="199">
        <v>38</v>
      </c>
      <c r="D51" s="199">
        <v>6</v>
      </c>
      <c r="E51" s="199">
        <v>4</v>
      </c>
      <c r="F51" s="199">
        <v>73.2</v>
      </c>
      <c r="G51" s="199">
        <v>0</v>
      </c>
      <c r="H51" s="199">
        <v>0</v>
      </c>
      <c r="I51" s="199">
        <v>0</v>
      </c>
      <c r="J51" s="199">
        <v>0</v>
      </c>
      <c r="K51" s="199">
        <v>0</v>
      </c>
      <c r="L51" s="199">
        <v>0</v>
      </c>
      <c r="M51" s="199">
        <v>0</v>
      </c>
      <c r="N51" s="199">
        <v>0</v>
      </c>
      <c r="O51" s="199">
        <v>0</v>
      </c>
      <c r="P51" s="199">
        <v>0</v>
      </c>
      <c r="Q51" s="199">
        <v>0</v>
      </c>
      <c r="R51" s="199">
        <v>0</v>
      </c>
      <c r="S51" s="199">
        <v>0</v>
      </c>
      <c r="T51" s="199">
        <v>0</v>
      </c>
      <c r="U51" s="199">
        <v>0</v>
      </c>
      <c r="V51" s="199">
        <v>0</v>
      </c>
      <c r="W51" s="199">
        <v>0</v>
      </c>
      <c r="X51" s="199">
        <v>0</v>
      </c>
      <c r="Y51" s="199">
        <v>0</v>
      </c>
      <c r="Z51" s="199">
        <v>0</v>
      </c>
      <c r="AA51" s="199">
        <v>0</v>
      </c>
      <c r="AB51" s="199">
        <v>0</v>
      </c>
      <c r="AC51" s="199">
        <v>0</v>
      </c>
      <c r="AD51" s="199">
        <v>0</v>
      </c>
      <c r="AE51" s="199">
        <v>0</v>
      </c>
      <c r="AF51" s="199">
        <v>0</v>
      </c>
      <c r="AG51" s="199">
        <v>0</v>
      </c>
      <c r="AH51" s="199">
        <v>0</v>
      </c>
      <c r="AI51" s="199">
        <v>0</v>
      </c>
      <c r="AJ51" s="199">
        <v>0</v>
      </c>
      <c r="AK51" s="199">
        <v>0</v>
      </c>
      <c r="AL51" s="199">
        <v>64.2</v>
      </c>
      <c r="AM51" s="199">
        <v>0</v>
      </c>
      <c r="AN51" s="199">
        <v>0</v>
      </c>
      <c r="AO51" s="199">
        <v>0</v>
      </c>
      <c r="AP51" s="199">
        <v>0</v>
      </c>
      <c r="AQ51" s="199">
        <v>0</v>
      </c>
      <c r="AR51" s="199">
        <v>0</v>
      </c>
      <c r="AS51" s="199">
        <v>0</v>
      </c>
      <c r="AT51" s="199">
        <v>9</v>
      </c>
      <c r="AU51" s="199">
        <v>0</v>
      </c>
      <c r="AV51" s="199">
        <v>0</v>
      </c>
      <c r="AW51" s="199">
        <v>0</v>
      </c>
    </row>
    <row r="52" spans="3:49" x14ac:dyDescent="0.3">
      <c r="C52" s="199">
        <v>38</v>
      </c>
      <c r="D52" s="199">
        <v>6</v>
      </c>
      <c r="E52" s="199">
        <v>5</v>
      </c>
      <c r="F52" s="199">
        <v>898</v>
      </c>
      <c r="G52" s="199">
        <v>0</v>
      </c>
      <c r="H52" s="199">
        <v>0</v>
      </c>
      <c r="I52" s="199">
        <v>0</v>
      </c>
      <c r="J52" s="199">
        <v>0</v>
      </c>
      <c r="K52" s="199">
        <v>0</v>
      </c>
      <c r="L52" s="199">
        <v>0</v>
      </c>
      <c r="M52" s="199">
        <v>0</v>
      </c>
      <c r="N52" s="199">
        <v>0</v>
      </c>
      <c r="O52" s="199">
        <v>0</v>
      </c>
      <c r="P52" s="199">
        <v>0</v>
      </c>
      <c r="Q52" s="199">
        <v>0</v>
      </c>
      <c r="R52" s="199">
        <v>0</v>
      </c>
      <c r="S52" s="199">
        <v>0</v>
      </c>
      <c r="T52" s="199">
        <v>0</v>
      </c>
      <c r="U52" s="199">
        <v>0</v>
      </c>
      <c r="V52" s="199">
        <v>0</v>
      </c>
      <c r="W52" s="199">
        <v>0</v>
      </c>
      <c r="X52" s="199">
        <v>0</v>
      </c>
      <c r="Y52" s="199">
        <v>0</v>
      </c>
      <c r="Z52" s="199">
        <v>0</v>
      </c>
      <c r="AA52" s="199">
        <v>0</v>
      </c>
      <c r="AB52" s="199">
        <v>0</v>
      </c>
      <c r="AC52" s="199">
        <v>0</v>
      </c>
      <c r="AD52" s="199">
        <v>0</v>
      </c>
      <c r="AE52" s="199">
        <v>0</v>
      </c>
      <c r="AF52" s="199">
        <v>0</v>
      </c>
      <c r="AG52" s="199">
        <v>0</v>
      </c>
      <c r="AH52" s="199">
        <v>0</v>
      </c>
      <c r="AI52" s="199">
        <v>0</v>
      </c>
      <c r="AJ52" s="199">
        <v>0</v>
      </c>
      <c r="AK52" s="199">
        <v>0</v>
      </c>
      <c r="AL52" s="199">
        <v>91</v>
      </c>
      <c r="AM52" s="199">
        <v>0</v>
      </c>
      <c r="AN52" s="199">
        <v>0</v>
      </c>
      <c r="AO52" s="199">
        <v>0</v>
      </c>
      <c r="AP52" s="199">
        <v>0</v>
      </c>
      <c r="AQ52" s="199">
        <v>0</v>
      </c>
      <c r="AR52" s="199">
        <v>0</v>
      </c>
      <c r="AS52" s="199">
        <v>0</v>
      </c>
      <c r="AT52" s="199">
        <v>476</v>
      </c>
      <c r="AU52" s="199">
        <v>0</v>
      </c>
      <c r="AV52" s="199">
        <v>0</v>
      </c>
      <c r="AW52" s="199">
        <v>331</v>
      </c>
    </row>
    <row r="53" spans="3:49" x14ac:dyDescent="0.3">
      <c r="C53" s="199">
        <v>38</v>
      </c>
      <c r="D53" s="199">
        <v>6</v>
      </c>
      <c r="E53" s="199">
        <v>6</v>
      </c>
      <c r="F53" s="199">
        <v>1165278</v>
      </c>
      <c r="G53" s="199">
        <v>0</v>
      </c>
      <c r="H53" s="199">
        <v>9050</v>
      </c>
      <c r="I53" s="199">
        <v>70602</v>
      </c>
      <c r="J53" s="199">
        <v>35983</v>
      </c>
      <c r="K53" s="199">
        <v>0</v>
      </c>
      <c r="L53" s="199">
        <v>341115</v>
      </c>
      <c r="M53" s="199">
        <v>0</v>
      </c>
      <c r="N53" s="199">
        <v>1799</v>
      </c>
      <c r="O53" s="199">
        <v>0</v>
      </c>
      <c r="P53" s="199">
        <v>0</v>
      </c>
      <c r="Q53" s="199">
        <v>0</v>
      </c>
      <c r="R53" s="199">
        <v>0</v>
      </c>
      <c r="S53" s="199">
        <v>0</v>
      </c>
      <c r="T53" s="199">
        <v>0</v>
      </c>
      <c r="U53" s="199">
        <v>0</v>
      </c>
      <c r="V53" s="199">
        <v>0</v>
      </c>
      <c r="W53" s="199">
        <v>269431</v>
      </c>
      <c r="X53" s="199">
        <v>0</v>
      </c>
      <c r="Y53" s="199">
        <v>0</v>
      </c>
      <c r="Z53" s="199">
        <v>0</v>
      </c>
      <c r="AA53" s="199">
        <v>0</v>
      </c>
      <c r="AB53" s="199">
        <v>0</v>
      </c>
      <c r="AC53" s="199">
        <v>0</v>
      </c>
      <c r="AD53" s="199">
        <v>0</v>
      </c>
      <c r="AE53" s="199">
        <v>0</v>
      </c>
      <c r="AF53" s="199">
        <v>0</v>
      </c>
      <c r="AG53" s="199">
        <v>0</v>
      </c>
      <c r="AH53" s="199">
        <v>0</v>
      </c>
      <c r="AI53" s="199">
        <v>0</v>
      </c>
      <c r="AJ53" s="199">
        <v>0</v>
      </c>
      <c r="AK53" s="199">
        <v>0</v>
      </c>
      <c r="AL53" s="199">
        <v>231578</v>
      </c>
      <c r="AM53" s="199">
        <v>0</v>
      </c>
      <c r="AN53" s="199">
        <v>0</v>
      </c>
      <c r="AO53" s="199">
        <v>0</v>
      </c>
      <c r="AP53" s="199">
        <v>0</v>
      </c>
      <c r="AQ53" s="199">
        <v>0</v>
      </c>
      <c r="AR53" s="199">
        <v>0</v>
      </c>
      <c r="AS53" s="199">
        <v>0</v>
      </c>
      <c r="AT53" s="199">
        <v>148870</v>
      </c>
      <c r="AU53" s="199">
        <v>0</v>
      </c>
      <c r="AV53" s="199">
        <v>0</v>
      </c>
      <c r="AW53" s="199">
        <v>56850</v>
      </c>
    </row>
    <row r="54" spans="3:49" x14ac:dyDescent="0.3">
      <c r="C54" s="199">
        <v>38</v>
      </c>
      <c r="D54" s="199">
        <v>6</v>
      </c>
      <c r="E54" s="199">
        <v>9</v>
      </c>
      <c r="F54" s="199">
        <v>47329</v>
      </c>
      <c r="G54" s="199">
        <v>0</v>
      </c>
      <c r="H54" s="199">
        <v>0</v>
      </c>
      <c r="I54" s="199">
        <v>1986</v>
      </c>
      <c r="J54" s="199">
        <v>0</v>
      </c>
      <c r="K54" s="199">
        <v>0</v>
      </c>
      <c r="L54" s="199">
        <v>34224</v>
      </c>
      <c r="M54" s="199">
        <v>0</v>
      </c>
      <c r="N54" s="199">
        <v>1799</v>
      </c>
      <c r="O54" s="199">
        <v>0</v>
      </c>
      <c r="P54" s="199">
        <v>0</v>
      </c>
      <c r="Q54" s="199">
        <v>0</v>
      </c>
      <c r="R54" s="199">
        <v>0</v>
      </c>
      <c r="S54" s="199">
        <v>0</v>
      </c>
      <c r="T54" s="199">
        <v>0</v>
      </c>
      <c r="U54" s="199">
        <v>0</v>
      </c>
      <c r="V54" s="199">
        <v>0</v>
      </c>
      <c r="W54" s="199">
        <v>0</v>
      </c>
      <c r="X54" s="199">
        <v>0</v>
      </c>
      <c r="Y54" s="199">
        <v>0</v>
      </c>
      <c r="Z54" s="199">
        <v>0</v>
      </c>
      <c r="AA54" s="199">
        <v>0</v>
      </c>
      <c r="AB54" s="199">
        <v>0</v>
      </c>
      <c r="AC54" s="199">
        <v>0</v>
      </c>
      <c r="AD54" s="199">
        <v>0</v>
      </c>
      <c r="AE54" s="199">
        <v>0</v>
      </c>
      <c r="AF54" s="199">
        <v>0</v>
      </c>
      <c r="AG54" s="199">
        <v>0</v>
      </c>
      <c r="AH54" s="199">
        <v>0</v>
      </c>
      <c r="AI54" s="199">
        <v>0</v>
      </c>
      <c r="AJ54" s="199">
        <v>0</v>
      </c>
      <c r="AK54" s="199">
        <v>0</v>
      </c>
      <c r="AL54" s="199">
        <v>7296</v>
      </c>
      <c r="AM54" s="199">
        <v>0</v>
      </c>
      <c r="AN54" s="199">
        <v>0</v>
      </c>
      <c r="AO54" s="199">
        <v>0</v>
      </c>
      <c r="AP54" s="199">
        <v>0</v>
      </c>
      <c r="AQ54" s="199">
        <v>0</v>
      </c>
      <c r="AR54" s="199">
        <v>0</v>
      </c>
      <c r="AS54" s="199">
        <v>0</v>
      </c>
      <c r="AT54" s="199">
        <v>2024</v>
      </c>
      <c r="AU54" s="199">
        <v>0</v>
      </c>
      <c r="AV54" s="199">
        <v>0</v>
      </c>
      <c r="AW54" s="199">
        <v>0</v>
      </c>
    </row>
    <row r="55" spans="3:49" x14ac:dyDescent="0.3">
      <c r="C55" s="199">
        <v>38</v>
      </c>
      <c r="D55" s="199">
        <v>6</v>
      </c>
      <c r="E55" s="199">
        <v>10</v>
      </c>
      <c r="F55" s="199">
        <v>10150</v>
      </c>
      <c r="G55" s="199">
        <v>0</v>
      </c>
      <c r="H55" s="199">
        <v>0</v>
      </c>
      <c r="I55" s="199">
        <v>0</v>
      </c>
      <c r="J55" s="199">
        <v>10150</v>
      </c>
      <c r="K55" s="199">
        <v>0</v>
      </c>
      <c r="L55" s="199">
        <v>0</v>
      </c>
      <c r="M55" s="199">
        <v>0</v>
      </c>
      <c r="N55" s="199">
        <v>0</v>
      </c>
      <c r="O55" s="199">
        <v>0</v>
      </c>
      <c r="P55" s="199">
        <v>0</v>
      </c>
      <c r="Q55" s="199">
        <v>0</v>
      </c>
      <c r="R55" s="199">
        <v>0</v>
      </c>
      <c r="S55" s="199">
        <v>0</v>
      </c>
      <c r="T55" s="199">
        <v>0</v>
      </c>
      <c r="U55" s="199">
        <v>0</v>
      </c>
      <c r="V55" s="199">
        <v>0</v>
      </c>
      <c r="W55" s="199">
        <v>0</v>
      </c>
      <c r="X55" s="199">
        <v>0</v>
      </c>
      <c r="Y55" s="199">
        <v>0</v>
      </c>
      <c r="Z55" s="199">
        <v>0</v>
      </c>
      <c r="AA55" s="199">
        <v>0</v>
      </c>
      <c r="AB55" s="199">
        <v>0</v>
      </c>
      <c r="AC55" s="199">
        <v>0</v>
      </c>
      <c r="AD55" s="199">
        <v>0</v>
      </c>
      <c r="AE55" s="199">
        <v>0</v>
      </c>
      <c r="AF55" s="199">
        <v>0</v>
      </c>
      <c r="AG55" s="199">
        <v>0</v>
      </c>
      <c r="AH55" s="199">
        <v>0</v>
      </c>
      <c r="AI55" s="199">
        <v>0</v>
      </c>
      <c r="AJ55" s="199">
        <v>0</v>
      </c>
      <c r="AK55" s="199">
        <v>0</v>
      </c>
      <c r="AL55" s="199">
        <v>0</v>
      </c>
      <c r="AM55" s="199">
        <v>0</v>
      </c>
      <c r="AN55" s="199">
        <v>0</v>
      </c>
      <c r="AO55" s="199">
        <v>0</v>
      </c>
      <c r="AP55" s="199">
        <v>0</v>
      </c>
      <c r="AQ55" s="199">
        <v>0</v>
      </c>
      <c r="AR55" s="199">
        <v>0</v>
      </c>
      <c r="AS55" s="199">
        <v>0</v>
      </c>
      <c r="AT55" s="199">
        <v>0</v>
      </c>
      <c r="AU55" s="199">
        <v>0</v>
      </c>
      <c r="AV55" s="199">
        <v>0</v>
      </c>
      <c r="AW55" s="199">
        <v>0</v>
      </c>
    </row>
    <row r="56" spans="3:49" x14ac:dyDescent="0.3">
      <c r="C56" s="199">
        <v>38</v>
      </c>
      <c r="D56" s="199">
        <v>6</v>
      </c>
      <c r="E56" s="199">
        <v>11</v>
      </c>
      <c r="F56" s="199">
        <v>3964.0120528946463</v>
      </c>
      <c r="G56" s="199">
        <v>1672.3453862279791</v>
      </c>
      <c r="H56" s="199">
        <v>1250</v>
      </c>
      <c r="I56" s="199">
        <v>0</v>
      </c>
      <c r="J56" s="199">
        <v>1041.6666666666667</v>
      </c>
      <c r="K56" s="199">
        <v>0</v>
      </c>
      <c r="L56" s="199">
        <v>0</v>
      </c>
      <c r="M56" s="199">
        <v>0</v>
      </c>
      <c r="N56" s="199">
        <v>0</v>
      </c>
      <c r="O56" s="199">
        <v>0</v>
      </c>
      <c r="P56" s="199">
        <v>0</v>
      </c>
      <c r="Q56" s="199">
        <v>0</v>
      </c>
      <c r="R56" s="199">
        <v>0</v>
      </c>
      <c r="S56" s="199">
        <v>0</v>
      </c>
      <c r="T56" s="199">
        <v>0</v>
      </c>
      <c r="U56" s="199">
        <v>0</v>
      </c>
      <c r="V56" s="199">
        <v>0</v>
      </c>
      <c r="W56" s="199">
        <v>0</v>
      </c>
      <c r="X56" s="199">
        <v>0</v>
      </c>
      <c r="Y56" s="199">
        <v>0</v>
      </c>
      <c r="Z56" s="199">
        <v>0</v>
      </c>
      <c r="AA56" s="199">
        <v>0</v>
      </c>
      <c r="AB56" s="199">
        <v>0</v>
      </c>
      <c r="AC56" s="199">
        <v>0</v>
      </c>
      <c r="AD56" s="199">
        <v>0</v>
      </c>
      <c r="AE56" s="199">
        <v>0</v>
      </c>
      <c r="AF56" s="199">
        <v>0</v>
      </c>
      <c r="AG56" s="199">
        <v>0</v>
      </c>
      <c r="AH56" s="199">
        <v>0</v>
      </c>
      <c r="AI56" s="199">
        <v>0</v>
      </c>
      <c r="AJ56" s="199">
        <v>0</v>
      </c>
      <c r="AK56" s="199">
        <v>0</v>
      </c>
      <c r="AL56" s="199">
        <v>0</v>
      </c>
      <c r="AM56" s="199">
        <v>0</v>
      </c>
      <c r="AN56" s="199">
        <v>0</v>
      </c>
      <c r="AO56" s="199">
        <v>0</v>
      </c>
      <c r="AP56" s="199">
        <v>0</v>
      </c>
      <c r="AQ56" s="199">
        <v>0</v>
      </c>
      <c r="AR56" s="199">
        <v>0</v>
      </c>
      <c r="AS56" s="199">
        <v>0</v>
      </c>
      <c r="AT56" s="199">
        <v>0</v>
      </c>
      <c r="AU56" s="199">
        <v>0</v>
      </c>
      <c r="AV56" s="199">
        <v>0</v>
      </c>
      <c r="AW56" s="199">
        <v>0</v>
      </c>
    </row>
    <row r="57" spans="3:49" x14ac:dyDescent="0.3">
      <c r="C57" s="199">
        <v>38</v>
      </c>
      <c r="D57" s="199">
        <v>7</v>
      </c>
      <c r="E57" s="199">
        <v>1</v>
      </c>
      <c r="F57" s="199">
        <v>25.2</v>
      </c>
      <c r="G57" s="199">
        <v>0</v>
      </c>
      <c r="H57" s="199">
        <v>0.5</v>
      </c>
      <c r="I57" s="199">
        <v>2.5</v>
      </c>
      <c r="J57" s="199">
        <v>1.8</v>
      </c>
      <c r="K57" s="199">
        <v>0</v>
      </c>
      <c r="L57" s="199">
        <v>4.2</v>
      </c>
      <c r="M57" s="199">
        <v>0</v>
      </c>
      <c r="N57" s="199">
        <v>0</v>
      </c>
      <c r="O57" s="199">
        <v>0</v>
      </c>
      <c r="P57" s="199">
        <v>0</v>
      </c>
      <c r="Q57" s="199">
        <v>0</v>
      </c>
      <c r="R57" s="199">
        <v>0</v>
      </c>
      <c r="S57" s="199">
        <v>0</v>
      </c>
      <c r="T57" s="199">
        <v>0</v>
      </c>
      <c r="U57" s="199">
        <v>0</v>
      </c>
      <c r="V57" s="199">
        <v>0</v>
      </c>
      <c r="W57" s="199">
        <v>9</v>
      </c>
      <c r="X57" s="199">
        <v>0</v>
      </c>
      <c r="Y57" s="199">
        <v>0</v>
      </c>
      <c r="Z57" s="199">
        <v>0</v>
      </c>
      <c r="AA57" s="199">
        <v>0</v>
      </c>
      <c r="AB57" s="199">
        <v>0</v>
      </c>
      <c r="AC57" s="199">
        <v>0</v>
      </c>
      <c r="AD57" s="199">
        <v>0</v>
      </c>
      <c r="AE57" s="199">
        <v>0</v>
      </c>
      <c r="AF57" s="199">
        <v>0</v>
      </c>
      <c r="AG57" s="199">
        <v>0</v>
      </c>
      <c r="AH57" s="199">
        <v>0</v>
      </c>
      <c r="AI57" s="199">
        <v>0</v>
      </c>
      <c r="AJ57" s="199">
        <v>0</v>
      </c>
      <c r="AK57" s="199">
        <v>0</v>
      </c>
      <c r="AL57" s="199">
        <v>3.2</v>
      </c>
      <c r="AM57" s="199">
        <v>0</v>
      </c>
      <c r="AN57" s="199">
        <v>0</v>
      </c>
      <c r="AO57" s="199">
        <v>0</v>
      </c>
      <c r="AP57" s="199">
        <v>0</v>
      </c>
      <c r="AQ57" s="199">
        <v>0</v>
      </c>
      <c r="AR57" s="199">
        <v>0</v>
      </c>
      <c r="AS57" s="199">
        <v>0</v>
      </c>
      <c r="AT57" s="199">
        <v>4</v>
      </c>
      <c r="AU57" s="199">
        <v>0</v>
      </c>
      <c r="AV57" s="199">
        <v>0</v>
      </c>
      <c r="AW57" s="199">
        <v>0</v>
      </c>
    </row>
    <row r="58" spans="3:49" x14ac:dyDescent="0.3">
      <c r="C58" s="199">
        <v>38</v>
      </c>
      <c r="D58" s="199">
        <v>7</v>
      </c>
      <c r="E58" s="199">
        <v>2</v>
      </c>
      <c r="F58" s="199">
        <v>3264.8</v>
      </c>
      <c r="G58" s="199">
        <v>0</v>
      </c>
      <c r="H58" s="199">
        <v>80</v>
      </c>
      <c r="I58" s="199">
        <v>396</v>
      </c>
      <c r="J58" s="199">
        <v>302.40000000000003</v>
      </c>
      <c r="K58" s="199">
        <v>0</v>
      </c>
      <c r="L58" s="199">
        <v>464</v>
      </c>
      <c r="M58" s="199">
        <v>0</v>
      </c>
      <c r="N58" s="199">
        <v>0</v>
      </c>
      <c r="O58" s="199">
        <v>0</v>
      </c>
      <c r="P58" s="199">
        <v>0</v>
      </c>
      <c r="Q58" s="199">
        <v>0</v>
      </c>
      <c r="R58" s="199">
        <v>0</v>
      </c>
      <c r="S58" s="199">
        <v>0</v>
      </c>
      <c r="T58" s="199">
        <v>0</v>
      </c>
      <c r="U58" s="199">
        <v>0</v>
      </c>
      <c r="V58" s="199">
        <v>0</v>
      </c>
      <c r="W58" s="199">
        <v>1000</v>
      </c>
      <c r="X58" s="199">
        <v>0</v>
      </c>
      <c r="Y58" s="199">
        <v>0</v>
      </c>
      <c r="Z58" s="199">
        <v>0</v>
      </c>
      <c r="AA58" s="199">
        <v>0</v>
      </c>
      <c r="AB58" s="199">
        <v>0</v>
      </c>
      <c r="AC58" s="199">
        <v>0</v>
      </c>
      <c r="AD58" s="199">
        <v>0</v>
      </c>
      <c r="AE58" s="199">
        <v>0</v>
      </c>
      <c r="AF58" s="199">
        <v>0</v>
      </c>
      <c r="AG58" s="199">
        <v>0</v>
      </c>
      <c r="AH58" s="199">
        <v>0</v>
      </c>
      <c r="AI58" s="199">
        <v>0</v>
      </c>
      <c r="AJ58" s="199">
        <v>0</v>
      </c>
      <c r="AK58" s="199">
        <v>0</v>
      </c>
      <c r="AL58" s="199">
        <v>422.4</v>
      </c>
      <c r="AM58" s="199">
        <v>0</v>
      </c>
      <c r="AN58" s="199">
        <v>0</v>
      </c>
      <c r="AO58" s="199">
        <v>0</v>
      </c>
      <c r="AP58" s="199">
        <v>0</v>
      </c>
      <c r="AQ58" s="199">
        <v>0</v>
      </c>
      <c r="AR58" s="199">
        <v>0</v>
      </c>
      <c r="AS58" s="199">
        <v>0</v>
      </c>
      <c r="AT58" s="199">
        <v>600</v>
      </c>
      <c r="AU58" s="199">
        <v>0</v>
      </c>
      <c r="AV58" s="199">
        <v>0</v>
      </c>
      <c r="AW58" s="199">
        <v>0</v>
      </c>
    </row>
    <row r="59" spans="3:49" x14ac:dyDescent="0.3">
      <c r="C59" s="199">
        <v>38</v>
      </c>
      <c r="D59" s="199">
        <v>7</v>
      </c>
      <c r="E59" s="199">
        <v>3</v>
      </c>
      <c r="F59" s="199">
        <v>33.6</v>
      </c>
      <c r="G59" s="199">
        <v>0</v>
      </c>
      <c r="H59" s="199">
        <v>0</v>
      </c>
      <c r="I59" s="199">
        <v>0</v>
      </c>
      <c r="J59" s="199">
        <v>0</v>
      </c>
      <c r="K59" s="199">
        <v>0</v>
      </c>
      <c r="L59" s="199">
        <v>0</v>
      </c>
      <c r="M59" s="199">
        <v>0</v>
      </c>
      <c r="N59" s="199">
        <v>0</v>
      </c>
      <c r="O59" s="199">
        <v>0</v>
      </c>
      <c r="P59" s="199">
        <v>0</v>
      </c>
      <c r="Q59" s="199">
        <v>0</v>
      </c>
      <c r="R59" s="199">
        <v>0</v>
      </c>
      <c r="S59" s="199">
        <v>0</v>
      </c>
      <c r="T59" s="199">
        <v>0</v>
      </c>
      <c r="U59" s="199">
        <v>0</v>
      </c>
      <c r="V59" s="199">
        <v>0</v>
      </c>
      <c r="W59" s="199">
        <v>0</v>
      </c>
      <c r="X59" s="199">
        <v>0</v>
      </c>
      <c r="Y59" s="199">
        <v>0</v>
      </c>
      <c r="Z59" s="199">
        <v>0</v>
      </c>
      <c r="AA59" s="199">
        <v>0</v>
      </c>
      <c r="AB59" s="199">
        <v>0</v>
      </c>
      <c r="AC59" s="199">
        <v>0</v>
      </c>
      <c r="AD59" s="199">
        <v>0</v>
      </c>
      <c r="AE59" s="199">
        <v>0</v>
      </c>
      <c r="AF59" s="199">
        <v>0</v>
      </c>
      <c r="AG59" s="199">
        <v>0</v>
      </c>
      <c r="AH59" s="199">
        <v>0</v>
      </c>
      <c r="AI59" s="199">
        <v>0</v>
      </c>
      <c r="AJ59" s="199">
        <v>0</v>
      </c>
      <c r="AK59" s="199">
        <v>0</v>
      </c>
      <c r="AL59" s="199">
        <v>33.6</v>
      </c>
      <c r="AM59" s="199">
        <v>0</v>
      </c>
      <c r="AN59" s="199">
        <v>0</v>
      </c>
      <c r="AO59" s="199">
        <v>0</v>
      </c>
      <c r="AP59" s="199">
        <v>0</v>
      </c>
      <c r="AQ59" s="199">
        <v>0</v>
      </c>
      <c r="AR59" s="199">
        <v>0</v>
      </c>
      <c r="AS59" s="199">
        <v>0</v>
      </c>
      <c r="AT59" s="199">
        <v>0</v>
      </c>
      <c r="AU59" s="199">
        <v>0</v>
      </c>
      <c r="AV59" s="199">
        <v>0</v>
      </c>
      <c r="AW59" s="199">
        <v>0</v>
      </c>
    </row>
    <row r="60" spans="3:49" x14ac:dyDescent="0.3">
      <c r="C60" s="199">
        <v>38</v>
      </c>
      <c r="D60" s="199">
        <v>7</v>
      </c>
      <c r="E60" s="199">
        <v>4</v>
      </c>
      <c r="F60" s="199">
        <v>145.4</v>
      </c>
      <c r="G60" s="199">
        <v>0</v>
      </c>
      <c r="H60" s="199">
        <v>0</v>
      </c>
      <c r="I60" s="199">
        <v>8</v>
      </c>
      <c r="J60" s="199">
        <v>0</v>
      </c>
      <c r="K60" s="199">
        <v>0</v>
      </c>
      <c r="L60" s="199">
        <v>8</v>
      </c>
      <c r="M60" s="199">
        <v>0</v>
      </c>
      <c r="N60" s="199">
        <v>0</v>
      </c>
      <c r="O60" s="199">
        <v>0</v>
      </c>
      <c r="P60" s="199">
        <v>0</v>
      </c>
      <c r="Q60" s="199">
        <v>0</v>
      </c>
      <c r="R60" s="199">
        <v>0</v>
      </c>
      <c r="S60" s="199">
        <v>0</v>
      </c>
      <c r="T60" s="199">
        <v>0</v>
      </c>
      <c r="U60" s="199">
        <v>0</v>
      </c>
      <c r="V60" s="199">
        <v>0</v>
      </c>
      <c r="W60" s="199">
        <v>0</v>
      </c>
      <c r="X60" s="199">
        <v>0</v>
      </c>
      <c r="Y60" s="199">
        <v>0</v>
      </c>
      <c r="Z60" s="199">
        <v>0</v>
      </c>
      <c r="AA60" s="199">
        <v>0</v>
      </c>
      <c r="AB60" s="199">
        <v>0</v>
      </c>
      <c r="AC60" s="199">
        <v>0</v>
      </c>
      <c r="AD60" s="199">
        <v>0</v>
      </c>
      <c r="AE60" s="199">
        <v>0</v>
      </c>
      <c r="AF60" s="199">
        <v>0</v>
      </c>
      <c r="AG60" s="199">
        <v>0</v>
      </c>
      <c r="AH60" s="199">
        <v>0</v>
      </c>
      <c r="AI60" s="199">
        <v>0</v>
      </c>
      <c r="AJ60" s="199">
        <v>0</v>
      </c>
      <c r="AK60" s="199">
        <v>0</v>
      </c>
      <c r="AL60" s="199">
        <v>89.4</v>
      </c>
      <c r="AM60" s="199">
        <v>0</v>
      </c>
      <c r="AN60" s="199">
        <v>0</v>
      </c>
      <c r="AO60" s="199">
        <v>0</v>
      </c>
      <c r="AP60" s="199">
        <v>0</v>
      </c>
      <c r="AQ60" s="199">
        <v>0</v>
      </c>
      <c r="AR60" s="199">
        <v>0</v>
      </c>
      <c r="AS60" s="199">
        <v>0</v>
      </c>
      <c r="AT60" s="199">
        <v>40</v>
      </c>
      <c r="AU60" s="199">
        <v>0</v>
      </c>
      <c r="AV60" s="199">
        <v>0</v>
      </c>
      <c r="AW60" s="199">
        <v>0</v>
      </c>
    </row>
    <row r="61" spans="3:49" x14ac:dyDescent="0.3">
      <c r="C61" s="199">
        <v>38</v>
      </c>
      <c r="D61" s="199">
        <v>7</v>
      </c>
      <c r="E61" s="199">
        <v>5</v>
      </c>
      <c r="F61" s="199">
        <v>990</v>
      </c>
      <c r="G61" s="199">
        <v>0</v>
      </c>
      <c r="H61" s="199">
        <v>0</v>
      </c>
      <c r="I61" s="199">
        <v>0</v>
      </c>
      <c r="J61" s="199">
        <v>0</v>
      </c>
      <c r="K61" s="199">
        <v>0</v>
      </c>
      <c r="L61" s="199">
        <v>28</v>
      </c>
      <c r="M61" s="199">
        <v>0</v>
      </c>
      <c r="N61" s="199">
        <v>0</v>
      </c>
      <c r="O61" s="199">
        <v>0</v>
      </c>
      <c r="P61" s="199">
        <v>0</v>
      </c>
      <c r="Q61" s="199">
        <v>0</v>
      </c>
      <c r="R61" s="199">
        <v>0</v>
      </c>
      <c r="S61" s="199">
        <v>0</v>
      </c>
      <c r="T61" s="199">
        <v>0</v>
      </c>
      <c r="U61" s="199">
        <v>0</v>
      </c>
      <c r="V61" s="199">
        <v>0</v>
      </c>
      <c r="W61" s="199">
        <v>0</v>
      </c>
      <c r="X61" s="199">
        <v>0</v>
      </c>
      <c r="Y61" s="199">
        <v>0</v>
      </c>
      <c r="Z61" s="199">
        <v>0</v>
      </c>
      <c r="AA61" s="199">
        <v>0</v>
      </c>
      <c r="AB61" s="199">
        <v>0</v>
      </c>
      <c r="AC61" s="199">
        <v>0</v>
      </c>
      <c r="AD61" s="199">
        <v>0</v>
      </c>
      <c r="AE61" s="199">
        <v>0</v>
      </c>
      <c r="AF61" s="199">
        <v>0</v>
      </c>
      <c r="AG61" s="199">
        <v>0</v>
      </c>
      <c r="AH61" s="199">
        <v>0</v>
      </c>
      <c r="AI61" s="199">
        <v>0</v>
      </c>
      <c r="AJ61" s="199">
        <v>0</v>
      </c>
      <c r="AK61" s="199">
        <v>0</v>
      </c>
      <c r="AL61" s="199">
        <v>85</v>
      </c>
      <c r="AM61" s="199">
        <v>0</v>
      </c>
      <c r="AN61" s="199">
        <v>0</v>
      </c>
      <c r="AO61" s="199">
        <v>0</v>
      </c>
      <c r="AP61" s="199">
        <v>0</v>
      </c>
      <c r="AQ61" s="199">
        <v>0</v>
      </c>
      <c r="AR61" s="199">
        <v>0</v>
      </c>
      <c r="AS61" s="199">
        <v>0</v>
      </c>
      <c r="AT61" s="199">
        <v>524</v>
      </c>
      <c r="AU61" s="199">
        <v>0</v>
      </c>
      <c r="AV61" s="199">
        <v>0</v>
      </c>
      <c r="AW61" s="199">
        <v>353</v>
      </c>
    </row>
    <row r="62" spans="3:49" x14ac:dyDescent="0.3">
      <c r="C62" s="199">
        <v>38</v>
      </c>
      <c r="D62" s="199">
        <v>7</v>
      </c>
      <c r="E62" s="199">
        <v>6</v>
      </c>
      <c r="F62" s="199">
        <v>1584823</v>
      </c>
      <c r="G62" s="199">
        <v>0</v>
      </c>
      <c r="H62" s="199">
        <v>9990</v>
      </c>
      <c r="I62" s="199">
        <v>91934</v>
      </c>
      <c r="J62" s="199">
        <v>74880</v>
      </c>
      <c r="K62" s="199">
        <v>0</v>
      </c>
      <c r="L62" s="199">
        <v>424207</v>
      </c>
      <c r="M62" s="199">
        <v>0</v>
      </c>
      <c r="N62" s="199">
        <v>0</v>
      </c>
      <c r="O62" s="199">
        <v>0</v>
      </c>
      <c r="P62" s="199">
        <v>0</v>
      </c>
      <c r="Q62" s="199">
        <v>0</v>
      </c>
      <c r="R62" s="199">
        <v>0</v>
      </c>
      <c r="S62" s="199">
        <v>0</v>
      </c>
      <c r="T62" s="199">
        <v>0</v>
      </c>
      <c r="U62" s="199">
        <v>0</v>
      </c>
      <c r="V62" s="199">
        <v>0</v>
      </c>
      <c r="W62" s="199">
        <v>379897</v>
      </c>
      <c r="X62" s="199">
        <v>0</v>
      </c>
      <c r="Y62" s="199">
        <v>0</v>
      </c>
      <c r="Z62" s="199">
        <v>0</v>
      </c>
      <c r="AA62" s="199">
        <v>0</v>
      </c>
      <c r="AB62" s="199">
        <v>0</v>
      </c>
      <c r="AC62" s="199">
        <v>0</v>
      </c>
      <c r="AD62" s="199">
        <v>0</v>
      </c>
      <c r="AE62" s="199">
        <v>0</v>
      </c>
      <c r="AF62" s="199">
        <v>0</v>
      </c>
      <c r="AG62" s="199">
        <v>0</v>
      </c>
      <c r="AH62" s="199">
        <v>0</v>
      </c>
      <c r="AI62" s="199">
        <v>0</v>
      </c>
      <c r="AJ62" s="199">
        <v>0</v>
      </c>
      <c r="AK62" s="199">
        <v>0</v>
      </c>
      <c r="AL62" s="199">
        <v>354915</v>
      </c>
      <c r="AM62" s="199">
        <v>0</v>
      </c>
      <c r="AN62" s="199">
        <v>0</v>
      </c>
      <c r="AO62" s="199">
        <v>0</v>
      </c>
      <c r="AP62" s="199">
        <v>0</v>
      </c>
      <c r="AQ62" s="199">
        <v>0</v>
      </c>
      <c r="AR62" s="199">
        <v>0</v>
      </c>
      <c r="AS62" s="199">
        <v>0</v>
      </c>
      <c r="AT62" s="199">
        <v>188850</v>
      </c>
      <c r="AU62" s="199">
        <v>0</v>
      </c>
      <c r="AV62" s="199">
        <v>0</v>
      </c>
      <c r="AW62" s="199">
        <v>60150</v>
      </c>
    </row>
    <row r="63" spans="3:49" x14ac:dyDescent="0.3">
      <c r="C63" s="199">
        <v>38</v>
      </c>
      <c r="D63" s="199">
        <v>7</v>
      </c>
      <c r="E63" s="199">
        <v>9</v>
      </c>
      <c r="F63" s="199">
        <v>458453</v>
      </c>
      <c r="G63" s="199">
        <v>0</v>
      </c>
      <c r="H63" s="199">
        <v>0</v>
      </c>
      <c r="I63" s="199">
        <v>21742</v>
      </c>
      <c r="J63" s="199">
        <v>13513</v>
      </c>
      <c r="K63" s="199">
        <v>0</v>
      </c>
      <c r="L63" s="199">
        <v>150347</v>
      </c>
      <c r="M63" s="199">
        <v>0</v>
      </c>
      <c r="N63" s="199">
        <v>0</v>
      </c>
      <c r="O63" s="199">
        <v>0</v>
      </c>
      <c r="P63" s="199">
        <v>0</v>
      </c>
      <c r="Q63" s="199">
        <v>0</v>
      </c>
      <c r="R63" s="199">
        <v>0</v>
      </c>
      <c r="S63" s="199">
        <v>0</v>
      </c>
      <c r="T63" s="199">
        <v>0</v>
      </c>
      <c r="U63" s="199">
        <v>0</v>
      </c>
      <c r="V63" s="199">
        <v>0</v>
      </c>
      <c r="W63" s="199">
        <v>94438</v>
      </c>
      <c r="X63" s="199">
        <v>0</v>
      </c>
      <c r="Y63" s="199">
        <v>0</v>
      </c>
      <c r="Z63" s="199">
        <v>0</v>
      </c>
      <c r="AA63" s="199">
        <v>0</v>
      </c>
      <c r="AB63" s="199">
        <v>0</v>
      </c>
      <c r="AC63" s="199">
        <v>0</v>
      </c>
      <c r="AD63" s="199">
        <v>0</v>
      </c>
      <c r="AE63" s="199">
        <v>0</v>
      </c>
      <c r="AF63" s="199">
        <v>0</v>
      </c>
      <c r="AG63" s="199">
        <v>0</v>
      </c>
      <c r="AH63" s="199">
        <v>0</v>
      </c>
      <c r="AI63" s="199">
        <v>0</v>
      </c>
      <c r="AJ63" s="199">
        <v>0</v>
      </c>
      <c r="AK63" s="199">
        <v>0</v>
      </c>
      <c r="AL63" s="199">
        <v>109734</v>
      </c>
      <c r="AM63" s="199">
        <v>0</v>
      </c>
      <c r="AN63" s="199">
        <v>0</v>
      </c>
      <c r="AO63" s="199">
        <v>0</v>
      </c>
      <c r="AP63" s="199">
        <v>0</v>
      </c>
      <c r="AQ63" s="199">
        <v>0</v>
      </c>
      <c r="AR63" s="199">
        <v>0</v>
      </c>
      <c r="AS63" s="199">
        <v>0</v>
      </c>
      <c r="AT63" s="199">
        <v>68679</v>
      </c>
      <c r="AU63" s="199">
        <v>0</v>
      </c>
      <c r="AV63" s="199">
        <v>0</v>
      </c>
      <c r="AW63" s="199">
        <v>0</v>
      </c>
    </row>
    <row r="64" spans="3:49" x14ac:dyDescent="0.3">
      <c r="C64" s="199">
        <v>38</v>
      </c>
      <c r="D64" s="199">
        <v>7</v>
      </c>
      <c r="E64" s="199">
        <v>11</v>
      </c>
      <c r="F64" s="199">
        <v>3964.0120528946463</v>
      </c>
      <c r="G64" s="199">
        <v>1672.3453862279791</v>
      </c>
      <c r="H64" s="199">
        <v>1250</v>
      </c>
      <c r="I64" s="199">
        <v>0</v>
      </c>
      <c r="J64" s="199">
        <v>1041.6666666666667</v>
      </c>
      <c r="K64" s="199">
        <v>0</v>
      </c>
      <c r="L64" s="199">
        <v>0</v>
      </c>
      <c r="M64" s="199">
        <v>0</v>
      </c>
      <c r="N64" s="199">
        <v>0</v>
      </c>
      <c r="O64" s="199">
        <v>0</v>
      </c>
      <c r="P64" s="199">
        <v>0</v>
      </c>
      <c r="Q64" s="199">
        <v>0</v>
      </c>
      <c r="R64" s="199">
        <v>0</v>
      </c>
      <c r="S64" s="199">
        <v>0</v>
      </c>
      <c r="T64" s="199">
        <v>0</v>
      </c>
      <c r="U64" s="199">
        <v>0</v>
      </c>
      <c r="V64" s="199">
        <v>0</v>
      </c>
      <c r="W64" s="199">
        <v>0</v>
      </c>
      <c r="X64" s="199">
        <v>0</v>
      </c>
      <c r="Y64" s="199">
        <v>0</v>
      </c>
      <c r="Z64" s="199">
        <v>0</v>
      </c>
      <c r="AA64" s="199">
        <v>0</v>
      </c>
      <c r="AB64" s="199">
        <v>0</v>
      </c>
      <c r="AC64" s="199">
        <v>0</v>
      </c>
      <c r="AD64" s="199">
        <v>0</v>
      </c>
      <c r="AE64" s="199">
        <v>0</v>
      </c>
      <c r="AF64" s="199">
        <v>0</v>
      </c>
      <c r="AG64" s="199">
        <v>0</v>
      </c>
      <c r="AH64" s="199">
        <v>0</v>
      </c>
      <c r="AI64" s="199">
        <v>0</v>
      </c>
      <c r="AJ64" s="199">
        <v>0</v>
      </c>
      <c r="AK64" s="199">
        <v>0</v>
      </c>
      <c r="AL64" s="199">
        <v>0</v>
      </c>
      <c r="AM64" s="199">
        <v>0</v>
      </c>
      <c r="AN64" s="199">
        <v>0</v>
      </c>
      <c r="AO64" s="199">
        <v>0</v>
      </c>
      <c r="AP64" s="199">
        <v>0</v>
      </c>
      <c r="AQ64" s="199">
        <v>0</v>
      </c>
      <c r="AR64" s="199">
        <v>0</v>
      </c>
      <c r="AS64" s="199">
        <v>0</v>
      </c>
      <c r="AT64" s="199">
        <v>0</v>
      </c>
      <c r="AU64" s="199">
        <v>0</v>
      </c>
      <c r="AV64" s="199">
        <v>0</v>
      </c>
      <c r="AW64" s="199">
        <v>0</v>
      </c>
    </row>
    <row r="65" spans="3:49" x14ac:dyDescent="0.3">
      <c r="C65" s="199">
        <v>38</v>
      </c>
      <c r="D65" s="199">
        <v>8</v>
      </c>
      <c r="E65" s="199">
        <v>11</v>
      </c>
      <c r="F65" s="199">
        <v>3964.0120528946463</v>
      </c>
      <c r="G65" s="199">
        <v>1672.3453862279791</v>
      </c>
      <c r="H65" s="199">
        <v>1250</v>
      </c>
      <c r="I65" s="199">
        <v>0</v>
      </c>
      <c r="J65" s="199">
        <v>1041.6666666666667</v>
      </c>
      <c r="K65" s="199">
        <v>0</v>
      </c>
      <c r="L65" s="199">
        <v>0</v>
      </c>
      <c r="M65" s="199">
        <v>0</v>
      </c>
      <c r="N65" s="199">
        <v>0</v>
      </c>
      <c r="O65" s="199">
        <v>0</v>
      </c>
      <c r="P65" s="199">
        <v>0</v>
      </c>
      <c r="Q65" s="199">
        <v>0</v>
      </c>
      <c r="R65" s="199">
        <v>0</v>
      </c>
      <c r="S65" s="199">
        <v>0</v>
      </c>
      <c r="T65" s="199">
        <v>0</v>
      </c>
      <c r="U65" s="199">
        <v>0</v>
      </c>
      <c r="V65" s="199">
        <v>0</v>
      </c>
      <c r="W65" s="199">
        <v>0</v>
      </c>
      <c r="X65" s="199">
        <v>0</v>
      </c>
      <c r="Y65" s="199">
        <v>0</v>
      </c>
      <c r="Z65" s="199">
        <v>0</v>
      </c>
      <c r="AA65" s="199">
        <v>0</v>
      </c>
      <c r="AB65" s="199">
        <v>0</v>
      </c>
      <c r="AC65" s="199">
        <v>0</v>
      </c>
      <c r="AD65" s="199">
        <v>0</v>
      </c>
      <c r="AE65" s="199">
        <v>0</v>
      </c>
      <c r="AF65" s="199">
        <v>0</v>
      </c>
      <c r="AG65" s="199">
        <v>0</v>
      </c>
      <c r="AH65" s="199">
        <v>0</v>
      </c>
      <c r="AI65" s="199">
        <v>0</v>
      </c>
      <c r="AJ65" s="199">
        <v>0</v>
      </c>
      <c r="AK65" s="199">
        <v>0</v>
      </c>
      <c r="AL65" s="199">
        <v>0</v>
      </c>
      <c r="AM65" s="199">
        <v>0</v>
      </c>
      <c r="AN65" s="199">
        <v>0</v>
      </c>
      <c r="AO65" s="199">
        <v>0</v>
      </c>
      <c r="AP65" s="199">
        <v>0</v>
      </c>
      <c r="AQ65" s="199">
        <v>0</v>
      </c>
      <c r="AR65" s="199">
        <v>0</v>
      </c>
      <c r="AS65" s="199">
        <v>0</v>
      </c>
      <c r="AT65" s="199">
        <v>0</v>
      </c>
      <c r="AU65" s="199">
        <v>0</v>
      </c>
      <c r="AV65" s="199">
        <v>0</v>
      </c>
      <c r="AW65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72" t="s">
        <v>743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</row>
    <row r="2" spans="1:28" ht="14.4" customHeight="1" thickBot="1" x14ac:dyDescent="0.35">
      <c r="A2" s="203" t="s">
        <v>229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112</v>
      </c>
      <c r="B3" s="189">
        <f>SUBTOTAL(9,B6:B1048576)/4</f>
        <v>11079359</v>
      </c>
      <c r="C3" s="190">
        <f t="shared" ref="C3:Z3" si="0">SUBTOTAL(9,C6:C1048576)</f>
        <v>6</v>
      </c>
      <c r="D3" s="190"/>
      <c r="E3" s="190">
        <f>SUBTOTAL(9,E6:E1048576)/4</f>
        <v>11570861</v>
      </c>
      <c r="F3" s="190"/>
      <c r="G3" s="190">
        <f t="shared" si="0"/>
        <v>6</v>
      </c>
      <c r="H3" s="190">
        <f>SUBTOTAL(9,H6:H1048576)/4</f>
        <v>11899826</v>
      </c>
      <c r="I3" s="193">
        <f>IF(B3&lt;&gt;0,H3/B3,"")</f>
        <v>1.0740536523818751</v>
      </c>
      <c r="J3" s="191">
        <f>IF(E3&lt;&gt;0,H3/E3,"")</f>
        <v>1.0284304685710077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73" t="s">
        <v>190</v>
      </c>
      <c r="B4" s="374" t="s">
        <v>85</v>
      </c>
      <c r="C4" s="375"/>
      <c r="D4" s="376"/>
      <c r="E4" s="375"/>
      <c r="F4" s="376"/>
      <c r="G4" s="375"/>
      <c r="H4" s="375"/>
      <c r="I4" s="376"/>
      <c r="J4" s="377"/>
      <c r="K4" s="374" t="s">
        <v>86</v>
      </c>
      <c r="L4" s="376"/>
      <c r="M4" s="375"/>
      <c r="N4" s="375"/>
      <c r="O4" s="376"/>
      <c r="P4" s="375"/>
      <c r="Q4" s="375"/>
      <c r="R4" s="376"/>
      <c r="S4" s="377"/>
      <c r="T4" s="374" t="s">
        <v>87</v>
      </c>
      <c r="U4" s="376"/>
      <c r="V4" s="375"/>
      <c r="W4" s="375"/>
      <c r="X4" s="376"/>
      <c r="Y4" s="375"/>
      <c r="Z4" s="375"/>
      <c r="AA4" s="376"/>
      <c r="AB4" s="377"/>
    </row>
    <row r="5" spans="1:28" ht="14.4" customHeight="1" thickBot="1" x14ac:dyDescent="0.35">
      <c r="A5" s="472"/>
      <c r="B5" s="473">
        <v>2015</v>
      </c>
      <c r="C5" s="474"/>
      <c r="D5" s="474"/>
      <c r="E5" s="474">
        <v>2016</v>
      </c>
      <c r="F5" s="474"/>
      <c r="G5" s="474"/>
      <c r="H5" s="474">
        <v>2017</v>
      </c>
      <c r="I5" s="475" t="s">
        <v>216</v>
      </c>
      <c r="J5" s="476" t="s">
        <v>2</v>
      </c>
      <c r="K5" s="473">
        <v>2015</v>
      </c>
      <c r="L5" s="474"/>
      <c r="M5" s="474"/>
      <c r="N5" s="474">
        <v>2016</v>
      </c>
      <c r="O5" s="474"/>
      <c r="P5" s="474"/>
      <c r="Q5" s="474">
        <v>2017</v>
      </c>
      <c r="R5" s="475" t="s">
        <v>216</v>
      </c>
      <c r="S5" s="476" t="s">
        <v>2</v>
      </c>
      <c r="T5" s="473">
        <v>2015</v>
      </c>
      <c r="U5" s="474"/>
      <c r="V5" s="474"/>
      <c r="W5" s="474">
        <v>2016</v>
      </c>
      <c r="X5" s="474"/>
      <c r="Y5" s="474"/>
      <c r="Z5" s="474">
        <v>2017</v>
      </c>
      <c r="AA5" s="475" t="s">
        <v>216</v>
      </c>
      <c r="AB5" s="476" t="s">
        <v>2</v>
      </c>
    </row>
    <row r="6" spans="1:28" ht="14.4" customHeight="1" x14ac:dyDescent="0.3">
      <c r="A6" s="477" t="s">
        <v>739</v>
      </c>
      <c r="B6" s="478">
        <v>8451300</v>
      </c>
      <c r="C6" s="479">
        <v>1</v>
      </c>
      <c r="D6" s="479">
        <v>1.0409368912379651</v>
      </c>
      <c r="E6" s="478">
        <v>8118936</v>
      </c>
      <c r="F6" s="479">
        <v>0.96067303255120517</v>
      </c>
      <c r="G6" s="479">
        <v>1</v>
      </c>
      <c r="H6" s="478">
        <v>8479859</v>
      </c>
      <c r="I6" s="479">
        <v>1.0033792434300048</v>
      </c>
      <c r="J6" s="479">
        <v>1.0444544703887308</v>
      </c>
      <c r="K6" s="478"/>
      <c r="L6" s="479"/>
      <c r="M6" s="479"/>
      <c r="N6" s="478"/>
      <c r="O6" s="479"/>
      <c r="P6" s="479"/>
      <c r="Q6" s="478"/>
      <c r="R6" s="479"/>
      <c r="S6" s="479"/>
      <c r="T6" s="478"/>
      <c r="U6" s="479"/>
      <c r="V6" s="479"/>
      <c r="W6" s="478"/>
      <c r="X6" s="479"/>
      <c r="Y6" s="479"/>
      <c r="Z6" s="478"/>
      <c r="AA6" s="479"/>
      <c r="AB6" s="480"/>
    </row>
    <row r="7" spans="1:28" ht="14.4" customHeight="1" x14ac:dyDescent="0.3">
      <c r="A7" s="491" t="s">
        <v>740</v>
      </c>
      <c r="B7" s="481">
        <v>8451300</v>
      </c>
      <c r="C7" s="482">
        <v>1</v>
      </c>
      <c r="D7" s="482">
        <v>1.0409368912379651</v>
      </c>
      <c r="E7" s="481">
        <v>8118936</v>
      </c>
      <c r="F7" s="482">
        <v>0.96067303255120517</v>
      </c>
      <c r="G7" s="482">
        <v>1</v>
      </c>
      <c r="H7" s="481">
        <v>8479859</v>
      </c>
      <c r="I7" s="482">
        <v>1.0033792434300048</v>
      </c>
      <c r="J7" s="482">
        <v>1.0444544703887308</v>
      </c>
      <c r="K7" s="481"/>
      <c r="L7" s="482"/>
      <c r="M7" s="482"/>
      <c r="N7" s="481"/>
      <c r="O7" s="482"/>
      <c r="P7" s="482"/>
      <c r="Q7" s="481"/>
      <c r="R7" s="482"/>
      <c r="S7" s="482"/>
      <c r="T7" s="481"/>
      <c r="U7" s="482"/>
      <c r="V7" s="482"/>
      <c r="W7" s="481"/>
      <c r="X7" s="482"/>
      <c r="Y7" s="482"/>
      <c r="Z7" s="481"/>
      <c r="AA7" s="482"/>
      <c r="AB7" s="483"/>
    </row>
    <row r="8" spans="1:28" ht="14.4" customHeight="1" x14ac:dyDescent="0.3">
      <c r="A8" s="484" t="s">
        <v>741</v>
      </c>
      <c r="B8" s="485">
        <v>2628059</v>
      </c>
      <c r="C8" s="486">
        <v>1</v>
      </c>
      <c r="D8" s="486">
        <v>0.76133143101313039</v>
      </c>
      <c r="E8" s="485">
        <v>3451925</v>
      </c>
      <c r="F8" s="486">
        <v>1.3134883958084655</v>
      </c>
      <c r="G8" s="486">
        <v>1</v>
      </c>
      <c r="H8" s="485">
        <v>3419967</v>
      </c>
      <c r="I8" s="486">
        <v>1.3013280904271936</v>
      </c>
      <c r="J8" s="486">
        <v>0.99074197730251956</v>
      </c>
      <c r="K8" s="485"/>
      <c r="L8" s="486"/>
      <c r="M8" s="486"/>
      <c r="N8" s="485"/>
      <c r="O8" s="486"/>
      <c r="P8" s="486"/>
      <c r="Q8" s="485"/>
      <c r="R8" s="486"/>
      <c r="S8" s="486"/>
      <c r="T8" s="485"/>
      <c r="U8" s="486"/>
      <c r="V8" s="486"/>
      <c r="W8" s="485"/>
      <c r="X8" s="486"/>
      <c r="Y8" s="486"/>
      <c r="Z8" s="485"/>
      <c r="AA8" s="486"/>
      <c r="AB8" s="487"/>
    </row>
    <row r="9" spans="1:28" ht="14.4" customHeight="1" thickBot="1" x14ac:dyDescent="0.35">
      <c r="A9" s="492" t="s">
        <v>742</v>
      </c>
      <c r="B9" s="488">
        <v>2628059</v>
      </c>
      <c r="C9" s="489">
        <v>1</v>
      </c>
      <c r="D9" s="489">
        <v>0.76133143101313039</v>
      </c>
      <c r="E9" s="488">
        <v>3451925</v>
      </c>
      <c r="F9" s="489">
        <v>1.3134883958084655</v>
      </c>
      <c r="G9" s="489">
        <v>1</v>
      </c>
      <c r="H9" s="488">
        <v>3419967</v>
      </c>
      <c r="I9" s="489">
        <v>1.3013280904271936</v>
      </c>
      <c r="J9" s="489">
        <v>0.99074197730251956</v>
      </c>
      <c r="K9" s="488"/>
      <c r="L9" s="489"/>
      <c r="M9" s="489"/>
      <c r="N9" s="488"/>
      <c r="O9" s="489"/>
      <c r="P9" s="489"/>
      <c r="Q9" s="488"/>
      <c r="R9" s="489"/>
      <c r="S9" s="489"/>
      <c r="T9" s="488"/>
      <c r="U9" s="489"/>
      <c r="V9" s="489"/>
      <c r="W9" s="488"/>
      <c r="X9" s="489"/>
      <c r="Y9" s="489"/>
      <c r="Z9" s="488"/>
      <c r="AA9" s="489"/>
      <c r="AB9" s="490"/>
    </row>
    <row r="10" spans="1:28" ht="14.4" customHeight="1" thickBot="1" x14ac:dyDescent="0.35"/>
    <row r="11" spans="1:28" ht="14.4" customHeight="1" x14ac:dyDescent="0.3">
      <c r="A11" s="477" t="s">
        <v>439</v>
      </c>
      <c r="B11" s="478">
        <v>11079359</v>
      </c>
      <c r="C11" s="479">
        <v>1</v>
      </c>
      <c r="D11" s="479">
        <v>0.95752243502017698</v>
      </c>
      <c r="E11" s="478">
        <v>11570861</v>
      </c>
      <c r="F11" s="479">
        <v>1.0443619527086359</v>
      </c>
      <c r="G11" s="479">
        <v>1</v>
      </c>
      <c r="H11" s="478">
        <v>11899826</v>
      </c>
      <c r="I11" s="479">
        <v>1.0740536523818751</v>
      </c>
      <c r="J11" s="480">
        <v>1.0284304685710077</v>
      </c>
    </row>
    <row r="12" spans="1:28" ht="14.4" customHeight="1" thickBot="1" x14ac:dyDescent="0.35">
      <c r="A12" s="492" t="s">
        <v>744</v>
      </c>
      <c r="B12" s="488">
        <v>11079359</v>
      </c>
      <c r="C12" s="489">
        <v>1</v>
      </c>
      <c r="D12" s="489">
        <v>0.95752243502017698</v>
      </c>
      <c r="E12" s="488">
        <v>11570861</v>
      </c>
      <c r="F12" s="489">
        <v>1.0443619527086359</v>
      </c>
      <c r="G12" s="489">
        <v>1</v>
      </c>
      <c r="H12" s="488">
        <v>11899826</v>
      </c>
      <c r="I12" s="489">
        <v>1.0740536523818751</v>
      </c>
      <c r="J12" s="490">
        <v>1.0284304685710077</v>
      </c>
    </row>
    <row r="13" spans="1:28" ht="14.4" customHeight="1" x14ac:dyDescent="0.3">
      <c r="A13" s="493" t="s">
        <v>745</v>
      </c>
    </row>
    <row r="14" spans="1:28" ht="14.4" customHeight="1" x14ac:dyDescent="0.3">
      <c r="A14" s="494" t="s">
        <v>746</v>
      </c>
    </row>
    <row r="15" spans="1:28" ht="14.4" customHeight="1" x14ac:dyDescent="0.3">
      <c r="A15" s="493" t="s">
        <v>747</v>
      </c>
    </row>
    <row r="16" spans="1:28" ht="14.4" customHeight="1" x14ac:dyDescent="0.3">
      <c r="A16" s="493" t="s">
        <v>748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72" t="s">
        <v>749</v>
      </c>
      <c r="B1" s="324"/>
      <c r="C1" s="324"/>
      <c r="D1" s="324"/>
      <c r="E1" s="324"/>
      <c r="F1" s="324"/>
      <c r="G1" s="324"/>
    </row>
    <row r="2" spans="1:7" ht="14.4" customHeight="1" thickBot="1" x14ac:dyDescent="0.35">
      <c r="A2" s="203" t="s">
        <v>229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95" t="s">
        <v>112</v>
      </c>
      <c r="B3" s="278">
        <f t="shared" ref="B3:G3" si="0">SUBTOTAL(9,B6:B1048576)</f>
        <v>5667</v>
      </c>
      <c r="C3" s="279">
        <f t="shared" si="0"/>
        <v>6374</v>
      </c>
      <c r="D3" s="294">
        <f t="shared" si="0"/>
        <v>6387</v>
      </c>
      <c r="E3" s="192">
        <f t="shared" si="0"/>
        <v>11079359</v>
      </c>
      <c r="F3" s="190">
        <f t="shared" si="0"/>
        <v>11570861</v>
      </c>
      <c r="G3" s="280">
        <f t="shared" si="0"/>
        <v>11899826</v>
      </c>
    </row>
    <row r="4" spans="1:7" ht="14.4" customHeight="1" x14ac:dyDescent="0.3">
      <c r="A4" s="373" t="s">
        <v>113</v>
      </c>
      <c r="B4" s="378" t="s">
        <v>188</v>
      </c>
      <c r="C4" s="376"/>
      <c r="D4" s="379"/>
      <c r="E4" s="378" t="s">
        <v>85</v>
      </c>
      <c r="F4" s="376"/>
      <c r="G4" s="379"/>
    </row>
    <row r="5" spans="1:7" ht="14.4" customHeight="1" thickBot="1" x14ac:dyDescent="0.35">
      <c r="A5" s="472"/>
      <c r="B5" s="473">
        <v>2015</v>
      </c>
      <c r="C5" s="474">
        <v>2016</v>
      </c>
      <c r="D5" s="495">
        <v>2017</v>
      </c>
      <c r="E5" s="473">
        <v>2015</v>
      </c>
      <c r="F5" s="474">
        <v>2016</v>
      </c>
      <c r="G5" s="495">
        <v>2017</v>
      </c>
    </row>
    <row r="6" spans="1:7" ht="14.4" customHeight="1" thickBot="1" x14ac:dyDescent="0.35">
      <c r="A6" s="499" t="s">
        <v>744</v>
      </c>
      <c r="B6" s="496">
        <v>5667</v>
      </c>
      <c r="C6" s="496">
        <v>6374</v>
      </c>
      <c r="D6" s="496">
        <v>6387</v>
      </c>
      <c r="E6" s="497">
        <v>11079359</v>
      </c>
      <c r="F6" s="497">
        <v>11570861</v>
      </c>
      <c r="G6" s="498">
        <v>11899826</v>
      </c>
    </row>
    <row r="7" spans="1:7" ht="14.4" customHeight="1" x14ac:dyDescent="0.3">
      <c r="A7" s="493" t="s">
        <v>745</v>
      </c>
    </row>
    <row r="8" spans="1:7" ht="14.4" customHeight="1" x14ac:dyDescent="0.3">
      <c r="A8" s="494" t="s">
        <v>746</v>
      </c>
    </row>
    <row r="9" spans="1:7" ht="14.4" customHeight="1" x14ac:dyDescent="0.3">
      <c r="A9" s="493" t="s">
        <v>747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324" t="s">
        <v>810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</row>
    <row r="2" spans="1:18" ht="14.4" customHeight="1" thickBot="1" x14ac:dyDescent="0.35">
      <c r="A2" s="203" t="s">
        <v>229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112</v>
      </c>
      <c r="G3" s="77">
        <f t="shared" ref="G3:P3" si="0">SUBTOTAL(9,G6:G1048576)</f>
        <v>5667</v>
      </c>
      <c r="H3" s="78">
        <f t="shared" si="0"/>
        <v>11079359</v>
      </c>
      <c r="I3" s="58"/>
      <c r="J3" s="58"/>
      <c r="K3" s="78">
        <f t="shared" si="0"/>
        <v>6374</v>
      </c>
      <c r="L3" s="78">
        <f t="shared" si="0"/>
        <v>11570861</v>
      </c>
      <c r="M3" s="58"/>
      <c r="N3" s="58"/>
      <c r="O3" s="78">
        <f t="shared" si="0"/>
        <v>6387</v>
      </c>
      <c r="P3" s="78">
        <f t="shared" si="0"/>
        <v>11899826</v>
      </c>
      <c r="Q3" s="59">
        <f>IF(L3=0,0,P3/L3)</f>
        <v>1.0284304685710077</v>
      </c>
      <c r="R3" s="79">
        <f>IF(O3=0,0,P3/O3)</f>
        <v>1863.1322999843433</v>
      </c>
    </row>
    <row r="4" spans="1:18" ht="14.4" customHeight="1" x14ac:dyDescent="0.3">
      <c r="A4" s="380" t="s">
        <v>217</v>
      </c>
      <c r="B4" s="380" t="s">
        <v>81</v>
      </c>
      <c r="C4" s="388" t="s">
        <v>0</v>
      </c>
      <c r="D4" s="382" t="s">
        <v>82</v>
      </c>
      <c r="E4" s="387" t="s">
        <v>57</v>
      </c>
      <c r="F4" s="383" t="s">
        <v>56</v>
      </c>
      <c r="G4" s="384">
        <v>2015</v>
      </c>
      <c r="H4" s="385"/>
      <c r="I4" s="76"/>
      <c r="J4" s="76"/>
      <c r="K4" s="384">
        <v>2016</v>
      </c>
      <c r="L4" s="385"/>
      <c r="M4" s="76"/>
      <c r="N4" s="76"/>
      <c r="O4" s="384">
        <v>2017</v>
      </c>
      <c r="P4" s="385"/>
      <c r="Q4" s="386" t="s">
        <v>2</v>
      </c>
      <c r="R4" s="381" t="s">
        <v>84</v>
      </c>
    </row>
    <row r="5" spans="1:18" ht="14.4" customHeight="1" thickBot="1" x14ac:dyDescent="0.35">
      <c r="A5" s="500"/>
      <c r="B5" s="500"/>
      <c r="C5" s="501"/>
      <c r="D5" s="502"/>
      <c r="E5" s="503"/>
      <c r="F5" s="504"/>
      <c r="G5" s="505" t="s">
        <v>58</v>
      </c>
      <c r="H5" s="506" t="s">
        <v>14</v>
      </c>
      <c r="I5" s="507"/>
      <c r="J5" s="507"/>
      <c r="K5" s="505" t="s">
        <v>58</v>
      </c>
      <c r="L5" s="506" t="s">
        <v>14</v>
      </c>
      <c r="M5" s="507"/>
      <c r="N5" s="507"/>
      <c r="O5" s="505" t="s">
        <v>58</v>
      </c>
      <c r="P5" s="506" t="s">
        <v>14</v>
      </c>
      <c r="Q5" s="508"/>
      <c r="R5" s="509"/>
    </row>
    <row r="6" spans="1:18" ht="14.4" customHeight="1" x14ac:dyDescent="0.3">
      <c r="A6" s="432" t="s">
        <v>750</v>
      </c>
      <c r="B6" s="433" t="s">
        <v>751</v>
      </c>
      <c r="C6" s="433" t="s">
        <v>439</v>
      </c>
      <c r="D6" s="433" t="s">
        <v>752</v>
      </c>
      <c r="E6" s="433" t="s">
        <v>753</v>
      </c>
      <c r="F6" s="433" t="s">
        <v>754</v>
      </c>
      <c r="G6" s="437">
        <v>788</v>
      </c>
      <c r="H6" s="437">
        <v>8451300</v>
      </c>
      <c r="I6" s="433">
        <v>1.0409368912379651</v>
      </c>
      <c r="J6" s="433">
        <v>10725</v>
      </c>
      <c r="K6" s="437">
        <v>712</v>
      </c>
      <c r="L6" s="437">
        <v>8118936</v>
      </c>
      <c r="M6" s="433">
        <v>1</v>
      </c>
      <c r="N6" s="433">
        <v>11403</v>
      </c>
      <c r="O6" s="437">
        <v>743</v>
      </c>
      <c r="P6" s="437">
        <v>8479859</v>
      </c>
      <c r="Q6" s="460">
        <v>1.0444544703887308</v>
      </c>
      <c r="R6" s="438">
        <v>11413</v>
      </c>
    </row>
    <row r="7" spans="1:18" ht="14.4" customHeight="1" x14ac:dyDescent="0.3">
      <c r="A7" s="439" t="s">
        <v>750</v>
      </c>
      <c r="B7" s="440" t="s">
        <v>755</v>
      </c>
      <c r="C7" s="440" t="s">
        <v>439</v>
      </c>
      <c r="D7" s="440" t="s">
        <v>752</v>
      </c>
      <c r="E7" s="440" t="s">
        <v>756</v>
      </c>
      <c r="F7" s="440" t="s">
        <v>757</v>
      </c>
      <c r="G7" s="444">
        <v>13</v>
      </c>
      <c r="H7" s="444">
        <v>1664</v>
      </c>
      <c r="I7" s="440">
        <v>1.3594771241830066</v>
      </c>
      <c r="J7" s="440">
        <v>128</v>
      </c>
      <c r="K7" s="444">
        <v>9</v>
      </c>
      <c r="L7" s="444">
        <v>1224</v>
      </c>
      <c r="M7" s="440">
        <v>1</v>
      </c>
      <c r="N7" s="440">
        <v>136</v>
      </c>
      <c r="O7" s="444"/>
      <c r="P7" s="444"/>
      <c r="Q7" s="510"/>
      <c r="R7" s="445"/>
    </row>
    <row r="8" spans="1:18" ht="14.4" customHeight="1" x14ac:dyDescent="0.3">
      <c r="A8" s="439" t="s">
        <v>750</v>
      </c>
      <c r="B8" s="440" t="s">
        <v>755</v>
      </c>
      <c r="C8" s="440" t="s">
        <v>439</v>
      </c>
      <c r="D8" s="440" t="s">
        <v>752</v>
      </c>
      <c r="E8" s="440" t="s">
        <v>758</v>
      </c>
      <c r="F8" s="440" t="s">
        <v>759</v>
      </c>
      <c r="G8" s="444">
        <v>21</v>
      </c>
      <c r="H8" s="444">
        <v>25788</v>
      </c>
      <c r="I8" s="440">
        <v>2.0434231378763865</v>
      </c>
      <c r="J8" s="440">
        <v>1228</v>
      </c>
      <c r="K8" s="444">
        <v>10</v>
      </c>
      <c r="L8" s="444">
        <v>12620</v>
      </c>
      <c r="M8" s="440">
        <v>1</v>
      </c>
      <c r="N8" s="440">
        <v>1262</v>
      </c>
      <c r="O8" s="444">
        <v>10</v>
      </c>
      <c r="P8" s="444">
        <v>12620</v>
      </c>
      <c r="Q8" s="510">
        <v>1</v>
      </c>
      <c r="R8" s="445">
        <v>1262</v>
      </c>
    </row>
    <row r="9" spans="1:18" ht="14.4" customHeight="1" x14ac:dyDescent="0.3">
      <c r="A9" s="439" t="s">
        <v>750</v>
      </c>
      <c r="B9" s="440" t="s">
        <v>755</v>
      </c>
      <c r="C9" s="440" t="s">
        <v>439</v>
      </c>
      <c r="D9" s="440" t="s">
        <v>752</v>
      </c>
      <c r="E9" s="440" t="s">
        <v>760</v>
      </c>
      <c r="F9" s="440" t="s">
        <v>761</v>
      </c>
      <c r="G9" s="444">
        <v>27</v>
      </c>
      <c r="H9" s="444">
        <v>60372</v>
      </c>
      <c r="I9" s="440">
        <v>0.49657827202737381</v>
      </c>
      <c r="J9" s="440">
        <v>2236</v>
      </c>
      <c r="K9" s="444">
        <v>52</v>
      </c>
      <c r="L9" s="444">
        <v>121576</v>
      </c>
      <c r="M9" s="440">
        <v>1</v>
      </c>
      <c r="N9" s="440">
        <v>2338</v>
      </c>
      <c r="O9" s="444">
        <v>14</v>
      </c>
      <c r="P9" s="444">
        <v>32760</v>
      </c>
      <c r="Q9" s="510">
        <v>0.26946107784431139</v>
      </c>
      <c r="R9" s="445">
        <v>2340</v>
      </c>
    </row>
    <row r="10" spans="1:18" ht="14.4" customHeight="1" x14ac:dyDescent="0.3">
      <c r="A10" s="439" t="s">
        <v>750</v>
      </c>
      <c r="B10" s="440" t="s">
        <v>755</v>
      </c>
      <c r="C10" s="440" t="s">
        <v>439</v>
      </c>
      <c r="D10" s="440" t="s">
        <v>752</v>
      </c>
      <c r="E10" s="440" t="s">
        <v>762</v>
      </c>
      <c r="F10" s="440" t="s">
        <v>763</v>
      </c>
      <c r="G10" s="444">
        <v>13</v>
      </c>
      <c r="H10" s="444">
        <v>13559</v>
      </c>
      <c r="I10" s="440">
        <v>0.89925719591457753</v>
      </c>
      <c r="J10" s="440">
        <v>1043</v>
      </c>
      <c r="K10" s="444">
        <v>14</v>
      </c>
      <c r="L10" s="444">
        <v>15078</v>
      </c>
      <c r="M10" s="440">
        <v>1</v>
      </c>
      <c r="N10" s="440">
        <v>1077</v>
      </c>
      <c r="O10" s="444">
        <v>12</v>
      </c>
      <c r="P10" s="444">
        <v>12924</v>
      </c>
      <c r="Q10" s="510">
        <v>0.8571428571428571</v>
      </c>
      <c r="R10" s="445">
        <v>1077</v>
      </c>
    </row>
    <row r="11" spans="1:18" ht="14.4" customHeight="1" x14ac:dyDescent="0.3">
      <c r="A11" s="439" t="s">
        <v>750</v>
      </c>
      <c r="B11" s="440" t="s">
        <v>755</v>
      </c>
      <c r="C11" s="440" t="s">
        <v>439</v>
      </c>
      <c r="D11" s="440" t="s">
        <v>752</v>
      </c>
      <c r="E11" s="440" t="s">
        <v>764</v>
      </c>
      <c r="F11" s="440" t="s">
        <v>765</v>
      </c>
      <c r="G11" s="444">
        <v>67</v>
      </c>
      <c r="H11" s="444">
        <v>249307</v>
      </c>
      <c r="I11" s="440">
        <v>1.0351174387271693</v>
      </c>
      <c r="J11" s="440">
        <v>3721</v>
      </c>
      <c r="K11" s="444">
        <v>63</v>
      </c>
      <c r="L11" s="444">
        <v>240849</v>
      </c>
      <c r="M11" s="440">
        <v>1</v>
      </c>
      <c r="N11" s="440">
        <v>3823</v>
      </c>
      <c r="O11" s="444">
        <v>38</v>
      </c>
      <c r="P11" s="444">
        <v>145350</v>
      </c>
      <c r="Q11" s="510">
        <v>0.60349015358170477</v>
      </c>
      <c r="R11" s="445">
        <v>3825</v>
      </c>
    </row>
    <row r="12" spans="1:18" ht="14.4" customHeight="1" x14ac:dyDescent="0.3">
      <c r="A12" s="439" t="s">
        <v>750</v>
      </c>
      <c r="B12" s="440" t="s">
        <v>755</v>
      </c>
      <c r="C12" s="440" t="s">
        <v>439</v>
      </c>
      <c r="D12" s="440" t="s">
        <v>752</v>
      </c>
      <c r="E12" s="440" t="s">
        <v>766</v>
      </c>
      <c r="F12" s="440" t="s">
        <v>767</v>
      </c>
      <c r="G12" s="444">
        <v>1096</v>
      </c>
      <c r="H12" s="444">
        <v>481144</v>
      </c>
      <c r="I12" s="440">
        <v>1.0790643432236651</v>
      </c>
      <c r="J12" s="440">
        <v>439</v>
      </c>
      <c r="K12" s="444">
        <v>1002</v>
      </c>
      <c r="L12" s="444">
        <v>445890</v>
      </c>
      <c r="M12" s="440">
        <v>1</v>
      </c>
      <c r="N12" s="440">
        <v>445</v>
      </c>
      <c r="O12" s="444">
        <v>917</v>
      </c>
      <c r="P12" s="444">
        <v>408065</v>
      </c>
      <c r="Q12" s="510">
        <v>0.91516966067864269</v>
      </c>
      <c r="R12" s="445">
        <v>445</v>
      </c>
    </row>
    <row r="13" spans="1:18" ht="14.4" customHeight="1" x14ac:dyDescent="0.3">
      <c r="A13" s="439" t="s">
        <v>750</v>
      </c>
      <c r="B13" s="440" t="s">
        <v>755</v>
      </c>
      <c r="C13" s="440" t="s">
        <v>439</v>
      </c>
      <c r="D13" s="440" t="s">
        <v>752</v>
      </c>
      <c r="E13" s="440" t="s">
        <v>768</v>
      </c>
      <c r="F13" s="440" t="s">
        <v>769</v>
      </c>
      <c r="G13" s="444">
        <v>92</v>
      </c>
      <c r="H13" s="444">
        <v>76912</v>
      </c>
      <c r="I13" s="440">
        <v>0.85872829788421812</v>
      </c>
      <c r="J13" s="440">
        <v>836</v>
      </c>
      <c r="K13" s="444">
        <v>105</v>
      </c>
      <c r="L13" s="444">
        <v>89565</v>
      </c>
      <c r="M13" s="440">
        <v>1</v>
      </c>
      <c r="N13" s="440">
        <v>853</v>
      </c>
      <c r="O13" s="444">
        <v>150</v>
      </c>
      <c r="P13" s="444">
        <v>128100</v>
      </c>
      <c r="Q13" s="510">
        <v>1.4302461899179366</v>
      </c>
      <c r="R13" s="445">
        <v>854</v>
      </c>
    </row>
    <row r="14" spans="1:18" ht="14.4" customHeight="1" x14ac:dyDescent="0.3">
      <c r="A14" s="439" t="s">
        <v>750</v>
      </c>
      <c r="B14" s="440" t="s">
        <v>755</v>
      </c>
      <c r="C14" s="440" t="s">
        <v>439</v>
      </c>
      <c r="D14" s="440" t="s">
        <v>752</v>
      </c>
      <c r="E14" s="440" t="s">
        <v>770</v>
      </c>
      <c r="F14" s="440" t="s">
        <v>771</v>
      </c>
      <c r="G14" s="444">
        <v>75</v>
      </c>
      <c r="H14" s="444">
        <v>121575</v>
      </c>
      <c r="I14" s="440">
        <v>0.73459214501510572</v>
      </c>
      <c r="J14" s="440">
        <v>1621</v>
      </c>
      <c r="K14" s="444">
        <v>100</v>
      </c>
      <c r="L14" s="444">
        <v>165500</v>
      </c>
      <c r="M14" s="440">
        <v>1</v>
      </c>
      <c r="N14" s="440">
        <v>1655</v>
      </c>
      <c r="O14" s="444">
        <v>46</v>
      </c>
      <c r="P14" s="444">
        <v>76130</v>
      </c>
      <c r="Q14" s="510">
        <v>0.46</v>
      </c>
      <c r="R14" s="445">
        <v>1655</v>
      </c>
    </row>
    <row r="15" spans="1:18" ht="14.4" customHeight="1" x14ac:dyDescent="0.3">
      <c r="A15" s="439" t="s">
        <v>750</v>
      </c>
      <c r="B15" s="440" t="s">
        <v>755</v>
      </c>
      <c r="C15" s="440" t="s">
        <v>439</v>
      </c>
      <c r="D15" s="440" t="s">
        <v>752</v>
      </c>
      <c r="E15" s="440" t="s">
        <v>772</v>
      </c>
      <c r="F15" s="440" t="s">
        <v>773</v>
      </c>
      <c r="G15" s="444">
        <v>2</v>
      </c>
      <c r="H15" s="444">
        <v>3106</v>
      </c>
      <c r="I15" s="440"/>
      <c r="J15" s="440">
        <v>1553</v>
      </c>
      <c r="K15" s="444"/>
      <c r="L15" s="444"/>
      <c r="M15" s="440"/>
      <c r="N15" s="440"/>
      <c r="O15" s="444"/>
      <c r="P15" s="444"/>
      <c r="Q15" s="510"/>
      <c r="R15" s="445"/>
    </row>
    <row r="16" spans="1:18" ht="14.4" customHeight="1" x14ac:dyDescent="0.3">
      <c r="A16" s="439" t="s">
        <v>750</v>
      </c>
      <c r="B16" s="440" t="s">
        <v>755</v>
      </c>
      <c r="C16" s="440" t="s">
        <v>439</v>
      </c>
      <c r="D16" s="440" t="s">
        <v>752</v>
      </c>
      <c r="E16" s="440" t="s">
        <v>774</v>
      </c>
      <c r="F16" s="440" t="s">
        <v>775</v>
      </c>
      <c r="G16" s="444">
        <v>14</v>
      </c>
      <c r="H16" s="444">
        <v>11522</v>
      </c>
      <c r="I16" s="440">
        <v>0.97976190476190472</v>
      </c>
      <c r="J16" s="440">
        <v>823</v>
      </c>
      <c r="K16" s="444">
        <v>14</v>
      </c>
      <c r="L16" s="444">
        <v>11760</v>
      </c>
      <c r="M16" s="440">
        <v>1</v>
      </c>
      <c r="N16" s="440">
        <v>840</v>
      </c>
      <c r="O16" s="444">
        <v>4</v>
      </c>
      <c r="P16" s="444">
        <v>3364</v>
      </c>
      <c r="Q16" s="510">
        <v>0.28605442176870749</v>
      </c>
      <c r="R16" s="445">
        <v>841</v>
      </c>
    </row>
    <row r="17" spans="1:18" ht="14.4" customHeight="1" x14ac:dyDescent="0.3">
      <c r="A17" s="439" t="s">
        <v>750</v>
      </c>
      <c r="B17" s="440" t="s">
        <v>755</v>
      </c>
      <c r="C17" s="440" t="s">
        <v>439</v>
      </c>
      <c r="D17" s="440" t="s">
        <v>752</v>
      </c>
      <c r="E17" s="440" t="s">
        <v>776</v>
      </c>
      <c r="F17" s="440" t="s">
        <v>777</v>
      </c>
      <c r="G17" s="444">
        <v>83</v>
      </c>
      <c r="H17" s="444">
        <v>121263</v>
      </c>
      <c r="I17" s="440">
        <v>2.4127618933922284</v>
      </c>
      <c r="J17" s="440">
        <v>1461</v>
      </c>
      <c r="K17" s="444">
        <v>33</v>
      </c>
      <c r="L17" s="444">
        <v>50259</v>
      </c>
      <c r="M17" s="440">
        <v>1</v>
      </c>
      <c r="N17" s="440">
        <v>1523</v>
      </c>
      <c r="O17" s="444">
        <v>2</v>
      </c>
      <c r="P17" s="444">
        <v>3048</v>
      </c>
      <c r="Q17" s="510">
        <v>6.0645854473825582E-2</v>
      </c>
      <c r="R17" s="445">
        <v>1524</v>
      </c>
    </row>
    <row r="18" spans="1:18" ht="14.4" customHeight="1" x14ac:dyDescent="0.3">
      <c r="A18" s="439" t="s">
        <v>750</v>
      </c>
      <c r="B18" s="440" t="s">
        <v>755</v>
      </c>
      <c r="C18" s="440" t="s">
        <v>439</v>
      </c>
      <c r="D18" s="440" t="s">
        <v>752</v>
      </c>
      <c r="E18" s="440" t="s">
        <v>778</v>
      </c>
      <c r="F18" s="440" t="s">
        <v>779</v>
      </c>
      <c r="G18" s="444"/>
      <c r="H18" s="444"/>
      <c r="I18" s="440"/>
      <c r="J18" s="440"/>
      <c r="K18" s="444">
        <v>1</v>
      </c>
      <c r="L18" s="444">
        <v>3252</v>
      </c>
      <c r="M18" s="440">
        <v>1</v>
      </c>
      <c r="N18" s="440">
        <v>3252</v>
      </c>
      <c r="O18" s="444"/>
      <c r="P18" s="444"/>
      <c r="Q18" s="510"/>
      <c r="R18" s="445"/>
    </row>
    <row r="19" spans="1:18" ht="14.4" customHeight="1" x14ac:dyDescent="0.3">
      <c r="A19" s="439" t="s">
        <v>750</v>
      </c>
      <c r="B19" s="440" t="s">
        <v>755</v>
      </c>
      <c r="C19" s="440" t="s">
        <v>439</v>
      </c>
      <c r="D19" s="440" t="s">
        <v>752</v>
      </c>
      <c r="E19" s="440" t="s">
        <v>780</v>
      </c>
      <c r="F19" s="440" t="s">
        <v>781</v>
      </c>
      <c r="G19" s="444">
        <v>65</v>
      </c>
      <c r="H19" s="444">
        <v>1040</v>
      </c>
      <c r="I19" s="440">
        <v>0.57174271577789992</v>
      </c>
      <c r="J19" s="440">
        <v>16</v>
      </c>
      <c r="K19" s="444">
        <v>107</v>
      </c>
      <c r="L19" s="444">
        <v>1819</v>
      </c>
      <c r="M19" s="440">
        <v>1</v>
      </c>
      <c r="N19" s="440">
        <v>17</v>
      </c>
      <c r="O19" s="444">
        <v>83</v>
      </c>
      <c r="P19" s="444">
        <v>1411</v>
      </c>
      <c r="Q19" s="510">
        <v>0.77570093457943923</v>
      </c>
      <c r="R19" s="445">
        <v>17</v>
      </c>
    </row>
    <row r="20" spans="1:18" ht="14.4" customHeight="1" x14ac:dyDescent="0.3">
      <c r="A20" s="439" t="s">
        <v>750</v>
      </c>
      <c r="B20" s="440" t="s">
        <v>755</v>
      </c>
      <c r="C20" s="440" t="s">
        <v>439</v>
      </c>
      <c r="D20" s="440" t="s">
        <v>752</v>
      </c>
      <c r="E20" s="440" t="s">
        <v>782</v>
      </c>
      <c r="F20" s="440" t="s">
        <v>767</v>
      </c>
      <c r="G20" s="444">
        <v>91</v>
      </c>
      <c r="H20" s="444">
        <v>63336</v>
      </c>
      <c r="I20" s="440">
        <v>0.57714598141060691</v>
      </c>
      <c r="J20" s="440">
        <v>696</v>
      </c>
      <c r="K20" s="444">
        <v>155</v>
      </c>
      <c r="L20" s="444">
        <v>109740</v>
      </c>
      <c r="M20" s="440">
        <v>1</v>
      </c>
      <c r="N20" s="440">
        <v>708</v>
      </c>
      <c r="O20" s="444">
        <v>141</v>
      </c>
      <c r="P20" s="444">
        <v>99828</v>
      </c>
      <c r="Q20" s="510">
        <v>0.9096774193548387</v>
      </c>
      <c r="R20" s="445">
        <v>708</v>
      </c>
    </row>
    <row r="21" spans="1:18" ht="14.4" customHeight="1" x14ac:dyDescent="0.3">
      <c r="A21" s="439" t="s">
        <v>750</v>
      </c>
      <c r="B21" s="440" t="s">
        <v>755</v>
      </c>
      <c r="C21" s="440" t="s">
        <v>439</v>
      </c>
      <c r="D21" s="440" t="s">
        <v>752</v>
      </c>
      <c r="E21" s="440" t="s">
        <v>783</v>
      </c>
      <c r="F21" s="440" t="s">
        <v>769</v>
      </c>
      <c r="G21" s="444">
        <v>100</v>
      </c>
      <c r="H21" s="444">
        <v>138700</v>
      </c>
      <c r="I21" s="440">
        <v>0.55432992822086868</v>
      </c>
      <c r="J21" s="440">
        <v>1387</v>
      </c>
      <c r="K21" s="444">
        <v>174</v>
      </c>
      <c r="L21" s="444">
        <v>250212</v>
      </c>
      <c r="M21" s="440">
        <v>1</v>
      </c>
      <c r="N21" s="440">
        <v>1438</v>
      </c>
      <c r="O21" s="444">
        <v>79</v>
      </c>
      <c r="P21" s="444">
        <v>113681</v>
      </c>
      <c r="Q21" s="510">
        <v>0.45433872076479148</v>
      </c>
      <c r="R21" s="445">
        <v>1439</v>
      </c>
    </row>
    <row r="22" spans="1:18" ht="14.4" customHeight="1" x14ac:dyDescent="0.3">
      <c r="A22" s="439" t="s">
        <v>750</v>
      </c>
      <c r="B22" s="440" t="s">
        <v>755</v>
      </c>
      <c r="C22" s="440" t="s">
        <v>439</v>
      </c>
      <c r="D22" s="440" t="s">
        <v>752</v>
      </c>
      <c r="E22" s="440" t="s">
        <v>784</v>
      </c>
      <c r="F22" s="440" t="s">
        <v>785</v>
      </c>
      <c r="G22" s="444">
        <v>51</v>
      </c>
      <c r="H22" s="444">
        <v>119391</v>
      </c>
      <c r="I22" s="440">
        <v>0.53836233524374677</v>
      </c>
      <c r="J22" s="440">
        <v>2341</v>
      </c>
      <c r="K22" s="444">
        <v>91</v>
      </c>
      <c r="L22" s="444">
        <v>221767</v>
      </c>
      <c r="M22" s="440">
        <v>1</v>
      </c>
      <c r="N22" s="440">
        <v>2437</v>
      </c>
      <c r="O22" s="444">
        <v>66</v>
      </c>
      <c r="P22" s="444">
        <v>160908</v>
      </c>
      <c r="Q22" s="510">
        <v>0.72557233492810025</v>
      </c>
      <c r="R22" s="445">
        <v>2438</v>
      </c>
    </row>
    <row r="23" spans="1:18" ht="14.4" customHeight="1" x14ac:dyDescent="0.3">
      <c r="A23" s="439" t="s">
        <v>750</v>
      </c>
      <c r="B23" s="440" t="s">
        <v>755</v>
      </c>
      <c r="C23" s="440" t="s">
        <v>439</v>
      </c>
      <c r="D23" s="440" t="s">
        <v>752</v>
      </c>
      <c r="E23" s="440" t="s">
        <v>786</v>
      </c>
      <c r="F23" s="440" t="s">
        <v>787</v>
      </c>
      <c r="G23" s="444">
        <v>1192</v>
      </c>
      <c r="H23" s="444">
        <v>78672</v>
      </c>
      <c r="I23" s="440">
        <v>0.97036077705827939</v>
      </c>
      <c r="J23" s="440">
        <v>66</v>
      </c>
      <c r="K23" s="444">
        <v>1175</v>
      </c>
      <c r="L23" s="444">
        <v>81075</v>
      </c>
      <c r="M23" s="440">
        <v>1</v>
      </c>
      <c r="N23" s="440">
        <v>69</v>
      </c>
      <c r="O23" s="444">
        <v>1061</v>
      </c>
      <c r="P23" s="444">
        <v>73209</v>
      </c>
      <c r="Q23" s="510">
        <v>0.90297872340425533</v>
      </c>
      <c r="R23" s="445">
        <v>69</v>
      </c>
    </row>
    <row r="24" spans="1:18" ht="14.4" customHeight="1" x14ac:dyDescent="0.3">
      <c r="A24" s="439" t="s">
        <v>750</v>
      </c>
      <c r="B24" s="440" t="s">
        <v>755</v>
      </c>
      <c r="C24" s="440" t="s">
        <v>439</v>
      </c>
      <c r="D24" s="440" t="s">
        <v>752</v>
      </c>
      <c r="E24" s="440" t="s">
        <v>788</v>
      </c>
      <c r="F24" s="440" t="s">
        <v>789</v>
      </c>
      <c r="G24" s="444">
        <v>83</v>
      </c>
      <c r="H24" s="444">
        <v>33283</v>
      </c>
      <c r="I24" s="440">
        <v>2.4780731144367509</v>
      </c>
      <c r="J24" s="440">
        <v>401</v>
      </c>
      <c r="K24" s="444">
        <v>33</v>
      </c>
      <c r="L24" s="444">
        <v>13431</v>
      </c>
      <c r="M24" s="440">
        <v>1</v>
      </c>
      <c r="N24" s="440">
        <v>407</v>
      </c>
      <c r="O24" s="444">
        <v>2</v>
      </c>
      <c r="P24" s="444">
        <v>816</v>
      </c>
      <c r="Q24" s="510">
        <v>6.0754969845878935E-2</v>
      </c>
      <c r="R24" s="445">
        <v>408</v>
      </c>
    </row>
    <row r="25" spans="1:18" ht="14.4" customHeight="1" x14ac:dyDescent="0.3">
      <c r="A25" s="439" t="s">
        <v>750</v>
      </c>
      <c r="B25" s="440" t="s">
        <v>755</v>
      </c>
      <c r="C25" s="440" t="s">
        <v>439</v>
      </c>
      <c r="D25" s="440" t="s">
        <v>752</v>
      </c>
      <c r="E25" s="440" t="s">
        <v>790</v>
      </c>
      <c r="F25" s="440" t="s">
        <v>791</v>
      </c>
      <c r="G25" s="444">
        <v>80</v>
      </c>
      <c r="H25" s="444">
        <v>129040</v>
      </c>
      <c r="I25" s="440">
        <v>0.8162955465587044</v>
      </c>
      <c r="J25" s="440">
        <v>1613</v>
      </c>
      <c r="K25" s="444">
        <v>95</v>
      </c>
      <c r="L25" s="444">
        <v>158080</v>
      </c>
      <c r="M25" s="440">
        <v>1</v>
      </c>
      <c r="N25" s="440">
        <v>1664</v>
      </c>
      <c r="O25" s="444">
        <v>103</v>
      </c>
      <c r="P25" s="444">
        <v>171495</v>
      </c>
      <c r="Q25" s="510">
        <v>1.0848620951417005</v>
      </c>
      <c r="R25" s="445">
        <v>1665</v>
      </c>
    </row>
    <row r="26" spans="1:18" ht="14.4" customHeight="1" x14ac:dyDescent="0.3">
      <c r="A26" s="439" t="s">
        <v>750</v>
      </c>
      <c r="B26" s="440" t="s">
        <v>755</v>
      </c>
      <c r="C26" s="440" t="s">
        <v>439</v>
      </c>
      <c r="D26" s="440" t="s">
        <v>752</v>
      </c>
      <c r="E26" s="440" t="s">
        <v>792</v>
      </c>
      <c r="F26" s="440" t="s">
        <v>793</v>
      </c>
      <c r="G26" s="444">
        <v>238</v>
      </c>
      <c r="H26" s="444">
        <v>131376</v>
      </c>
      <c r="I26" s="440">
        <v>0.5368421052631579</v>
      </c>
      <c r="J26" s="440">
        <v>552</v>
      </c>
      <c r="K26" s="444">
        <v>437</v>
      </c>
      <c r="L26" s="444">
        <v>244720</v>
      </c>
      <c r="M26" s="440">
        <v>1</v>
      </c>
      <c r="N26" s="440">
        <v>560</v>
      </c>
      <c r="O26" s="444">
        <v>434</v>
      </c>
      <c r="P26" s="444">
        <v>243040</v>
      </c>
      <c r="Q26" s="510">
        <v>0.99313501144164762</v>
      </c>
      <c r="R26" s="445">
        <v>560</v>
      </c>
    </row>
    <row r="27" spans="1:18" ht="14.4" customHeight="1" x14ac:dyDescent="0.3">
      <c r="A27" s="439" t="s">
        <v>750</v>
      </c>
      <c r="B27" s="440" t="s">
        <v>755</v>
      </c>
      <c r="C27" s="440" t="s">
        <v>439</v>
      </c>
      <c r="D27" s="440" t="s">
        <v>752</v>
      </c>
      <c r="E27" s="440" t="s">
        <v>794</v>
      </c>
      <c r="F27" s="440" t="s">
        <v>795</v>
      </c>
      <c r="G27" s="444"/>
      <c r="H27" s="444"/>
      <c r="I27" s="440"/>
      <c r="J27" s="440"/>
      <c r="K27" s="444">
        <v>1</v>
      </c>
      <c r="L27" s="444">
        <v>1266</v>
      </c>
      <c r="M27" s="440">
        <v>1</v>
      </c>
      <c r="N27" s="440">
        <v>1266</v>
      </c>
      <c r="O27" s="444"/>
      <c r="P27" s="444"/>
      <c r="Q27" s="510"/>
      <c r="R27" s="445"/>
    </row>
    <row r="28" spans="1:18" ht="14.4" customHeight="1" x14ac:dyDescent="0.3">
      <c r="A28" s="439" t="s">
        <v>750</v>
      </c>
      <c r="B28" s="440" t="s">
        <v>755</v>
      </c>
      <c r="C28" s="440" t="s">
        <v>439</v>
      </c>
      <c r="D28" s="440" t="s">
        <v>752</v>
      </c>
      <c r="E28" s="440" t="s">
        <v>796</v>
      </c>
      <c r="F28" s="440" t="s">
        <v>797</v>
      </c>
      <c r="G28" s="444">
        <v>320</v>
      </c>
      <c r="H28" s="444">
        <v>11520</v>
      </c>
      <c r="I28" s="440">
        <v>0.96096096096096095</v>
      </c>
      <c r="J28" s="440">
        <v>36</v>
      </c>
      <c r="K28" s="444">
        <v>324</v>
      </c>
      <c r="L28" s="444">
        <v>11988</v>
      </c>
      <c r="M28" s="440">
        <v>1</v>
      </c>
      <c r="N28" s="440">
        <v>37</v>
      </c>
      <c r="O28" s="444">
        <v>229</v>
      </c>
      <c r="P28" s="444">
        <v>8473</v>
      </c>
      <c r="Q28" s="510">
        <v>0.70679012345679015</v>
      </c>
      <c r="R28" s="445">
        <v>37</v>
      </c>
    </row>
    <row r="29" spans="1:18" ht="14.4" customHeight="1" x14ac:dyDescent="0.3">
      <c r="A29" s="439" t="s">
        <v>750</v>
      </c>
      <c r="B29" s="440" t="s">
        <v>755</v>
      </c>
      <c r="C29" s="440" t="s">
        <v>439</v>
      </c>
      <c r="D29" s="440" t="s">
        <v>752</v>
      </c>
      <c r="E29" s="440" t="s">
        <v>798</v>
      </c>
      <c r="F29" s="440" t="s">
        <v>799</v>
      </c>
      <c r="G29" s="444">
        <v>5</v>
      </c>
      <c r="H29" s="444">
        <v>615</v>
      </c>
      <c r="I29" s="440">
        <v>0.52971576227390182</v>
      </c>
      <c r="J29" s="440">
        <v>123</v>
      </c>
      <c r="K29" s="444">
        <v>9</v>
      </c>
      <c r="L29" s="444">
        <v>1161</v>
      </c>
      <c r="M29" s="440">
        <v>1</v>
      </c>
      <c r="N29" s="440">
        <v>129</v>
      </c>
      <c r="O29" s="444">
        <v>7</v>
      </c>
      <c r="P29" s="444">
        <v>903</v>
      </c>
      <c r="Q29" s="510">
        <v>0.77777777777777779</v>
      </c>
      <c r="R29" s="445">
        <v>129</v>
      </c>
    </row>
    <row r="30" spans="1:18" ht="14.4" customHeight="1" x14ac:dyDescent="0.3">
      <c r="A30" s="439" t="s">
        <v>750</v>
      </c>
      <c r="B30" s="440" t="s">
        <v>755</v>
      </c>
      <c r="C30" s="440" t="s">
        <v>439</v>
      </c>
      <c r="D30" s="440" t="s">
        <v>752</v>
      </c>
      <c r="E30" s="440" t="s">
        <v>800</v>
      </c>
      <c r="F30" s="440" t="s">
        <v>801</v>
      </c>
      <c r="G30" s="444">
        <v>927</v>
      </c>
      <c r="H30" s="444">
        <v>394902</v>
      </c>
      <c r="I30" s="440">
        <v>0.73231303302902351</v>
      </c>
      <c r="J30" s="440">
        <v>426</v>
      </c>
      <c r="K30" s="444">
        <v>1257</v>
      </c>
      <c r="L30" s="444">
        <v>539253</v>
      </c>
      <c r="M30" s="440">
        <v>1</v>
      </c>
      <c r="N30" s="440">
        <v>429</v>
      </c>
      <c r="O30" s="444">
        <v>1704</v>
      </c>
      <c r="P30" s="444">
        <v>731016</v>
      </c>
      <c r="Q30" s="510">
        <v>1.3556085918854415</v>
      </c>
      <c r="R30" s="445">
        <v>429</v>
      </c>
    </row>
    <row r="31" spans="1:18" ht="14.4" customHeight="1" x14ac:dyDescent="0.3">
      <c r="A31" s="439" t="s">
        <v>750</v>
      </c>
      <c r="B31" s="440" t="s">
        <v>755</v>
      </c>
      <c r="C31" s="440" t="s">
        <v>439</v>
      </c>
      <c r="D31" s="440" t="s">
        <v>752</v>
      </c>
      <c r="E31" s="440" t="s">
        <v>802</v>
      </c>
      <c r="F31" s="440" t="s">
        <v>803</v>
      </c>
      <c r="G31" s="444">
        <v>1</v>
      </c>
      <c r="H31" s="444">
        <v>1211</v>
      </c>
      <c r="I31" s="440"/>
      <c r="J31" s="440">
        <v>1211</v>
      </c>
      <c r="K31" s="444"/>
      <c r="L31" s="444"/>
      <c r="M31" s="440"/>
      <c r="N31" s="440"/>
      <c r="O31" s="444">
        <v>1</v>
      </c>
      <c r="P31" s="444">
        <v>1245</v>
      </c>
      <c r="Q31" s="510"/>
      <c r="R31" s="445">
        <v>1245</v>
      </c>
    </row>
    <row r="32" spans="1:18" ht="14.4" customHeight="1" x14ac:dyDescent="0.3">
      <c r="A32" s="439" t="s">
        <v>750</v>
      </c>
      <c r="B32" s="440" t="s">
        <v>755</v>
      </c>
      <c r="C32" s="440" t="s">
        <v>439</v>
      </c>
      <c r="D32" s="440" t="s">
        <v>752</v>
      </c>
      <c r="E32" s="440" t="s">
        <v>804</v>
      </c>
      <c r="F32" s="440" t="s">
        <v>763</v>
      </c>
      <c r="G32" s="444">
        <v>2</v>
      </c>
      <c r="H32" s="444">
        <v>1846</v>
      </c>
      <c r="I32" s="440"/>
      <c r="J32" s="440">
        <v>923</v>
      </c>
      <c r="K32" s="444"/>
      <c r="L32" s="444"/>
      <c r="M32" s="440"/>
      <c r="N32" s="440"/>
      <c r="O32" s="444"/>
      <c r="P32" s="444"/>
      <c r="Q32" s="510"/>
      <c r="R32" s="445"/>
    </row>
    <row r="33" spans="1:18" ht="14.4" customHeight="1" x14ac:dyDescent="0.3">
      <c r="A33" s="439" t="s">
        <v>750</v>
      </c>
      <c r="B33" s="440" t="s">
        <v>755</v>
      </c>
      <c r="C33" s="440" t="s">
        <v>439</v>
      </c>
      <c r="D33" s="440" t="s">
        <v>752</v>
      </c>
      <c r="E33" s="440" t="s">
        <v>805</v>
      </c>
      <c r="F33" s="440" t="s">
        <v>806</v>
      </c>
      <c r="G33" s="444">
        <v>221</v>
      </c>
      <c r="H33" s="444">
        <v>356915</v>
      </c>
      <c r="I33" s="440">
        <v>0.54110824742268038</v>
      </c>
      <c r="J33" s="440">
        <v>1615</v>
      </c>
      <c r="K33" s="444">
        <v>400</v>
      </c>
      <c r="L33" s="444">
        <v>659600</v>
      </c>
      <c r="M33" s="440">
        <v>1</v>
      </c>
      <c r="N33" s="440">
        <v>1649</v>
      </c>
      <c r="O33" s="444">
        <v>291</v>
      </c>
      <c r="P33" s="444">
        <v>479859</v>
      </c>
      <c r="Q33" s="510">
        <v>0.72750000000000004</v>
      </c>
      <c r="R33" s="445">
        <v>1649</v>
      </c>
    </row>
    <row r="34" spans="1:18" ht="14.4" customHeight="1" x14ac:dyDescent="0.3">
      <c r="A34" s="439" t="s">
        <v>750</v>
      </c>
      <c r="B34" s="440" t="s">
        <v>755</v>
      </c>
      <c r="C34" s="440" t="s">
        <v>439</v>
      </c>
      <c r="D34" s="440" t="s">
        <v>752</v>
      </c>
      <c r="E34" s="440" t="s">
        <v>807</v>
      </c>
      <c r="F34" s="440" t="s">
        <v>799</v>
      </c>
      <c r="G34" s="444"/>
      <c r="H34" s="444"/>
      <c r="I34" s="440"/>
      <c r="J34" s="440"/>
      <c r="K34" s="444">
        <v>1</v>
      </c>
      <c r="L34" s="444">
        <v>240</v>
      </c>
      <c r="M34" s="440">
        <v>1</v>
      </c>
      <c r="N34" s="440">
        <v>240</v>
      </c>
      <c r="O34" s="444"/>
      <c r="P34" s="444"/>
      <c r="Q34" s="510"/>
      <c r="R34" s="445"/>
    </row>
    <row r="35" spans="1:18" ht="14.4" customHeight="1" x14ac:dyDescent="0.3">
      <c r="A35" s="439" t="s">
        <v>750</v>
      </c>
      <c r="B35" s="440" t="s">
        <v>755</v>
      </c>
      <c r="C35" s="440" t="s">
        <v>439</v>
      </c>
      <c r="D35" s="440" t="s">
        <v>752</v>
      </c>
      <c r="E35" s="440" t="s">
        <v>808</v>
      </c>
      <c r="F35" s="440"/>
      <c r="G35" s="444"/>
      <c r="H35" s="444"/>
      <c r="I35" s="440"/>
      <c r="J35" s="440"/>
      <c r="K35" s="444"/>
      <c r="L35" s="444"/>
      <c r="M35" s="440"/>
      <c r="N35" s="440"/>
      <c r="O35" s="444">
        <v>228</v>
      </c>
      <c r="P35" s="444">
        <v>502284</v>
      </c>
      <c r="Q35" s="510"/>
      <c r="R35" s="445">
        <v>2203</v>
      </c>
    </row>
    <row r="36" spans="1:18" ht="14.4" customHeight="1" thickBot="1" x14ac:dyDescent="0.35">
      <c r="A36" s="446" t="s">
        <v>750</v>
      </c>
      <c r="B36" s="447" t="s">
        <v>755</v>
      </c>
      <c r="C36" s="447" t="s">
        <v>439</v>
      </c>
      <c r="D36" s="447" t="s">
        <v>752</v>
      </c>
      <c r="E36" s="447" t="s">
        <v>809</v>
      </c>
      <c r="F36" s="447"/>
      <c r="G36" s="451"/>
      <c r="H36" s="451"/>
      <c r="I36" s="447"/>
      <c r="J36" s="447"/>
      <c r="K36" s="451"/>
      <c r="L36" s="451"/>
      <c r="M36" s="447"/>
      <c r="N36" s="447"/>
      <c r="O36" s="451">
        <v>22</v>
      </c>
      <c r="P36" s="451">
        <v>9438</v>
      </c>
      <c r="Q36" s="462"/>
      <c r="R36" s="452">
        <v>429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324" t="s">
        <v>811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</row>
    <row r="2" spans="1:19" ht="14.4" customHeight="1" thickBot="1" x14ac:dyDescent="0.35">
      <c r="A2" s="203" t="s">
        <v>229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112</v>
      </c>
      <c r="H3" s="77">
        <f t="shared" ref="H3:Q3" si="0">SUBTOTAL(9,H6:H1048576)</f>
        <v>5667</v>
      </c>
      <c r="I3" s="78">
        <f t="shared" si="0"/>
        <v>11079359</v>
      </c>
      <c r="J3" s="58"/>
      <c r="K3" s="58"/>
      <c r="L3" s="78">
        <f t="shared" si="0"/>
        <v>6374</v>
      </c>
      <c r="M3" s="78">
        <f t="shared" si="0"/>
        <v>11570861</v>
      </c>
      <c r="N3" s="58"/>
      <c r="O3" s="58"/>
      <c r="P3" s="78">
        <f t="shared" si="0"/>
        <v>6387</v>
      </c>
      <c r="Q3" s="78">
        <f t="shared" si="0"/>
        <v>11899826</v>
      </c>
      <c r="R3" s="59">
        <f>IF(M3=0,0,Q3/M3)</f>
        <v>1.0284304685710077</v>
      </c>
      <c r="S3" s="79">
        <f>IF(P3=0,0,Q3/P3)</f>
        <v>1863.1322999843433</v>
      </c>
    </row>
    <row r="4" spans="1:19" ht="14.4" customHeight="1" x14ac:dyDescent="0.3">
      <c r="A4" s="380" t="s">
        <v>217</v>
      </c>
      <c r="B4" s="380" t="s">
        <v>81</v>
      </c>
      <c r="C4" s="388" t="s">
        <v>0</v>
      </c>
      <c r="D4" s="287" t="s">
        <v>113</v>
      </c>
      <c r="E4" s="382" t="s">
        <v>82</v>
      </c>
      <c r="F4" s="387" t="s">
        <v>57</v>
      </c>
      <c r="G4" s="383" t="s">
        <v>56</v>
      </c>
      <c r="H4" s="384">
        <v>2015</v>
      </c>
      <c r="I4" s="385"/>
      <c r="J4" s="76"/>
      <c r="K4" s="76"/>
      <c r="L4" s="384">
        <v>2016</v>
      </c>
      <c r="M4" s="385"/>
      <c r="N4" s="76"/>
      <c r="O4" s="76"/>
      <c r="P4" s="384">
        <v>2017</v>
      </c>
      <c r="Q4" s="385"/>
      <c r="R4" s="386" t="s">
        <v>2</v>
      </c>
      <c r="S4" s="381" t="s">
        <v>84</v>
      </c>
    </row>
    <row r="5" spans="1:19" ht="14.4" customHeight="1" thickBot="1" x14ac:dyDescent="0.35">
      <c r="A5" s="500"/>
      <c r="B5" s="500"/>
      <c r="C5" s="501"/>
      <c r="D5" s="511"/>
      <c r="E5" s="502"/>
      <c r="F5" s="503"/>
      <c r="G5" s="504"/>
      <c r="H5" s="505" t="s">
        <v>58</v>
      </c>
      <c r="I5" s="506" t="s">
        <v>14</v>
      </c>
      <c r="J5" s="507"/>
      <c r="K5" s="507"/>
      <c r="L5" s="505" t="s">
        <v>58</v>
      </c>
      <c r="M5" s="506" t="s">
        <v>14</v>
      </c>
      <c r="N5" s="507"/>
      <c r="O5" s="507"/>
      <c r="P5" s="505" t="s">
        <v>58</v>
      </c>
      <c r="Q5" s="506" t="s">
        <v>14</v>
      </c>
      <c r="R5" s="508"/>
      <c r="S5" s="509"/>
    </row>
    <row r="6" spans="1:19" ht="14.4" customHeight="1" x14ac:dyDescent="0.3">
      <c r="A6" s="432" t="s">
        <v>750</v>
      </c>
      <c r="B6" s="433" t="s">
        <v>751</v>
      </c>
      <c r="C6" s="433" t="s">
        <v>439</v>
      </c>
      <c r="D6" s="433" t="s">
        <v>744</v>
      </c>
      <c r="E6" s="433" t="s">
        <v>752</v>
      </c>
      <c r="F6" s="433" t="s">
        <v>753</v>
      </c>
      <c r="G6" s="433" t="s">
        <v>754</v>
      </c>
      <c r="H6" s="437">
        <v>788</v>
      </c>
      <c r="I6" s="437">
        <v>8451300</v>
      </c>
      <c r="J6" s="433">
        <v>1.0409368912379651</v>
      </c>
      <c r="K6" s="433">
        <v>10725</v>
      </c>
      <c r="L6" s="437">
        <v>712</v>
      </c>
      <c r="M6" s="437">
        <v>8118936</v>
      </c>
      <c r="N6" s="433">
        <v>1</v>
      </c>
      <c r="O6" s="433">
        <v>11403</v>
      </c>
      <c r="P6" s="437">
        <v>743</v>
      </c>
      <c r="Q6" s="437">
        <v>8479859</v>
      </c>
      <c r="R6" s="460">
        <v>1.0444544703887308</v>
      </c>
      <c r="S6" s="438">
        <v>11413</v>
      </c>
    </row>
    <row r="7" spans="1:19" ht="14.4" customHeight="1" x14ac:dyDescent="0.3">
      <c r="A7" s="439" t="s">
        <v>750</v>
      </c>
      <c r="B7" s="440" t="s">
        <v>755</v>
      </c>
      <c r="C7" s="440" t="s">
        <v>439</v>
      </c>
      <c r="D7" s="440" t="s">
        <v>744</v>
      </c>
      <c r="E7" s="440" t="s">
        <v>752</v>
      </c>
      <c r="F7" s="440" t="s">
        <v>756</v>
      </c>
      <c r="G7" s="440" t="s">
        <v>757</v>
      </c>
      <c r="H7" s="444">
        <v>13</v>
      </c>
      <c r="I7" s="444">
        <v>1664</v>
      </c>
      <c r="J7" s="440">
        <v>1.3594771241830066</v>
      </c>
      <c r="K7" s="440">
        <v>128</v>
      </c>
      <c r="L7" s="444">
        <v>9</v>
      </c>
      <c r="M7" s="444">
        <v>1224</v>
      </c>
      <c r="N7" s="440">
        <v>1</v>
      </c>
      <c r="O7" s="440">
        <v>136</v>
      </c>
      <c r="P7" s="444"/>
      <c r="Q7" s="444"/>
      <c r="R7" s="510"/>
      <c r="S7" s="445"/>
    </row>
    <row r="8" spans="1:19" ht="14.4" customHeight="1" x14ac:dyDescent="0.3">
      <c r="A8" s="439" t="s">
        <v>750</v>
      </c>
      <c r="B8" s="440" t="s">
        <v>755</v>
      </c>
      <c r="C8" s="440" t="s">
        <v>439</v>
      </c>
      <c r="D8" s="440" t="s">
        <v>744</v>
      </c>
      <c r="E8" s="440" t="s">
        <v>752</v>
      </c>
      <c r="F8" s="440" t="s">
        <v>758</v>
      </c>
      <c r="G8" s="440" t="s">
        <v>759</v>
      </c>
      <c r="H8" s="444">
        <v>21</v>
      </c>
      <c r="I8" s="444">
        <v>25788</v>
      </c>
      <c r="J8" s="440">
        <v>2.0434231378763865</v>
      </c>
      <c r="K8" s="440">
        <v>1228</v>
      </c>
      <c r="L8" s="444">
        <v>10</v>
      </c>
      <c r="M8" s="444">
        <v>12620</v>
      </c>
      <c r="N8" s="440">
        <v>1</v>
      </c>
      <c r="O8" s="440">
        <v>1262</v>
      </c>
      <c r="P8" s="444">
        <v>10</v>
      </c>
      <c r="Q8" s="444">
        <v>12620</v>
      </c>
      <c r="R8" s="510">
        <v>1</v>
      </c>
      <c r="S8" s="445">
        <v>1262</v>
      </c>
    </row>
    <row r="9" spans="1:19" ht="14.4" customHeight="1" x14ac:dyDescent="0.3">
      <c r="A9" s="439" t="s">
        <v>750</v>
      </c>
      <c r="B9" s="440" t="s">
        <v>755</v>
      </c>
      <c r="C9" s="440" t="s">
        <v>439</v>
      </c>
      <c r="D9" s="440" t="s">
        <v>744</v>
      </c>
      <c r="E9" s="440" t="s">
        <v>752</v>
      </c>
      <c r="F9" s="440" t="s">
        <v>760</v>
      </c>
      <c r="G9" s="440" t="s">
        <v>761</v>
      </c>
      <c r="H9" s="444">
        <v>27</v>
      </c>
      <c r="I9" s="444">
        <v>60372</v>
      </c>
      <c r="J9" s="440">
        <v>0.49657827202737381</v>
      </c>
      <c r="K9" s="440">
        <v>2236</v>
      </c>
      <c r="L9" s="444">
        <v>52</v>
      </c>
      <c r="M9" s="444">
        <v>121576</v>
      </c>
      <c r="N9" s="440">
        <v>1</v>
      </c>
      <c r="O9" s="440">
        <v>2338</v>
      </c>
      <c r="P9" s="444">
        <v>14</v>
      </c>
      <c r="Q9" s="444">
        <v>32760</v>
      </c>
      <c r="R9" s="510">
        <v>0.26946107784431139</v>
      </c>
      <c r="S9" s="445">
        <v>2340</v>
      </c>
    </row>
    <row r="10" spans="1:19" ht="14.4" customHeight="1" x14ac:dyDescent="0.3">
      <c r="A10" s="439" t="s">
        <v>750</v>
      </c>
      <c r="B10" s="440" t="s">
        <v>755</v>
      </c>
      <c r="C10" s="440" t="s">
        <v>439</v>
      </c>
      <c r="D10" s="440" t="s">
        <v>744</v>
      </c>
      <c r="E10" s="440" t="s">
        <v>752</v>
      </c>
      <c r="F10" s="440" t="s">
        <v>762</v>
      </c>
      <c r="G10" s="440" t="s">
        <v>763</v>
      </c>
      <c r="H10" s="444">
        <v>13</v>
      </c>
      <c r="I10" s="444">
        <v>13559</v>
      </c>
      <c r="J10" s="440">
        <v>0.89925719591457753</v>
      </c>
      <c r="K10" s="440">
        <v>1043</v>
      </c>
      <c r="L10" s="444">
        <v>14</v>
      </c>
      <c r="M10" s="444">
        <v>15078</v>
      </c>
      <c r="N10" s="440">
        <v>1</v>
      </c>
      <c r="O10" s="440">
        <v>1077</v>
      </c>
      <c r="P10" s="444">
        <v>12</v>
      </c>
      <c r="Q10" s="444">
        <v>12924</v>
      </c>
      <c r="R10" s="510">
        <v>0.8571428571428571</v>
      </c>
      <c r="S10" s="445">
        <v>1077</v>
      </c>
    </row>
    <row r="11" spans="1:19" ht="14.4" customHeight="1" x14ac:dyDescent="0.3">
      <c r="A11" s="439" t="s">
        <v>750</v>
      </c>
      <c r="B11" s="440" t="s">
        <v>755</v>
      </c>
      <c r="C11" s="440" t="s">
        <v>439</v>
      </c>
      <c r="D11" s="440" t="s">
        <v>744</v>
      </c>
      <c r="E11" s="440" t="s">
        <v>752</v>
      </c>
      <c r="F11" s="440" t="s">
        <v>764</v>
      </c>
      <c r="G11" s="440" t="s">
        <v>765</v>
      </c>
      <c r="H11" s="444">
        <v>67</v>
      </c>
      <c r="I11" s="444">
        <v>249307</v>
      </c>
      <c r="J11" s="440">
        <v>1.0351174387271693</v>
      </c>
      <c r="K11" s="440">
        <v>3721</v>
      </c>
      <c r="L11" s="444">
        <v>63</v>
      </c>
      <c r="M11" s="444">
        <v>240849</v>
      </c>
      <c r="N11" s="440">
        <v>1</v>
      </c>
      <c r="O11" s="440">
        <v>3823</v>
      </c>
      <c r="P11" s="444">
        <v>38</v>
      </c>
      <c r="Q11" s="444">
        <v>145350</v>
      </c>
      <c r="R11" s="510">
        <v>0.60349015358170477</v>
      </c>
      <c r="S11" s="445">
        <v>3825</v>
      </c>
    </row>
    <row r="12" spans="1:19" ht="14.4" customHeight="1" x14ac:dyDescent="0.3">
      <c r="A12" s="439" t="s">
        <v>750</v>
      </c>
      <c r="B12" s="440" t="s">
        <v>755</v>
      </c>
      <c r="C12" s="440" t="s">
        <v>439</v>
      </c>
      <c r="D12" s="440" t="s">
        <v>744</v>
      </c>
      <c r="E12" s="440" t="s">
        <v>752</v>
      </c>
      <c r="F12" s="440" t="s">
        <v>766</v>
      </c>
      <c r="G12" s="440" t="s">
        <v>767</v>
      </c>
      <c r="H12" s="444">
        <v>1096</v>
      </c>
      <c r="I12" s="444">
        <v>481144</v>
      </c>
      <c r="J12" s="440">
        <v>1.0790643432236651</v>
      </c>
      <c r="K12" s="440">
        <v>439</v>
      </c>
      <c r="L12" s="444">
        <v>1002</v>
      </c>
      <c r="M12" s="444">
        <v>445890</v>
      </c>
      <c r="N12" s="440">
        <v>1</v>
      </c>
      <c r="O12" s="440">
        <v>445</v>
      </c>
      <c r="P12" s="444">
        <v>917</v>
      </c>
      <c r="Q12" s="444">
        <v>408065</v>
      </c>
      <c r="R12" s="510">
        <v>0.91516966067864269</v>
      </c>
      <c r="S12" s="445">
        <v>445</v>
      </c>
    </row>
    <row r="13" spans="1:19" ht="14.4" customHeight="1" x14ac:dyDescent="0.3">
      <c r="A13" s="439" t="s">
        <v>750</v>
      </c>
      <c r="B13" s="440" t="s">
        <v>755</v>
      </c>
      <c r="C13" s="440" t="s">
        <v>439</v>
      </c>
      <c r="D13" s="440" t="s">
        <v>744</v>
      </c>
      <c r="E13" s="440" t="s">
        <v>752</v>
      </c>
      <c r="F13" s="440" t="s">
        <v>768</v>
      </c>
      <c r="G13" s="440" t="s">
        <v>769</v>
      </c>
      <c r="H13" s="444">
        <v>92</v>
      </c>
      <c r="I13" s="444">
        <v>76912</v>
      </c>
      <c r="J13" s="440">
        <v>0.85872829788421812</v>
      </c>
      <c r="K13" s="440">
        <v>836</v>
      </c>
      <c r="L13" s="444">
        <v>105</v>
      </c>
      <c r="M13" s="444">
        <v>89565</v>
      </c>
      <c r="N13" s="440">
        <v>1</v>
      </c>
      <c r="O13" s="440">
        <v>853</v>
      </c>
      <c r="P13" s="444">
        <v>150</v>
      </c>
      <c r="Q13" s="444">
        <v>128100</v>
      </c>
      <c r="R13" s="510">
        <v>1.4302461899179366</v>
      </c>
      <c r="S13" s="445">
        <v>854</v>
      </c>
    </row>
    <row r="14" spans="1:19" ht="14.4" customHeight="1" x14ac:dyDescent="0.3">
      <c r="A14" s="439" t="s">
        <v>750</v>
      </c>
      <c r="B14" s="440" t="s">
        <v>755</v>
      </c>
      <c r="C14" s="440" t="s">
        <v>439</v>
      </c>
      <c r="D14" s="440" t="s">
        <v>744</v>
      </c>
      <c r="E14" s="440" t="s">
        <v>752</v>
      </c>
      <c r="F14" s="440" t="s">
        <v>770</v>
      </c>
      <c r="G14" s="440" t="s">
        <v>771</v>
      </c>
      <c r="H14" s="444">
        <v>75</v>
      </c>
      <c r="I14" s="444">
        <v>121575</v>
      </c>
      <c r="J14" s="440">
        <v>0.73459214501510572</v>
      </c>
      <c r="K14" s="440">
        <v>1621</v>
      </c>
      <c r="L14" s="444">
        <v>100</v>
      </c>
      <c r="M14" s="444">
        <v>165500</v>
      </c>
      <c r="N14" s="440">
        <v>1</v>
      </c>
      <c r="O14" s="440">
        <v>1655</v>
      </c>
      <c r="P14" s="444">
        <v>46</v>
      </c>
      <c r="Q14" s="444">
        <v>76130</v>
      </c>
      <c r="R14" s="510">
        <v>0.46</v>
      </c>
      <c r="S14" s="445">
        <v>1655</v>
      </c>
    </row>
    <row r="15" spans="1:19" ht="14.4" customHeight="1" x14ac:dyDescent="0.3">
      <c r="A15" s="439" t="s">
        <v>750</v>
      </c>
      <c r="B15" s="440" t="s">
        <v>755</v>
      </c>
      <c r="C15" s="440" t="s">
        <v>439</v>
      </c>
      <c r="D15" s="440" t="s">
        <v>744</v>
      </c>
      <c r="E15" s="440" t="s">
        <v>752</v>
      </c>
      <c r="F15" s="440" t="s">
        <v>772</v>
      </c>
      <c r="G15" s="440" t="s">
        <v>773</v>
      </c>
      <c r="H15" s="444">
        <v>2</v>
      </c>
      <c r="I15" s="444">
        <v>3106</v>
      </c>
      <c r="J15" s="440"/>
      <c r="K15" s="440">
        <v>1553</v>
      </c>
      <c r="L15" s="444"/>
      <c r="M15" s="444"/>
      <c r="N15" s="440"/>
      <c r="O15" s="440"/>
      <c r="P15" s="444"/>
      <c r="Q15" s="444"/>
      <c r="R15" s="510"/>
      <c r="S15" s="445"/>
    </row>
    <row r="16" spans="1:19" ht="14.4" customHeight="1" x14ac:dyDescent="0.3">
      <c r="A16" s="439" t="s">
        <v>750</v>
      </c>
      <c r="B16" s="440" t="s">
        <v>755</v>
      </c>
      <c r="C16" s="440" t="s">
        <v>439</v>
      </c>
      <c r="D16" s="440" t="s">
        <v>744</v>
      </c>
      <c r="E16" s="440" t="s">
        <v>752</v>
      </c>
      <c r="F16" s="440" t="s">
        <v>774</v>
      </c>
      <c r="G16" s="440" t="s">
        <v>775</v>
      </c>
      <c r="H16" s="444">
        <v>14</v>
      </c>
      <c r="I16" s="444">
        <v>11522</v>
      </c>
      <c r="J16" s="440">
        <v>0.97976190476190472</v>
      </c>
      <c r="K16" s="440">
        <v>823</v>
      </c>
      <c r="L16" s="444">
        <v>14</v>
      </c>
      <c r="M16" s="444">
        <v>11760</v>
      </c>
      <c r="N16" s="440">
        <v>1</v>
      </c>
      <c r="O16" s="440">
        <v>840</v>
      </c>
      <c r="P16" s="444">
        <v>4</v>
      </c>
      <c r="Q16" s="444">
        <v>3364</v>
      </c>
      <c r="R16" s="510">
        <v>0.28605442176870749</v>
      </c>
      <c r="S16" s="445">
        <v>841</v>
      </c>
    </row>
    <row r="17" spans="1:19" ht="14.4" customHeight="1" x14ac:dyDescent="0.3">
      <c r="A17" s="439" t="s">
        <v>750</v>
      </c>
      <c r="B17" s="440" t="s">
        <v>755</v>
      </c>
      <c r="C17" s="440" t="s">
        <v>439</v>
      </c>
      <c r="D17" s="440" t="s">
        <v>744</v>
      </c>
      <c r="E17" s="440" t="s">
        <v>752</v>
      </c>
      <c r="F17" s="440" t="s">
        <v>776</v>
      </c>
      <c r="G17" s="440" t="s">
        <v>777</v>
      </c>
      <c r="H17" s="444">
        <v>83</v>
      </c>
      <c r="I17" s="444">
        <v>121263</v>
      </c>
      <c r="J17" s="440">
        <v>2.4127618933922284</v>
      </c>
      <c r="K17" s="440">
        <v>1461</v>
      </c>
      <c r="L17" s="444">
        <v>33</v>
      </c>
      <c r="M17" s="444">
        <v>50259</v>
      </c>
      <c r="N17" s="440">
        <v>1</v>
      </c>
      <c r="O17" s="440">
        <v>1523</v>
      </c>
      <c r="P17" s="444">
        <v>2</v>
      </c>
      <c r="Q17" s="444">
        <v>3048</v>
      </c>
      <c r="R17" s="510">
        <v>6.0645854473825582E-2</v>
      </c>
      <c r="S17" s="445">
        <v>1524</v>
      </c>
    </row>
    <row r="18" spans="1:19" ht="14.4" customHeight="1" x14ac:dyDescent="0.3">
      <c r="A18" s="439" t="s">
        <v>750</v>
      </c>
      <c r="B18" s="440" t="s">
        <v>755</v>
      </c>
      <c r="C18" s="440" t="s">
        <v>439</v>
      </c>
      <c r="D18" s="440" t="s">
        <v>744</v>
      </c>
      <c r="E18" s="440" t="s">
        <v>752</v>
      </c>
      <c r="F18" s="440" t="s">
        <v>778</v>
      </c>
      <c r="G18" s="440" t="s">
        <v>779</v>
      </c>
      <c r="H18" s="444"/>
      <c r="I18" s="444"/>
      <c r="J18" s="440"/>
      <c r="K18" s="440"/>
      <c r="L18" s="444">
        <v>1</v>
      </c>
      <c r="M18" s="444">
        <v>3252</v>
      </c>
      <c r="N18" s="440">
        <v>1</v>
      </c>
      <c r="O18" s="440">
        <v>3252</v>
      </c>
      <c r="P18" s="444"/>
      <c r="Q18" s="444"/>
      <c r="R18" s="510"/>
      <c r="S18" s="445"/>
    </row>
    <row r="19" spans="1:19" ht="14.4" customHeight="1" x14ac:dyDescent="0.3">
      <c r="A19" s="439" t="s">
        <v>750</v>
      </c>
      <c r="B19" s="440" t="s">
        <v>755</v>
      </c>
      <c r="C19" s="440" t="s">
        <v>439</v>
      </c>
      <c r="D19" s="440" t="s">
        <v>744</v>
      </c>
      <c r="E19" s="440" t="s">
        <v>752</v>
      </c>
      <c r="F19" s="440" t="s">
        <v>780</v>
      </c>
      <c r="G19" s="440" t="s">
        <v>781</v>
      </c>
      <c r="H19" s="444">
        <v>65</v>
      </c>
      <c r="I19" s="444">
        <v>1040</v>
      </c>
      <c r="J19" s="440">
        <v>0.57174271577789992</v>
      </c>
      <c r="K19" s="440">
        <v>16</v>
      </c>
      <c r="L19" s="444">
        <v>107</v>
      </c>
      <c r="M19" s="444">
        <v>1819</v>
      </c>
      <c r="N19" s="440">
        <v>1</v>
      </c>
      <c r="O19" s="440">
        <v>17</v>
      </c>
      <c r="P19" s="444">
        <v>83</v>
      </c>
      <c r="Q19" s="444">
        <v>1411</v>
      </c>
      <c r="R19" s="510">
        <v>0.77570093457943923</v>
      </c>
      <c r="S19" s="445">
        <v>17</v>
      </c>
    </row>
    <row r="20" spans="1:19" ht="14.4" customHeight="1" x14ac:dyDescent="0.3">
      <c r="A20" s="439" t="s">
        <v>750</v>
      </c>
      <c r="B20" s="440" t="s">
        <v>755</v>
      </c>
      <c r="C20" s="440" t="s">
        <v>439</v>
      </c>
      <c r="D20" s="440" t="s">
        <v>744</v>
      </c>
      <c r="E20" s="440" t="s">
        <v>752</v>
      </c>
      <c r="F20" s="440" t="s">
        <v>782</v>
      </c>
      <c r="G20" s="440" t="s">
        <v>767</v>
      </c>
      <c r="H20" s="444">
        <v>91</v>
      </c>
      <c r="I20" s="444">
        <v>63336</v>
      </c>
      <c r="J20" s="440">
        <v>0.57714598141060691</v>
      </c>
      <c r="K20" s="440">
        <v>696</v>
      </c>
      <c r="L20" s="444">
        <v>155</v>
      </c>
      <c r="M20" s="444">
        <v>109740</v>
      </c>
      <c r="N20" s="440">
        <v>1</v>
      </c>
      <c r="O20" s="440">
        <v>708</v>
      </c>
      <c r="P20" s="444">
        <v>141</v>
      </c>
      <c r="Q20" s="444">
        <v>99828</v>
      </c>
      <c r="R20" s="510">
        <v>0.9096774193548387</v>
      </c>
      <c r="S20" s="445">
        <v>708</v>
      </c>
    </row>
    <row r="21" spans="1:19" ht="14.4" customHeight="1" x14ac:dyDescent="0.3">
      <c r="A21" s="439" t="s">
        <v>750</v>
      </c>
      <c r="B21" s="440" t="s">
        <v>755</v>
      </c>
      <c r="C21" s="440" t="s">
        <v>439</v>
      </c>
      <c r="D21" s="440" t="s">
        <v>744</v>
      </c>
      <c r="E21" s="440" t="s">
        <v>752</v>
      </c>
      <c r="F21" s="440" t="s">
        <v>783</v>
      </c>
      <c r="G21" s="440" t="s">
        <v>769</v>
      </c>
      <c r="H21" s="444">
        <v>100</v>
      </c>
      <c r="I21" s="444">
        <v>138700</v>
      </c>
      <c r="J21" s="440">
        <v>0.55432992822086868</v>
      </c>
      <c r="K21" s="440">
        <v>1387</v>
      </c>
      <c r="L21" s="444">
        <v>174</v>
      </c>
      <c r="M21" s="444">
        <v>250212</v>
      </c>
      <c r="N21" s="440">
        <v>1</v>
      </c>
      <c r="O21" s="440">
        <v>1438</v>
      </c>
      <c r="P21" s="444">
        <v>79</v>
      </c>
      <c r="Q21" s="444">
        <v>113681</v>
      </c>
      <c r="R21" s="510">
        <v>0.45433872076479148</v>
      </c>
      <c r="S21" s="445">
        <v>1439</v>
      </c>
    </row>
    <row r="22" spans="1:19" ht="14.4" customHeight="1" x14ac:dyDescent="0.3">
      <c r="A22" s="439" t="s">
        <v>750</v>
      </c>
      <c r="B22" s="440" t="s">
        <v>755</v>
      </c>
      <c r="C22" s="440" t="s">
        <v>439</v>
      </c>
      <c r="D22" s="440" t="s">
        <v>744</v>
      </c>
      <c r="E22" s="440" t="s">
        <v>752</v>
      </c>
      <c r="F22" s="440" t="s">
        <v>784</v>
      </c>
      <c r="G22" s="440" t="s">
        <v>785</v>
      </c>
      <c r="H22" s="444">
        <v>51</v>
      </c>
      <c r="I22" s="444">
        <v>119391</v>
      </c>
      <c r="J22" s="440">
        <v>0.53836233524374677</v>
      </c>
      <c r="K22" s="440">
        <v>2341</v>
      </c>
      <c r="L22" s="444">
        <v>91</v>
      </c>
      <c r="M22" s="444">
        <v>221767</v>
      </c>
      <c r="N22" s="440">
        <v>1</v>
      </c>
      <c r="O22" s="440">
        <v>2437</v>
      </c>
      <c r="P22" s="444">
        <v>66</v>
      </c>
      <c r="Q22" s="444">
        <v>160908</v>
      </c>
      <c r="R22" s="510">
        <v>0.72557233492810025</v>
      </c>
      <c r="S22" s="445">
        <v>2438</v>
      </c>
    </row>
    <row r="23" spans="1:19" ht="14.4" customHeight="1" x14ac:dyDescent="0.3">
      <c r="A23" s="439" t="s">
        <v>750</v>
      </c>
      <c r="B23" s="440" t="s">
        <v>755</v>
      </c>
      <c r="C23" s="440" t="s">
        <v>439</v>
      </c>
      <c r="D23" s="440" t="s">
        <v>744</v>
      </c>
      <c r="E23" s="440" t="s">
        <v>752</v>
      </c>
      <c r="F23" s="440" t="s">
        <v>786</v>
      </c>
      <c r="G23" s="440" t="s">
        <v>787</v>
      </c>
      <c r="H23" s="444">
        <v>1192</v>
      </c>
      <c r="I23" s="444">
        <v>78672</v>
      </c>
      <c r="J23" s="440">
        <v>0.97036077705827939</v>
      </c>
      <c r="K23" s="440">
        <v>66</v>
      </c>
      <c r="L23" s="444">
        <v>1175</v>
      </c>
      <c r="M23" s="444">
        <v>81075</v>
      </c>
      <c r="N23" s="440">
        <v>1</v>
      </c>
      <c r="O23" s="440">
        <v>69</v>
      </c>
      <c r="P23" s="444">
        <v>1061</v>
      </c>
      <c r="Q23" s="444">
        <v>73209</v>
      </c>
      <c r="R23" s="510">
        <v>0.90297872340425533</v>
      </c>
      <c r="S23" s="445">
        <v>69</v>
      </c>
    </row>
    <row r="24" spans="1:19" ht="14.4" customHeight="1" x14ac:dyDescent="0.3">
      <c r="A24" s="439" t="s">
        <v>750</v>
      </c>
      <c r="B24" s="440" t="s">
        <v>755</v>
      </c>
      <c r="C24" s="440" t="s">
        <v>439</v>
      </c>
      <c r="D24" s="440" t="s">
        <v>744</v>
      </c>
      <c r="E24" s="440" t="s">
        <v>752</v>
      </c>
      <c r="F24" s="440" t="s">
        <v>788</v>
      </c>
      <c r="G24" s="440" t="s">
        <v>789</v>
      </c>
      <c r="H24" s="444">
        <v>83</v>
      </c>
      <c r="I24" s="444">
        <v>33283</v>
      </c>
      <c r="J24" s="440">
        <v>2.4780731144367509</v>
      </c>
      <c r="K24" s="440">
        <v>401</v>
      </c>
      <c r="L24" s="444">
        <v>33</v>
      </c>
      <c r="M24" s="444">
        <v>13431</v>
      </c>
      <c r="N24" s="440">
        <v>1</v>
      </c>
      <c r="O24" s="440">
        <v>407</v>
      </c>
      <c r="P24" s="444">
        <v>2</v>
      </c>
      <c r="Q24" s="444">
        <v>816</v>
      </c>
      <c r="R24" s="510">
        <v>6.0754969845878935E-2</v>
      </c>
      <c r="S24" s="445">
        <v>408</v>
      </c>
    </row>
    <row r="25" spans="1:19" ht="14.4" customHeight="1" x14ac:dyDescent="0.3">
      <c r="A25" s="439" t="s">
        <v>750</v>
      </c>
      <c r="B25" s="440" t="s">
        <v>755</v>
      </c>
      <c r="C25" s="440" t="s">
        <v>439</v>
      </c>
      <c r="D25" s="440" t="s">
        <v>744</v>
      </c>
      <c r="E25" s="440" t="s">
        <v>752</v>
      </c>
      <c r="F25" s="440" t="s">
        <v>790</v>
      </c>
      <c r="G25" s="440" t="s">
        <v>791</v>
      </c>
      <c r="H25" s="444">
        <v>80</v>
      </c>
      <c r="I25" s="444">
        <v>129040</v>
      </c>
      <c r="J25" s="440">
        <v>0.8162955465587044</v>
      </c>
      <c r="K25" s="440">
        <v>1613</v>
      </c>
      <c r="L25" s="444">
        <v>95</v>
      </c>
      <c r="M25" s="444">
        <v>158080</v>
      </c>
      <c r="N25" s="440">
        <v>1</v>
      </c>
      <c r="O25" s="440">
        <v>1664</v>
      </c>
      <c r="P25" s="444">
        <v>103</v>
      </c>
      <c r="Q25" s="444">
        <v>171495</v>
      </c>
      <c r="R25" s="510">
        <v>1.0848620951417005</v>
      </c>
      <c r="S25" s="445">
        <v>1665</v>
      </c>
    </row>
    <row r="26" spans="1:19" ht="14.4" customHeight="1" x14ac:dyDescent="0.3">
      <c r="A26" s="439" t="s">
        <v>750</v>
      </c>
      <c r="B26" s="440" t="s">
        <v>755</v>
      </c>
      <c r="C26" s="440" t="s">
        <v>439</v>
      </c>
      <c r="D26" s="440" t="s">
        <v>744</v>
      </c>
      <c r="E26" s="440" t="s">
        <v>752</v>
      </c>
      <c r="F26" s="440" t="s">
        <v>792</v>
      </c>
      <c r="G26" s="440" t="s">
        <v>793</v>
      </c>
      <c r="H26" s="444">
        <v>238</v>
      </c>
      <c r="I26" s="444">
        <v>131376</v>
      </c>
      <c r="J26" s="440">
        <v>0.5368421052631579</v>
      </c>
      <c r="K26" s="440">
        <v>552</v>
      </c>
      <c r="L26" s="444">
        <v>437</v>
      </c>
      <c r="M26" s="444">
        <v>244720</v>
      </c>
      <c r="N26" s="440">
        <v>1</v>
      </c>
      <c r="O26" s="440">
        <v>560</v>
      </c>
      <c r="P26" s="444">
        <v>434</v>
      </c>
      <c r="Q26" s="444">
        <v>243040</v>
      </c>
      <c r="R26" s="510">
        <v>0.99313501144164762</v>
      </c>
      <c r="S26" s="445">
        <v>560</v>
      </c>
    </row>
    <row r="27" spans="1:19" ht="14.4" customHeight="1" x14ac:dyDescent="0.3">
      <c r="A27" s="439" t="s">
        <v>750</v>
      </c>
      <c r="B27" s="440" t="s">
        <v>755</v>
      </c>
      <c r="C27" s="440" t="s">
        <v>439</v>
      </c>
      <c r="D27" s="440" t="s">
        <v>744</v>
      </c>
      <c r="E27" s="440" t="s">
        <v>752</v>
      </c>
      <c r="F27" s="440" t="s">
        <v>794</v>
      </c>
      <c r="G27" s="440" t="s">
        <v>795</v>
      </c>
      <c r="H27" s="444"/>
      <c r="I27" s="444"/>
      <c r="J27" s="440"/>
      <c r="K27" s="440"/>
      <c r="L27" s="444">
        <v>1</v>
      </c>
      <c r="M27" s="444">
        <v>1266</v>
      </c>
      <c r="N27" s="440">
        <v>1</v>
      </c>
      <c r="O27" s="440">
        <v>1266</v>
      </c>
      <c r="P27" s="444"/>
      <c r="Q27" s="444"/>
      <c r="R27" s="510"/>
      <c r="S27" s="445"/>
    </row>
    <row r="28" spans="1:19" ht="14.4" customHeight="1" x14ac:dyDescent="0.3">
      <c r="A28" s="439" t="s">
        <v>750</v>
      </c>
      <c r="B28" s="440" t="s">
        <v>755</v>
      </c>
      <c r="C28" s="440" t="s">
        <v>439</v>
      </c>
      <c r="D28" s="440" t="s">
        <v>744</v>
      </c>
      <c r="E28" s="440" t="s">
        <v>752</v>
      </c>
      <c r="F28" s="440" t="s">
        <v>796</v>
      </c>
      <c r="G28" s="440" t="s">
        <v>797</v>
      </c>
      <c r="H28" s="444">
        <v>320</v>
      </c>
      <c r="I28" s="444">
        <v>11520</v>
      </c>
      <c r="J28" s="440">
        <v>0.96096096096096095</v>
      </c>
      <c r="K28" s="440">
        <v>36</v>
      </c>
      <c r="L28" s="444">
        <v>324</v>
      </c>
      <c r="M28" s="444">
        <v>11988</v>
      </c>
      <c r="N28" s="440">
        <v>1</v>
      </c>
      <c r="O28" s="440">
        <v>37</v>
      </c>
      <c r="P28" s="444">
        <v>229</v>
      </c>
      <c r="Q28" s="444">
        <v>8473</v>
      </c>
      <c r="R28" s="510">
        <v>0.70679012345679015</v>
      </c>
      <c r="S28" s="445">
        <v>37</v>
      </c>
    </row>
    <row r="29" spans="1:19" ht="14.4" customHeight="1" x14ac:dyDescent="0.3">
      <c r="A29" s="439" t="s">
        <v>750</v>
      </c>
      <c r="B29" s="440" t="s">
        <v>755</v>
      </c>
      <c r="C29" s="440" t="s">
        <v>439</v>
      </c>
      <c r="D29" s="440" t="s">
        <v>744</v>
      </c>
      <c r="E29" s="440" t="s">
        <v>752</v>
      </c>
      <c r="F29" s="440" t="s">
        <v>798</v>
      </c>
      <c r="G29" s="440" t="s">
        <v>799</v>
      </c>
      <c r="H29" s="444">
        <v>5</v>
      </c>
      <c r="I29" s="444">
        <v>615</v>
      </c>
      <c r="J29" s="440">
        <v>0.52971576227390182</v>
      </c>
      <c r="K29" s="440">
        <v>123</v>
      </c>
      <c r="L29" s="444">
        <v>9</v>
      </c>
      <c r="M29" s="444">
        <v>1161</v>
      </c>
      <c r="N29" s="440">
        <v>1</v>
      </c>
      <c r="O29" s="440">
        <v>129</v>
      </c>
      <c r="P29" s="444">
        <v>7</v>
      </c>
      <c r="Q29" s="444">
        <v>903</v>
      </c>
      <c r="R29" s="510">
        <v>0.77777777777777779</v>
      </c>
      <c r="S29" s="445">
        <v>129</v>
      </c>
    </row>
    <row r="30" spans="1:19" ht="14.4" customHeight="1" x14ac:dyDescent="0.3">
      <c r="A30" s="439" t="s">
        <v>750</v>
      </c>
      <c r="B30" s="440" t="s">
        <v>755</v>
      </c>
      <c r="C30" s="440" t="s">
        <v>439</v>
      </c>
      <c r="D30" s="440" t="s">
        <v>744</v>
      </c>
      <c r="E30" s="440" t="s">
        <v>752</v>
      </c>
      <c r="F30" s="440" t="s">
        <v>800</v>
      </c>
      <c r="G30" s="440" t="s">
        <v>801</v>
      </c>
      <c r="H30" s="444">
        <v>927</v>
      </c>
      <c r="I30" s="444">
        <v>394902</v>
      </c>
      <c r="J30" s="440">
        <v>0.73231303302902351</v>
      </c>
      <c r="K30" s="440">
        <v>426</v>
      </c>
      <c r="L30" s="444">
        <v>1257</v>
      </c>
      <c r="M30" s="444">
        <v>539253</v>
      </c>
      <c r="N30" s="440">
        <v>1</v>
      </c>
      <c r="O30" s="440">
        <v>429</v>
      </c>
      <c r="P30" s="444">
        <v>1704</v>
      </c>
      <c r="Q30" s="444">
        <v>731016</v>
      </c>
      <c r="R30" s="510">
        <v>1.3556085918854415</v>
      </c>
      <c r="S30" s="445">
        <v>429</v>
      </c>
    </row>
    <row r="31" spans="1:19" ht="14.4" customHeight="1" x14ac:dyDescent="0.3">
      <c r="A31" s="439" t="s">
        <v>750</v>
      </c>
      <c r="B31" s="440" t="s">
        <v>755</v>
      </c>
      <c r="C31" s="440" t="s">
        <v>439</v>
      </c>
      <c r="D31" s="440" t="s">
        <v>744</v>
      </c>
      <c r="E31" s="440" t="s">
        <v>752</v>
      </c>
      <c r="F31" s="440" t="s">
        <v>802</v>
      </c>
      <c r="G31" s="440" t="s">
        <v>803</v>
      </c>
      <c r="H31" s="444">
        <v>1</v>
      </c>
      <c r="I31" s="444">
        <v>1211</v>
      </c>
      <c r="J31" s="440"/>
      <c r="K31" s="440">
        <v>1211</v>
      </c>
      <c r="L31" s="444"/>
      <c r="M31" s="444"/>
      <c r="N31" s="440"/>
      <c r="O31" s="440"/>
      <c r="P31" s="444">
        <v>1</v>
      </c>
      <c r="Q31" s="444">
        <v>1245</v>
      </c>
      <c r="R31" s="510"/>
      <c r="S31" s="445">
        <v>1245</v>
      </c>
    </row>
    <row r="32" spans="1:19" ht="14.4" customHeight="1" x14ac:dyDescent="0.3">
      <c r="A32" s="439" t="s">
        <v>750</v>
      </c>
      <c r="B32" s="440" t="s">
        <v>755</v>
      </c>
      <c r="C32" s="440" t="s">
        <v>439</v>
      </c>
      <c r="D32" s="440" t="s">
        <v>744</v>
      </c>
      <c r="E32" s="440" t="s">
        <v>752</v>
      </c>
      <c r="F32" s="440" t="s">
        <v>804</v>
      </c>
      <c r="G32" s="440" t="s">
        <v>763</v>
      </c>
      <c r="H32" s="444">
        <v>2</v>
      </c>
      <c r="I32" s="444">
        <v>1846</v>
      </c>
      <c r="J32" s="440"/>
      <c r="K32" s="440">
        <v>923</v>
      </c>
      <c r="L32" s="444"/>
      <c r="M32" s="444"/>
      <c r="N32" s="440"/>
      <c r="O32" s="440"/>
      <c r="P32" s="444"/>
      <c r="Q32" s="444"/>
      <c r="R32" s="510"/>
      <c r="S32" s="445"/>
    </row>
    <row r="33" spans="1:19" ht="14.4" customHeight="1" x14ac:dyDescent="0.3">
      <c r="A33" s="439" t="s">
        <v>750</v>
      </c>
      <c r="B33" s="440" t="s">
        <v>755</v>
      </c>
      <c r="C33" s="440" t="s">
        <v>439</v>
      </c>
      <c r="D33" s="440" t="s">
        <v>744</v>
      </c>
      <c r="E33" s="440" t="s">
        <v>752</v>
      </c>
      <c r="F33" s="440" t="s">
        <v>805</v>
      </c>
      <c r="G33" s="440" t="s">
        <v>806</v>
      </c>
      <c r="H33" s="444">
        <v>221</v>
      </c>
      <c r="I33" s="444">
        <v>356915</v>
      </c>
      <c r="J33" s="440">
        <v>0.54110824742268038</v>
      </c>
      <c r="K33" s="440">
        <v>1615</v>
      </c>
      <c r="L33" s="444">
        <v>400</v>
      </c>
      <c r="M33" s="444">
        <v>659600</v>
      </c>
      <c r="N33" s="440">
        <v>1</v>
      </c>
      <c r="O33" s="440">
        <v>1649</v>
      </c>
      <c r="P33" s="444">
        <v>291</v>
      </c>
      <c r="Q33" s="444">
        <v>479859</v>
      </c>
      <c r="R33" s="510">
        <v>0.72750000000000004</v>
      </c>
      <c r="S33" s="445">
        <v>1649</v>
      </c>
    </row>
    <row r="34" spans="1:19" ht="14.4" customHeight="1" x14ac:dyDescent="0.3">
      <c r="A34" s="439" t="s">
        <v>750</v>
      </c>
      <c r="B34" s="440" t="s">
        <v>755</v>
      </c>
      <c r="C34" s="440" t="s">
        <v>439</v>
      </c>
      <c r="D34" s="440" t="s">
        <v>744</v>
      </c>
      <c r="E34" s="440" t="s">
        <v>752</v>
      </c>
      <c r="F34" s="440" t="s">
        <v>807</v>
      </c>
      <c r="G34" s="440" t="s">
        <v>799</v>
      </c>
      <c r="H34" s="444"/>
      <c r="I34" s="444"/>
      <c r="J34" s="440"/>
      <c r="K34" s="440"/>
      <c r="L34" s="444">
        <v>1</v>
      </c>
      <c r="M34" s="444">
        <v>240</v>
      </c>
      <c r="N34" s="440">
        <v>1</v>
      </c>
      <c r="O34" s="440">
        <v>240</v>
      </c>
      <c r="P34" s="444"/>
      <c r="Q34" s="444"/>
      <c r="R34" s="510"/>
      <c r="S34" s="445"/>
    </row>
    <row r="35" spans="1:19" ht="14.4" customHeight="1" x14ac:dyDescent="0.3">
      <c r="A35" s="439" t="s">
        <v>750</v>
      </c>
      <c r="B35" s="440" t="s">
        <v>755</v>
      </c>
      <c r="C35" s="440" t="s">
        <v>439</v>
      </c>
      <c r="D35" s="440" t="s">
        <v>744</v>
      </c>
      <c r="E35" s="440" t="s">
        <v>752</v>
      </c>
      <c r="F35" s="440" t="s">
        <v>808</v>
      </c>
      <c r="G35" s="440"/>
      <c r="H35" s="444"/>
      <c r="I35" s="444"/>
      <c r="J35" s="440"/>
      <c r="K35" s="440"/>
      <c r="L35" s="444"/>
      <c r="M35" s="444"/>
      <c r="N35" s="440"/>
      <c r="O35" s="440"/>
      <c r="P35" s="444">
        <v>228</v>
      </c>
      <c r="Q35" s="444">
        <v>502284</v>
      </c>
      <c r="R35" s="510"/>
      <c r="S35" s="445">
        <v>2203</v>
      </c>
    </row>
    <row r="36" spans="1:19" ht="14.4" customHeight="1" thickBot="1" x14ac:dyDescent="0.35">
      <c r="A36" s="446" t="s">
        <v>750</v>
      </c>
      <c r="B36" s="447" t="s">
        <v>755</v>
      </c>
      <c r="C36" s="447" t="s">
        <v>439</v>
      </c>
      <c r="D36" s="447" t="s">
        <v>744</v>
      </c>
      <c r="E36" s="447" t="s">
        <v>752</v>
      </c>
      <c r="F36" s="447" t="s">
        <v>809</v>
      </c>
      <c r="G36" s="447"/>
      <c r="H36" s="451"/>
      <c r="I36" s="451"/>
      <c r="J36" s="447"/>
      <c r="K36" s="447"/>
      <c r="L36" s="451"/>
      <c r="M36" s="451"/>
      <c r="N36" s="447"/>
      <c r="O36" s="447"/>
      <c r="P36" s="451">
        <v>22</v>
      </c>
      <c r="Q36" s="451">
        <v>9438</v>
      </c>
      <c r="R36" s="462"/>
      <c r="S36" s="452">
        <v>429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36" t="s">
        <v>111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</row>
    <row r="2" spans="1:19" ht="14.4" customHeight="1" thickBot="1" x14ac:dyDescent="0.35">
      <c r="A2" s="203" t="s">
        <v>229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1710183</v>
      </c>
      <c r="C3" s="190">
        <f t="shared" ref="C3:R3" si="0">SUBTOTAL(9,C6:C1048576)</f>
        <v>19.405710618027104</v>
      </c>
      <c r="D3" s="190">
        <f t="shared" si="0"/>
        <v>1483962</v>
      </c>
      <c r="E3" s="190">
        <f t="shared" si="0"/>
        <v>15</v>
      </c>
      <c r="F3" s="190">
        <f t="shared" si="0"/>
        <v>1857137</v>
      </c>
      <c r="G3" s="193">
        <f>IF(D3&lt;&gt;0,F3/D3,"")</f>
        <v>1.2514720727350161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73" t="s">
        <v>91</v>
      </c>
      <c r="B4" s="374" t="s">
        <v>85</v>
      </c>
      <c r="C4" s="375"/>
      <c r="D4" s="375"/>
      <c r="E4" s="375"/>
      <c r="F4" s="375"/>
      <c r="G4" s="377"/>
      <c r="H4" s="374" t="s">
        <v>86</v>
      </c>
      <c r="I4" s="375"/>
      <c r="J4" s="375"/>
      <c r="K4" s="375"/>
      <c r="L4" s="375"/>
      <c r="M4" s="377"/>
      <c r="N4" s="374" t="s">
        <v>87</v>
      </c>
      <c r="O4" s="375"/>
      <c r="P4" s="375"/>
      <c r="Q4" s="375"/>
      <c r="R4" s="375"/>
      <c r="S4" s="377"/>
    </row>
    <row r="5" spans="1:19" ht="14.4" customHeight="1" thickBot="1" x14ac:dyDescent="0.35">
      <c r="A5" s="472"/>
      <c r="B5" s="473">
        <v>2015</v>
      </c>
      <c r="C5" s="474"/>
      <c r="D5" s="474">
        <v>2016</v>
      </c>
      <c r="E5" s="474"/>
      <c r="F5" s="474">
        <v>2017</v>
      </c>
      <c r="G5" s="512" t="s">
        <v>2</v>
      </c>
      <c r="H5" s="473">
        <v>2015</v>
      </c>
      <c r="I5" s="474"/>
      <c r="J5" s="474">
        <v>2016</v>
      </c>
      <c r="K5" s="474"/>
      <c r="L5" s="474">
        <v>2017</v>
      </c>
      <c r="M5" s="512" t="s">
        <v>2</v>
      </c>
      <c r="N5" s="473">
        <v>2015</v>
      </c>
      <c r="O5" s="474"/>
      <c r="P5" s="474">
        <v>2016</v>
      </c>
      <c r="Q5" s="474"/>
      <c r="R5" s="474">
        <v>2017</v>
      </c>
      <c r="S5" s="512" t="s">
        <v>2</v>
      </c>
    </row>
    <row r="6" spans="1:19" ht="14.4" customHeight="1" x14ac:dyDescent="0.3">
      <c r="A6" s="459" t="s">
        <v>812</v>
      </c>
      <c r="B6" s="513">
        <v>10836</v>
      </c>
      <c r="C6" s="433">
        <v>0.22958113519354223</v>
      </c>
      <c r="D6" s="513">
        <v>47199</v>
      </c>
      <c r="E6" s="433">
        <v>1</v>
      </c>
      <c r="F6" s="513">
        <v>10731</v>
      </c>
      <c r="G6" s="460">
        <v>0.22735651179050403</v>
      </c>
      <c r="H6" s="513"/>
      <c r="I6" s="433"/>
      <c r="J6" s="513"/>
      <c r="K6" s="433"/>
      <c r="L6" s="513"/>
      <c r="M6" s="460"/>
      <c r="N6" s="513"/>
      <c r="O6" s="433"/>
      <c r="P6" s="513"/>
      <c r="Q6" s="433"/>
      <c r="R6" s="513"/>
      <c r="S6" s="461"/>
    </row>
    <row r="7" spans="1:19" ht="14.4" customHeight="1" x14ac:dyDescent="0.3">
      <c r="A7" s="517" t="s">
        <v>813</v>
      </c>
      <c r="B7" s="514">
        <v>239777</v>
      </c>
      <c r="C7" s="440">
        <v>2.559587096223233</v>
      </c>
      <c r="D7" s="514">
        <v>93678</v>
      </c>
      <c r="E7" s="440">
        <v>1</v>
      </c>
      <c r="F7" s="514">
        <v>270576</v>
      </c>
      <c r="G7" s="510">
        <v>2.8883622622173828</v>
      </c>
      <c r="H7" s="514"/>
      <c r="I7" s="440"/>
      <c r="J7" s="514"/>
      <c r="K7" s="440"/>
      <c r="L7" s="514"/>
      <c r="M7" s="510"/>
      <c r="N7" s="514"/>
      <c r="O7" s="440"/>
      <c r="P7" s="514"/>
      <c r="Q7" s="440"/>
      <c r="R7" s="514"/>
      <c r="S7" s="515"/>
    </row>
    <row r="8" spans="1:19" ht="14.4" customHeight="1" x14ac:dyDescent="0.3">
      <c r="A8" s="517" t="s">
        <v>814</v>
      </c>
      <c r="B8" s="514">
        <v>466477</v>
      </c>
      <c r="C8" s="440">
        <v>1.1778472990238409</v>
      </c>
      <c r="D8" s="514">
        <v>396042</v>
      </c>
      <c r="E8" s="440">
        <v>1</v>
      </c>
      <c r="F8" s="514">
        <v>347936</v>
      </c>
      <c r="G8" s="510">
        <v>0.8785330848748365</v>
      </c>
      <c r="H8" s="514"/>
      <c r="I8" s="440"/>
      <c r="J8" s="514"/>
      <c r="K8" s="440"/>
      <c r="L8" s="514"/>
      <c r="M8" s="510"/>
      <c r="N8" s="514"/>
      <c r="O8" s="440"/>
      <c r="P8" s="514"/>
      <c r="Q8" s="440"/>
      <c r="R8" s="514"/>
      <c r="S8" s="515"/>
    </row>
    <row r="9" spans="1:19" ht="14.4" customHeight="1" x14ac:dyDescent="0.3">
      <c r="A9" s="517" t="s">
        <v>815</v>
      </c>
      <c r="B9" s="514">
        <v>10725</v>
      </c>
      <c r="C9" s="440">
        <v>2.1750152098965727</v>
      </c>
      <c r="D9" s="514">
        <v>4931</v>
      </c>
      <c r="E9" s="440">
        <v>1</v>
      </c>
      <c r="F9" s="514"/>
      <c r="G9" s="510"/>
      <c r="H9" s="514"/>
      <c r="I9" s="440"/>
      <c r="J9" s="514"/>
      <c r="K9" s="440"/>
      <c r="L9" s="514"/>
      <c r="M9" s="510"/>
      <c r="N9" s="514"/>
      <c r="O9" s="440"/>
      <c r="P9" s="514"/>
      <c r="Q9" s="440"/>
      <c r="R9" s="514"/>
      <c r="S9" s="515"/>
    </row>
    <row r="10" spans="1:19" ht="14.4" customHeight="1" x14ac:dyDescent="0.3">
      <c r="A10" s="517" t="s">
        <v>816</v>
      </c>
      <c r="B10" s="514"/>
      <c r="C10" s="440"/>
      <c r="D10" s="514">
        <v>794</v>
      </c>
      <c r="E10" s="440">
        <v>1</v>
      </c>
      <c r="F10" s="514">
        <v>11413</v>
      </c>
      <c r="G10" s="510">
        <v>14.374055415617129</v>
      </c>
      <c r="H10" s="514"/>
      <c r="I10" s="440"/>
      <c r="J10" s="514"/>
      <c r="K10" s="440"/>
      <c r="L10" s="514"/>
      <c r="M10" s="510"/>
      <c r="N10" s="514"/>
      <c r="O10" s="440"/>
      <c r="P10" s="514"/>
      <c r="Q10" s="440"/>
      <c r="R10" s="514"/>
      <c r="S10" s="515"/>
    </row>
    <row r="11" spans="1:19" ht="14.4" customHeight="1" x14ac:dyDescent="0.3">
      <c r="A11" s="517" t="s">
        <v>817</v>
      </c>
      <c r="B11" s="514">
        <v>37284</v>
      </c>
      <c r="C11" s="440">
        <v>0.33791634567453666</v>
      </c>
      <c r="D11" s="514">
        <v>110335</v>
      </c>
      <c r="E11" s="440">
        <v>1</v>
      </c>
      <c r="F11" s="514">
        <v>69277</v>
      </c>
      <c r="G11" s="510">
        <v>0.62787873294965335</v>
      </c>
      <c r="H11" s="514"/>
      <c r="I11" s="440"/>
      <c r="J11" s="514"/>
      <c r="K11" s="440"/>
      <c r="L11" s="514"/>
      <c r="M11" s="510"/>
      <c r="N11" s="514"/>
      <c r="O11" s="440"/>
      <c r="P11" s="514"/>
      <c r="Q11" s="440"/>
      <c r="R11" s="514"/>
      <c r="S11" s="515"/>
    </row>
    <row r="12" spans="1:19" ht="14.4" customHeight="1" x14ac:dyDescent="0.3">
      <c r="A12" s="517" t="s">
        <v>818</v>
      </c>
      <c r="B12" s="514">
        <v>225736</v>
      </c>
      <c r="C12" s="440">
        <v>2.3579994150336354</v>
      </c>
      <c r="D12" s="514">
        <v>95732</v>
      </c>
      <c r="E12" s="440">
        <v>1</v>
      </c>
      <c r="F12" s="514">
        <v>76498</v>
      </c>
      <c r="G12" s="510">
        <v>0.7990849454727782</v>
      </c>
      <c r="H12" s="514"/>
      <c r="I12" s="440"/>
      <c r="J12" s="514"/>
      <c r="K12" s="440"/>
      <c r="L12" s="514"/>
      <c r="M12" s="510"/>
      <c r="N12" s="514"/>
      <c r="O12" s="440"/>
      <c r="P12" s="514"/>
      <c r="Q12" s="440"/>
      <c r="R12" s="514"/>
      <c r="S12" s="515"/>
    </row>
    <row r="13" spans="1:19" ht="14.4" customHeight="1" x14ac:dyDescent="0.3">
      <c r="A13" s="517" t="s">
        <v>819</v>
      </c>
      <c r="B13" s="514">
        <v>22731</v>
      </c>
      <c r="C13" s="440">
        <v>2.7409863740504039</v>
      </c>
      <c r="D13" s="514">
        <v>8293</v>
      </c>
      <c r="E13" s="440">
        <v>1</v>
      </c>
      <c r="F13" s="514">
        <v>31640</v>
      </c>
      <c r="G13" s="510">
        <v>3.81526588689256</v>
      </c>
      <c r="H13" s="514"/>
      <c r="I13" s="440"/>
      <c r="J13" s="514"/>
      <c r="K13" s="440"/>
      <c r="L13" s="514"/>
      <c r="M13" s="510"/>
      <c r="N13" s="514"/>
      <c r="O13" s="440"/>
      <c r="P13" s="514"/>
      <c r="Q13" s="440"/>
      <c r="R13" s="514"/>
      <c r="S13" s="515"/>
    </row>
    <row r="14" spans="1:19" ht="14.4" customHeight="1" x14ac:dyDescent="0.3">
      <c r="A14" s="517" t="s">
        <v>820</v>
      </c>
      <c r="B14" s="514">
        <v>25523</v>
      </c>
      <c r="C14" s="440">
        <v>3.0478863147838546</v>
      </c>
      <c r="D14" s="514">
        <v>8374</v>
      </c>
      <c r="E14" s="440">
        <v>1</v>
      </c>
      <c r="F14" s="514">
        <v>5432</v>
      </c>
      <c r="G14" s="510">
        <v>0.64867446859326483</v>
      </c>
      <c r="H14" s="514"/>
      <c r="I14" s="440"/>
      <c r="J14" s="514"/>
      <c r="K14" s="440"/>
      <c r="L14" s="514"/>
      <c r="M14" s="510"/>
      <c r="N14" s="514"/>
      <c r="O14" s="440"/>
      <c r="P14" s="514"/>
      <c r="Q14" s="440"/>
      <c r="R14" s="514"/>
      <c r="S14" s="515"/>
    </row>
    <row r="15" spans="1:19" ht="14.4" customHeight="1" x14ac:dyDescent="0.3">
      <c r="A15" s="517" t="s">
        <v>821</v>
      </c>
      <c r="B15" s="514">
        <v>257474</v>
      </c>
      <c r="C15" s="440">
        <v>0.7148759183265494</v>
      </c>
      <c r="D15" s="514">
        <v>360166</v>
      </c>
      <c r="E15" s="440">
        <v>1</v>
      </c>
      <c r="F15" s="514">
        <v>489237</v>
      </c>
      <c r="G15" s="510">
        <v>1.3583653093295869</v>
      </c>
      <c r="H15" s="514"/>
      <c r="I15" s="440"/>
      <c r="J15" s="514"/>
      <c r="K15" s="440"/>
      <c r="L15" s="514"/>
      <c r="M15" s="510"/>
      <c r="N15" s="514"/>
      <c r="O15" s="440"/>
      <c r="P15" s="514"/>
      <c r="Q15" s="440"/>
      <c r="R15" s="514"/>
      <c r="S15" s="515"/>
    </row>
    <row r="16" spans="1:19" ht="14.4" customHeight="1" x14ac:dyDescent="0.3">
      <c r="A16" s="517" t="s">
        <v>822</v>
      </c>
      <c r="B16" s="514">
        <v>10725</v>
      </c>
      <c r="C16" s="440"/>
      <c r="D16" s="514"/>
      <c r="E16" s="440"/>
      <c r="F16" s="514"/>
      <c r="G16" s="510"/>
      <c r="H16" s="514"/>
      <c r="I16" s="440"/>
      <c r="J16" s="514"/>
      <c r="K16" s="440"/>
      <c r="L16" s="514"/>
      <c r="M16" s="510"/>
      <c r="N16" s="514"/>
      <c r="O16" s="440"/>
      <c r="P16" s="514"/>
      <c r="Q16" s="440"/>
      <c r="R16" s="514"/>
      <c r="S16" s="515"/>
    </row>
    <row r="17" spans="1:19" ht="14.4" customHeight="1" x14ac:dyDescent="0.3">
      <c r="A17" s="517" t="s">
        <v>823</v>
      </c>
      <c r="B17" s="514">
        <v>11555</v>
      </c>
      <c r="C17" s="440"/>
      <c r="D17" s="514"/>
      <c r="E17" s="440"/>
      <c r="F17" s="514"/>
      <c r="G17" s="510"/>
      <c r="H17" s="514"/>
      <c r="I17" s="440"/>
      <c r="J17" s="514"/>
      <c r="K17" s="440"/>
      <c r="L17" s="514"/>
      <c r="M17" s="510"/>
      <c r="N17" s="514"/>
      <c r="O17" s="440"/>
      <c r="P17" s="514"/>
      <c r="Q17" s="440"/>
      <c r="R17" s="514"/>
      <c r="S17" s="515"/>
    </row>
    <row r="18" spans="1:19" ht="14.4" customHeight="1" x14ac:dyDescent="0.3">
      <c r="A18" s="517" t="s">
        <v>824</v>
      </c>
      <c r="B18" s="514">
        <v>98583</v>
      </c>
      <c r="C18" s="440">
        <v>1.5329103885804918</v>
      </c>
      <c r="D18" s="514">
        <v>64311</v>
      </c>
      <c r="E18" s="440">
        <v>1</v>
      </c>
      <c r="F18" s="514">
        <v>140254</v>
      </c>
      <c r="G18" s="510">
        <v>2.1808710795975803</v>
      </c>
      <c r="H18" s="514"/>
      <c r="I18" s="440"/>
      <c r="J18" s="514"/>
      <c r="K18" s="440"/>
      <c r="L18" s="514"/>
      <c r="M18" s="510"/>
      <c r="N18" s="514"/>
      <c r="O18" s="440"/>
      <c r="P18" s="514"/>
      <c r="Q18" s="440"/>
      <c r="R18" s="514"/>
      <c r="S18" s="515"/>
    </row>
    <row r="19" spans="1:19" ht="14.4" customHeight="1" x14ac:dyDescent="0.3">
      <c r="A19" s="517" t="s">
        <v>825</v>
      </c>
      <c r="B19" s="514">
        <v>160708</v>
      </c>
      <c r="C19" s="440">
        <v>0.88963929053829627</v>
      </c>
      <c r="D19" s="514">
        <v>180644</v>
      </c>
      <c r="E19" s="440">
        <v>1</v>
      </c>
      <c r="F19" s="514">
        <v>326218</v>
      </c>
      <c r="G19" s="510">
        <v>1.8058612519651911</v>
      </c>
      <c r="H19" s="514"/>
      <c r="I19" s="440"/>
      <c r="J19" s="514"/>
      <c r="K19" s="440"/>
      <c r="L19" s="514"/>
      <c r="M19" s="510"/>
      <c r="N19" s="514"/>
      <c r="O19" s="440"/>
      <c r="P19" s="514"/>
      <c r="Q19" s="440"/>
      <c r="R19" s="514"/>
      <c r="S19" s="515"/>
    </row>
    <row r="20" spans="1:19" ht="14.4" customHeight="1" x14ac:dyDescent="0.3">
      <c r="A20" s="517" t="s">
        <v>826</v>
      </c>
      <c r="B20" s="514"/>
      <c r="C20" s="440"/>
      <c r="D20" s="514">
        <v>5009</v>
      </c>
      <c r="E20" s="440">
        <v>1</v>
      </c>
      <c r="F20" s="514">
        <v>2616</v>
      </c>
      <c r="G20" s="510">
        <v>0.52225993212218003</v>
      </c>
      <c r="H20" s="514"/>
      <c r="I20" s="440"/>
      <c r="J20" s="514"/>
      <c r="K20" s="440"/>
      <c r="L20" s="514"/>
      <c r="M20" s="510"/>
      <c r="N20" s="514"/>
      <c r="O20" s="440"/>
      <c r="P20" s="514"/>
      <c r="Q20" s="440"/>
      <c r="R20" s="514"/>
      <c r="S20" s="515"/>
    </row>
    <row r="21" spans="1:19" ht="14.4" customHeight="1" x14ac:dyDescent="0.3">
      <c r="A21" s="517" t="s">
        <v>827</v>
      </c>
      <c r="B21" s="514">
        <v>24210</v>
      </c>
      <c r="C21" s="440"/>
      <c r="D21" s="514"/>
      <c r="E21" s="440"/>
      <c r="F21" s="514"/>
      <c r="G21" s="510"/>
      <c r="H21" s="514"/>
      <c r="I21" s="440"/>
      <c r="J21" s="514"/>
      <c r="K21" s="440"/>
      <c r="L21" s="514"/>
      <c r="M21" s="510"/>
      <c r="N21" s="514"/>
      <c r="O21" s="440"/>
      <c r="P21" s="514"/>
      <c r="Q21" s="440"/>
      <c r="R21" s="514"/>
      <c r="S21" s="515"/>
    </row>
    <row r="22" spans="1:19" ht="14.4" customHeight="1" x14ac:dyDescent="0.3">
      <c r="A22" s="517" t="s">
        <v>828</v>
      </c>
      <c r="B22" s="514">
        <v>1540</v>
      </c>
      <c r="C22" s="440"/>
      <c r="D22" s="514"/>
      <c r="E22" s="440"/>
      <c r="F22" s="514"/>
      <c r="G22" s="510"/>
      <c r="H22" s="514"/>
      <c r="I22" s="440"/>
      <c r="J22" s="514"/>
      <c r="K22" s="440"/>
      <c r="L22" s="514"/>
      <c r="M22" s="510"/>
      <c r="N22" s="514"/>
      <c r="O22" s="440"/>
      <c r="P22" s="514"/>
      <c r="Q22" s="440"/>
      <c r="R22" s="514"/>
      <c r="S22" s="515"/>
    </row>
    <row r="23" spans="1:19" ht="14.4" customHeight="1" x14ac:dyDescent="0.3">
      <c r="A23" s="517" t="s">
        <v>829</v>
      </c>
      <c r="B23" s="514">
        <v>22710</v>
      </c>
      <c r="C23" s="440">
        <v>0.63551140338603607</v>
      </c>
      <c r="D23" s="514">
        <v>35735</v>
      </c>
      <c r="E23" s="440">
        <v>1</v>
      </c>
      <c r="F23" s="514">
        <v>40158</v>
      </c>
      <c r="G23" s="510">
        <v>1.1237722121169722</v>
      </c>
      <c r="H23" s="514"/>
      <c r="I23" s="440"/>
      <c r="J23" s="514"/>
      <c r="K23" s="440"/>
      <c r="L23" s="514"/>
      <c r="M23" s="510"/>
      <c r="N23" s="514"/>
      <c r="O23" s="440"/>
      <c r="P23" s="514"/>
      <c r="Q23" s="440"/>
      <c r="R23" s="514"/>
      <c r="S23" s="515"/>
    </row>
    <row r="24" spans="1:19" ht="14.4" customHeight="1" x14ac:dyDescent="0.3">
      <c r="A24" s="517" t="s">
        <v>830</v>
      </c>
      <c r="B24" s="514"/>
      <c r="C24" s="440"/>
      <c r="D24" s="514"/>
      <c r="E24" s="440"/>
      <c r="F24" s="514">
        <v>429</v>
      </c>
      <c r="G24" s="510"/>
      <c r="H24" s="514"/>
      <c r="I24" s="440"/>
      <c r="J24" s="514"/>
      <c r="K24" s="440"/>
      <c r="L24" s="514"/>
      <c r="M24" s="510"/>
      <c r="N24" s="514"/>
      <c r="O24" s="440"/>
      <c r="P24" s="514"/>
      <c r="Q24" s="440"/>
      <c r="R24" s="514"/>
      <c r="S24" s="515"/>
    </row>
    <row r="25" spans="1:19" ht="14.4" customHeight="1" x14ac:dyDescent="0.3">
      <c r="A25" s="517" t="s">
        <v>831</v>
      </c>
      <c r="B25" s="514">
        <v>10437</v>
      </c>
      <c r="C25" s="440"/>
      <c r="D25" s="514"/>
      <c r="E25" s="440"/>
      <c r="F25" s="514"/>
      <c r="G25" s="510"/>
      <c r="H25" s="514"/>
      <c r="I25" s="440"/>
      <c r="J25" s="514"/>
      <c r="K25" s="440"/>
      <c r="L25" s="514"/>
      <c r="M25" s="510"/>
      <c r="N25" s="514"/>
      <c r="O25" s="440"/>
      <c r="P25" s="514"/>
      <c r="Q25" s="440"/>
      <c r="R25" s="514"/>
      <c r="S25" s="515"/>
    </row>
    <row r="26" spans="1:19" ht="14.4" customHeight="1" thickBot="1" x14ac:dyDescent="0.35">
      <c r="A26" s="518" t="s">
        <v>832</v>
      </c>
      <c r="B26" s="516">
        <v>73152</v>
      </c>
      <c r="C26" s="447">
        <v>1.0059544273161072</v>
      </c>
      <c r="D26" s="516">
        <v>72719</v>
      </c>
      <c r="E26" s="447">
        <v>1</v>
      </c>
      <c r="F26" s="516">
        <v>34722</v>
      </c>
      <c r="G26" s="462">
        <v>0.47748181355629205</v>
      </c>
      <c r="H26" s="516"/>
      <c r="I26" s="447"/>
      <c r="J26" s="516"/>
      <c r="K26" s="447"/>
      <c r="L26" s="516"/>
      <c r="M26" s="462"/>
      <c r="N26" s="516"/>
      <c r="O26" s="447"/>
      <c r="P26" s="516"/>
      <c r="Q26" s="447"/>
      <c r="R26" s="516"/>
      <c r="S26" s="46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1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324" t="s">
        <v>853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3" t="s">
        <v>229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1587</v>
      </c>
      <c r="G3" s="78">
        <f t="shared" si="0"/>
        <v>1710183</v>
      </c>
      <c r="H3" s="78"/>
      <c r="I3" s="78"/>
      <c r="J3" s="78">
        <f t="shared" si="0"/>
        <v>1456</v>
      </c>
      <c r="K3" s="78">
        <f t="shared" si="0"/>
        <v>1483962</v>
      </c>
      <c r="L3" s="78"/>
      <c r="M3" s="78"/>
      <c r="N3" s="78">
        <f t="shared" si="0"/>
        <v>1921</v>
      </c>
      <c r="O3" s="78">
        <f t="shared" si="0"/>
        <v>1857137</v>
      </c>
      <c r="P3" s="59">
        <f>IF(K3=0,0,O3/K3)</f>
        <v>1.2514720727350161</v>
      </c>
      <c r="Q3" s="79">
        <f>IF(N3=0,0,O3/N3)</f>
        <v>966.75533576262364</v>
      </c>
    </row>
    <row r="4" spans="1:17" ht="14.4" customHeight="1" x14ac:dyDescent="0.3">
      <c r="A4" s="382" t="s">
        <v>55</v>
      </c>
      <c r="B4" s="380" t="s">
        <v>81</v>
      </c>
      <c r="C4" s="382" t="s">
        <v>82</v>
      </c>
      <c r="D4" s="391" t="s">
        <v>83</v>
      </c>
      <c r="E4" s="383" t="s">
        <v>56</v>
      </c>
      <c r="F4" s="389">
        <v>2015</v>
      </c>
      <c r="G4" s="390"/>
      <c r="H4" s="80"/>
      <c r="I4" s="80"/>
      <c r="J4" s="389">
        <v>2016</v>
      </c>
      <c r="K4" s="390"/>
      <c r="L4" s="80"/>
      <c r="M4" s="80"/>
      <c r="N4" s="389">
        <v>2017</v>
      </c>
      <c r="O4" s="390"/>
      <c r="P4" s="392" t="s">
        <v>2</v>
      </c>
      <c r="Q4" s="381" t="s">
        <v>84</v>
      </c>
    </row>
    <row r="5" spans="1:17" ht="14.4" customHeight="1" thickBot="1" x14ac:dyDescent="0.35">
      <c r="A5" s="502"/>
      <c r="B5" s="500"/>
      <c r="C5" s="502"/>
      <c r="D5" s="519"/>
      <c r="E5" s="504"/>
      <c r="F5" s="520" t="s">
        <v>58</v>
      </c>
      <c r="G5" s="521" t="s">
        <v>14</v>
      </c>
      <c r="H5" s="522"/>
      <c r="I5" s="522"/>
      <c r="J5" s="520" t="s">
        <v>58</v>
      </c>
      <c r="K5" s="521" t="s">
        <v>14</v>
      </c>
      <c r="L5" s="522"/>
      <c r="M5" s="522"/>
      <c r="N5" s="520" t="s">
        <v>58</v>
      </c>
      <c r="O5" s="521" t="s">
        <v>14</v>
      </c>
      <c r="P5" s="523"/>
      <c r="Q5" s="509"/>
    </row>
    <row r="6" spans="1:17" ht="14.4" customHeight="1" x14ac:dyDescent="0.3">
      <c r="A6" s="432" t="s">
        <v>833</v>
      </c>
      <c r="B6" s="433" t="s">
        <v>751</v>
      </c>
      <c r="C6" s="433" t="s">
        <v>752</v>
      </c>
      <c r="D6" s="433" t="s">
        <v>753</v>
      </c>
      <c r="E6" s="433" t="s">
        <v>754</v>
      </c>
      <c r="F6" s="437"/>
      <c r="G6" s="437"/>
      <c r="H6" s="437"/>
      <c r="I6" s="437"/>
      <c r="J6" s="437">
        <v>2</v>
      </c>
      <c r="K6" s="437">
        <v>22806</v>
      </c>
      <c r="L6" s="437">
        <v>1</v>
      </c>
      <c r="M6" s="437">
        <v>11403</v>
      </c>
      <c r="N6" s="437"/>
      <c r="O6" s="437"/>
      <c r="P6" s="460"/>
      <c r="Q6" s="438"/>
    </row>
    <row r="7" spans="1:17" ht="14.4" customHeight="1" x14ac:dyDescent="0.3">
      <c r="A7" s="439" t="s">
        <v>833</v>
      </c>
      <c r="B7" s="440" t="s">
        <v>755</v>
      </c>
      <c r="C7" s="440" t="s">
        <v>752</v>
      </c>
      <c r="D7" s="440" t="s">
        <v>764</v>
      </c>
      <c r="E7" s="440" t="s">
        <v>765</v>
      </c>
      <c r="F7" s="444"/>
      <c r="G7" s="444"/>
      <c r="H7" s="444"/>
      <c r="I7" s="444"/>
      <c r="J7" s="444">
        <v>1</v>
      </c>
      <c r="K7" s="444">
        <v>3823</v>
      </c>
      <c r="L7" s="444">
        <v>1</v>
      </c>
      <c r="M7" s="444">
        <v>3823</v>
      </c>
      <c r="N7" s="444"/>
      <c r="O7" s="444"/>
      <c r="P7" s="510"/>
      <c r="Q7" s="445"/>
    </row>
    <row r="8" spans="1:17" ht="14.4" customHeight="1" x14ac:dyDescent="0.3">
      <c r="A8" s="439" t="s">
        <v>833</v>
      </c>
      <c r="B8" s="440" t="s">
        <v>755</v>
      </c>
      <c r="C8" s="440" t="s">
        <v>752</v>
      </c>
      <c r="D8" s="440" t="s">
        <v>766</v>
      </c>
      <c r="E8" s="440" t="s">
        <v>767</v>
      </c>
      <c r="F8" s="444"/>
      <c r="G8" s="444"/>
      <c r="H8" s="444"/>
      <c r="I8" s="444"/>
      <c r="J8" s="444"/>
      <c r="K8" s="444"/>
      <c r="L8" s="444"/>
      <c r="M8" s="444"/>
      <c r="N8" s="444">
        <v>1</v>
      </c>
      <c r="O8" s="444">
        <v>445</v>
      </c>
      <c r="P8" s="510"/>
      <c r="Q8" s="445">
        <v>445</v>
      </c>
    </row>
    <row r="9" spans="1:17" ht="14.4" customHeight="1" x14ac:dyDescent="0.3">
      <c r="A9" s="439" t="s">
        <v>833</v>
      </c>
      <c r="B9" s="440" t="s">
        <v>755</v>
      </c>
      <c r="C9" s="440" t="s">
        <v>752</v>
      </c>
      <c r="D9" s="440" t="s">
        <v>770</v>
      </c>
      <c r="E9" s="440" t="s">
        <v>771</v>
      </c>
      <c r="F9" s="444"/>
      <c r="G9" s="444"/>
      <c r="H9" s="444"/>
      <c r="I9" s="444"/>
      <c r="J9" s="444">
        <v>3</v>
      </c>
      <c r="K9" s="444">
        <v>4965</v>
      </c>
      <c r="L9" s="444">
        <v>1</v>
      </c>
      <c r="M9" s="444">
        <v>1655</v>
      </c>
      <c r="N9" s="444">
        <v>1</v>
      </c>
      <c r="O9" s="444">
        <v>1655</v>
      </c>
      <c r="P9" s="510">
        <v>0.33333333333333331</v>
      </c>
      <c r="Q9" s="445">
        <v>1655</v>
      </c>
    </row>
    <row r="10" spans="1:17" ht="14.4" customHeight="1" x14ac:dyDescent="0.3">
      <c r="A10" s="439" t="s">
        <v>833</v>
      </c>
      <c r="B10" s="440" t="s">
        <v>755</v>
      </c>
      <c r="C10" s="440" t="s">
        <v>752</v>
      </c>
      <c r="D10" s="440" t="s">
        <v>780</v>
      </c>
      <c r="E10" s="440" t="s">
        <v>781</v>
      </c>
      <c r="F10" s="444"/>
      <c r="G10" s="444"/>
      <c r="H10" s="444"/>
      <c r="I10" s="444"/>
      <c r="J10" s="444">
        <v>2</v>
      </c>
      <c r="K10" s="444">
        <v>34</v>
      </c>
      <c r="L10" s="444">
        <v>1</v>
      </c>
      <c r="M10" s="444">
        <v>17</v>
      </c>
      <c r="N10" s="444"/>
      <c r="O10" s="444"/>
      <c r="P10" s="510"/>
      <c r="Q10" s="445"/>
    </row>
    <row r="11" spans="1:17" ht="14.4" customHeight="1" x14ac:dyDescent="0.3">
      <c r="A11" s="439" t="s">
        <v>833</v>
      </c>
      <c r="B11" s="440" t="s">
        <v>755</v>
      </c>
      <c r="C11" s="440" t="s">
        <v>752</v>
      </c>
      <c r="D11" s="440" t="s">
        <v>782</v>
      </c>
      <c r="E11" s="440" t="s">
        <v>767</v>
      </c>
      <c r="F11" s="444"/>
      <c r="G11" s="444"/>
      <c r="H11" s="444"/>
      <c r="I11" s="444"/>
      <c r="J11" s="444">
        <v>3</v>
      </c>
      <c r="K11" s="444">
        <v>2124</v>
      </c>
      <c r="L11" s="444">
        <v>1</v>
      </c>
      <c r="M11" s="444">
        <v>708</v>
      </c>
      <c r="N11" s="444"/>
      <c r="O11" s="444"/>
      <c r="P11" s="510"/>
      <c r="Q11" s="445"/>
    </row>
    <row r="12" spans="1:17" ht="14.4" customHeight="1" x14ac:dyDescent="0.3">
      <c r="A12" s="439" t="s">
        <v>833</v>
      </c>
      <c r="B12" s="440" t="s">
        <v>755</v>
      </c>
      <c r="C12" s="440" t="s">
        <v>752</v>
      </c>
      <c r="D12" s="440" t="s">
        <v>783</v>
      </c>
      <c r="E12" s="440" t="s">
        <v>769</v>
      </c>
      <c r="F12" s="444">
        <v>3</v>
      </c>
      <c r="G12" s="444">
        <v>4161</v>
      </c>
      <c r="H12" s="444">
        <v>2.8936022253129345</v>
      </c>
      <c r="I12" s="444">
        <v>1387</v>
      </c>
      <c r="J12" s="444">
        <v>1</v>
      </c>
      <c r="K12" s="444">
        <v>1438</v>
      </c>
      <c r="L12" s="444">
        <v>1</v>
      </c>
      <c r="M12" s="444">
        <v>1438</v>
      </c>
      <c r="N12" s="444"/>
      <c r="O12" s="444"/>
      <c r="P12" s="510"/>
      <c r="Q12" s="445"/>
    </row>
    <row r="13" spans="1:17" ht="14.4" customHeight="1" x14ac:dyDescent="0.3">
      <c r="A13" s="439" t="s">
        <v>833</v>
      </c>
      <c r="B13" s="440" t="s">
        <v>755</v>
      </c>
      <c r="C13" s="440" t="s">
        <v>752</v>
      </c>
      <c r="D13" s="440" t="s">
        <v>784</v>
      </c>
      <c r="E13" s="440" t="s">
        <v>785</v>
      </c>
      <c r="F13" s="444">
        <v>1</v>
      </c>
      <c r="G13" s="444">
        <v>2341</v>
      </c>
      <c r="H13" s="444">
        <v>0.96060730406237171</v>
      </c>
      <c r="I13" s="444">
        <v>2341</v>
      </c>
      <c r="J13" s="444">
        <v>1</v>
      </c>
      <c r="K13" s="444">
        <v>2437</v>
      </c>
      <c r="L13" s="444">
        <v>1</v>
      </c>
      <c r="M13" s="444">
        <v>2437</v>
      </c>
      <c r="N13" s="444"/>
      <c r="O13" s="444"/>
      <c r="P13" s="510"/>
      <c r="Q13" s="445"/>
    </row>
    <row r="14" spans="1:17" ht="14.4" customHeight="1" x14ac:dyDescent="0.3">
      <c r="A14" s="439" t="s">
        <v>833</v>
      </c>
      <c r="B14" s="440" t="s">
        <v>755</v>
      </c>
      <c r="C14" s="440" t="s">
        <v>752</v>
      </c>
      <c r="D14" s="440" t="s">
        <v>786</v>
      </c>
      <c r="E14" s="440" t="s">
        <v>787</v>
      </c>
      <c r="F14" s="444"/>
      <c r="G14" s="444"/>
      <c r="H14" s="444"/>
      <c r="I14" s="444"/>
      <c r="J14" s="444">
        <v>3</v>
      </c>
      <c r="K14" s="444">
        <v>207</v>
      </c>
      <c r="L14" s="444">
        <v>1</v>
      </c>
      <c r="M14" s="444">
        <v>69</v>
      </c>
      <c r="N14" s="444">
        <v>1</v>
      </c>
      <c r="O14" s="444">
        <v>69</v>
      </c>
      <c r="P14" s="510">
        <v>0.33333333333333331</v>
      </c>
      <c r="Q14" s="445">
        <v>69</v>
      </c>
    </row>
    <row r="15" spans="1:17" ht="14.4" customHeight="1" x14ac:dyDescent="0.3">
      <c r="A15" s="439" t="s">
        <v>833</v>
      </c>
      <c r="B15" s="440" t="s">
        <v>755</v>
      </c>
      <c r="C15" s="440" t="s">
        <v>752</v>
      </c>
      <c r="D15" s="440" t="s">
        <v>792</v>
      </c>
      <c r="E15" s="440" t="s">
        <v>793</v>
      </c>
      <c r="F15" s="444">
        <v>2</v>
      </c>
      <c r="G15" s="444">
        <v>1104</v>
      </c>
      <c r="H15" s="444">
        <v>0.98571428571428577</v>
      </c>
      <c r="I15" s="444">
        <v>552</v>
      </c>
      <c r="J15" s="444">
        <v>2</v>
      </c>
      <c r="K15" s="444">
        <v>1120</v>
      </c>
      <c r="L15" s="444">
        <v>1</v>
      </c>
      <c r="M15" s="444">
        <v>560</v>
      </c>
      <c r="N15" s="444"/>
      <c r="O15" s="444"/>
      <c r="P15" s="510"/>
      <c r="Q15" s="445"/>
    </row>
    <row r="16" spans="1:17" ht="14.4" customHeight="1" x14ac:dyDescent="0.3">
      <c r="A16" s="439" t="s">
        <v>833</v>
      </c>
      <c r="B16" s="440" t="s">
        <v>755</v>
      </c>
      <c r="C16" s="440" t="s">
        <v>752</v>
      </c>
      <c r="D16" s="440" t="s">
        <v>800</v>
      </c>
      <c r="E16" s="440" t="s">
        <v>801</v>
      </c>
      <c r="F16" s="444"/>
      <c r="G16" s="444"/>
      <c r="H16" s="444"/>
      <c r="I16" s="444"/>
      <c r="J16" s="444"/>
      <c r="K16" s="444"/>
      <c r="L16" s="444"/>
      <c r="M16" s="444"/>
      <c r="N16" s="444">
        <v>2</v>
      </c>
      <c r="O16" s="444">
        <v>858</v>
      </c>
      <c r="P16" s="510"/>
      <c r="Q16" s="445">
        <v>429</v>
      </c>
    </row>
    <row r="17" spans="1:17" ht="14.4" customHeight="1" x14ac:dyDescent="0.3">
      <c r="A17" s="439" t="s">
        <v>833</v>
      </c>
      <c r="B17" s="440" t="s">
        <v>755</v>
      </c>
      <c r="C17" s="440" t="s">
        <v>752</v>
      </c>
      <c r="D17" s="440" t="s">
        <v>805</v>
      </c>
      <c r="E17" s="440" t="s">
        <v>806</v>
      </c>
      <c r="F17" s="444">
        <v>2</v>
      </c>
      <c r="G17" s="444">
        <v>3230</v>
      </c>
      <c r="H17" s="444">
        <v>0.39175257731958762</v>
      </c>
      <c r="I17" s="444">
        <v>1615</v>
      </c>
      <c r="J17" s="444">
        <v>5</v>
      </c>
      <c r="K17" s="444">
        <v>8245</v>
      </c>
      <c r="L17" s="444">
        <v>1</v>
      </c>
      <c r="M17" s="444">
        <v>1649</v>
      </c>
      <c r="N17" s="444">
        <v>2</v>
      </c>
      <c r="O17" s="444">
        <v>3298</v>
      </c>
      <c r="P17" s="510">
        <v>0.4</v>
      </c>
      <c r="Q17" s="445">
        <v>1649</v>
      </c>
    </row>
    <row r="18" spans="1:17" ht="14.4" customHeight="1" x14ac:dyDescent="0.3">
      <c r="A18" s="439" t="s">
        <v>833</v>
      </c>
      <c r="B18" s="440" t="s">
        <v>755</v>
      </c>
      <c r="C18" s="440" t="s">
        <v>752</v>
      </c>
      <c r="D18" s="440" t="s">
        <v>808</v>
      </c>
      <c r="E18" s="440"/>
      <c r="F18" s="444"/>
      <c r="G18" s="444"/>
      <c r="H18" s="444"/>
      <c r="I18" s="444"/>
      <c r="J18" s="444"/>
      <c r="K18" s="444"/>
      <c r="L18" s="444"/>
      <c r="M18" s="444"/>
      <c r="N18" s="444">
        <v>2</v>
      </c>
      <c r="O18" s="444">
        <v>4406</v>
      </c>
      <c r="P18" s="510"/>
      <c r="Q18" s="445">
        <v>2203</v>
      </c>
    </row>
    <row r="19" spans="1:17" ht="14.4" customHeight="1" x14ac:dyDescent="0.3">
      <c r="A19" s="439" t="s">
        <v>834</v>
      </c>
      <c r="B19" s="440" t="s">
        <v>751</v>
      </c>
      <c r="C19" s="440" t="s">
        <v>752</v>
      </c>
      <c r="D19" s="440" t="s">
        <v>753</v>
      </c>
      <c r="E19" s="440" t="s">
        <v>754</v>
      </c>
      <c r="F19" s="444"/>
      <c r="G19" s="444"/>
      <c r="H19" s="444"/>
      <c r="I19" s="444"/>
      <c r="J19" s="444">
        <v>1</v>
      </c>
      <c r="K19" s="444">
        <v>11403</v>
      </c>
      <c r="L19" s="444">
        <v>1</v>
      </c>
      <c r="M19" s="444">
        <v>11403</v>
      </c>
      <c r="N19" s="444">
        <v>1</v>
      </c>
      <c r="O19" s="444">
        <v>11413</v>
      </c>
      <c r="P19" s="510">
        <v>1.000876962202929</v>
      </c>
      <c r="Q19" s="445">
        <v>11413</v>
      </c>
    </row>
    <row r="20" spans="1:17" ht="14.4" customHeight="1" x14ac:dyDescent="0.3">
      <c r="A20" s="439" t="s">
        <v>834</v>
      </c>
      <c r="B20" s="440" t="s">
        <v>755</v>
      </c>
      <c r="C20" s="440" t="s">
        <v>752</v>
      </c>
      <c r="D20" s="440" t="s">
        <v>756</v>
      </c>
      <c r="E20" s="440" t="s">
        <v>757</v>
      </c>
      <c r="F20" s="444">
        <v>1</v>
      </c>
      <c r="G20" s="444">
        <v>128</v>
      </c>
      <c r="H20" s="444"/>
      <c r="I20" s="444">
        <v>128</v>
      </c>
      <c r="J20" s="444"/>
      <c r="K20" s="444"/>
      <c r="L20" s="444"/>
      <c r="M20" s="444"/>
      <c r="N20" s="444"/>
      <c r="O20" s="444"/>
      <c r="P20" s="510"/>
      <c r="Q20" s="445"/>
    </row>
    <row r="21" spans="1:17" ht="14.4" customHeight="1" x14ac:dyDescent="0.3">
      <c r="A21" s="439" t="s">
        <v>834</v>
      </c>
      <c r="B21" s="440" t="s">
        <v>755</v>
      </c>
      <c r="C21" s="440" t="s">
        <v>752</v>
      </c>
      <c r="D21" s="440" t="s">
        <v>758</v>
      </c>
      <c r="E21" s="440" t="s">
        <v>759</v>
      </c>
      <c r="F21" s="444"/>
      <c r="G21" s="444"/>
      <c r="H21" s="444"/>
      <c r="I21" s="444"/>
      <c r="J21" s="444"/>
      <c r="K21" s="444"/>
      <c r="L21" s="444"/>
      <c r="M21" s="444"/>
      <c r="N21" s="444">
        <v>2</v>
      </c>
      <c r="O21" s="444">
        <v>2524</v>
      </c>
      <c r="P21" s="510"/>
      <c r="Q21" s="445">
        <v>1262</v>
      </c>
    </row>
    <row r="22" spans="1:17" ht="14.4" customHeight="1" x14ac:dyDescent="0.3">
      <c r="A22" s="439" t="s">
        <v>834</v>
      </c>
      <c r="B22" s="440" t="s">
        <v>755</v>
      </c>
      <c r="C22" s="440" t="s">
        <v>752</v>
      </c>
      <c r="D22" s="440" t="s">
        <v>760</v>
      </c>
      <c r="E22" s="440" t="s">
        <v>761</v>
      </c>
      <c r="F22" s="444">
        <v>2</v>
      </c>
      <c r="G22" s="444">
        <v>4472</v>
      </c>
      <c r="H22" s="444"/>
      <c r="I22" s="444">
        <v>2236</v>
      </c>
      <c r="J22" s="444"/>
      <c r="K22" s="444"/>
      <c r="L22" s="444"/>
      <c r="M22" s="444"/>
      <c r="N22" s="444"/>
      <c r="O22" s="444"/>
      <c r="P22" s="510"/>
      <c r="Q22" s="445"/>
    </row>
    <row r="23" spans="1:17" ht="14.4" customHeight="1" x14ac:dyDescent="0.3">
      <c r="A23" s="439" t="s">
        <v>834</v>
      </c>
      <c r="B23" s="440" t="s">
        <v>755</v>
      </c>
      <c r="C23" s="440" t="s">
        <v>752</v>
      </c>
      <c r="D23" s="440" t="s">
        <v>762</v>
      </c>
      <c r="E23" s="440" t="s">
        <v>763</v>
      </c>
      <c r="F23" s="444"/>
      <c r="G23" s="444"/>
      <c r="H23" s="444"/>
      <c r="I23" s="444"/>
      <c r="J23" s="444"/>
      <c r="K23" s="444"/>
      <c r="L23" s="444"/>
      <c r="M23" s="444"/>
      <c r="N23" s="444">
        <v>2</v>
      </c>
      <c r="O23" s="444">
        <v>2154</v>
      </c>
      <c r="P23" s="510"/>
      <c r="Q23" s="445">
        <v>1077</v>
      </c>
    </row>
    <row r="24" spans="1:17" ht="14.4" customHeight="1" x14ac:dyDescent="0.3">
      <c r="A24" s="439" t="s">
        <v>834</v>
      </c>
      <c r="B24" s="440" t="s">
        <v>755</v>
      </c>
      <c r="C24" s="440" t="s">
        <v>752</v>
      </c>
      <c r="D24" s="440" t="s">
        <v>764</v>
      </c>
      <c r="E24" s="440" t="s">
        <v>765</v>
      </c>
      <c r="F24" s="444">
        <v>15</v>
      </c>
      <c r="G24" s="444">
        <v>55815</v>
      </c>
      <c r="H24" s="444">
        <v>3.649947685064086</v>
      </c>
      <c r="I24" s="444">
        <v>3721</v>
      </c>
      <c r="J24" s="444">
        <v>4</v>
      </c>
      <c r="K24" s="444">
        <v>15292</v>
      </c>
      <c r="L24" s="444">
        <v>1</v>
      </c>
      <c r="M24" s="444">
        <v>3823</v>
      </c>
      <c r="N24" s="444">
        <v>12</v>
      </c>
      <c r="O24" s="444">
        <v>45900</v>
      </c>
      <c r="P24" s="510">
        <v>3.0015694480774262</v>
      </c>
      <c r="Q24" s="445">
        <v>3825</v>
      </c>
    </row>
    <row r="25" spans="1:17" ht="14.4" customHeight="1" x14ac:dyDescent="0.3">
      <c r="A25" s="439" t="s">
        <v>834</v>
      </c>
      <c r="B25" s="440" t="s">
        <v>755</v>
      </c>
      <c r="C25" s="440" t="s">
        <v>752</v>
      </c>
      <c r="D25" s="440" t="s">
        <v>770</v>
      </c>
      <c r="E25" s="440" t="s">
        <v>771</v>
      </c>
      <c r="F25" s="444">
        <v>10</v>
      </c>
      <c r="G25" s="444">
        <v>16210</v>
      </c>
      <c r="H25" s="444">
        <v>4.8972809667673713</v>
      </c>
      <c r="I25" s="444">
        <v>1621</v>
      </c>
      <c r="J25" s="444">
        <v>2</v>
      </c>
      <c r="K25" s="444">
        <v>3310</v>
      </c>
      <c r="L25" s="444">
        <v>1</v>
      </c>
      <c r="M25" s="444">
        <v>1655</v>
      </c>
      <c r="N25" s="444">
        <v>1</v>
      </c>
      <c r="O25" s="444">
        <v>1655</v>
      </c>
      <c r="P25" s="510">
        <v>0.5</v>
      </c>
      <c r="Q25" s="445">
        <v>1655</v>
      </c>
    </row>
    <row r="26" spans="1:17" ht="14.4" customHeight="1" x14ac:dyDescent="0.3">
      <c r="A26" s="439" t="s">
        <v>834</v>
      </c>
      <c r="B26" s="440" t="s">
        <v>755</v>
      </c>
      <c r="C26" s="440" t="s">
        <v>752</v>
      </c>
      <c r="D26" s="440" t="s">
        <v>774</v>
      </c>
      <c r="E26" s="440" t="s">
        <v>775</v>
      </c>
      <c r="F26" s="444">
        <v>1</v>
      </c>
      <c r="G26" s="444">
        <v>823</v>
      </c>
      <c r="H26" s="444"/>
      <c r="I26" s="444">
        <v>823</v>
      </c>
      <c r="J26" s="444"/>
      <c r="K26" s="444"/>
      <c r="L26" s="444"/>
      <c r="M26" s="444"/>
      <c r="N26" s="444"/>
      <c r="O26" s="444"/>
      <c r="P26" s="510"/>
      <c r="Q26" s="445"/>
    </row>
    <row r="27" spans="1:17" ht="14.4" customHeight="1" x14ac:dyDescent="0.3">
      <c r="A27" s="439" t="s">
        <v>834</v>
      </c>
      <c r="B27" s="440" t="s">
        <v>755</v>
      </c>
      <c r="C27" s="440" t="s">
        <v>752</v>
      </c>
      <c r="D27" s="440" t="s">
        <v>780</v>
      </c>
      <c r="E27" s="440" t="s">
        <v>781</v>
      </c>
      <c r="F27" s="444">
        <v>6</v>
      </c>
      <c r="G27" s="444">
        <v>96</v>
      </c>
      <c r="H27" s="444">
        <v>1.411764705882353</v>
      </c>
      <c r="I27" s="444">
        <v>16</v>
      </c>
      <c r="J27" s="444">
        <v>4</v>
      </c>
      <c r="K27" s="444">
        <v>68</v>
      </c>
      <c r="L27" s="444">
        <v>1</v>
      </c>
      <c r="M27" s="444">
        <v>17</v>
      </c>
      <c r="N27" s="444">
        <v>13</v>
      </c>
      <c r="O27" s="444">
        <v>221</v>
      </c>
      <c r="P27" s="510">
        <v>3.25</v>
      </c>
      <c r="Q27" s="445">
        <v>17</v>
      </c>
    </row>
    <row r="28" spans="1:17" ht="14.4" customHeight="1" x14ac:dyDescent="0.3">
      <c r="A28" s="439" t="s">
        <v>834</v>
      </c>
      <c r="B28" s="440" t="s">
        <v>755</v>
      </c>
      <c r="C28" s="440" t="s">
        <v>752</v>
      </c>
      <c r="D28" s="440" t="s">
        <v>782</v>
      </c>
      <c r="E28" s="440" t="s">
        <v>767</v>
      </c>
      <c r="F28" s="444">
        <v>12</v>
      </c>
      <c r="G28" s="444">
        <v>8352</v>
      </c>
      <c r="H28" s="444">
        <v>1.4745762711864407</v>
      </c>
      <c r="I28" s="444">
        <v>696</v>
      </c>
      <c r="J28" s="444">
        <v>8</v>
      </c>
      <c r="K28" s="444">
        <v>5664</v>
      </c>
      <c r="L28" s="444">
        <v>1</v>
      </c>
      <c r="M28" s="444">
        <v>708</v>
      </c>
      <c r="N28" s="444">
        <v>25</v>
      </c>
      <c r="O28" s="444">
        <v>17700</v>
      </c>
      <c r="P28" s="510">
        <v>3.125</v>
      </c>
      <c r="Q28" s="445">
        <v>708</v>
      </c>
    </row>
    <row r="29" spans="1:17" ht="14.4" customHeight="1" x14ac:dyDescent="0.3">
      <c r="A29" s="439" t="s">
        <v>834</v>
      </c>
      <c r="B29" s="440" t="s">
        <v>755</v>
      </c>
      <c r="C29" s="440" t="s">
        <v>752</v>
      </c>
      <c r="D29" s="440" t="s">
        <v>783</v>
      </c>
      <c r="E29" s="440" t="s">
        <v>769</v>
      </c>
      <c r="F29" s="444">
        <v>41</v>
      </c>
      <c r="G29" s="444">
        <v>56867</v>
      </c>
      <c r="H29" s="444">
        <v>2.4716185674547981</v>
      </c>
      <c r="I29" s="444">
        <v>1387</v>
      </c>
      <c r="J29" s="444">
        <v>16</v>
      </c>
      <c r="K29" s="444">
        <v>23008</v>
      </c>
      <c r="L29" s="444">
        <v>1</v>
      </c>
      <c r="M29" s="444">
        <v>1438</v>
      </c>
      <c r="N29" s="444">
        <v>43</v>
      </c>
      <c r="O29" s="444">
        <v>61877</v>
      </c>
      <c r="P29" s="510">
        <v>2.6893689151599443</v>
      </c>
      <c r="Q29" s="445">
        <v>1439</v>
      </c>
    </row>
    <row r="30" spans="1:17" ht="14.4" customHeight="1" x14ac:dyDescent="0.3">
      <c r="A30" s="439" t="s">
        <v>834</v>
      </c>
      <c r="B30" s="440" t="s">
        <v>755</v>
      </c>
      <c r="C30" s="440" t="s">
        <v>752</v>
      </c>
      <c r="D30" s="440" t="s">
        <v>784</v>
      </c>
      <c r="E30" s="440" t="s">
        <v>785</v>
      </c>
      <c r="F30" s="444">
        <v>19</v>
      </c>
      <c r="G30" s="444">
        <v>44479</v>
      </c>
      <c r="H30" s="444">
        <v>3.6503077554370127</v>
      </c>
      <c r="I30" s="444">
        <v>2341</v>
      </c>
      <c r="J30" s="444">
        <v>5</v>
      </c>
      <c r="K30" s="444">
        <v>12185</v>
      </c>
      <c r="L30" s="444">
        <v>1</v>
      </c>
      <c r="M30" s="444">
        <v>2437</v>
      </c>
      <c r="N30" s="444">
        <v>22</v>
      </c>
      <c r="O30" s="444">
        <v>53636</v>
      </c>
      <c r="P30" s="510">
        <v>4.4018054985638075</v>
      </c>
      <c r="Q30" s="445">
        <v>2438</v>
      </c>
    </row>
    <row r="31" spans="1:17" ht="14.4" customHeight="1" x14ac:dyDescent="0.3">
      <c r="A31" s="439" t="s">
        <v>834</v>
      </c>
      <c r="B31" s="440" t="s">
        <v>755</v>
      </c>
      <c r="C31" s="440" t="s">
        <v>752</v>
      </c>
      <c r="D31" s="440" t="s">
        <v>786</v>
      </c>
      <c r="E31" s="440" t="s">
        <v>787</v>
      </c>
      <c r="F31" s="444">
        <v>12</v>
      </c>
      <c r="G31" s="444">
        <v>792</v>
      </c>
      <c r="H31" s="444">
        <v>1.4347826086956521</v>
      </c>
      <c r="I31" s="444">
        <v>66</v>
      </c>
      <c r="J31" s="444">
        <v>8</v>
      </c>
      <c r="K31" s="444">
        <v>552</v>
      </c>
      <c r="L31" s="444">
        <v>1</v>
      </c>
      <c r="M31" s="444">
        <v>69</v>
      </c>
      <c r="N31" s="444">
        <v>25</v>
      </c>
      <c r="O31" s="444">
        <v>1725</v>
      </c>
      <c r="P31" s="510">
        <v>3.125</v>
      </c>
      <c r="Q31" s="445">
        <v>69</v>
      </c>
    </row>
    <row r="32" spans="1:17" ht="14.4" customHeight="1" x14ac:dyDescent="0.3">
      <c r="A32" s="439" t="s">
        <v>834</v>
      </c>
      <c r="B32" s="440" t="s">
        <v>755</v>
      </c>
      <c r="C32" s="440" t="s">
        <v>752</v>
      </c>
      <c r="D32" s="440" t="s">
        <v>792</v>
      </c>
      <c r="E32" s="440" t="s">
        <v>793</v>
      </c>
      <c r="F32" s="444">
        <v>44</v>
      </c>
      <c r="G32" s="444">
        <v>24288</v>
      </c>
      <c r="H32" s="444">
        <v>1.6063492063492064</v>
      </c>
      <c r="I32" s="444">
        <v>552</v>
      </c>
      <c r="J32" s="444">
        <v>27</v>
      </c>
      <c r="K32" s="444">
        <v>15120</v>
      </c>
      <c r="L32" s="444">
        <v>1</v>
      </c>
      <c r="M32" s="444">
        <v>560</v>
      </c>
      <c r="N32" s="444">
        <v>60</v>
      </c>
      <c r="O32" s="444">
        <v>33600</v>
      </c>
      <c r="P32" s="510">
        <v>2.2222222222222223</v>
      </c>
      <c r="Q32" s="445">
        <v>560</v>
      </c>
    </row>
    <row r="33" spans="1:17" ht="14.4" customHeight="1" x14ac:dyDescent="0.3">
      <c r="A33" s="439" t="s">
        <v>834</v>
      </c>
      <c r="B33" s="440" t="s">
        <v>755</v>
      </c>
      <c r="C33" s="440" t="s">
        <v>752</v>
      </c>
      <c r="D33" s="440" t="s">
        <v>800</v>
      </c>
      <c r="E33" s="440" t="s">
        <v>801</v>
      </c>
      <c r="F33" s="444"/>
      <c r="G33" s="444"/>
      <c r="H33" s="444"/>
      <c r="I33" s="444"/>
      <c r="J33" s="444"/>
      <c r="K33" s="444"/>
      <c r="L33" s="444"/>
      <c r="M33" s="444"/>
      <c r="N33" s="444">
        <v>3</v>
      </c>
      <c r="O33" s="444">
        <v>1287</v>
      </c>
      <c r="P33" s="510"/>
      <c r="Q33" s="445">
        <v>429</v>
      </c>
    </row>
    <row r="34" spans="1:17" ht="14.4" customHeight="1" x14ac:dyDescent="0.3">
      <c r="A34" s="439" t="s">
        <v>834</v>
      </c>
      <c r="B34" s="440" t="s">
        <v>755</v>
      </c>
      <c r="C34" s="440" t="s">
        <v>752</v>
      </c>
      <c r="D34" s="440" t="s">
        <v>805</v>
      </c>
      <c r="E34" s="440" t="s">
        <v>806</v>
      </c>
      <c r="F34" s="444">
        <v>17</v>
      </c>
      <c r="G34" s="444">
        <v>27455</v>
      </c>
      <c r="H34" s="444">
        <v>4.1623711340206189</v>
      </c>
      <c r="I34" s="444">
        <v>1615</v>
      </c>
      <c r="J34" s="444">
        <v>4</v>
      </c>
      <c r="K34" s="444">
        <v>6596</v>
      </c>
      <c r="L34" s="444">
        <v>1</v>
      </c>
      <c r="M34" s="444">
        <v>1649</v>
      </c>
      <c r="N34" s="444">
        <v>5</v>
      </c>
      <c r="O34" s="444">
        <v>8245</v>
      </c>
      <c r="P34" s="510">
        <v>1.25</v>
      </c>
      <c r="Q34" s="445">
        <v>1649</v>
      </c>
    </row>
    <row r="35" spans="1:17" ht="14.4" customHeight="1" x14ac:dyDescent="0.3">
      <c r="A35" s="439" t="s">
        <v>834</v>
      </c>
      <c r="B35" s="440" t="s">
        <v>755</v>
      </c>
      <c r="C35" s="440" t="s">
        <v>752</v>
      </c>
      <c r="D35" s="440" t="s">
        <v>807</v>
      </c>
      <c r="E35" s="440" t="s">
        <v>799</v>
      </c>
      <c r="F35" s="444"/>
      <c r="G35" s="444"/>
      <c r="H35" s="444"/>
      <c r="I35" s="444"/>
      <c r="J35" s="444">
        <v>2</v>
      </c>
      <c r="K35" s="444">
        <v>480</v>
      </c>
      <c r="L35" s="444">
        <v>1</v>
      </c>
      <c r="M35" s="444">
        <v>240</v>
      </c>
      <c r="N35" s="444"/>
      <c r="O35" s="444"/>
      <c r="P35" s="510"/>
      <c r="Q35" s="445"/>
    </row>
    <row r="36" spans="1:17" ht="14.4" customHeight="1" x14ac:dyDescent="0.3">
      <c r="A36" s="439" t="s">
        <v>834</v>
      </c>
      <c r="B36" s="440" t="s">
        <v>755</v>
      </c>
      <c r="C36" s="440" t="s">
        <v>752</v>
      </c>
      <c r="D36" s="440" t="s">
        <v>808</v>
      </c>
      <c r="E36" s="440"/>
      <c r="F36" s="444"/>
      <c r="G36" s="444"/>
      <c r="H36" s="444"/>
      <c r="I36" s="444"/>
      <c r="J36" s="444"/>
      <c r="K36" s="444"/>
      <c r="L36" s="444"/>
      <c r="M36" s="444"/>
      <c r="N36" s="444">
        <v>13</v>
      </c>
      <c r="O36" s="444">
        <v>28639</v>
      </c>
      <c r="P36" s="510"/>
      <c r="Q36" s="445">
        <v>2203</v>
      </c>
    </row>
    <row r="37" spans="1:17" ht="14.4" customHeight="1" x14ac:dyDescent="0.3">
      <c r="A37" s="439" t="s">
        <v>835</v>
      </c>
      <c r="B37" s="440" t="s">
        <v>755</v>
      </c>
      <c r="C37" s="440" t="s">
        <v>752</v>
      </c>
      <c r="D37" s="440" t="s">
        <v>756</v>
      </c>
      <c r="E37" s="440" t="s">
        <v>757</v>
      </c>
      <c r="F37" s="444">
        <v>2</v>
      </c>
      <c r="G37" s="444">
        <v>256</v>
      </c>
      <c r="H37" s="444">
        <v>0.94117647058823528</v>
      </c>
      <c r="I37" s="444">
        <v>128</v>
      </c>
      <c r="J37" s="444">
        <v>2</v>
      </c>
      <c r="K37" s="444">
        <v>272</v>
      </c>
      <c r="L37" s="444">
        <v>1</v>
      </c>
      <c r="M37" s="444">
        <v>136</v>
      </c>
      <c r="N37" s="444"/>
      <c r="O37" s="444"/>
      <c r="P37" s="510"/>
      <c r="Q37" s="445"/>
    </row>
    <row r="38" spans="1:17" ht="14.4" customHeight="1" x14ac:dyDescent="0.3">
      <c r="A38" s="439" t="s">
        <v>835</v>
      </c>
      <c r="B38" s="440" t="s">
        <v>755</v>
      </c>
      <c r="C38" s="440" t="s">
        <v>752</v>
      </c>
      <c r="D38" s="440" t="s">
        <v>758</v>
      </c>
      <c r="E38" s="440" t="s">
        <v>759</v>
      </c>
      <c r="F38" s="444"/>
      <c r="G38" s="444"/>
      <c r="H38" s="444"/>
      <c r="I38" s="444"/>
      <c r="J38" s="444">
        <v>1</v>
      </c>
      <c r="K38" s="444">
        <v>1262</v>
      </c>
      <c r="L38" s="444">
        <v>1</v>
      </c>
      <c r="M38" s="444">
        <v>1262</v>
      </c>
      <c r="N38" s="444">
        <v>5</v>
      </c>
      <c r="O38" s="444">
        <v>6310</v>
      </c>
      <c r="P38" s="510">
        <v>5</v>
      </c>
      <c r="Q38" s="445">
        <v>1262</v>
      </c>
    </row>
    <row r="39" spans="1:17" ht="14.4" customHeight="1" x14ac:dyDescent="0.3">
      <c r="A39" s="439" t="s">
        <v>835</v>
      </c>
      <c r="B39" s="440" t="s">
        <v>755</v>
      </c>
      <c r="C39" s="440" t="s">
        <v>752</v>
      </c>
      <c r="D39" s="440" t="s">
        <v>760</v>
      </c>
      <c r="E39" s="440" t="s">
        <v>761</v>
      </c>
      <c r="F39" s="444">
        <v>2</v>
      </c>
      <c r="G39" s="444">
        <v>4472</v>
      </c>
      <c r="H39" s="444">
        <v>0.6375819788993442</v>
      </c>
      <c r="I39" s="444">
        <v>2236</v>
      </c>
      <c r="J39" s="444">
        <v>3</v>
      </c>
      <c r="K39" s="444">
        <v>7014</v>
      </c>
      <c r="L39" s="444">
        <v>1</v>
      </c>
      <c r="M39" s="444">
        <v>2338</v>
      </c>
      <c r="N39" s="444"/>
      <c r="O39" s="444"/>
      <c r="P39" s="510"/>
      <c r="Q39" s="445"/>
    </row>
    <row r="40" spans="1:17" ht="14.4" customHeight="1" x14ac:dyDescent="0.3">
      <c r="A40" s="439" t="s">
        <v>835</v>
      </c>
      <c r="B40" s="440" t="s">
        <v>755</v>
      </c>
      <c r="C40" s="440" t="s">
        <v>752</v>
      </c>
      <c r="D40" s="440" t="s">
        <v>762</v>
      </c>
      <c r="E40" s="440" t="s">
        <v>763</v>
      </c>
      <c r="F40" s="444">
        <v>2</v>
      </c>
      <c r="G40" s="444">
        <v>2086</v>
      </c>
      <c r="H40" s="444">
        <v>0.96843082636954503</v>
      </c>
      <c r="I40" s="444">
        <v>1043</v>
      </c>
      <c r="J40" s="444">
        <v>2</v>
      </c>
      <c r="K40" s="444">
        <v>2154</v>
      </c>
      <c r="L40" s="444">
        <v>1</v>
      </c>
      <c r="M40" s="444">
        <v>1077</v>
      </c>
      <c r="N40" s="444">
        <v>5</v>
      </c>
      <c r="O40" s="444">
        <v>5385</v>
      </c>
      <c r="P40" s="510">
        <v>2.5</v>
      </c>
      <c r="Q40" s="445">
        <v>1077</v>
      </c>
    </row>
    <row r="41" spans="1:17" ht="14.4" customHeight="1" x14ac:dyDescent="0.3">
      <c r="A41" s="439" t="s">
        <v>835</v>
      </c>
      <c r="B41" s="440" t="s">
        <v>755</v>
      </c>
      <c r="C41" s="440" t="s">
        <v>752</v>
      </c>
      <c r="D41" s="440" t="s">
        <v>764</v>
      </c>
      <c r="E41" s="440" t="s">
        <v>765</v>
      </c>
      <c r="F41" s="444">
        <v>31</v>
      </c>
      <c r="G41" s="444">
        <v>115351</v>
      </c>
      <c r="H41" s="444">
        <v>1.5086450431598222</v>
      </c>
      <c r="I41" s="444">
        <v>3721</v>
      </c>
      <c r="J41" s="444">
        <v>20</v>
      </c>
      <c r="K41" s="444">
        <v>76460</v>
      </c>
      <c r="L41" s="444">
        <v>1</v>
      </c>
      <c r="M41" s="444">
        <v>3823</v>
      </c>
      <c r="N41" s="444">
        <v>13</v>
      </c>
      <c r="O41" s="444">
        <v>49725</v>
      </c>
      <c r="P41" s="510">
        <v>0.65034004708344229</v>
      </c>
      <c r="Q41" s="445">
        <v>3825</v>
      </c>
    </row>
    <row r="42" spans="1:17" ht="14.4" customHeight="1" x14ac:dyDescent="0.3">
      <c r="A42" s="439" t="s">
        <v>835</v>
      </c>
      <c r="B42" s="440" t="s">
        <v>755</v>
      </c>
      <c r="C42" s="440" t="s">
        <v>752</v>
      </c>
      <c r="D42" s="440" t="s">
        <v>766</v>
      </c>
      <c r="E42" s="440" t="s">
        <v>767</v>
      </c>
      <c r="F42" s="444"/>
      <c r="G42" s="444"/>
      <c r="H42" s="444"/>
      <c r="I42" s="444"/>
      <c r="J42" s="444">
        <v>9</v>
      </c>
      <c r="K42" s="444">
        <v>4005</v>
      </c>
      <c r="L42" s="444">
        <v>1</v>
      </c>
      <c r="M42" s="444">
        <v>445</v>
      </c>
      <c r="N42" s="444"/>
      <c r="O42" s="444"/>
      <c r="P42" s="510"/>
      <c r="Q42" s="445"/>
    </row>
    <row r="43" spans="1:17" ht="14.4" customHeight="1" x14ac:dyDescent="0.3">
      <c r="A43" s="439" t="s">
        <v>835</v>
      </c>
      <c r="B43" s="440" t="s">
        <v>755</v>
      </c>
      <c r="C43" s="440" t="s">
        <v>752</v>
      </c>
      <c r="D43" s="440" t="s">
        <v>768</v>
      </c>
      <c r="E43" s="440" t="s">
        <v>769</v>
      </c>
      <c r="F43" s="444">
        <v>1</v>
      </c>
      <c r="G43" s="444">
        <v>836</v>
      </c>
      <c r="H43" s="444"/>
      <c r="I43" s="444">
        <v>836</v>
      </c>
      <c r="J43" s="444"/>
      <c r="K43" s="444"/>
      <c r="L43" s="444"/>
      <c r="M43" s="444"/>
      <c r="N43" s="444"/>
      <c r="O43" s="444"/>
      <c r="P43" s="510"/>
      <c r="Q43" s="445"/>
    </row>
    <row r="44" spans="1:17" ht="14.4" customHeight="1" x14ac:dyDescent="0.3">
      <c r="A44" s="439" t="s">
        <v>835</v>
      </c>
      <c r="B44" s="440" t="s">
        <v>755</v>
      </c>
      <c r="C44" s="440" t="s">
        <v>752</v>
      </c>
      <c r="D44" s="440" t="s">
        <v>770</v>
      </c>
      <c r="E44" s="440" t="s">
        <v>771</v>
      </c>
      <c r="F44" s="444">
        <v>7</v>
      </c>
      <c r="G44" s="444">
        <v>11347</v>
      </c>
      <c r="H44" s="444">
        <v>1.371238670694864</v>
      </c>
      <c r="I44" s="444">
        <v>1621</v>
      </c>
      <c r="J44" s="444">
        <v>5</v>
      </c>
      <c r="K44" s="444">
        <v>8275</v>
      </c>
      <c r="L44" s="444">
        <v>1</v>
      </c>
      <c r="M44" s="444">
        <v>1655</v>
      </c>
      <c r="N44" s="444">
        <v>3</v>
      </c>
      <c r="O44" s="444">
        <v>4965</v>
      </c>
      <c r="P44" s="510">
        <v>0.6</v>
      </c>
      <c r="Q44" s="445">
        <v>1655</v>
      </c>
    </row>
    <row r="45" spans="1:17" ht="14.4" customHeight="1" x14ac:dyDescent="0.3">
      <c r="A45" s="439" t="s">
        <v>835</v>
      </c>
      <c r="B45" s="440" t="s">
        <v>755</v>
      </c>
      <c r="C45" s="440" t="s">
        <v>752</v>
      </c>
      <c r="D45" s="440" t="s">
        <v>772</v>
      </c>
      <c r="E45" s="440" t="s">
        <v>773</v>
      </c>
      <c r="F45" s="444"/>
      <c r="G45" s="444"/>
      <c r="H45" s="444"/>
      <c r="I45" s="444"/>
      <c r="J45" s="444">
        <v>2</v>
      </c>
      <c r="K45" s="444">
        <v>3240</v>
      </c>
      <c r="L45" s="444">
        <v>1</v>
      </c>
      <c r="M45" s="444">
        <v>1620</v>
      </c>
      <c r="N45" s="444"/>
      <c r="O45" s="444"/>
      <c r="P45" s="510"/>
      <c r="Q45" s="445"/>
    </row>
    <row r="46" spans="1:17" ht="14.4" customHeight="1" x14ac:dyDescent="0.3">
      <c r="A46" s="439" t="s">
        <v>835</v>
      </c>
      <c r="B46" s="440" t="s">
        <v>755</v>
      </c>
      <c r="C46" s="440" t="s">
        <v>752</v>
      </c>
      <c r="D46" s="440" t="s">
        <v>774</v>
      </c>
      <c r="E46" s="440" t="s">
        <v>775</v>
      </c>
      <c r="F46" s="444"/>
      <c r="G46" s="444"/>
      <c r="H46" s="444"/>
      <c r="I46" s="444"/>
      <c r="J46" s="444">
        <v>2</v>
      </c>
      <c r="K46" s="444">
        <v>1680</v>
      </c>
      <c r="L46" s="444">
        <v>1</v>
      </c>
      <c r="M46" s="444">
        <v>840</v>
      </c>
      <c r="N46" s="444"/>
      <c r="O46" s="444"/>
      <c r="P46" s="510"/>
      <c r="Q46" s="445"/>
    </row>
    <row r="47" spans="1:17" ht="14.4" customHeight="1" x14ac:dyDescent="0.3">
      <c r="A47" s="439" t="s">
        <v>835</v>
      </c>
      <c r="B47" s="440" t="s">
        <v>755</v>
      </c>
      <c r="C47" s="440" t="s">
        <v>752</v>
      </c>
      <c r="D47" s="440" t="s">
        <v>776</v>
      </c>
      <c r="E47" s="440" t="s">
        <v>777</v>
      </c>
      <c r="F47" s="444">
        <v>4</v>
      </c>
      <c r="G47" s="444">
        <v>5844</v>
      </c>
      <c r="H47" s="444">
        <v>3.8371634931057126</v>
      </c>
      <c r="I47" s="444">
        <v>1461</v>
      </c>
      <c r="J47" s="444">
        <v>1</v>
      </c>
      <c r="K47" s="444">
        <v>1523</v>
      </c>
      <c r="L47" s="444">
        <v>1</v>
      </c>
      <c r="M47" s="444">
        <v>1523</v>
      </c>
      <c r="N47" s="444"/>
      <c r="O47" s="444"/>
      <c r="P47" s="510"/>
      <c r="Q47" s="445"/>
    </row>
    <row r="48" spans="1:17" ht="14.4" customHeight="1" x14ac:dyDescent="0.3">
      <c r="A48" s="439" t="s">
        <v>835</v>
      </c>
      <c r="B48" s="440" t="s">
        <v>755</v>
      </c>
      <c r="C48" s="440" t="s">
        <v>752</v>
      </c>
      <c r="D48" s="440" t="s">
        <v>780</v>
      </c>
      <c r="E48" s="440" t="s">
        <v>781</v>
      </c>
      <c r="F48" s="444">
        <v>20</v>
      </c>
      <c r="G48" s="444">
        <v>320</v>
      </c>
      <c r="H48" s="444">
        <v>0.94117647058823528</v>
      </c>
      <c r="I48" s="444">
        <v>16</v>
      </c>
      <c r="J48" s="444">
        <v>20</v>
      </c>
      <c r="K48" s="444">
        <v>340</v>
      </c>
      <c r="L48" s="444">
        <v>1</v>
      </c>
      <c r="M48" s="444">
        <v>17</v>
      </c>
      <c r="N48" s="444">
        <v>21</v>
      </c>
      <c r="O48" s="444">
        <v>357</v>
      </c>
      <c r="P48" s="510">
        <v>1.05</v>
      </c>
      <c r="Q48" s="445">
        <v>17</v>
      </c>
    </row>
    <row r="49" spans="1:17" ht="14.4" customHeight="1" x14ac:dyDescent="0.3">
      <c r="A49" s="439" t="s">
        <v>835</v>
      </c>
      <c r="B49" s="440" t="s">
        <v>755</v>
      </c>
      <c r="C49" s="440" t="s">
        <v>752</v>
      </c>
      <c r="D49" s="440" t="s">
        <v>782</v>
      </c>
      <c r="E49" s="440" t="s">
        <v>767</v>
      </c>
      <c r="F49" s="444">
        <v>38</v>
      </c>
      <c r="G49" s="444">
        <v>26448</v>
      </c>
      <c r="H49" s="444">
        <v>1.067312348668281</v>
      </c>
      <c r="I49" s="444">
        <v>696</v>
      </c>
      <c r="J49" s="444">
        <v>35</v>
      </c>
      <c r="K49" s="444">
        <v>24780</v>
      </c>
      <c r="L49" s="444">
        <v>1</v>
      </c>
      <c r="M49" s="444">
        <v>708</v>
      </c>
      <c r="N49" s="444">
        <v>40</v>
      </c>
      <c r="O49" s="444">
        <v>28320</v>
      </c>
      <c r="P49" s="510">
        <v>1.1428571428571428</v>
      </c>
      <c r="Q49" s="445">
        <v>708</v>
      </c>
    </row>
    <row r="50" spans="1:17" ht="14.4" customHeight="1" x14ac:dyDescent="0.3">
      <c r="A50" s="439" t="s">
        <v>835</v>
      </c>
      <c r="B50" s="440" t="s">
        <v>755</v>
      </c>
      <c r="C50" s="440" t="s">
        <v>752</v>
      </c>
      <c r="D50" s="440" t="s">
        <v>783</v>
      </c>
      <c r="E50" s="440" t="s">
        <v>769</v>
      </c>
      <c r="F50" s="444">
        <v>89</v>
      </c>
      <c r="G50" s="444">
        <v>123443</v>
      </c>
      <c r="H50" s="444">
        <v>1.3625957568933924</v>
      </c>
      <c r="I50" s="444">
        <v>1387</v>
      </c>
      <c r="J50" s="444">
        <v>63</v>
      </c>
      <c r="K50" s="444">
        <v>90594</v>
      </c>
      <c r="L50" s="444">
        <v>1</v>
      </c>
      <c r="M50" s="444">
        <v>1438</v>
      </c>
      <c r="N50" s="444">
        <v>44</v>
      </c>
      <c r="O50" s="444">
        <v>63316</v>
      </c>
      <c r="P50" s="510">
        <v>0.6988983817912886</v>
      </c>
      <c r="Q50" s="445">
        <v>1439</v>
      </c>
    </row>
    <row r="51" spans="1:17" ht="14.4" customHeight="1" x14ac:dyDescent="0.3">
      <c r="A51" s="439" t="s">
        <v>835</v>
      </c>
      <c r="B51" s="440" t="s">
        <v>755</v>
      </c>
      <c r="C51" s="440" t="s">
        <v>752</v>
      </c>
      <c r="D51" s="440" t="s">
        <v>784</v>
      </c>
      <c r="E51" s="440" t="s">
        <v>785</v>
      </c>
      <c r="F51" s="444">
        <v>38</v>
      </c>
      <c r="G51" s="444">
        <v>88958</v>
      </c>
      <c r="H51" s="444">
        <v>1.1407211735740665</v>
      </c>
      <c r="I51" s="444">
        <v>2341</v>
      </c>
      <c r="J51" s="444">
        <v>32</v>
      </c>
      <c r="K51" s="444">
        <v>77984</v>
      </c>
      <c r="L51" s="444">
        <v>1</v>
      </c>
      <c r="M51" s="444">
        <v>2437</v>
      </c>
      <c r="N51" s="444">
        <v>32</v>
      </c>
      <c r="O51" s="444">
        <v>78016</v>
      </c>
      <c r="P51" s="510">
        <v>1.0004103405826836</v>
      </c>
      <c r="Q51" s="445">
        <v>2438</v>
      </c>
    </row>
    <row r="52" spans="1:17" ht="14.4" customHeight="1" x14ac:dyDescent="0.3">
      <c r="A52" s="439" t="s">
        <v>835</v>
      </c>
      <c r="B52" s="440" t="s">
        <v>755</v>
      </c>
      <c r="C52" s="440" t="s">
        <v>752</v>
      </c>
      <c r="D52" s="440" t="s">
        <v>786</v>
      </c>
      <c r="E52" s="440" t="s">
        <v>787</v>
      </c>
      <c r="F52" s="444">
        <v>38</v>
      </c>
      <c r="G52" s="444">
        <v>2508</v>
      </c>
      <c r="H52" s="444">
        <v>1.0096618357487923</v>
      </c>
      <c r="I52" s="444">
        <v>66</v>
      </c>
      <c r="J52" s="444">
        <v>36</v>
      </c>
      <c r="K52" s="444">
        <v>2484</v>
      </c>
      <c r="L52" s="444">
        <v>1</v>
      </c>
      <c r="M52" s="444">
        <v>69</v>
      </c>
      <c r="N52" s="444">
        <v>40</v>
      </c>
      <c r="O52" s="444">
        <v>2760</v>
      </c>
      <c r="P52" s="510">
        <v>1.1111111111111112</v>
      </c>
      <c r="Q52" s="445">
        <v>69</v>
      </c>
    </row>
    <row r="53" spans="1:17" ht="14.4" customHeight="1" x14ac:dyDescent="0.3">
      <c r="A53" s="439" t="s">
        <v>835</v>
      </c>
      <c r="B53" s="440" t="s">
        <v>755</v>
      </c>
      <c r="C53" s="440" t="s">
        <v>752</v>
      </c>
      <c r="D53" s="440" t="s">
        <v>788</v>
      </c>
      <c r="E53" s="440" t="s">
        <v>789</v>
      </c>
      <c r="F53" s="444">
        <v>4</v>
      </c>
      <c r="G53" s="444">
        <v>1604</v>
      </c>
      <c r="H53" s="444">
        <v>3.941031941031941</v>
      </c>
      <c r="I53" s="444">
        <v>401</v>
      </c>
      <c r="J53" s="444">
        <v>1</v>
      </c>
      <c r="K53" s="444">
        <v>407</v>
      </c>
      <c r="L53" s="444">
        <v>1</v>
      </c>
      <c r="M53" s="444">
        <v>407</v>
      </c>
      <c r="N53" s="444"/>
      <c r="O53" s="444"/>
      <c r="P53" s="510"/>
      <c r="Q53" s="445"/>
    </row>
    <row r="54" spans="1:17" ht="14.4" customHeight="1" x14ac:dyDescent="0.3">
      <c r="A54" s="439" t="s">
        <v>835</v>
      </c>
      <c r="B54" s="440" t="s">
        <v>755</v>
      </c>
      <c r="C54" s="440" t="s">
        <v>752</v>
      </c>
      <c r="D54" s="440" t="s">
        <v>790</v>
      </c>
      <c r="E54" s="440" t="s">
        <v>791</v>
      </c>
      <c r="F54" s="444">
        <v>1</v>
      </c>
      <c r="G54" s="444">
        <v>1613</v>
      </c>
      <c r="H54" s="444"/>
      <c r="I54" s="444">
        <v>1613</v>
      </c>
      <c r="J54" s="444"/>
      <c r="K54" s="444"/>
      <c r="L54" s="444"/>
      <c r="M54" s="444"/>
      <c r="N54" s="444"/>
      <c r="O54" s="444"/>
      <c r="P54" s="510"/>
      <c r="Q54" s="445"/>
    </row>
    <row r="55" spans="1:17" ht="14.4" customHeight="1" x14ac:dyDescent="0.3">
      <c r="A55" s="439" t="s">
        <v>835</v>
      </c>
      <c r="B55" s="440" t="s">
        <v>755</v>
      </c>
      <c r="C55" s="440" t="s">
        <v>752</v>
      </c>
      <c r="D55" s="440" t="s">
        <v>792</v>
      </c>
      <c r="E55" s="440" t="s">
        <v>793</v>
      </c>
      <c r="F55" s="444">
        <v>88</v>
      </c>
      <c r="G55" s="444">
        <v>48576</v>
      </c>
      <c r="H55" s="444">
        <v>0.87619047619047619</v>
      </c>
      <c r="I55" s="444">
        <v>552</v>
      </c>
      <c r="J55" s="444">
        <v>99</v>
      </c>
      <c r="K55" s="444">
        <v>55440</v>
      </c>
      <c r="L55" s="444">
        <v>1</v>
      </c>
      <c r="M55" s="444">
        <v>560</v>
      </c>
      <c r="N55" s="444">
        <v>108</v>
      </c>
      <c r="O55" s="444">
        <v>60480</v>
      </c>
      <c r="P55" s="510">
        <v>1.0909090909090908</v>
      </c>
      <c r="Q55" s="445">
        <v>560</v>
      </c>
    </row>
    <row r="56" spans="1:17" ht="14.4" customHeight="1" x14ac:dyDescent="0.3">
      <c r="A56" s="439" t="s">
        <v>835</v>
      </c>
      <c r="B56" s="440" t="s">
        <v>755</v>
      </c>
      <c r="C56" s="440" t="s">
        <v>752</v>
      </c>
      <c r="D56" s="440" t="s">
        <v>800</v>
      </c>
      <c r="E56" s="440" t="s">
        <v>801</v>
      </c>
      <c r="F56" s="444">
        <v>5</v>
      </c>
      <c r="G56" s="444">
        <v>2130</v>
      </c>
      <c r="H56" s="444">
        <v>0.41375291375291373</v>
      </c>
      <c r="I56" s="444">
        <v>426</v>
      </c>
      <c r="J56" s="444">
        <v>12</v>
      </c>
      <c r="K56" s="444">
        <v>5148</v>
      </c>
      <c r="L56" s="444">
        <v>1</v>
      </c>
      <c r="M56" s="444">
        <v>429</v>
      </c>
      <c r="N56" s="444">
        <v>1</v>
      </c>
      <c r="O56" s="444">
        <v>429</v>
      </c>
      <c r="P56" s="510">
        <v>8.3333333333333329E-2</v>
      </c>
      <c r="Q56" s="445">
        <v>429</v>
      </c>
    </row>
    <row r="57" spans="1:17" ht="14.4" customHeight="1" x14ac:dyDescent="0.3">
      <c r="A57" s="439" t="s">
        <v>835</v>
      </c>
      <c r="B57" s="440" t="s">
        <v>755</v>
      </c>
      <c r="C57" s="440" t="s">
        <v>752</v>
      </c>
      <c r="D57" s="440" t="s">
        <v>805</v>
      </c>
      <c r="E57" s="440" t="s">
        <v>806</v>
      </c>
      <c r="F57" s="444">
        <v>19</v>
      </c>
      <c r="G57" s="444">
        <v>30685</v>
      </c>
      <c r="H57" s="444">
        <v>0.93041237113402064</v>
      </c>
      <c r="I57" s="444">
        <v>1615</v>
      </c>
      <c r="J57" s="444">
        <v>20</v>
      </c>
      <c r="K57" s="444">
        <v>32980</v>
      </c>
      <c r="L57" s="444">
        <v>1</v>
      </c>
      <c r="M57" s="444">
        <v>1649</v>
      </c>
      <c r="N57" s="444">
        <v>13</v>
      </c>
      <c r="O57" s="444">
        <v>21437</v>
      </c>
      <c r="P57" s="510">
        <v>0.65</v>
      </c>
      <c r="Q57" s="445">
        <v>1649</v>
      </c>
    </row>
    <row r="58" spans="1:17" ht="14.4" customHeight="1" x14ac:dyDescent="0.3">
      <c r="A58" s="439" t="s">
        <v>835</v>
      </c>
      <c r="B58" s="440" t="s">
        <v>755</v>
      </c>
      <c r="C58" s="440" t="s">
        <v>752</v>
      </c>
      <c r="D58" s="440" t="s">
        <v>808</v>
      </c>
      <c r="E58" s="440"/>
      <c r="F58" s="444"/>
      <c r="G58" s="444"/>
      <c r="H58" s="444"/>
      <c r="I58" s="444"/>
      <c r="J58" s="444"/>
      <c r="K58" s="444"/>
      <c r="L58" s="444"/>
      <c r="M58" s="444"/>
      <c r="N58" s="444">
        <v>12</v>
      </c>
      <c r="O58" s="444">
        <v>26436</v>
      </c>
      <c r="P58" s="510"/>
      <c r="Q58" s="445">
        <v>2203</v>
      </c>
    </row>
    <row r="59" spans="1:17" ht="14.4" customHeight="1" x14ac:dyDescent="0.3">
      <c r="A59" s="439" t="s">
        <v>836</v>
      </c>
      <c r="B59" s="440" t="s">
        <v>751</v>
      </c>
      <c r="C59" s="440" t="s">
        <v>752</v>
      </c>
      <c r="D59" s="440" t="s">
        <v>753</v>
      </c>
      <c r="E59" s="440" t="s">
        <v>754</v>
      </c>
      <c r="F59" s="444">
        <v>1</v>
      </c>
      <c r="G59" s="444">
        <v>10725</v>
      </c>
      <c r="H59" s="444"/>
      <c r="I59" s="444">
        <v>10725</v>
      </c>
      <c r="J59" s="444"/>
      <c r="K59" s="444"/>
      <c r="L59" s="444"/>
      <c r="M59" s="444"/>
      <c r="N59" s="444"/>
      <c r="O59" s="444"/>
      <c r="P59" s="510"/>
      <c r="Q59" s="445"/>
    </row>
    <row r="60" spans="1:17" ht="14.4" customHeight="1" x14ac:dyDescent="0.3">
      <c r="A60" s="439" t="s">
        <v>836</v>
      </c>
      <c r="B60" s="440" t="s">
        <v>755</v>
      </c>
      <c r="C60" s="440" t="s">
        <v>752</v>
      </c>
      <c r="D60" s="440" t="s">
        <v>780</v>
      </c>
      <c r="E60" s="440" t="s">
        <v>781</v>
      </c>
      <c r="F60" s="444"/>
      <c r="G60" s="444"/>
      <c r="H60" s="444"/>
      <c r="I60" s="444"/>
      <c r="J60" s="444">
        <v>1</v>
      </c>
      <c r="K60" s="444">
        <v>17</v>
      </c>
      <c r="L60" s="444">
        <v>1</v>
      </c>
      <c r="M60" s="444">
        <v>17</v>
      </c>
      <c r="N60" s="444"/>
      <c r="O60" s="444"/>
      <c r="P60" s="510"/>
      <c r="Q60" s="445"/>
    </row>
    <row r="61" spans="1:17" ht="14.4" customHeight="1" x14ac:dyDescent="0.3">
      <c r="A61" s="439" t="s">
        <v>836</v>
      </c>
      <c r="B61" s="440" t="s">
        <v>755</v>
      </c>
      <c r="C61" s="440" t="s">
        <v>752</v>
      </c>
      <c r="D61" s="440" t="s">
        <v>782</v>
      </c>
      <c r="E61" s="440" t="s">
        <v>767</v>
      </c>
      <c r="F61" s="444"/>
      <c r="G61" s="444"/>
      <c r="H61" s="444"/>
      <c r="I61" s="444"/>
      <c r="J61" s="444">
        <v>2</v>
      </c>
      <c r="K61" s="444">
        <v>1416</v>
      </c>
      <c r="L61" s="444">
        <v>1</v>
      </c>
      <c r="M61" s="444">
        <v>708</v>
      </c>
      <c r="N61" s="444"/>
      <c r="O61" s="444"/>
      <c r="P61" s="510"/>
      <c r="Q61" s="445"/>
    </row>
    <row r="62" spans="1:17" ht="14.4" customHeight="1" x14ac:dyDescent="0.3">
      <c r="A62" s="439" t="s">
        <v>836</v>
      </c>
      <c r="B62" s="440" t="s">
        <v>755</v>
      </c>
      <c r="C62" s="440" t="s">
        <v>752</v>
      </c>
      <c r="D62" s="440" t="s">
        <v>786</v>
      </c>
      <c r="E62" s="440" t="s">
        <v>787</v>
      </c>
      <c r="F62" s="444"/>
      <c r="G62" s="444"/>
      <c r="H62" s="444"/>
      <c r="I62" s="444"/>
      <c r="J62" s="444">
        <v>2</v>
      </c>
      <c r="K62" s="444">
        <v>138</v>
      </c>
      <c r="L62" s="444">
        <v>1</v>
      </c>
      <c r="M62" s="444">
        <v>69</v>
      </c>
      <c r="N62" s="444"/>
      <c r="O62" s="444"/>
      <c r="P62" s="510"/>
      <c r="Q62" s="445"/>
    </row>
    <row r="63" spans="1:17" ht="14.4" customHeight="1" x14ac:dyDescent="0.3">
      <c r="A63" s="439" t="s">
        <v>836</v>
      </c>
      <c r="B63" s="440" t="s">
        <v>755</v>
      </c>
      <c r="C63" s="440" t="s">
        <v>752</v>
      </c>
      <c r="D63" s="440" t="s">
        <v>792</v>
      </c>
      <c r="E63" s="440" t="s">
        <v>793</v>
      </c>
      <c r="F63" s="444"/>
      <c r="G63" s="444"/>
      <c r="H63" s="444"/>
      <c r="I63" s="444"/>
      <c r="J63" s="444">
        <v>6</v>
      </c>
      <c r="K63" s="444">
        <v>3360</v>
      </c>
      <c r="L63" s="444">
        <v>1</v>
      </c>
      <c r="M63" s="444">
        <v>560</v>
      </c>
      <c r="N63" s="444"/>
      <c r="O63" s="444"/>
      <c r="P63" s="510"/>
      <c r="Q63" s="445"/>
    </row>
    <row r="64" spans="1:17" ht="14.4" customHeight="1" x14ac:dyDescent="0.3">
      <c r="A64" s="439" t="s">
        <v>837</v>
      </c>
      <c r="B64" s="440" t="s">
        <v>751</v>
      </c>
      <c r="C64" s="440" t="s">
        <v>752</v>
      </c>
      <c r="D64" s="440" t="s">
        <v>753</v>
      </c>
      <c r="E64" s="440" t="s">
        <v>754</v>
      </c>
      <c r="F64" s="444"/>
      <c r="G64" s="444"/>
      <c r="H64" s="444"/>
      <c r="I64" s="444"/>
      <c r="J64" s="444"/>
      <c r="K64" s="444"/>
      <c r="L64" s="444"/>
      <c r="M64" s="444"/>
      <c r="N64" s="444">
        <v>1</v>
      </c>
      <c r="O64" s="444">
        <v>11413</v>
      </c>
      <c r="P64" s="510"/>
      <c r="Q64" s="445">
        <v>11413</v>
      </c>
    </row>
    <row r="65" spans="1:17" ht="14.4" customHeight="1" x14ac:dyDescent="0.3">
      <c r="A65" s="439" t="s">
        <v>837</v>
      </c>
      <c r="B65" s="440" t="s">
        <v>755</v>
      </c>
      <c r="C65" s="440" t="s">
        <v>752</v>
      </c>
      <c r="D65" s="440" t="s">
        <v>780</v>
      </c>
      <c r="E65" s="440" t="s">
        <v>781</v>
      </c>
      <c r="F65" s="444"/>
      <c r="G65" s="444"/>
      <c r="H65" s="444"/>
      <c r="I65" s="444"/>
      <c r="J65" s="444">
        <v>1</v>
      </c>
      <c r="K65" s="444">
        <v>17</v>
      </c>
      <c r="L65" s="444">
        <v>1</v>
      </c>
      <c r="M65" s="444">
        <v>17</v>
      </c>
      <c r="N65" s="444"/>
      <c r="O65" s="444"/>
      <c r="P65" s="510"/>
      <c r="Q65" s="445"/>
    </row>
    <row r="66" spans="1:17" ht="14.4" customHeight="1" x14ac:dyDescent="0.3">
      <c r="A66" s="439" t="s">
        <v>837</v>
      </c>
      <c r="B66" s="440" t="s">
        <v>755</v>
      </c>
      <c r="C66" s="440" t="s">
        <v>752</v>
      </c>
      <c r="D66" s="440" t="s">
        <v>782</v>
      </c>
      <c r="E66" s="440" t="s">
        <v>767</v>
      </c>
      <c r="F66" s="444"/>
      <c r="G66" s="444"/>
      <c r="H66" s="444"/>
      <c r="I66" s="444"/>
      <c r="J66" s="444">
        <v>1</v>
      </c>
      <c r="K66" s="444">
        <v>708</v>
      </c>
      <c r="L66" s="444">
        <v>1</v>
      </c>
      <c r="M66" s="444">
        <v>708</v>
      </c>
      <c r="N66" s="444"/>
      <c r="O66" s="444"/>
      <c r="P66" s="510"/>
      <c r="Q66" s="445"/>
    </row>
    <row r="67" spans="1:17" ht="14.4" customHeight="1" x14ac:dyDescent="0.3">
      <c r="A67" s="439" t="s">
        <v>837</v>
      </c>
      <c r="B67" s="440" t="s">
        <v>755</v>
      </c>
      <c r="C67" s="440" t="s">
        <v>752</v>
      </c>
      <c r="D67" s="440" t="s">
        <v>786</v>
      </c>
      <c r="E67" s="440" t="s">
        <v>787</v>
      </c>
      <c r="F67" s="444"/>
      <c r="G67" s="444"/>
      <c r="H67" s="444"/>
      <c r="I67" s="444"/>
      <c r="J67" s="444">
        <v>1</v>
      </c>
      <c r="K67" s="444">
        <v>69</v>
      </c>
      <c r="L67" s="444">
        <v>1</v>
      </c>
      <c r="M67" s="444">
        <v>69</v>
      </c>
      <c r="N67" s="444"/>
      <c r="O67" s="444"/>
      <c r="P67" s="510"/>
      <c r="Q67" s="445"/>
    </row>
    <row r="68" spans="1:17" ht="14.4" customHeight="1" x14ac:dyDescent="0.3">
      <c r="A68" s="439" t="s">
        <v>838</v>
      </c>
      <c r="B68" s="440" t="s">
        <v>751</v>
      </c>
      <c r="C68" s="440" t="s">
        <v>752</v>
      </c>
      <c r="D68" s="440" t="s">
        <v>753</v>
      </c>
      <c r="E68" s="440" t="s">
        <v>754</v>
      </c>
      <c r="F68" s="444">
        <v>2</v>
      </c>
      <c r="G68" s="444">
        <v>21450</v>
      </c>
      <c r="H68" s="444">
        <v>0.23513549066035253</v>
      </c>
      <c r="I68" s="444">
        <v>10725</v>
      </c>
      <c r="J68" s="444">
        <v>8</v>
      </c>
      <c r="K68" s="444">
        <v>91224</v>
      </c>
      <c r="L68" s="444">
        <v>1</v>
      </c>
      <c r="M68" s="444">
        <v>11403</v>
      </c>
      <c r="N68" s="444">
        <v>1</v>
      </c>
      <c r="O68" s="444">
        <v>11413</v>
      </c>
      <c r="P68" s="510">
        <v>0.12510962027536612</v>
      </c>
      <c r="Q68" s="445">
        <v>11413</v>
      </c>
    </row>
    <row r="69" spans="1:17" ht="14.4" customHeight="1" x14ac:dyDescent="0.3">
      <c r="A69" s="439" t="s">
        <v>838</v>
      </c>
      <c r="B69" s="440" t="s">
        <v>755</v>
      </c>
      <c r="C69" s="440" t="s">
        <v>752</v>
      </c>
      <c r="D69" s="440" t="s">
        <v>756</v>
      </c>
      <c r="E69" s="440" t="s">
        <v>757</v>
      </c>
      <c r="F69" s="444"/>
      <c r="G69" s="444"/>
      <c r="H69" s="444"/>
      <c r="I69" s="444"/>
      <c r="J69" s="444">
        <v>1</v>
      </c>
      <c r="K69" s="444">
        <v>136</v>
      </c>
      <c r="L69" s="444">
        <v>1</v>
      </c>
      <c r="M69" s="444">
        <v>136</v>
      </c>
      <c r="N69" s="444"/>
      <c r="O69" s="444"/>
      <c r="P69" s="510"/>
      <c r="Q69" s="445"/>
    </row>
    <row r="70" spans="1:17" ht="14.4" customHeight="1" x14ac:dyDescent="0.3">
      <c r="A70" s="439" t="s">
        <v>838</v>
      </c>
      <c r="B70" s="440" t="s">
        <v>755</v>
      </c>
      <c r="C70" s="440" t="s">
        <v>752</v>
      </c>
      <c r="D70" s="440" t="s">
        <v>760</v>
      </c>
      <c r="E70" s="440" t="s">
        <v>761</v>
      </c>
      <c r="F70" s="444"/>
      <c r="G70" s="444"/>
      <c r="H70" s="444"/>
      <c r="I70" s="444"/>
      <c r="J70" s="444">
        <v>1</v>
      </c>
      <c r="K70" s="444">
        <v>2338</v>
      </c>
      <c r="L70" s="444">
        <v>1</v>
      </c>
      <c r="M70" s="444">
        <v>2338</v>
      </c>
      <c r="N70" s="444"/>
      <c r="O70" s="444"/>
      <c r="P70" s="510"/>
      <c r="Q70" s="445"/>
    </row>
    <row r="71" spans="1:17" ht="14.4" customHeight="1" x14ac:dyDescent="0.3">
      <c r="A71" s="439" t="s">
        <v>838</v>
      </c>
      <c r="B71" s="440" t="s">
        <v>755</v>
      </c>
      <c r="C71" s="440" t="s">
        <v>752</v>
      </c>
      <c r="D71" s="440" t="s">
        <v>762</v>
      </c>
      <c r="E71" s="440" t="s">
        <v>763</v>
      </c>
      <c r="F71" s="444"/>
      <c r="G71" s="444"/>
      <c r="H71" s="444"/>
      <c r="I71" s="444"/>
      <c r="J71" s="444">
        <v>2</v>
      </c>
      <c r="K71" s="444">
        <v>2154</v>
      </c>
      <c r="L71" s="444">
        <v>1</v>
      </c>
      <c r="M71" s="444">
        <v>1077</v>
      </c>
      <c r="N71" s="444"/>
      <c r="O71" s="444"/>
      <c r="P71" s="510"/>
      <c r="Q71" s="445"/>
    </row>
    <row r="72" spans="1:17" ht="14.4" customHeight="1" x14ac:dyDescent="0.3">
      <c r="A72" s="439" t="s">
        <v>838</v>
      </c>
      <c r="B72" s="440" t="s">
        <v>755</v>
      </c>
      <c r="C72" s="440" t="s">
        <v>752</v>
      </c>
      <c r="D72" s="440" t="s">
        <v>764</v>
      </c>
      <c r="E72" s="440" t="s">
        <v>765</v>
      </c>
      <c r="F72" s="444"/>
      <c r="G72" s="444"/>
      <c r="H72" s="444"/>
      <c r="I72" s="444"/>
      <c r="J72" s="444"/>
      <c r="K72" s="444"/>
      <c r="L72" s="444"/>
      <c r="M72" s="444"/>
      <c r="N72" s="444">
        <v>3</v>
      </c>
      <c r="O72" s="444">
        <v>11475</v>
      </c>
      <c r="P72" s="510"/>
      <c r="Q72" s="445">
        <v>3825</v>
      </c>
    </row>
    <row r="73" spans="1:17" ht="14.4" customHeight="1" x14ac:dyDescent="0.3">
      <c r="A73" s="439" t="s">
        <v>838</v>
      </c>
      <c r="B73" s="440" t="s">
        <v>755</v>
      </c>
      <c r="C73" s="440" t="s">
        <v>752</v>
      </c>
      <c r="D73" s="440" t="s">
        <v>770</v>
      </c>
      <c r="E73" s="440" t="s">
        <v>771</v>
      </c>
      <c r="F73" s="444">
        <v>2</v>
      </c>
      <c r="G73" s="444">
        <v>3242</v>
      </c>
      <c r="H73" s="444"/>
      <c r="I73" s="444">
        <v>1621</v>
      </c>
      <c r="J73" s="444"/>
      <c r="K73" s="444"/>
      <c r="L73" s="444"/>
      <c r="M73" s="444"/>
      <c r="N73" s="444">
        <v>1</v>
      </c>
      <c r="O73" s="444">
        <v>1655</v>
      </c>
      <c r="P73" s="510"/>
      <c r="Q73" s="445">
        <v>1655</v>
      </c>
    </row>
    <row r="74" spans="1:17" ht="14.4" customHeight="1" x14ac:dyDescent="0.3">
      <c r="A74" s="439" t="s">
        <v>838</v>
      </c>
      <c r="B74" s="440" t="s">
        <v>755</v>
      </c>
      <c r="C74" s="440" t="s">
        <v>752</v>
      </c>
      <c r="D74" s="440" t="s">
        <v>774</v>
      </c>
      <c r="E74" s="440" t="s">
        <v>775</v>
      </c>
      <c r="F74" s="444"/>
      <c r="G74" s="444"/>
      <c r="H74" s="444"/>
      <c r="I74" s="444"/>
      <c r="J74" s="444">
        <v>2</v>
      </c>
      <c r="K74" s="444">
        <v>1680</v>
      </c>
      <c r="L74" s="444">
        <v>1</v>
      </c>
      <c r="M74" s="444">
        <v>840</v>
      </c>
      <c r="N74" s="444"/>
      <c r="O74" s="444"/>
      <c r="P74" s="510"/>
      <c r="Q74" s="445"/>
    </row>
    <row r="75" spans="1:17" ht="14.4" customHeight="1" x14ac:dyDescent="0.3">
      <c r="A75" s="439" t="s">
        <v>838</v>
      </c>
      <c r="B75" s="440" t="s">
        <v>755</v>
      </c>
      <c r="C75" s="440" t="s">
        <v>752</v>
      </c>
      <c r="D75" s="440" t="s">
        <v>780</v>
      </c>
      <c r="E75" s="440" t="s">
        <v>781</v>
      </c>
      <c r="F75" s="444">
        <v>2</v>
      </c>
      <c r="G75" s="444">
        <v>32</v>
      </c>
      <c r="H75" s="444">
        <v>0.26890756302521007</v>
      </c>
      <c r="I75" s="444">
        <v>16</v>
      </c>
      <c r="J75" s="444">
        <v>7</v>
      </c>
      <c r="K75" s="444">
        <v>119</v>
      </c>
      <c r="L75" s="444">
        <v>1</v>
      </c>
      <c r="M75" s="444">
        <v>17</v>
      </c>
      <c r="N75" s="444">
        <v>7</v>
      </c>
      <c r="O75" s="444">
        <v>119</v>
      </c>
      <c r="P75" s="510">
        <v>1</v>
      </c>
      <c r="Q75" s="445">
        <v>17</v>
      </c>
    </row>
    <row r="76" spans="1:17" ht="14.4" customHeight="1" x14ac:dyDescent="0.3">
      <c r="A76" s="439" t="s">
        <v>838</v>
      </c>
      <c r="B76" s="440" t="s">
        <v>755</v>
      </c>
      <c r="C76" s="440" t="s">
        <v>752</v>
      </c>
      <c r="D76" s="440" t="s">
        <v>782</v>
      </c>
      <c r="E76" s="440" t="s">
        <v>767</v>
      </c>
      <c r="F76" s="444">
        <v>5</v>
      </c>
      <c r="G76" s="444">
        <v>3480</v>
      </c>
      <c r="H76" s="444">
        <v>0.4096045197740113</v>
      </c>
      <c r="I76" s="444">
        <v>696</v>
      </c>
      <c r="J76" s="444">
        <v>12</v>
      </c>
      <c r="K76" s="444">
        <v>8496</v>
      </c>
      <c r="L76" s="444">
        <v>1</v>
      </c>
      <c r="M76" s="444">
        <v>708</v>
      </c>
      <c r="N76" s="444">
        <v>13</v>
      </c>
      <c r="O76" s="444">
        <v>9204</v>
      </c>
      <c r="P76" s="510">
        <v>1.0833333333333333</v>
      </c>
      <c r="Q76" s="445">
        <v>708</v>
      </c>
    </row>
    <row r="77" spans="1:17" ht="14.4" customHeight="1" x14ac:dyDescent="0.3">
      <c r="A77" s="439" t="s">
        <v>838</v>
      </c>
      <c r="B77" s="440" t="s">
        <v>755</v>
      </c>
      <c r="C77" s="440" t="s">
        <v>752</v>
      </c>
      <c r="D77" s="440" t="s">
        <v>783</v>
      </c>
      <c r="E77" s="440" t="s">
        <v>769</v>
      </c>
      <c r="F77" s="444"/>
      <c r="G77" s="444"/>
      <c r="H77" s="444"/>
      <c r="I77" s="444"/>
      <c r="J77" s="444"/>
      <c r="K77" s="444"/>
      <c r="L77" s="444"/>
      <c r="M77" s="444"/>
      <c r="N77" s="444">
        <v>5</v>
      </c>
      <c r="O77" s="444">
        <v>7195</v>
      </c>
      <c r="P77" s="510"/>
      <c r="Q77" s="445">
        <v>1439</v>
      </c>
    </row>
    <row r="78" spans="1:17" ht="14.4" customHeight="1" x14ac:dyDescent="0.3">
      <c r="A78" s="439" t="s">
        <v>838</v>
      </c>
      <c r="B78" s="440" t="s">
        <v>755</v>
      </c>
      <c r="C78" s="440" t="s">
        <v>752</v>
      </c>
      <c r="D78" s="440" t="s">
        <v>784</v>
      </c>
      <c r="E78" s="440" t="s">
        <v>785</v>
      </c>
      <c r="F78" s="444"/>
      <c r="G78" s="444"/>
      <c r="H78" s="444"/>
      <c r="I78" s="444"/>
      <c r="J78" s="444"/>
      <c r="K78" s="444"/>
      <c r="L78" s="444"/>
      <c r="M78" s="444"/>
      <c r="N78" s="444">
        <v>3</v>
      </c>
      <c r="O78" s="444">
        <v>7314</v>
      </c>
      <c r="P78" s="510"/>
      <c r="Q78" s="445">
        <v>2438</v>
      </c>
    </row>
    <row r="79" spans="1:17" ht="14.4" customHeight="1" x14ac:dyDescent="0.3">
      <c r="A79" s="439" t="s">
        <v>838</v>
      </c>
      <c r="B79" s="440" t="s">
        <v>755</v>
      </c>
      <c r="C79" s="440" t="s">
        <v>752</v>
      </c>
      <c r="D79" s="440" t="s">
        <v>786</v>
      </c>
      <c r="E79" s="440" t="s">
        <v>787</v>
      </c>
      <c r="F79" s="444">
        <v>5</v>
      </c>
      <c r="G79" s="444">
        <v>330</v>
      </c>
      <c r="H79" s="444">
        <v>0.39855072463768115</v>
      </c>
      <c r="I79" s="444">
        <v>66</v>
      </c>
      <c r="J79" s="444">
        <v>12</v>
      </c>
      <c r="K79" s="444">
        <v>828</v>
      </c>
      <c r="L79" s="444">
        <v>1</v>
      </c>
      <c r="M79" s="444">
        <v>69</v>
      </c>
      <c r="N79" s="444">
        <v>13</v>
      </c>
      <c r="O79" s="444">
        <v>897</v>
      </c>
      <c r="P79" s="510">
        <v>1.0833333333333333</v>
      </c>
      <c r="Q79" s="445">
        <v>69</v>
      </c>
    </row>
    <row r="80" spans="1:17" ht="14.4" customHeight="1" x14ac:dyDescent="0.3">
      <c r="A80" s="439" t="s">
        <v>838</v>
      </c>
      <c r="B80" s="440" t="s">
        <v>755</v>
      </c>
      <c r="C80" s="440" t="s">
        <v>752</v>
      </c>
      <c r="D80" s="440" t="s">
        <v>792</v>
      </c>
      <c r="E80" s="440" t="s">
        <v>793</v>
      </c>
      <c r="F80" s="444">
        <v>10</v>
      </c>
      <c r="G80" s="444">
        <v>5520</v>
      </c>
      <c r="H80" s="444">
        <v>1.6428571428571428</v>
      </c>
      <c r="I80" s="444">
        <v>552</v>
      </c>
      <c r="J80" s="444">
        <v>6</v>
      </c>
      <c r="K80" s="444">
        <v>3360</v>
      </c>
      <c r="L80" s="444">
        <v>1</v>
      </c>
      <c r="M80" s="444">
        <v>560</v>
      </c>
      <c r="N80" s="444">
        <v>21</v>
      </c>
      <c r="O80" s="444">
        <v>11760</v>
      </c>
      <c r="P80" s="510">
        <v>3.5</v>
      </c>
      <c r="Q80" s="445">
        <v>560</v>
      </c>
    </row>
    <row r="81" spans="1:17" ht="14.4" customHeight="1" x14ac:dyDescent="0.3">
      <c r="A81" s="439" t="s">
        <v>838</v>
      </c>
      <c r="B81" s="440" t="s">
        <v>755</v>
      </c>
      <c r="C81" s="440" t="s">
        <v>752</v>
      </c>
      <c r="D81" s="440" t="s">
        <v>805</v>
      </c>
      <c r="E81" s="440" t="s">
        <v>806</v>
      </c>
      <c r="F81" s="444">
        <v>2</v>
      </c>
      <c r="G81" s="444">
        <v>3230</v>
      </c>
      <c r="H81" s="444"/>
      <c r="I81" s="444">
        <v>1615</v>
      </c>
      <c r="J81" s="444"/>
      <c r="K81" s="444"/>
      <c r="L81" s="444"/>
      <c r="M81" s="444"/>
      <c r="N81" s="444">
        <v>5</v>
      </c>
      <c r="O81" s="444">
        <v>8245</v>
      </c>
      <c r="P81" s="510"/>
      <c r="Q81" s="445">
        <v>1649</v>
      </c>
    </row>
    <row r="82" spans="1:17" ht="14.4" customHeight="1" x14ac:dyDescent="0.3">
      <c r="A82" s="439" t="s">
        <v>839</v>
      </c>
      <c r="B82" s="440" t="s">
        <v>751</v>
      </c>
      <c r="C82" s="440" t="s">
        <v>752</v>
      </c>
      <c r="D82" s="440" t="s">
        <v>753</v>
      </c>
      <c r="E82" s="440" t="s">
        <v>754</v>
      </c>
      <c r="F82" s="444">
        <v>6</v>
      </c>
      <c r="G82" s="444">
        <v>64350</v>
      </c>
      <c r="H82" s="444">
        <v>1.8810839252828202</v>
      </c>
      <c r="I82" s="444">
        <v>10725</v>
      </c>
      <c r="J82" s="444">
        <v>3</v>
      </c>
      <c r="K82" s="444">
        <v>34209</v>
      </c>
      <c r="L82" s="444">
        <v>1</v>
      </c>
      <c r="M82" s="444">
        <v>11403</v>
      </c>
      <c r="N82" s="444">
        <v>2</v>
      </c>
      <c r="O82" s="444">
        <v>22826</v>
      </c>
      <c r="P82" s="510">
        <v>0.66725130813528599</v>
      </c>
      <c r="Q82" s="445">
        <v>11413</v>
      </c>
    </row>
    <row r="83" spans="1:17" ht="14.4" customHeight="1" x14ac:dyDescent="0.3">
      <c r="A83" s="439" t="s">
        <v>839</v>
      </c>
      <c r="B83" s="440" t="s">
        <v>755</v>
      </c>
      <c r="C83" s="440" t="s">
        <v>752</v>
      </c>
      <c r="D83" s="440" t="s">
        <v>756</v>
      </c>
      <c r="E83" s="440" t="s">
        <v>757</v>
      </c>
      <c r="F83" s="444"/>
      <c r="G83" s="444"/>
      <c r="H83" s="444"/>
      <c r="I83" s="444"/>
      <c r="J83" s="444">
        <v>1</v>
      </c>
      <c r="K83" s="444">
        <v>136</v>
      </c>
      <c r="L83" s="444">
        <v>1</v>
      </c>
      <c r="M83" s="444">
        <v>136</v>
      </c>
      <c r="N83" s="444">
        <v>1</v>
      </c>
      <c r="O83" s="444">
        <v>136</v>
      </c>
      <c r="P83" s="510">
        <v>1</v>
      </c>
      <c r="Q83" s="445">
        <v>136</v>
      </c>
    </row>
    <row r="84" spans="1:17" ht="14.4" customHeight="1" x14ac:dyDescent="0.3">
      <c r="A84" s="439" t="s">
        <v>839</v>
      </c>
      <c r="B84" s="440" t="s">
        <v>755</v>
      </c>
      <c r="C84" s="440" t="s">
        <v>752</v>
      </c>
      <c r="D84" s="440" t="s">
        <v>760</v>
      </c>
      <c r="E84" s="440" t="s">
        <v>761</v>
      </c>
      <c r="F84" s="444">
        <v>2</v>
      </c>
      <c r="G84" s="444">
        <v>4472</v>
      </c>
      <c r="H84" s="444">
        <v>0.6375819788993442</v>
      </c>
      <c r="I84" s="444">
        <v>2236</v>
      </c>
      <c r="J84" s="444">
        <v>3</v>
      </c>
      <c r="K84" s="444">
        <v>7014</v>
      </c>
      <c r="L84" s="444">
        <v>1</v>
      </c>
      <c r="M84" s="444">
        <v>2338</v>
      </c>
      <c r="N84" s="444"/>
      <c r="O84" s="444"/>
      <c r="P84" s="510"/>
      <c r="Q84" s="445"/>
    </row>
    <row r="85" spans="1:17" ht="14.4" customHeight="1" x14ac:dyDescent="0.3">
      <c r="A85" s="439" t="s">
        <v>839</v>
      </c>
      <c r="B85" s="440" t="s">
        <v>755</v>
      </c>
      <c r="C85" s="440" t="s">
        <v>752</v>
      </c>
      <c r="D85" s="440" t="s">
        <v>764</v>
      </c>
      <c r="E85" s="440" t="s">
        <v>765</v>
      </c>
      <c r="F85" s="444">
        <v>12</v>
      </c>
      <c r="G85" s="444">
        <v>44652</v>
      </c>
      <c r="H85" s="444">
        <v>5.8399162961025377</v>
      </c>
      <c r="I85" s="444">
        <v>3721</v>
      </c>
      <c r="J85" s="444">
        <v>2</v>
      </c>
      <c r="K85" s="444">
        <v>7646</v>
      </c>
      <c r="L85" s="444">
        <v>1</v>
      </c>
      <c r="M85" s="444">
        <v>3823</v>
      </c>
      <c r="N85" s="444">
        <v>2</v>
      </c>
      <c r="O85" s="444">
        <v>7650</v>
      </c>
      <c r="P85" s="510">
        <v>1.000523149359142</v>
      </c>
      <c r="Q85" s="445">
        <v>3825</v>
      </c>
    </row>
    <row r="86" spans="1:17" ht="14.4" customHeight="1" x14ac:dyDescent="0.3">
      <c r="A86" s="439" t="s">
        <v>839</v>
      </c>
      <c r="B86" s="440" t="s">
        <v>755</v>
      </c>
      <c r="C86" s="440" t="s">
        <v>752</v>
      </c>
      <c r="D86" s="440" t="s">
        <v>770</v>
      </c>
      <c r="E86" s="440" t="s">
        <v>771</v>
      </c>
      <c r="F86" s="444">
        <v>4</v>
      </c>
      <c r="G86" s="444">
        <v>6484</v>
      </c>
      <c r="H86" s="444">
        <v>3.9178247734138973</v>
      </c>
      <c r="I86" s="444">
        <v>1621</v>
      </c>
      <c r="J86" s="444">
        <v>1</v>
      </c>
      <c r="K86" s="444">
        <v>1655</v>
      </c>
      <c r="L86" s="444">
        <v>1</v>
      </c>
      <c r="M86" s="444">
        <v>1655</v>
      </c>
      <c r="N86" s="444"/>
      <c r="O86" s="444"/>
      <c r="P86" s="510"/>
      <c r="Q86" s="445"/>
    </row>
    <row r="87" spans="1:17" ht="14.4" customHeight="1" x14ac:dyDescent="0.3">
      <c r="A87" s="439" t="s">
        <v>839</v>
      </c>
      <c r="B87" s="440" t="s">
        <v>755</v>
      </c>
      <c r="C87" s="440" t="s">
        <v>752</v>
      </c>
      <c r="D87" s="440" t="s">
        <v>774</v>
      </c>
      <c r="E87" s="440" t="s">
        <v>775</v>
      </c>
      <c r="F87" s="444"/>
      <c r="G87" s="444"/>
      <c r="H87" s="444"/>
      <c r="I87" s="444"/>
      <c r="J87" s="444">
        <v>2</v>
      </c>
      <c r="K87" s="444">
        <v>1680</v>
      </c>
      <c r="L87" s="444">
        <v>1</v>
      </c>
      <c r="M87" s="444">
        <v>840</v>
      </c>
      <c r="N87" s="444"/>
      <c r="O87" s="444"/>
      <c r="P87" s="510"/>
      <c r="Q87" s="445"/>
    </row>
    <row r="88" spans="1:17" ht="14.4" customHeight="1" x14ac:dyDescent="0.3">
      <c r="A88" s="439" t="s">
        <v>839</v>
      </c>
      <c r="B88" s="440" t="s">
        <v>755</v>
      </c>
      <c r="C88" s="440" t="s">
        <v>752</v>
      </c>
      <c r="D88" s="440" t="s">
        <v>776</v>
      </c>
      <c r="E88" s="440" t="s">
        <v>777</v>
      </c>
      <c r="F88" s="444">
        <v>1</v>
      </c>
      <c r="G88" s="444">
        <v>1461</v>
      </c>
      <c r="H88" s="444"/>
      <c r="I88" s="444">
        <v>1461</v>
      </c>
      <c r="J88" s="444"/>
      <c r="K88" s="444"/>
      <c r="L88" s="444"/>
      <c r="M88" s="444"/>
      <c r="N88" s="444"/>
      <c r="O88" s="444"/>
      <c r="P88" s="510"/>
      <c r="Q88" s="445"/>
    </row>
    <row r="89" spans="1:17" ht="14.4" customHeight="1" x14ac:dyDescent="0.3">
      <c r="A89" s="439" t="s">
        <v>839</v>
      </c>
      <c r="B89" s="440" t="s">
        <v>755</v>
      </c>
      <c r="C89" s="440" t="s">
        <v>752</v>
      </c>
      <c r="D89" s="440" t="s">
        <v>780</v>
      </c>
      <c r="E89" s="440" t="s">
        <v>781</v>
      </c>
      <c r="F89" s="444">
        <v>7</v>
      </c>
      <c r="G89" s="444">
        <v>112</v>
      </c>
      <c r="H89" s="444">
        <v>1.6470588235294117</v>
      </c>
      <c r="I89" s="444">
        <v>16</v>
      </c>
      <c r="J89" s="444">
        <v>4</v>
      </c>
      <c r="K89" s="444">
        <v>68</v>
      </c>
      <c r="L89" s="444">
        <v>1</v>
      </c>
      <c r="M89" s="444">
        <v>17</v>
      </c>
      <c r="N89" s="444">
        <v>6</v>
      </c>
      <c r="O89" s="444">
        <v>102</v>
      </c>
      <c r="P89" s="510">
        <v>1.5</v>
      </c>
      <c r="Q89" s="445">
        <v>17</v>
      </c>
    </row>
    <row r="90" spans="1:17" ht="14.4" customHeight="1" x14ac:dyDescent="0.3">
      <c r="A90" s="439" t="s">
        <v>839</v>
      </c>
      <c r="B90" s="440" t="s">
        <v>755</v>
      </c>
      <c r="C90" s="440" t="s">
        <v>752</v>
      </c>
      <c r="D90" s="440" t="s">
        <v>782</v>
      </c>
      <c r="E90" s="440" t="s">
        <v>767</v>
      </c>
      <c r="F90" s="444">
        <v>14</v>
      </c>
      <c r="G90" s="444">
        <v>9744</v>
      </c>
      <c r="H90" s="444">
        <v>2.7525423728813561</v>
      </c>
      <c r="I90" s="444">
        <v>696</v>
      </c>
      <c r="J90" s="444">
        <v>5</v>
      </c>
      <c r="K90" s="444">
        <v>3540</v>
      </c>
      <c r="L90" s="444">
        <v>1</v>
      </c>
      <c r="M90" s="444">
        <v>708</v>
      </c>
      <c r="N90" s="444">
        <v>11</v>
      </c>
      <c r="O90" s="444">
        <v>7788</v>
      </c>
      <c r="P90" s="510">
        <v>2.2000000000000002</v>
      </c>
      <c r="Q90" s="445">
        <v>708</v>
      </c>
    </row>
    <row r="91" spans="1:17" ht="14.4" customHeight="1" x14ac:dyDescent="0.3">
      <c r="A91" s="439" t="s">
        <v>839</v>
      </c>
      <c r="B91" s="440" t="s">
        <v>755</v>
      </c>
      <c r="C91" s="440" t="s">
        <v>752</v>
      </c>
      <c r="D91" s="440" t="s">
        <v>783</v>
      </c>
      <c r="E91" s="440" t="s">
        <v>769</v>
      </c>
      <c r="F91" s="444">
        <v>25</v>
      </c>
      <c r="G91" s="444">
        <v>34675</v>
      </c>
      <c r="H91" s="444">
        <v>4.0188919796012978</v>
      </c>
      <c r="I91" s="444">
        <v>1387</v>
      </c>
      <c r="J91" s="444">
        <v>6</v>
      </c>
      <c r="K91" s="444">
        <v>8628</v>
      </c>
      <c r="L91" s="444">
        <v>1</v>
      </c>
      <c r="M91" s="444">
        <v>1438</v>
      </c>
      <c r="N91" s="444">
        <v>5</v>
      </c>
      <c r="O91" s="444">
        <v>7195</v>
      </c>
      <c r="P91" s="510">
        <v>0.83391284191006032</v>
      </c>
      <c r="Q91" s="445">
        <v>1439</v>
      </c>
    </row>
    <row r="92" spans="1:17" ht="14.4" customHeight="1" x14ac:dyDescent="0.3">
      <c r="A92" s="439" t="s">
        <v>839</v>
      </c>
      <c r="B92" s="440" t="s">
        <v>755</v>
      </c>
      <c r="C92" s="440" t="s">
        <v>752</v>
      </c>
      <c r="D92" s="440" t="s">
        <v>784</v>
      </c>
      <c r="E92" s="440" t="s">
        <v>785</v>
      </c>
      <c r="F92" s="444">
        <v>11</v>
      </c>
      <c r="G92" s="444">
        <v>25751</v>
      </c>
      <c r="H92" s="444">
        <v>2.6416700861715223</v>
      </c>
      <c r="I92" s="444">
        <v>2341</v>
      </c>
      <c r="J92" s="444">
        <v>4</v>
      </c>
      <c r="K92" s="444">
        <v>9748</v>
      </c>
      <c r="L92" s="444">
        <v>1</v>
      </c>
      <c r="M92" s="444">
        <v>2437</v>
      </c>
      <c r="N92" s="444">
        <v>5</v>
      </c>
      <c r="O92" s="444">
        <v>12190</v>
      </c>
      <c r="P92" s="510">
        <v>1.2505129257283545</v>
      </c>
      <c r="Q92" s="445">
        <v>2438</v>
      </c>
    </row>
    <row r="93" spans="1:17" ht="14.4" customHeight="1" x14ac:dyDescent="0.3">
      <c r="A93" s="439" t="s">
        <v>839</v>
      </c>
      <c r="B93" s="440" t="s">
        <v>755</v>
      </c>
      <c r="C93" s="440" t="s">
        <v>752</v>
      </c>
      <c r="D93" s="440" t="s">
        <v>786</v>
      </c>
      <c r="E93" s="440" t="s">
        <v>787</v>
      </c>
      <c r="F93" s="444">
        <v>14</v>
      </c>
      <c r="G93" s="444">
        <v>924</v>
      </c>
      <c r="H93" s="444">
        <v>2.6782608695652175</v>
      </c>
      <c r="I93" s="444">
        <v>66</v>
      </c>
      <c r="J93" s="444">
        <v>5</v>
      </c>
      <c r="K93" s="444">
        <v>345</v>
      </c>
      <c r="L93" s="444">
        <v>1</v>
      </c>
      <c r="M93" s="444">
        <v>69</v>
      </c>
      <c r="N93" s="444">
        <v>11</v>
      </c>
      <c r="O93" s="444">
        <v>759</v>
      </c>
      <c r="P93" s="510">
        <v>2.2000000000000002</v>
      </c>
      <c r="Q93" s="445">
        <v>69</v>
      </c>
    </row>
    <row r="94" spans="1:17" ht="14.4" customHeight="1" x14ac:dyDescent="0.3">
      <c r="A94" s="439" t="s">
        <v>839</v>
      </c>
      <c r="B94" s="440" t="s">
        <v>755</v>
      </c>
      <c r="C94" s="440" t="s">
        <v>752</v>
      </c>
      <c r="D94" s="440" t="s">
        <v>788</v>
      </c>
      <c r="E94" s="440" t="s">
        <v>789</v>
      </c>
      <c r="F94" s="444">
        <v>1</v>
      </c>
      <c r="G94" s="444">
        <v>401</v>
      </c>
      <c r="H94" s="444"/>
      <c r="I94" s="444">
        <v>401</v>
      </c>
      <c r="J94" s="444"/>
      <c r="K94" s="444"/>
      <c r="L94" s="444"/>
      <c r="M94" s="444"/>
      <c r="N94" s="444"/>
      <c r="O94" s="444"/>
      <c r="P94" s="510"/>
      <c r="Q94" s="445"/>
    </row>
    <row r="95" spans="1:17" ht="14.4" customHeight="1" x14ac:dyDescent="0.3">
      <c r="A95" s="439" t="s">
        <v>839</v>
      </c>
      <c r="B95" s="440" t="s">
        <v>755</v>
      </c>
      <c r="C95" s="440" t="s">
        <v>752</v>
      </c>
      <c r="D95" s="440" t="s">
        <v>792</v>
      </c>
      <c r="E95" s="440" t="s">
        <v>793</v>
      </c>
      <c r="F95" s="444">
        <v>30</v>
      </c>
      <c r="G95" s="444">
        <v>16560</v>
      </c>
      <c r="H95" s="444">
        <v>1.7394957983193278</v>
      </c>
      <c r="I95" s="444">
        <v>552</v>
      </c>
      <c r="J95" s="444">
        <v>17</v>
      </c>
      <c r="K95" s="444">
        <v>9520</v>
      </c>
      <c r="L95" s="444">
        <v>1</v>
      </c>
      <c r="M95" s="444">
        <v>560</v>
      </c>
      <c r="N95" s="444">
        <v>25</v>
      </c>
      <c r="O95" s="444">
        <v>14000</v>
      </c>
      <c r="P95" s="510">
        <v>1.4705882352941178</v>
      </c>
      <c r="Q95" s="445">
        <v>560</v>
      </c>
    </row>
    <row r="96" spans="1:17" ht="14.4" customHeight="1" x14ac:dyDescent="0.3">
      <c r="A96" s="439" t="s">
        <v>839</v>
      </c>
      <c r="B96" s="440" t="s">
        <v>755</v>
      </c>
      <c r="C96" s="440" t="s">
        <v>752</v>
      </c>
      <c r="D96" s="440" t="s">
        <v>805</v>
      </c>
      <c r="E96" s="440" t="s">
        <v>806</v>
      </c>
      <c r="F96" s="444">
        <v>10</v>
      </c>
      <c r="G96" s="444">
        <v>16150</v>
      </c>
      <c r="H96" s="444">
        <v>1.3991163475699557</v>
      </c>
      <c r="I96" s="444">
        <v>1615</v>
      </c>
      <c r="J96" s="444">
        <v>7</v>
      </c>
      <c r="K96" s="444">
        <v>11543</v>
      </c>
      <c r="L96" s="444">
        <v>1</v>
      </c>
      <c r="M96" s="444">
        <v>1649</v>
      </c>
      <c r="N96" s="444">
        <v>1</v>
      </c>
      <c r="O96" s="444">
        <v>1649</v>
      </c>
      <c r="P96" s="510">
        <v>0.14285714285714285</v>
      </c>
      <c r="Q96" s="445">
        <v>1649</v>
      </c>
    </row>
    <row r="97" spans="1:17" ht="14.4" customHeight="1" x14ac:dyDescent="0.3">
      <c r="A97" s="439" t="s">
        <v>839</v>
      </c>
      <c r="B97" s="440" t="s">
        <v>755</v>
      </c>
      <c r="C97" s="440" t="s">
        <v>752</v>
      </c>
      <c r="D97" s="440" t="s">
        <v>808</v>
      </c>
      <c r="E97" s="440"/>
      <c r="F97" s="444"/>
      <c r="G97" s="444"/>
      <c r="H97" s="444"/>
      <c r="I97" s="444"/>
      <c r="J97" s="444"/>
      <c r="K97" s="444"/>
      <c r="L97" s="444"/>
      <c r="M97" s="444"/>
      <c r="N97" s="444">
        <v>1</v>
      </c>
      <c r="O97" s="444">
        <v>2203</v>
      </c>
      <c r="P97" s="510"/>
      <c r="Q97" s="445">
        <v>2203</v>
      </c>
    </row>
    <row r="98" spans="1:17" ht="14.4" customHeight="1" x14ac:dyDescent="0.3">
      <c r="A98" s="439" t="s">
        <v>840</v>
      </c>
      <c r="B98" s="440" t="s">
        <v>755</v>
      </c>
      <c r="C98" s="440" t="s">
        <v>752</v>
      </c>
      <c r="D98" s="440" t="s">
        <v>756</v>
      </c>
      <c r="E98" s="440" t="s">
        <v>757</v>
      </c>
      <c r="F98" s="444">
        <v>2</v>
      </c>
      <c r="G98" s="444">
        <v>256</v>
      </c>
      <c r="H98" s="444"/>
      <c r="I98" s="444">
        <v>128</v>
      </c>
      <c r="J98" s="444"/>
      <c r="K98" s="444"/>
      <c r="L98" s="444"/>
      <c r="M98" s="444"/>
      <c r="N98" s="444"/>
      <c r="O98" s="444"/>
      <c r="P98" s="510"/>
      <c r="Q98" s="445"/>
    </row>
    <row r="99" spans="1:17" ht="14.4" customHeight="1" x14ac:dyDescent="0.3">
      <c r="A99" s="439" t="s">
        <v>840</v>
      </c>
      <c r="B99" s="440" t="s">
        <v>755</v>
      </c>
      <c r="C99" s="440" t="s">
        <v>752</v>
      </c>
      <c r="D99" s="440" t="s">
        <v>776</v>
      </c>
      <c r="E99" s="440" t="s">
        <v>777</v>
      </c>
      <c r="F99" s="444">
        <v>5</v>
      </c>
      <c r="G99" s="444">
        <v>7305</v>
      </c>
      <c r="H99" s="444">
        <v>4.7964543663821404</v>
      </c>
      <c r="I99" s="444">
        <v>1461</v>
      </c>
      <c r="J99" s="444">
        <v>1</v>
      </c>
      <c r="K99" s="444">
        <v>1523</v>
      </c>
      <c r="L99" s="444">
        <v>1</v>
      </c>
      <c r="M99" s="444">
        <v>1523</v>
      </c>
      <c r="N99" s="444"/>
      <c r="O99" s="444"/>
      <c r="P99" s="510"/>
      <c r="Q99" s="445"/>
    </row>
    <row r="100" spans="1:17" ht="14.4" customHeight="1" x14ac:dyDescent="0.3">
      <c r="A100" s="439" t="s">
        <v>840</v>
      </c>
      <c r="B100" s="440" t="s">
        <v>755</v>
      </c>
      <c r="C100" s="440" t="s">
        <v>752</v>
      </c>
      <c r="D100" s="440" t="s">
        <v>782</v>
      </c>
      <c r="E100" s="440" t="s">
        <v>767</v>
      </c>
      <c r="F100" s="444">
        <v>1</v>
      </c>
      <c r="G100" s="444">
        <v>696</v>
      </c>
      <c r="H100" s="444"/>
      <c r="I100" s="444">
        <v>696</v>
      </c>
      <c r="J100" s="444"/>
      <c r="K100" s="444"/>
      <c r="L100" s="444"/>
      <c r="M100" s="444"/>
      <c r="N100" s="444">
        <v>1</v>
      </c>
      <c r="O100" s="444">
        <v>708</v>
      </c>
      <c r="P100" s="510"/>
      <c r="Q100" s="445">
        <v>708</v>
      </c>
    </row>
    <row r="101" spans="1:17" ht="14.4" customHeight="1" x14ac:dyDescent="0.3">
      <c r="A101" s="439" t="s">
        <v>840</v>
      </c>
      <c r="B101" s="440" t="s">
        <v>755</v>
      </c>
      <c r="C101" s="440" t="s">
        <v>752</v>
      </c>
      <c r="D101" s="440" t="s">
        <v>786</v>
      </c>
      <c r="E101" s="440" t="s">
        <v>787</v>
      </c>
      <c r="F101" s="444">
        <v>1</v>
      </c>
      <c r="G101" s="444">
        <v>66</v>
      </c>
      <c r="H101" s="444"/>
      <c r="I101" s="444">
        <v>66</v>
      </c>
      <c r="J101" s="444"/>
      <c r="K101" s="444"/>
      <c r="L101" s="444"/>
      <c r="M101" s="444"/>
      <c r="N101" s="444">
        <v>1</v>
      </c>
      <c r="O101" s="444">
        <v>69</v>
      </c>
      <c r="P101" s="510"/>
      <c r="Q101" s="445">
        <v>69</v>
      </c>
    </row>
    <row r="102" spans="1:17" ht="14.4" customHeight="1" x14ac:dyDescent="0.3">
      <c r="A102" s="439" t="s">
        <v>840</v>
      </c>
      <c r="B102" s="440" t="s">
        <v>755</v>
      </c>
      <c r="C102" s="440" t="s">
        <v>752</v>
      </c>
      <c r="D102" s="440" t="s">
        <v>788</v>
      </c>
      <c r="E102" s="440" t="s">
        <v>789</v>
      </c>
      <c r="F102" s="444">
        <v>5</v>
      </c>
      <c r="G102" s="444">
        <v>2005</v>
      </c>
      <c r="H102" s="444">
        <v>4.9262899262899262</v>
      </c>
      <c r="I102" s="444">
        <v>401</v>
      </c>
      <c r="J102" s="444">
        <v>1</v>
      </c>
      <c r="K102" s="444">
        <v>407</v>
      </c>
      <c r="L102" s="444">
        <v>1</v>
      </c>
      <c r="M102" s="444">
        <v>407</v>
      </c>
      <c r="N102" s="444"/>
      <c r="O102" s="444"/>
      <c r="P102" s="510"/>
      <c r="Q102" s="445"/>
    </row>
    <row r="103" spans="1:17" ht="14.4" customHeight="1" x14ac:dyDescent="0.3">
      <c r="A103" s="439" t="s">
        <v>840</v>
      </c>
      <c r="B103" s="440" t="s">
        <v>755</v>
      </c>
      <c r="C103" s="440" t="s">
        <v>752</v>
      </c>
      <c r="D103" s="440" t="s">
        <v>792</v>
      </c>
      <c r="E103" s="440" t="s">
        <v>793</v>
      </c>
      <c r="F103" s="444">
        <v>18</v>
      </c>
      <c r="G103" s="444">
        <v>9936</v>
      </c>
      <c r="H103" s="444">
        <v>2.9571428571428573</v>
      </c>
      <c r="I103" s="444">
        <v>552</v>
      </c>
      <c r="J103" s="444">
        <v>6</v>
      </c>
      <c r="K103" s="444">
        <v>3360</v>
      </c>
      <c r="L103" s="444">
        <v>1</v>
      </c>
      <c r="M103" s="444">
        <v>560</v>
      </c>
      <c r="N103" s="444">
        <v>30</v>
      </c>
      <c r="O103" s="444">
        <v>16800</v>
      </c>
      <c r="P103" s="510">
        <v>5</v>
      </c>
      <c r="Q103" s="445">
        <v>560</v>
      </c>
    </row>
    <row r="104" spans="1:17" ht="14.4" customHeight="1" x14ac:dyDescent="0.3">
      <c r="A104" s="439" t="s">
        <v>840</v>
      </c>
      <c r="B104" s="440" t="s">
        <v>755</v>
      </c>
      <c r="C104" s="440" t="s">
        <v>752</v>
      </c>
      <c r="D104" s="440" t="s">
        <v>800</v>
      </c>
      <c r="E104" s="440" t="s">
        <v>801</v>
      </c>
      <c r="F104" s="444">
        <v>2</v>
      </c>
      <c r="G104" s="444">
        <v>852</v>
      </c>
      <c r="H104" s="444">
        <v>0.28371628371628371</v>
      </c>
      <c r="I104" s="444">
        <v>426</v>
      </c>
      <c r="J104" s="444">
        <v>7</v>
      </c>
      <c r="K104" s="444">
        <v>3003</v>
      </c>
      <c r="L104" s="444">
        <v>1</v>
      </c>
      <c r="M104" s="444">
        <v>429</v>
      </c>
      <c r="N104" s="444">
        <v>2</v>
      </c>
      <c r="O104" s="444">
        <v>858</v>
      </c>
      <c r="P104" s="510">
        <v>0.2857142857142857</v>
      </c>
      <c r="Q104" s="445">
        <v>429</v>
      </c>
    </row>
    <row r="105" spans="1:17" ht="14.4" customHeight="1" x14ac:dyDescent="0.3">
      <c r="A105" s="439" t="s">
        <v>840</v>
      </c>
      <c r="B105" s="440" t="s">
        <v>755</v>
      </c>
      <c r="C105" s="440" t="s">
        <v>752</v>
      </c>
      <c r="D105" s="440" t="s">
        <v>805</v>
      </c>
      <c r="E105" s="440" t="s">
        <v>806</v>
      </c>
      <c r="F105" s="444">
        <v>1</v>
      </c>
      <c r="G105" s="444">
        <v>1615</v>
      </c>
      <c r="H105" s="444"/>
      <c r="I105" s="444">
        <v>1615</v>
      </c>
      <c r="J105" s="444"/>
      <c r="K105" s="444"/>
      <c r="L105" s="444"/>
      <c r="M105" s="444"/>
      <c r="N105" s="444">
        <v>4</v>
      </c>
      <c r="O105" s="444">
        <v>6596</v>
      </c>
      <c r="P105" s="510"/>
      <c r="Q105" s="445">
        <v>1649</v>
      </c>
    </row>
    <row r="106" spans="1:17" ht="14.4" customHeight="1" x14ac:dyDescent="0.3">
      <c r="A106" s="439" t="s">
        <v>840</v>
      </c>
      <c r="B106" s="440" t="s">
        <v>755</v>
      </c>
      <c r="C106" s="440" t="s">
        <v>752</v>
      </c>
      <c r="D106" s="440" t="s">
        <v>808</v>
      </c>
      <c r="E106" s="440"/>
      <c r="F106" s="444"/>
      <c r="G106" s="444"/>
      <c r="H106" s="444"/>
      <c r="I106" s="444"/>
      <c r="J106" s="444"/>
      <c r="K106" s="444"/>
      <c r="L106" s="444"/>
      <c r="M106" s="444"/>
      <c r="N106" s="444">
        <v>3</v>
      </c>
      <c r="O106" s="444">
        <v>6609</v>
      </c>
      <c r="P106" s="510"/>
      <c r="Q106" s="445">
        <v>2203</v>
      </c>
    </row>
    <row r="107" spans="1:17" ht="14.4" customHeight="1" x14ac:dyDescent="0.3">
      <c r="A107" s="439" t="s">
        <v>750</v>
      </c>
      <c r="B107" s="440" t="s">
        <v>755</v>
      </c>
      <c r="C107" s="440" t="s">
        <v>752</v>
      </c>
      <c r="D107" s="440" t="s">
        <v>756</v>
      </c>
      <c r="E107" s="440" t="s">
        <v>757</v>
      </c>
      <c r="F107" s="444">
        <v>4</v>
      </c>
      <c r="G107" s="444">
        <v>512</v>
      </c>
      <c r="H107" s="444"/>
      <c r="I107" s="444">
        <v>128</v>
      </c>
      <c r="J107" s="444"/>
      <c r="K107" s="444"/>
      <c r="L107" s="444"/>
      <c r="M107" s="444"/>
      <c r="N107" s="444"/>
      <c r="O107" s="444"/>
      <c r="P107" s="510"/>
      <c r="Q107" s="445"/>
    </row>
    <row r="108" spans="1:17" ht="14.4" customHeight="1" x14ac:dyDescent="0.3">
      <c r="A108" s="439" t="s">
        <v>750</v>
      </c>
      <c r="B108" s="440" t="s">
        <v>755</v>
      </c>
      <c r="C108" s="440" t="s">
        <v>752</v>
      </c>
      <c r="D108" s="440" t="s">
        <v>776</v>
      </c>
      <c r="E108" s="440" t="s">
        <v>777</v>
      </c>
      <c r="F108" s="444">
        <v>4</v>
      </c>
      <c r="G108" s="444">
        <v>5844</v>
      </c>
      <c r="H108" s="444"/>
      <c r="I108" s="444">
        <v>1461</v>
      </c>
      <c r="J108" s="444"/>
      <c r="K108" s="444"/>
      <c r="L108" s="444"/>
      <c r="M108" s="444"/>
      <c r="N108" s="444"/>
      <c r="O108" s="444"/>
      <c r="P108" s="510"/>
      <c r="Q108" s="445"/>
    </row>
    <row r="109" spans="1:17" ht="14.4" customHeight="1" x14ac:dyDescent="0.3">
      <c r="A109" s="439" t="s">
        <v>750</v>
      </c>
      <c r="B109" s="440" t="s">
        <v>755</v>
      </c>
      <c r="C109" s="440" t="s">
        <v>752</v>
      </c>
      <c r="D109" s="440" t="s">
        <v>788</v>
      </c>
      <c r="E109" s="440" t="s">
        <v>789</v>
      </c>
      <c r="F109" s="444">
        <v>4</v>
      </c>
      <c r="G109" s="444">
        <v>1604</v>
      </c>
      <c r="H109" s="444"/>
      <c r="I109" s="444">
        <v>401</v>
      </c>
      <c r="J109" s="444"/>
      <c r="K109" s="444"/>
      <c r="L109" s="444"/>
      <c r="M109" s="444"/>
      <c r="N109" s="444"/>
      <c r="O109" s="444"/>
      <c r="P109" s="510"/>
      <c r="Q109" s="445"/>
    </row>
    <row r="110" spans="1:17" ht="14.4" customHeight="1" x14ac:dyDescent="0.3">
      <c r="A110" s="439" t="s">
        <v>750</v>
      </c>
      <c r="B110" s="440" t="s">
        <v>755</v>
      </c>
      <c r="C110" s="440" t="s">
        <v>752</v>
      </c>
      <c r="D110" s="440" t="s">
        <v>792</v>
      </c>
      <c r="E110" s="440" t="s">
        <v>793</v>
      </c>
      <c r="F110" s="444">
        <v>15</v>
      </c>
      <c r="G110" s="444">
        <v>8280</v>
      </c>
      <c r="H110" s="444">
        <v>2.4642857142857144</v>
      </c>
      <c r="I110" s="444">
        <v>552</v>
      </c>
      <c r="J110" s="444">
        <v>6</v>
      </c>
      <c r="K110" s="444">
        <v>3360</v>
      </c>
      <c r="L110" s="444">
        <v>1</v>
      </c>
      <c r="M110" s="444">
        <v>560</v>
      </c>
      <c r="N110" s="444">
        <v>5</v>
      </c>
      <c r="O110" s="444">
        <v>2800</v>
      </c>
      <c r="P110" s="510">
        <v>0.83333333333333337</v>
      </c>
      <c r="Q110" s="445">
        <v>560</v>
      </c>
    </row>
    <row r="111" spans="1:17" ht="14.4" customHeight="1" x14ac:dyDescent="0.3">
      <c r="A111" s="439" t="s">
        <v>750</v>
      </c>
      <c r="B111" s="440" t="s">
        <v>755</v>
      </c>
      <c r="C111" s="440" t="s">
        <v>752</v>
      </c>
      <c r="D111" s="440" t="s">
        <v>800</v>
      </c>
      <c r="E111" s="440" t="s">
        <v>801</v>
      </c>
      <c r="F111" s="444">
        <v>18</v>
      </c>
      <c r="G111" s="444">
        <v>7668</v>
      </c>
      <c r="H111" s="444">
        <v>4.4685314685314683</v>
      </c>
      <c r="I111" s="444">
        <v>426</v>
      </c>
      <c r="J111" s="444">
        <v>4</v>
      </c>
      <c r="K111" s="444">
        <v>1716</v>
      </c>
      <c r="L111" s="444">
        <v>1</v>
      </c>
      <c r="M111" s="444">
        <v>429</v>
      </c>
      <c r="N111" s="444">
        <v>1</v>
      </c>
      <c r="O111" s="444">
        <v>429</v>
      </c>
      <c r="P111" s="510">
        <v>0.25</v>
      </c>
      <c r="Q111" s="445">
        <v>429</v>
      </c>
    </row>
    <row r="112" spans="1:17" ht="14.4" customHeight="1" x14ac:dyDescent="0.3">
      <c r="A112" s="439" t="s">
        <v>750</v>
      </c>
      <c r="B112" s="440" t="s">
        <v>755</v>
      </c>
      <c r="C112" s="440" t="s">
        <v>752</v>
      </c>
      <c r="D112" s="440" t="s">
        <v>805</v>
      </c>
      <c r="E112" s="440" t="s">
        <v>806</v>
      </c>
      <c r="F112" s="444">
        <v>1</v>
      </c>
      <c r="G112" s="444">
        <v>1615</v>
      </c>
      <c r="H112" s="444">
        <v>0.48969072164948452</v>
      </c>
      <c r="I112" s="444">
        <v>1615</v>
      </c>
      <c r="J112" s="444">
        <v>2</v>
      </c>
      <c r="K112" s="444">
        <v>3298</v>
      </c>
      <c r="L112" s="444">
        <v>1</v>
      </c>
      <c r="M112" s="444">
        <v>1649</v>
      </c>
      <c r="N112" s="444"/>
      <c r="O112" s="444"/>
      <c r="P112" s="510"/>
      <c r="Q112" s="445"/>
    </row>
    <row r="113" spans="1:17" ht="14.4" customHeight="1" x14ac:dyDescent="0.3">
      <c r="A113" s="439" t="s">
        <v>750</v>
      </c>
      <c r="B113" s="440" t="s">
        <v>755</v>
      </c>
      <c r="C113" s="440" t="s">
        <v>752</v>
      </c>
      <c r="D113" s="440" t="s">
        <v>808</v>
      </c>
      <c r="E113" s="440"/>
      <c r="F113" s="444"/>
      <c r="G113" s="444"/>
      <c r="H113" s="444"/>
      <c r="I113" s="444"/>
      <c r="J113" s="444"/>
      <c r="K113" s="444"/>
      <c r="L113" s="444"/>
      <c r="M113" s="444"/>
      <c r="N113" s="444">
        <v>1</v>
      </c>
      <c r="O113" s="444">
        <v>2203</v>
      </c>
      <c r="P113" s="510"/>
      <c r="Q113" s="445">
        <v>2203</v>
      </c>
    </row>
    <row r="114" spans="1:17" ht="14.4" customHeight="1" x14ac:dyDescent="0.3">
      <c r="A114" s="439" t="s">
        <v>841</v>
      </c>
      <c r="B114" s="440" t="s">
        <v>755</v>
      </c>
      <c r="C114" s="440" t="s">
        <v>752</v>
      </c>
      <c r="D114" s="440" t="s">
        <v>756</v>
      </c>
      <c r="E114" s="440" t="s">
        <v>757</v>
      </c>
      <c r="F114" s="444">
        <v>7</v>
      </c>
      <c r="G114" s="444">
        <v>896</v>
      </c>
      <c r="H114" s="444">
        <v>1.6470588235294117</v>
      </c>
      <c r="I114" s="444">
        <v>128</v>
      </c>
      <c r="J114" s="444">
        <v>4</v>
      </c>
      <c r="K114" s="444">
        <v>544</v>
      </c>
      <c r="L114" s="444">
        <v>1</v>
      </c>
      <c r="M114" s="444">
        <v>136</v>
      </c>
      <c r="N114" s="444">
        <v>6</v>
      </c>
      <c r="O114" s="444">
        <v>816</v>
      </c>
      <c r="P114" s="510">
        <v>1.5</v>
      </c>
      <c r="Q114" s="445">
        <v>136</v>
      </c>
    </row>
    <row r="115" spans="1:17" ht="14.4" customHeight="1" x14ac:dyDescent="0.3">
      <c r="A115" s="439" t="s">
        <v>841</v>
      </c>
      <c r="B115" s="440" t="s">
        <v>755</v>
      </c>
      <c r="C115" s="440" t="s">
        <v>752</v>
      </c>
      <c r="D115" s="440" t="s">
        <v>760</v>
      </c>
      <c r="E115" s="440" t="s">
        <v>761</v>
      </c>
      <c r="F115" s="444">
        <v>2</v>
      </c>
      <c r="G115" s="444">
        <v>4472</v>
      </c>
      <c r="H115" s="444"/>
      <c r="I115" s="444">
        <v>2236</v>
      </c>
      <c r="J115" s="444"/>
      <c r="K115" s="444"/>
      <c r="L115" s="444"/>
      <c r="M115" s="444"/>
      <c r="N115" s="444"/>
      <c r="O115" s="444"/>
      <c r="P115" s="510"/>
      <c r="Q115" s="445"/>
    </row>
    <row r="116" spans="1:17" ht="14.4" customHeight="1" x14ac:dyDescent="0.3">
      <c r="A116" s="439" t="s">
        <v>841</v>
      </c>
      <c r="B116" s="440" t="s">
        <v>755</v>
      </c>
      <c r="C116" s="440" t="s">
        <v>752</v>
      </c>
      <c r="D116" s="440" t="s">
        <v>764</v>
      </c>
      <c r="E116" s="440" t="s">
        <v>765</v>
      </c>
      <c r="F116" s="444">
        <v>9</v>
      </c>
      <c r="G116" s="444">
        <v>33489</v>
      </c>
      <c r="H116" s="444">
        <v>0.87598744441538057</v>
      </c>
      <c r="I116" s="444">
        <v>3721</v>
      </c>
      <c r="J116" s="444">
        <v>10</v>
      </c>
      <c r="K116" s="444">
        <v>38230</v>
      </c>
      <c r="L116" s="444">
        <v>1</v>
      </c>
      <c r="M116" s="444">
        <v>3823</v>
      </c>
      <c r="N116" s="444">
        <v>15</v>
      </c>
      <c r="O116" s="444">
        <v>57375</v>
      </c>
      <c r="P116" s="510">
        <v>1.5007847240387131</v>
      </c>
      <c r="Q116" s="445">
        <v>3825</v>
      </c>
    </row>
    <row r="117" spans="1:17" ht="14.4" customHeight="1" x14ac:dyDescent="0.3">
      <c r="A117" s="439" t="s">
        <v>841</v>
      </c>
      <c r="B117" s="440" t="s">
        <v>755</v>
      </c>
      <c r="C117" s="440" t="s">
        <v>752</v>
      </c>
      <c r="D117" s="440" t="s">
        <v>766</v>
      </c>
      <c r="E117" s="440" t="s">
        <v>767</v>
      </c>
      <c r="F117" s="444">
        <v>12</v>
      </c>
      <c r="G117" s="444">
        <v>5268</v>
      </c>
      <c r="H117" s="444">
        <v>0.69636483807005944</v>
      </c>
      <c r="I117" s="444">
        <v>439</v>
      </c>
      <c r="J117" s="444">
        <v>17</v>
      </c>
      <c r="K117" s="444">
        <v>7565</v>
      </c>
      <c r="L117" s="444">
        <v>1</v>
      </c>
      <c r="M117" s="444">
        <v>445</v>
      </c>
      <c r="N117" s="444">
        <v>10</v>
      </c>
      <c r="O117" s="444">
        <v>4450</v>
      </c>
      <c r="P117" s="510">
        <v>0.58823529411764708</v>
      </c>
      <c r="Q117" s="445">
        <v>445</v>
      </c>
    </row>
    <row r="118" spans="1:17" ht="14.4" customHeight="1" x14ac:dyDescent="0.3">
      <c r="A118" s="439" t="s">
        <v>841</v>
      </c>
      <c r="B118" s="440" t="s">
        <v>755</v>
      </c>
      <c r="C118" s="440" t="s">
        <v>752</v>
      </c>
      <c r="D118" s="440" t="s">
        <v>768</v>
      </c>
      <c r="E118" s="440" t="s">
        <v>769</v>
      </c>
      <c r="F118" s="444">
        <v>7</v>
      </c>
      <c r="G118" s="444">
        <v>5852</v>
      </c>
      <c r="H118" s="444">
        <v>0.98007033997655335</v>
      </c>
      <c r="I118" s="444">
        <v>836</v>
      </c>
      <c r="J118" s="444">
        <v>7</v>
      </c>
      <c r="K118" s="444">
        <v>5971</v>
      </c>
      <c r="L118" s="444">
        <v>1</v>
      </c>
      <c r="M118" s="444">
        <v>853</v>
      </c>
      <c r="N118" s="444">
        <v>6</v>
      </c>
      <c r="O118" s="444">
        <v>5124</v>
      </c>
      <c r="P118" s="510">
        <v>0.85814771395076206</v>
      </c>
      <c r="Q118" s="445">
        <v>854</v>
      </c>
    </row>
    <row r="119" spans="1:17" ht="14.4" customHeight="1" x14ac:dyDescent="0.3">
      <c r="A119" s="439" t="s">
        <v>841</v>
      </c>
      <c r="B119" s="440" t="s">
        <v>755</v>
      </c>
      <c r="C119" s="440" t="s">
        <v>752</v>
      </c>
      <c r="D119" s="440" t="s">
        <v>770</v>
      </c>
      <c r="E119" s="440" t="s">
        <v>771</v>
      </c>
      <c r="F119" s="444">
        <v>5</v>
      </c>
      <c r="G119" s="444">
        <v>8105</v>
      </c>
      <c r="H119" s="444">
        <v>2.4486404833836857</v>
      </c>
      <c r="I119" s="444">
        <v>1621</v>
      </c>
      <c r="J119" s="444">
        <v>2</v>
      </c>
      <c r="K119" s="444">
        <v>3310</v>
      </c>
      <c r="L119" s="444">
        <v>1</v>
      </c>
      <c r="M119" s="444">
        <v>1655</v>
      </c>
      <c r="N119" s="444">
        <v>2</v>
      </c>
      <c r="O119" s="444">
        <v>3310</v>
      </c>
      <c r="P119" s="510">
        <v>1</v>
      </c>
      <c r="Q119" s="445">
        <v>1655</v>
      </c>
    </row>
    <row r="120" spans="1:17" ht="14.4" customHeight="1" x14ac:dyDescent="0.3">
      <c r="A120" s="439" t="s">
        <v>841</v>
      </c>
      <c r="B120" s="440" t="s">
        <v>755</v>
      </c>
      <c r="C120" s="440" t="s">
        <v>752</v>
      </c>
      <c r="D120" s="440" t="s">
        <v>776</v>
      </c>
      <c r="E120" s="440" t="s">
        <v>777</v>
      </c>
      <c r="F120" s="444">
        <v>9</v>
      </c>
      <c r="G120" s="444">
        <v>13149</v>
      </c>
      <c r="H120" s="444">
        <v>8.6336178594878525</v>
      </c>
      <c r="I120" s="444">
        <v>1461</v>
      </c>
      <c r="J120" s="444">
        <v>1</v>
      </c>
      <c r="K120" s="444">
        <v>1523</v>
      </c>
      <c r="L120" s="444">
        <v>1</v>
      </c>
      <c r="M120" s="444">
        <v>1523</v>
      </c>
      <c r="N120" s="444"/>
      <c r="O120" s="444"/>
      <c r="P120" s="510"/>
      <c r="Q120" s="445"/>
    </row>
    <row r="121" spans="1:17" ht="14.4" customHeight="1" x14ac:dyDescent="0.3">
      <c r="A121" s="439" t="s">
        <v>841</v>
      </c>
      <c r="B121" s="440" t="s">
        <v>755</v>
      </c>
      <c r="C121" s="440" t="s">
        <v>752</v>
      </c>
      <c r="D121" s="440" t="s">
        <v>780</v>
      </c>
      <c r="E121" s="440" t="s">
        <v>781</v>
      </c>
      <c r="F121" s="444">
        <v>20</v>
      </c>
      <c r="G121" s="444">
        <v>320</v>
      </c>
      <c r="H121" s="444">
        <v>1.4479638009049773</v>
      </c>
      <c r="I121" s="444">
        <v>16</v>
      </c>
      <c r="J121" s="444">
        <v>13</v>
      </c>
      <c r="K121" s="444">
        <v>221</v>
      </c>
      <c r="L121" s="444">
        <v>1</v>
      </c>
      <c r="M121" s="444">
        <v>17</v>
      </c>
      <c r="N121" s="444">
        <v>19</v>
      </c>
      <c r="O121" s="444">
        <v>323</v>
      </c>
      <c r="P121" s="510">
        <v>1.4615384615384615</v>
      </c>
      <c r="Q121" s="445">
        <v>17</v>
      </c>
    </row>
    <row r="122" spans="1:17" ht="14.4" customHeight="1" x14ac:dyDescent="0.3">
      <c r="A122" s="439" t="s">
        <v>841</v>
      </c>
      <c r="B122" s="440" t="s">
        <v>755</v>
      </c>
      <c r="C122" s="440" t="s">
        <v>752</v>
      </c>
      <c r="D122" s="440" t="s">
        <v>782</v>
      </c>
      <c r="E122" s="440" t="s">
        <v>767</v>
      </c>
      <c r="F122" s="444">
        <v>30</v>
      </c>
      <c r="G122" s="444">
        <v>20880</v>
      </c>
      <c r="H122" s="444">
        <v>1.8432203389830508</v>
      </c>
      <c r="I122" s="444">
        <v>696</v>
      </c>
      <c r="J122" s="444">
        <v>16</v>
      </c>
      <c r="K122" s="444">
        <v>11328</v>
      </c>
      <c r="L122" s="444">
        <v>1</v>
      </c>
      <c r="M122" s="444">
        <v>708</v>
      </c>
      <c r="N122" s="444">
        <v>32</v>
      </c>
      <c r="O122" s="444">
        <v>22656</v>
      </c>
      <c r="P122" s="510">
        <v>2</v>
      </c>
      <c r="Q122" s="445">
        <v>708</v>
      </c>
    </row>
    <row r="123" spans="1:17" ht="14.4" customHeight="1" x14ac:dyDescent="0.3">
      <c r="A123" s="439" t="s">
        <v>841</v>
      </c>
      <c r="B123" s="440" t="s">
        <v>755</v>
      </c>
      <c r="C123" s="440" t="s">
        <v>752</v>
      </c>
      <c r="D123" s="440" t="s">
        <v>783</v>
      </c>
      <c r="E123" s="440" t="s">
        <v>769</v>
      </c>
      <c r="F123" s="444">
        <v>15</v>
      </c>
      <c r="G123" s="444">
        <v>20805</v>
      </c>
      <c r="H123" s="444">
        <v>0.42552973901660801</v>
      </c>
      <c r="I123" s="444">
        <v>1387</v>
      </c>
      <c r="J123" s="444">
        <v>34</v>
      </c>
      <c r="K123" s="444">
        <v>48892</v>
      </c>
      <c r="L123" s="444">
        <v>1</v>
      </c>
      <c r="M123" s="444">
        <v>1438</v>
      </c>
      <c r="N123" s="444">
        <v>43</v>
      </c>
      <c r="O123" s="444">
        <v>61877</v>
      </c>
      <c r="P123" s="510">
        <v>1.2655853718399739</v>
      </c>
      <c r="Q123" s="445">
        <v>1439</v>
      </c>
    </row>
    <row r="124" spans="1:17" ht="14.4" customHeight="1" x14ac:dyDescent="0.3">
      <c r="A124" s="439" t="s">
        <v>841</v>
      </c>
      <c r="B124" s="440" t="s">
        <v>755</v>
      </c>
      <c r="C124" s="440" t="s">
        <v>752</v>
      </c>
      <c r="D124" s="440" t="s">
        <v>784</v>
      </c>
      <c r="E124" s="440" t="s">
        <v>785</v>
      </c>
      <c r="F124" s="444">
        <v>15</v>
      </c>
      <c r="G124" s="444">
        <v>35115</v>
      </c>
      <c r="H124" s="444">
        <v>0.51461105574769916</v>
      </c>
      <c r="I124" s="444">
        <v>2341</v>
      </c>
      <c r="J124" s="444">
        <v>28</v>
      </c>
      <c r="K124" s="444">
        <v>68236</v>
      </c>
      <c r="L124" s="444">
        <v>1</v>
      </c>
      <c r="M124" s="444">
        <v>2437</v>
      </c>
      <c r="N124" s="444">
        <v>41</v>
      </c>
      <c r="O124" s="444">
        <v>99958</v>
      </c>
      <c r="P124" s="510">
        <v>1.4648865701389295</v>
      </c>
      <c r="Q124" s="445">
        <v>2438</v>
      </c>
    </row>
    <row r="125" spans="1:17" ht="14.4" customHeight="1" x14ac:dyDescent="0.3">
      <c r="A125" s="439" t="s">
        <v>841</v>
      </c>
      <c r="B125" s="440" t="s">
        <v>755</v>
      </c>
      <c r="C125" s="440" t="s">
        <v>752</v>
      </c>
      <c r="D125" s="440" t="s">
        <v>786</v>
      </c>
      <c r="E125" s="440" t="s">
        <v>787</v>
      </c>
      <c r="F125" s="444">
        <v>36</v>
      </c>
      <c r="G125" s="444">
        <v>2376</v>
      </c>
      <c r="H125" s="444">
        <v>1.2753623188405796</v>
      </c>
      <c r="I125" s="444">
        <v>66</v>
      </c>
      <c r="J125" s="444">
        <v>27</v>
      </c>
      <c r="K125" s="444">
        <v>1863</v>
      </c>
      <c r="L125" s="444">
        <v>1</v>
      </c>
      <c r="M125" s="444">
        <v>69</v>
      </c>
      <c r="N125" s="444">
        <v>37</v>
      </c>
      <c r="O125" s="444">
        <v>2553</v>
      </c>
      <c r="P125" s="510">
        <v>1.3703703703703705</v>
      </c>
      <c r="Q125" s="445">
        <v>69</v>
      </c>
    </row>
    <row r="126" spans="1:17" ht="14.4" customHeight="1" x14ac:dyDescent="0.3">
      <c r="A126" s="439" t="s">
        <v>841</v>
      </c>
      <c r="B126" s="440" t="s">
        <v>755</v>
      </c>
      <c r="C126" s="440" t="s">
        <v>752</v>
      </c>
      <c r="D126" s="440" t="s">
        <v>788</v>
      </c>
      <c r="E126" s="440" t="s">
        <v>789</v>
      </c>
      <c r="F126" s="444">
        <v>9</v>
      </c>
      <c r="G126" s="444">
        <v>3609</v>
      </c>
      <c r="H126" s="444">
        <v>8.8673218673218681</v>
      </c>
      <c r="I126" s="444">
        <v>401</v>
      </c>
      <c r="J126" s="444">
        <v>1</v>
      </c>
      <c r="K126" s="444">
        <v>407</v>
      </c>
      <c r="L126" s="444">
        <v>1</v>
      </c>
      <c r="M126" s="444">
        <v>407</v>
      </c>
      <c r="N126" s="444"/>
      <c r="O126" s="444"/>
      <c r="P126" s="510"/>
      <c r="Q126" s="445"/>
    </row>
    <row r="127" spans="1:17" ht="14.4" customHeight="1" x14ac:dyDescent="0.3">
      <c r="A127" s="439" t="s">
        <v>841</v>
      </c>
      <c r="B127" s="440" t="s">
        <v>755</v>
      </c>
      <c r="C127" s="440" t="s">
        <v>752</v>
      </c>
      <c r="D127" s="440" t="s">
        <v>790</v>
      </c>
      <c r="E127" s="440" t="s">
        <v>791</v>
      </c>
      <c r="F127" s="444">
        <v>3</v>
      </c>
      <c r="G127" s="444">
        <v>4839</v>
      </c>
      <c r="H127" s="444">
        <v>0.41543612637362637</v>
      </c>
      <c r="I127" s="444">
        <v>1613</v>
      </c>
      <c r="J127" s="444">
        <v>7</v>
      </c>
      <c r="K127" s="444">
        <v>11648</v>
      </c>
      <c r="L127" s="444">
        <v>1</v>
      </c>
      <c r="M127" s="444">
        <v>1664</v>
      </c>
      <c r="N127" s="444">
        <v>5</v>
      </c>
      <c r="O127" s="444">
        <v>8325</v>
      </c>
      <c r="P127" s="510">
        <v>0.71471497252747251</v>
      </c>
      <c r="Q127" s="445">
        <v>1665</v>
      </c>
    </row>
    <row r="128" spans="1:17" ht="14.4" customHeight="1" x14ac:dyDescent="0.3">
      <c r="A128" s="439" t="s">
        <v>841</v>
      </c>
      <c r="B128" s="440" t="s">
        <v>755</v>
      </c>
      <c r="C128" s="440" t="s">
        <v>752</v>
      </c>
      <c r="D128" s="440" t="s">
        <v>792</v>
      </c>
      <c r="E128" s="440" t="s">
        <v>793</v>
      </c>
      <c r="F128" s="444">
        <v>103</v>
      </c>
      <c r="G128" s="444">
        <v>56856</v>
      </c>
      <c r="H128" s="444">
        <v>0.84607142857142859</v>
      </c>
      <c r="I128" s="444">
        <v>552</v>
      </c>
      <c r="J128" s="444">
        <v>120</v>
      </c>
      <c r="K128" s="444">
        <v>67200</v>
      </c>
      <c r="L128" s="444">
        <v>1</v>
      </c>
      <c r="M128" s="444">
        <v>560</v>
      </c>
      <c r="N128" s="444">
        <v>189</v>
      </c>
      <c r="O128" s="444">
        <v>105840</v>
      </c>
      <c r="P128" s="510">
        <v>1.575</v>
      </c>
      <c r="Q128" s="445">
        <v>560</v>
      </c>
    </row>
    <row r="129" spans="1:17" ht="14.4" customHeight="1" x14ac:dyDescent="0.3">
      <c r="A129" s="439" t="s">
        <v>841</v>
      </c>
      <c r="B129" s="440" t="s">
        <v>755</v>
      </c>
      <c r="C129" s="440" t="s">
        <v>752</v>
      </c>
      <c r="D129" s="440" t="s">
        <v>800</v>
      </c>
      <c r="E129" s="440" t="s">
        <v>801</v>
      </c>
      <c r="F129" s="444">
        <v>48</v>
      </c>
      <c r="G129" s="444">
        <v>20448</v>
      </c>
      <c r="H129" s="444">
        <v>0.46729740847387907</v>
      </c>
      <c r="I129" s="444">
        <v>426</v>
      </c>
      <c r="J129" s="444">
        <v>102</v>
      </c>
      <c r="K129" s="444">
        <v>43758</v>
      </c>
      <c r="L129" s="444">
        <v>1</v>
      </c>
      <c r="M129" s="444">
        <v>429</v>
      </c>
      <c r="N129" s="444">
        <v>77</v>
      </c>
      <c r="O129" s="444">
        <v>33033</v>
      </c>
      <c r="P129" s="510">
        <v>0.75490196078431371</v>
      </c>
      <c r="Q129" s="445">
        <v>429</v>
      </c>
    </row>
    <row r="130" spans="1:17" ht="14.4" customHeight="1" x14ac:dyDescent="0.3">
      <c r="A130" s="439" t="s">
        <v>841</v>
      </c>
      <c r="B130" s="440" t="s">
        <v>755</v>
      </c>
      <c r="C130" s="440" t="s">
        <v>752</v>
      </c>
      <c r="D130" s="440" t="s">
        <v>805</v>
      </c>
      <c r="E130" s="440" t="s">
        <v>806</v>
      </c>
      <c r="F130" s="444">
        <v>13</v>
      </c>
      <c r="G130" s="444">
        <v>20995</v>
      </c>
      <c r="H130" s="444">
        <v>0.42439862542955326</v>
      </c>
      <c r="I130" s="444">
        <v>1615</v>
      </c>
      <c r="J130" s="444">
        <v>30</v>
      </c>
      <c r="K130" s="444">
        <v>49470</v>
      </c>
      <c r="L130" s="444">
        <v>1</v>
      </c>
      <c r="M130" s="444">
        <v>1649</v>
      </c>
      <c r="N130" s="444">
        <v>36</v>
      </c>
      <c r="O130" s="444">
        <v>59364</v>
      </c>
      <c r="P130" s="510">
        <v>1.2</v>
      </c>
      <c r="Q130" s="445">
        <v>1649</v>
      </c>
    </row>
    <row r="131" spans="1:17" ht="14.4" customHeight="1" x14ac:dyDescent="0.3">
      <c r="A131" s="439" t="s">
        <v>841</v>
      </c>
      <c r="B131" s="440" t="s">
        <v>755</v>
      </c>
      <c r="C131" s="440" t="s">
        <v>752</v>
      </c>
      <c r="D131" s="440" t="s">
        <v>808</v>
      </c>
      <c r="E131" s="440"/>
      <c r="F131" s="444"/>
      <c r="G131" s="444"/>
      <c r="H131" s="444"/>
      <c r="I131" s="444"/>
      <c r="J131" s="444"/>
      <c r="K131" s="444"/>
      <c r="L131" s="444"/>
      <c r="M131" s="444"/>
      <c r="N131" s="444">
        <v>11</v>
      </c>
      <c r="O131" s="444">
        <v>24233</v>
      </c>
      <c r="P131" s="510"/>
      <c r="Q131" s="445">
        <v>2203</v>
      </c>
    </row>
    <row r="132" spans="1:17" ht="14.4" customHeight="1" x14ac:dyDescent="0.3">
      <c r="A132" s="439" t="s">
        <v>842</v>
      </c>
      <c r="B132" s="440" t="s">
        <v>751</v>
      </c>
      <c r="C132" s="440" t="s">
        <v>752</v>
      </c>
      <c r="D132" s="440" t="s">
        <v>753</v>
      </c>
      <c r="E132" s="440" t="s">
        <v>754</v>
      </c>
      <c r="F132" s="444">
        <v>1</v>
      </c>
      <c r="G132" s="444">
        <v>10725</v>
      </c>
      <c r="H132" s="444"/>
      <c r="I132" s="444">
        <v>10725</v>
      </c>
      <c r="J132" s="444"/>
      <c r="K132" s="444"/>
      <c r="L132" s="444"/>
      <c r="M132" s="444"/>
      <c r="N132" s="444"/>
      <c r="O132" s="444"/>
      <c r="P132" s="510"/>
      <c r="Q132" s="445"/>
    </row>
    <row r="133" spans="1:17" ht="14.4" customHeight="1" x14ac:dyDescent="0.3">
      <c r="A133" s="439" t="s">
        <v>843</v>
      </c>
      <c r="B133" s="440" t="s">
        <v>755</v>
      </c>
      <c r="C133" s="440" t="s">
        <v>752</v>
      </c>
      <c r="D133" s="440" t="s">
        <v>764</v>
      </c>
      <c r="E133" s="440" t="s">
        <v>765</v>
      </c>
      <c r="F133" s="444">
        <v>1</v>
      </c>
      <c r="G133" s="444">
        <v>3721</v>
      </c>
      <c r="H133" s="444"/>
      <c r="I133" s="444">
        <v>3721</v>
      </c>
      <c r="J133" s="444"/>
      <c r="K133" s="444"/>
      <c r="L133" s="444"/>
      <c r="M133" s="444"/>
      <c r="N133" s="444"/>
      <c r="O133" s="444"/>
      <c r="P133" s="510"/>
      <c r="Q133" s="445"/>
    </row>
    <row r="134" spans="1:17" ht="14.4" customHeight="1" x14ac:dyDescent="0.3">
      <c r="A134" s="439" t="s">
        <v>843</v>
      </c>
      <c r="B134" s="440" t="s">
        <v>755</v>
      </c>
      <c r="C134" s="440" t="s">
        <v>752</v>
      </c>
      <c r="D134" s="440" t="s">
        <v>783</v>
      </c>
      <c r="E134" s="440" t="s">
        <v>769</v>
      </c>
      <c r="F134" s="444">
        <v>2</v>
      </c>
      <c r="G134" s="444">
        <v>2774</v>
      </c>
      <c r="H134" s="444"/>
      <c r="I134" s="444">
        <v>1387</v>
      </c>
      <c r="J134" s="444"/>
      <c r="K134" s="444"/>
      <c r="L134" s="444"/>
      <c r="M134" s="444"/>
      <c r="N134" s="444"/>
      <c r="O134" s="444"/>
      <c r="P134" s="510"/>
      <c r="Q134" s="445"/>
    </row>
    <row r="135" spans="1:17" ht="14.4" customHeight="1" x14ac:dyDescent="0.3">
      <c r="A135" s="439" t="s">
        <v>843</v>
      </c>
      <c r="B135" s="440" t="s">
        <v>755</v>
      </c>
      <c r="C135" s="440" t="s">
        <v>752</v>
      </c>
      <c r="D135" s="440" t="s">
        <v>784</v>
      </c>
      <c r="E135" s="440" t="s">
        <v>785</v>
      </c>
      <c r="F135" s="444">
        <v>1</v>
      </c>
      <c r="G135" s="444">
        <v>2341</v>
      </c>
      <c r="H135" s="444"/>
      <c r="I135" s="444">
        <v>2341</v>
      </c>
      <c r="J135" s="444"/>
      <c r="K135" s="444"/>
      <c r="L135" s="444"/>
      <c r="M135" s="444"/>
      <c r="N135" s="444"/>
      <c r="O135" s="444"/>
      <c r="P135" s="510"/>
      <c r="Q135" s="445"/>
    </row>
    <row r="136" spans="1:17" ht="14.4" customHeight="1" x14ac:dyDescent="0.3">
      <c r="A136" s="439" t="s">
        <v>843</v>
      </c>
      <c r="B136" s="440" t="s">
        <v>755</v>
      </c>
      <c r="C136" s="440" t="s">
        <v>752</v>
      </c>
      <c r="D136" s="440" t="s">
        <v>792</v>
      </c>
      <c r="E136" s="440" t="s">
        <v>793</v>
      </c>
      <c r="F136" s="444">
        <v>2</v>
      </c>
      <c r="G136" s="444">
        <v>1104</v>
      </c>
      <c r="H136" s="444"/>
      <c r="I136" s="444">
        <v>552</v>
      </c>
      <c r="J136" s="444"/>
      <c r="K136" s="444"/>
      <c r="L136" s="444"/>
      <c r="M136" s="444"/>
      <c r="N136" s="444"/>
      <c r="O136" s="444"/>
      <c r="P136" s="510"/>
      <c r="Q136" s="445"/>
    </row>
    <row r="137" spans="1:17" ht="14.4" customHeight="1" x14ac:dyDescent="0.3">
      <c r="A137" s="439" t="s">
        <v>843</v>
      </c>
      <c r="B137" s="440" t="s">
        <v>755</v>
      </c>
      <c r="C137" s="440" t="s">
        <v>752</v>
      </c>
      <c r="D137" s="440" t="s">
        <v>805</v>
      </c>
      <c r="E137" s="440" t="s">
        <v>806</v>
      </c>
      <c r="F137" s="444">
        <v>1</v>
      </c>
      <c r="G137" s="444">
        <v>1615</v>
      </c>
      <c r="H137" s="444"/>
      <c r="I137" s="444">
        <v>1615</v>
      </c>
      <c r="J137" s="444"/>
      <c r="K137" s="444"/>
      <c r="L137" s="444"/>
      <c r="M137" s="444"/>
      <c r="N137" s="444"/>
      <c r="O137" s="444"/>
      <c r="P137" s="510"/>
      <c r="Q137" s="445"/>
    </row>
    <row r="138" spans="1:17" ht="14.4" customHeight="1" x14ac:dyDescent="0.3">
      <c r="A138" s="439" t="s">
        <v>844</v>
      </c>
      <c r="B138" s="440" t="s">
        <v>755</v>
      </c>
      <c r="C138" s="440" t="s">
        <v>752</v>
      </c>
      <c r="D138" s="440" t="s">
        <v>760</v>
      </c>
      <c r="E138" s="440" t="s">
        <v>761</v>
      </c>
      <c r="F138" s="444">
        <v>6</v>
      </c>
      <c r="G138" s="444">
        <v>13416</v>
      </c>
      <c r="H138" s="444">
        <v>2.8691189050470487</v>
      </c>
      <c r="I138" s="444">
        <v>2236</v>
      </c>
      <c r="J138" s="444">
        <v>2</v>
      </c>
      <c r="K138" s="444">
        <v>4676</v>
      </c>
      <c r="L138" s="444">
        <v>1</v>
      </c>
      <c r="M138" s="444">
        <v>2338</v>
      </c>
      <c r="N138" s="444"/>
      <c r="O138" s="444"/>
      <c r="P138" s="510"/>
      <c r="Q138" s="445"/>
    </row>
    <row r="139" spans="1:17" ht="14.4" customHeight="1" x14ac:dyDescent="0.3">
      <c r="A139" s="439" t="s">
        <v>844</v>
      </c>
      <c r="B139" s="440" t="s">
        <v>755</v>
      </c>
      <c r="C139" s="440" t="s">
        <v>752</v>
      </c>
      <c r="D139" s="440" t="s">
        <v>762</v>
      </c>
      <c r="E139" s="440" t="s">
        <v>763</v>
      </c>
      <c r="F139" s="444"/>
      <c r="G139" s="444"/>
      <c r="H139" s="444"/>
      <c r="I139" s="444"/>
      <c r="J139" s="444"/>
      <c r="K139" s="444"/>
      <c r="L139" s="444"/>
      <c r="M139" s="444"/>
      <c r="N139" s="444">
        <v>2</v>
      </c>
      <c r="O139" s="444">
        <v>2154</v>
      </c>
      <c r="P139" s="510"/>
      <c r="Q139" s="445">
        <v>1077</v>
      </c>
    </row>
    <row r="140" spans="1:17" ht="14.4" customHeight="1" x14ac:dyDescent="0.3">
      <c r="A140" s="439" t="s">
        <v>844</v>
      </c>
      <c r="B140" s="440" t="s">
        <v>755</v>
      </c>
      <c r="C140" s="440" t="s">
        <v>752</v>
      </c>
      <c r="D140" s="440" t="s">
        <v>764</v>
      </c>
      <c r="E140" s="440" t="s">
        <v>765</v>
      </c>
      <c r="F140" s="444">
        <v>5</v>
      </c>
      <c r="G140" s="444">
        <v>18605</v>
      </c>
      <c r="H140" s="444">
        <v>2.4332984567093905</v>
      </c>
      <c r="I140" s="444">
        <v>3721</v>
      </c>
      <c r="J140" s="444">
        <v>2</v>
      </c>
      <c r="K140" s="444">
        <v>7646</v>
      </c>
      <c r="L140" s="444">
        <v>1</v>
      </c>
      <c r="M140" s="444">
        <v>3823</v>
      </c>
      <c r="N140" s="444">
        <v>6</v>
      </c>
      <c r="O140" s="444">
        <v>22950</v>
      </c>
      <c r="P140" s="510">
        <v>3.0015694480774262</v>
      </c>
      <c r="Q140" s="445">
        <v>3825</v>
      </c>
    </row>
    <row r="141" spans="1:17" ht="14.4" customHeight="1" x14ac:dyDescent="0.3">
      <c r="A141" s="439" t="s">
        <v>844</v>
      </c>
      <c r="B141" s="440" t="s">
        <v>755</v>
      </c>
      <c r="C141" s="440" t="s">
        <v>752</v>
      </c>
      <c r="D141" s="440" t="s">
        <v>766</v>
      </c>
      <c r="E141" s="440" t="s">
        <v>767</v>
      </c>
      <c r="F141" s="444"/>
      <c r="G141" s="444"/>
      <c r="H141" s="444"/>
      <c r="I141" s="444"/>
      <c r="J141" s="444">
        <v>1</v>
      </c>
      <c r="K141" s="444">
        <v>445</v>
      </c>
      <c r="L141" s="444">
        <v>1</v>
      </c>
      <c r="M141" s="444">
        <v>445</v>
      </c>
      <c r="N141" s="444"/>
      <c r="O141" s="444"/>
      <c r="P141" s="510"/>
      <c r="Q141" s="445"/>
    </row>
    <row r="142" spans="1:17" ht="14.4" customHeight="1" x14ac:dyDescent="0.3">
      <c r="A142" s="439" t="s">
        <v>844</v>
      </c>
      <c r="B142" s="440" t="s">
        <v>755</v>
      </c>
      <c r="C142" s="440" t="s">
        <v>752</v>
      </c>
      <c r="D142" s="440" t="s">
        <v>776</v>
      </c>
      <c r="E142" s="440" t="s">
        <v>777</v>
      </c>
      <c r="F142" s="444">
        <v>1</v>
      </c>
      <c r="G142" s="444">
        <v>1461</v>
      </c>
      <c r="H142" s="444"/>
      <c r="I142" s="444">
        <v>1461</v>
      </c>
      <c r="J142" s="444"/>
      <c r="K142" s="444"/>
      <c r="L142" s="444"/>
      <c r="M142" s="444"/>
      <c r="N142" s="444"/>
      <c r="O142" s="444"/>
      <c r="P142" s="510"/>
      <c r="Q142" s="445"/>
    </row>
    <row r="143" spans="1:17" ht="14.4" customHeight="1" x14ac:dyDescent="0.3">
      <c r="A143" s="439" t="s">
        <v>844</v>
      </c>
      <c r="B143" s="440" t="s">
        <v>755</v>
      </c>
      <c r="C143" s="440" t="s">
        <v>752</v>
      </c>
      <c r="D143" s="440" t="s">
        <v>780</v>
      </c>
      <c r="E143" s="440" t="s">
        <v>781</v>
      </c>
      <c r="F143" s="444">
        <v>9</v>
      </c>
      <c r="G143" s="444">
        <v>144</v>
      </c>
      <c r="H143" s="444">
        <v>1.2100840336134453</v>
      </c>
      <c r="I143" s="444">
        <v>16</v>
      </c>
      <c r="J143" s="444">
        <v>7</v>
      </c>
      <c r="K143" s="444">
        <v>119</v>
      </c>
      <c r="L143" s="444">
        <v>1</v>
      </c>
      <c r="M143" s="444">
        <v>17</v>
      </c>
      <c r="N143" s="444">
        <v>11</v>
      </c>
      <c r="O143" s="444">
        <v>187</v>
      </c>
      <c r="P143" s="510">
        <v>1.5714285714285714</v>
      </c>
      <c r="Q143" s="445">
        <v>17</v>
      </c>
    </row>
    <row r="144" spans="1:17" ht="14.4" customHeight="1" x14ac:dyDescent="0.3">
      <c r="A144" s="439" t="s">
        <v>844</v>
      </c>
      <c r="B144" s="440" t="s">
        <v>755</v>
      </c>
      <c r="C144" s="440" t="s">
        <v>752</v>
      </c>
      <c r="D144" s="440" t="s">
        <v>782</v>
      </c>
      <c r="E144" s="440" t="s">
        <v>767</v>
      </c>
      <c r="F144" s="444">
        <v>16</v>
      </c>
      <c r="G144" s="444">
        <v>11136</v>
      </c>
      <c r="H144" s="444">
        <v>1.1234866828087167</v>
      </c>
      <c r="I144" s="444">
        <v>696</v>
      </c>
      <c r="J144" s="444">
        <v>14</v>
      </c>
      <c r="K144" s="444">
        <v>9912</v>
      </c>
      <c r="L144" s="444">
        <v>1</v>
      </c>
      <c r="M144" s="444">
        <v>708</v>
      </c>
      <c r="N144" s="444">
        <v>21</v>
      </c>
      <c r="O144" s="444">
        <v>14868</v>
      </c>
      <c r="P144" s="510">
        <v>1.5</v>
      </c>
      <c r="Q144" s="445">
        <v>708</v>
      </c>
    </row>
    <row r="145" spans="1:17" ht="14.4" customHeight="1" x14ac:dyDescent="0.3">
      <c r="A145" s="439" t="s">
        <v>844</v>
      </c>
      <c r="B145" s="440" t="s">
        <v>755</v>
      </c>
      <c r="C145" s="440" t="s">
        <v>752</v>
      </c>
      <c r="D145" s="440" t="s">
        <v>783</v>
      </c>
      <c r="E145" s="440" t="s">
        <v>769</v>
      </c>
      <c r="F145" s="444">
        <v>11</v>
      </c>
      <c r="G145" s="444">
        <v>15257</v>
      </c>
      <c r="H145" s="444">
        <v>1.5156964037353466</v>
      </c>
      <c r="I145" s="444">
        <v>1387</v>
      </c>
      <c r="J145" s="444">
        <v>7</v>
      </c>
      <c r="K145" s="444">
        <v>10066</v>
      </c>
      <c r="L145" s="444">
        <v>1</v>
      </c>
      <c r="M145" s="444">
        <v>1438</v>
      </c>
      <c r="N145" s="444">
        <v>17</v>
      </c>
      <c r="O145" s="444">
        <v>24463</v>
      </c>
      <c r="P145" s="510">
        <v>2.43026028213789</v>
      </c>
      <c r="Q145" s="445">
        <v>1439</v>
      </c>
    </row>
    <row r="146" spans="1:17" ht="14.4" customHeight="1" x14ac:dyDescent="0.3">
      <c r="A146" s="439" t="s">
        <v>844</v>
      </c>
      <c r="B146" s="440" t="s">
        <v>755</v>
      </c>
      <c r="C146" s="440" t="s">
        <v>752</v>
      </c>
      <c r="D146" s="440" t="s">
        <v>784</v>
      </c>
      <c r="E146" s="440" t="s">
        <v>785</v>
      </c>
      <c r="F146" s="444">
        <v>6</v>
      </c>
      <c r="G146" s="444">
        <v>14046</v>
      </c>
      <c r="H146" s="444">
        <v>1.9212146081247434</v>
      </c>
      <c r="I146" s="444">
        <v>2341</v>
      </c>
      <c r="J146" s="444">
        <v>3</v>
      </c>
      <c r="K146" s="444">
        <v>7311</v>
      </c>
      <c r="L146" s="444">
        <v>1</v>
      </c>
      <c r="M146" s="444">
        <v>2437</v>
      </c>
      <c r="N146" s="444">
        <v>11</v>
      </c>
      <c r="O146" s="444">
        <v>26818</v>
      </c>
      <c r="P146" s="510">
        <v>3.6681712488031732</v>
      </c>
      <c r="Q146" s="445">
        <v>2438</v>
      </c>
    </row>
    <row r="147" spans="1:17" ht="14.4" customHeight="1" x14ac:dyDescent="0.3">
      <c r="A147" s="439" t="s">
        <v>844</v>
      </c>
      <c r="B147" s="440" t="s">
        <v>755</v>
      </c>
      <c r="C147" s="440" t="s">
        <v>752</v>
      </c>
      <c r="D147" s="440" t="s">
        <v>786</v>
      </c>
      <c r="E147" s="440" t="s">
        <v>787</v>
      </c>
      <c r="F147" s="444">
        <v>16</v>
      </c>
      <c r="G147" s="444">
        <v>1056</v>
      </c>
      <c r="H147" s="444">
        <v>1.0931677018633541</v>
      </c>
      <c r="I147" s="444">
        <v>66</v>
      </c>
      <c r="J147" s="444">
        <v>14</v>
      </c>
      <c r="K147" s="444">
        <v>966</v>
      </c>
      <c r="L147" s="444">
        <v>1</v>
      </c>
      <c r="M147" s="444">
        <v>69</v>
      </c>
      <c r="N147" s="444">
        <v>21</v>
      </c>
      <c r="O147" s="444">
        <v>1449</v>
      </c>
      <c r="P147" s="510">
        <v>1.5</v>
      </c>
      <c r="Q147" s="445">
        <v>69</v>
      </c>
    </row>
    <row r="148" spans="1:17" ht="14.4" customHeight="1" x14ac:dyDescent="0.3">
      <c r="A148" s="439" t="s">
        <v>844</v>
      </c>
      <c r="B148" s="440" t="s">
        <v>755</v>
      </c>
      <c r="C148" s="440" t="s">
        <v>752</v>
      </c>
      <c r="D148" s="440" t="s">
        <v>788</v>
      </c>
      <c r="E148" s="440" t="s">
        <v>789</v>
      </c>
      <c r="F148" s="444">
        <v>1</v>
      </c>
      <c r="G148" s="444">
        <v>401</v>
      </c>
      <c r="H148" s="444"/>
      <c r="I148" s="444">
        <v>401</v>
      </c>
      <c r="J148" s="444"/>
      <c r="K148" s="444"/>
      <c r="L148" s="444"/>
      <c r="M148" s="444"/>
      <c r="N148" s="444"/>
      <c r="O148" s="444"/>
      <c r="P148" s="510"/>
      <c r="Q148" s="445"/>
    </row>
    <row r="149" spans="1:17" ht="14.4" customHeight="1" x14ac:dyDescent="0.3">
      <c r="A149" s="439" t="s">
        <v>844</v>
      </c>
      <c r="B149" s="440" t="s">
        <v>755</v>
      </c>
      <c r="C149" s="440" t="s">
        <v>752</v>
      </c>
      <c r="D149" s="440" t="s">
        <v>792</v>
      </c>
      <c r="E149" s="440" t="s">
        <v>793</v>
      </c>
      <c r="F149" s="444">
        <v>33</v>
      </c>
      <c r="G149" s="444">
        <v>18216</v>
      </c>
      <c r="H149" s="444">
        <v>1.3011428571428572</v>
      </c>
      <c r="I149" s="444">
        <v>552</v>
      </c>
      <c r="J149" s="444">
        <v>25</v>
      </c>
      <c r="K149" s="444">
        <v>14000</v>
      </c>
      <c r="L149" s="444">
        <v>1</v>
      </c>
      <c r="M149" s="444">
        <v>560</v>
      </c>
      <c r="N149" s="444">
        <v>61</v>
      </c>
      <c r="O149" s="444">
        <v>34160</v>
      </c>
      <c r="P149" s="510">
        <v>2.44</v>
      </c>
      <c r="Q149" s="445">
        <v>560</v>
      </c>
    </row>
    <row r="150" spans="1:17" ht="14.4" customHeight="1" x14ac:dyDescent="0.3">
      <c r="A150" s="439" t="s">
        <v>844</v>
      </c>
      <c r="B150" s="440" t="s">
        <v>755</v>
      </c>
      <c r="C150" s="440" t="s">
        <v>752</v>
      </c>
      <c r="D150" s="440" t="s">
        <v>800</v>
      </c>
      <c r="E150" s="440" t="s">
        <v>801</v>
      </c>
      <c r="F150" s="444"/>
      <c r="G150" s="444"/>
      <c r="H150" s="444"/>
      <c r="I150" s="444"/>
      <c r="J150" s="444">
        <v>6</v>
      </c>
      <c r="K150" s="444">
        <v>2574</v>
      </c>
      <c r="L150" s="444">
        <v>1</v>
      </c>
      <c r="M150" s="444">
        <v>429</v>
      </c>
      <c r="N150" s="444"/>
      <c r="O150" s="444"/>
      <c r="P150" s="510"/>
      <c r="Q150" s="445"/>
    </row>
    <row r="151" spans="1:17" ht="14.4" customHeight="1" x14ac:dyDescent="0.3">
      <c r="A151" s="439" t="s">
        <v>844</v>
      </c>
      <c r="B151" s="440" t="s">
        <v>755</v>
      </c>
      <c r="C151" s="440" t="s">
        <v>752</v>
      </c>
      <c r="D151" s="440" t="s">
        <v>805</v>
      </c>
      <c r="E151" s="440" t="s">
        <v>806</v>
      </c>
      <c r="F151" s="444">
        <v>3</v>
      </c>
      <c r="G151" s="444">
        <v>4845</v>
      </c>
      <c r="H151" s="444">
        <v>0.73453608247422686</v>
      </c>
      <c r="I151" s="444">
        <v>1615</v>
      </c>
      <c r="J151" s="444">
        <v>4</v>
      </c>
      <c r="K151" s="444">
        <v>6596</v>
      </c>
      <c r="L151" s="444">
        <v>1</v>
      </c>
      <c r="M151" s="444">
        <v>1649</v>
      </c>
      <c r="N151" s="444">
        <v>4</v>
      </c>
      <c r="O151" s="444">
        <v>6596</v>
      </c>
      <c r="P151" s="510">
        <v>1</v>
      </c>
      <c r="Q151" s="445">
        <v>1649</v>
      </c>
    </row>
    <row r="152" spans="1:17" ht="14.4" customHeight="1" x14ac:dyDescent="0.3">
      <c r="A152" s="439" t="s">
        <v>844</v>
      </c>
      <c r="B152" s="440" t="s">
        <v>755</v>
      </c>
      <c r="C152" s="440" t="s">
        <v>752</v>
      </c>
      <c r="D152" s="440" t="s">
        <v>808</v>
      </c>
      <c r="E152" s="440"/>
      <c r="F152" s="444"/>
      <c r="G152" s="444"/>
      <c r="H152" s="444"/>
      <c r="I152" s="444"/>
      <c r="J152" s="444"/>
      <c r="K152" s="444"/>
      <c r="L152" s="444"/>
      <c r="M152" s="444"/>
      <c r="N152" s="444">
        <v>3</v>
      </c>
      <c r="O152" s="444">
        <v>6609</v>
      </c>
      <c r="P152" s="510"/>
      <c r="Q152" s="445">
        <v>2203</v>
      </c>
    </row>
    <row r="153" spans="1:17" ht="14.4" customHeight="1" x14ac:dyDescent="0.3">
      <c r="A153" s="439" t="s">
        <v>845</v>
      </c>
      <c r="B153" s="440" t="s">
        <v>755</v>
      </c>
      <c r="C153" s="440" t="s">
        <v>752</v>
      </c>
      <c r="D153" s="440" t="s">
        <v>756</v>
      </c>
      <c r="E153" s="440" t="s">
        <v>757</v>
      </c>
      <c r="F153" s="444">
        <v>6</v>
      </c>
      <c r="G153" s="444">
        <v>768</v>
      </c>
      <c r="H153" s="444">
        <v>1.8823529411764706</v>
      </c>
      <c r="I153" s="444">
        <v>128</v>
      </c>
      <c r="J153" s="444">
        <v>3</v>
      </c>
      <c r="K153" s="444">
        <v>408</v>
      </c>
      <c r="L153" s="444">
        <v>1</v>
      </c>
      <c r="M153" s="444">
        <v>136</v>
      </c>
      <c r="N153" s="444">
        <v>6</v>
      </c>
      <c r="O153" s="444">
        <v>816</v>
      </c>
      <c r="P153" s="510">
        <v>2</v>
      </c>
      <c r="Q153" s="445">
        <v>136</v>
      </c>
    </row>
    <row r="154" spans="1:17" ht="14.4" customHeight="1" x14ac:dyDescent="0.3">
      <c r="A154" s="439" t="s">
        <v>845</v>
      </c>
      <c r="B154" s="440" t="s">
        <v>755</v>
      </c>
      <c r="C154" s="440" t="s">
        <v>752</v>
      </c>
      <c r="D154" s="440" t="s">
        <v>758</v>
      </c>
      <c r="E154" s="440" t="s">
        <v>759</v>
      </c>
      <c r="F154" s="444"/>
      <c r="G154" s="444"/>
      <c r="H154" s="444"/>
      <c r="I154" s="444"/>
      <c r="J154" s="444">
        <v>1</v>
      </c>
      <c r="K154" s="444">
        <v>1262</v>
      </c>
      <c r="L154" s="444">
        <v>1</v>
      </c>
      <c r="M154" s="444">
        <v>1262</v>
      </c>
      <c r="N154" s="444"/>
      <c r="O154" s="444"/>
      <c r="P154" s="510"/>
      <c r="Q154" s="445"/>
    </row>
    <row r="155" spans="1:17" ht="14.4" customHeight="1" x14ac:dyDescent="0.3">
      <c r="A155" s="439" t="s">
        <v>845</v>
      </c>
      <c r="B155" s="440" t="s">
        <v>755</v>
      </c>
      <c r="C155" s="440" t="s">
        <v>752</v>
      </c>
      <c r="D155" s="440" t="s">
        <v>760</v>
      </c>
      <c r="E155" s="440" t="s">
        <v>761</v>
      </c>
      <c r="F155" s="444"/>
      <c r="G155" s="444"/>
      <c r="H155" s="444"/>
      <c r="I155" s="444"/>
      <c r="J155" s="444"/>
      <c r="K155" s="444"/>
      <c r="L155" s="444"/>
      <c r="M155" s="444"/>
      <c r="N155" s="444">
        <v>1</v>
      </c>
      <c r="O155" s="444">
        <v>2340</v>
      </c>
      <c r="P155" s="510"/>
      <c r="Q155" s="445">
        <v>2340</v>
      </c>
    </row>
    <row r="156" spans="1:17" ht="14.4" customHeight="1" x14ac:dyDescent="0.3">
      <c r="A156" s="439" t="s">
        <v>845</v>
      </c>
      <c r="B156" s="440" t="s">
        <v>755</v>
      </c>
      <c r="C156" s="440" t="s">
        <v>752</v>
      </c>
      <c r="D156" s="440" t="s">
        <v>762</v>
      </c>
      <c r="E156" s="440" t="s">
        <v>763</v>
      </c>
      <c r="F156" s="444"/>
      <c r="G156" s="444"/>
      <c r="H156" s="444"/>
      <c r="I156" s="444"/>
      <c r="J156" s="444">
        <v>2</v>
      </c>
      <c r="K156" s="444">
        <v>2154</v>
      </c>
      <c r="L156" s="444">
        <v>1</v>
      </c>
      <c r="M156" s="444">
        <v>1077</v>
      </c>
      <c r="N156" s="444"/>
      <c r="O156" s="444"/>
      <c r="P156" s="510"/>
      <c r="Q156" s="445"/>
    </row>
    <row r="157" spans="1:17" ht="14.4" customHeight="1" x14ac:dyDescent="0.3">
      <c r="A157" s="439" t="s">
        <v>845</v>
      </c>
      <c r="B157" s="440" t="s">
        <v>755</v>
      </c>
      <c r="C157" s="440" t="s">
        <v>752</v>
      </c>
      <c r="D157" s="440" t="s">
        <v>764</v>
      </c>
      <c r="E157" s="440" t="s">
        <v>765</v>
      </c>
      <c r="F157" s="444">
        <v>3</v>
      </c>
      <c r="G157" s="444">
        <v>11163</v>
      </c>
      <c r="H157" s="444">
        <v>0.97331938268375617</v>
      </c>
      <c r="I157" s="444">
        <v>3721</v>
      </c>
      <c r="J157" s="444">
        <v>3</v>
      </c>
      <c r="K157" s="444">
        <v>11469</v>
      </c>
      <c r="L157" s="444">
        <v>1</v>
      </c>
      <c r="M157" s="444">
        <v>3823</v>
      </c>
      <c r="N157" s="444">
        <v>6</v>
      </c>
      <c r="O157" s="444">
        <v>22950</v>
      </c>
      <c r="P157" s="510">
        <v>2.001046298718284</v>
      </c>
      <c r="Q157" s="445">
        <v>3825</v>
      </c>
    </row>
    <row r="158" spans="1:17" ht="14.4" customHeight="1" x14ac:dyDescent="0.3">
      <c r="A158" s="439" t="s">
        <v>845</v>
      </c>
      <c r="B158" s="440" t="s">
        <v>755</v>
      </c>
      <c r="C158" s="440" t="s">
        <v>752</v>
      </c>
      <c r="D158" s="440" t="s">
        <v>766</v>
      </c>
      <c r="E158" s="440" t="s">
        <v>767</v>
      </c>
      <c r="F158" s="444">
        <v>4</v>
      </c>
      <c r="G158" s="444">
        <v>1756</v>
      </c>
      <c r="H158" s="444">
        <v>0.98651685393258426</v>
      </c>
      <c r="I158" s="444">
        <v>439</v>
      </c>
      <c r="J158" s="444">
        <v>4</v>
      </c>
      <c r="K158" s="444">
        <v>1780</v>
      </c>
      <c r="L158" s="444">
        <v>1</v>
      </c>
      <c r="M158" s="444">
        <v>445</v>
      </c>
      <c r="N158" s="444">
        <v>2</v>
      </c>
      <c r="O158" s="444">
        <v>890</v>
      </c>
      <c r="P158" s="510">
        <v>0.5</v>
      </c>
      <c r="Q158" s="445">
        <v>445</v>
      </c>
    </row>
    <row r="159" spans="1:17" ht="14.4" customHeight="1" x14ac:dyDescent="0.3">
      <c r="A159" s="439" t="s">
        <v>845</v>
      </c>
      <c r="B159" s="440" t="s">
        <v>755</v>
      </c>
      <c r="C159" s="440" t="s">
        <v>752</v>
      </c>
      <c r="D159" s="440" t="s">
        <v>768</v>
      </c>
      <c r="E159" s="440" t="s">
        <v>769</v>
      </c>
      <c r="F159" s="444">
        <v>5</v>
      </c>
      <c r="G159" s="444">
        <v>4180</v>
      </c>
      <c r="H159" s="444">
        <v>0.98007033997655335</v>
      </c>
      <c r="I159" s="444">
        <v>836</v>
      </c>
      <c r="J159" s="444">
        <v>5</v>
      </c>
      <c r="K159" s="444">
        <v>4265</v>
      </c>
      <c r="L159" s="444">
        <v>1</v>
      </c>
      <c r="M159" s="444">
        <v>853</v>
      </c>
      <c r="N159" s="444">
        <v>3</v>
      </c>
      <c r="O159" s="444">
        <v>2562</v>
      </c>
      <c r="P159" s="510">
        <v>0.60070339976553344</v>
      </c>
      <c r="Q159" s="445">
        <v>854</v>
      </c>
    </row>
    <row r="160" spans="1:17" ht="14.4" customHeight="1" x14ac:dyDescent="0.3">
      <c r="A160" s="439" t="s">
        <v>845</v>
      </c>
      <c r="B160" s="440" t="s">
        <v>755</v>
      </c>
      <c r="C160" s="440" t="s">
        <v>752</v>
      </c>
      <c r="D160" s="440" t="s">
        <v>776</v>
      </c>
      <c r="E160" s="440" t="s">
        <v>777</v>
      </c>
      <c r="F160" s="444">
        <v>15</v>
      </c>
      <c r="G160" s="444">
        <v>21915</v>
      </c>
      <c r="H160" s="444">
        <v>3.5973407747866055</v>
      </c>
      <c r="I160" s="444">
        <v>1461</v>
      </c>
      <c r="J160" s="444">
        <v>4</v>
      </c>
      <c r="K160" s="444">
        <v>6092</v>
      </c>
      <c r="L160" s="444">
        <v>1</v>
      </c>
      <c r="M160" s="444">
        <v>1523</v>
      </c>
      <c r="N160" s="444">
        <v>2</v>
      </c>
      <c r="O160" s="444">
        <v>3048</v>
      </c>
      <c r="P160" s="510">
        <v>0.50032829940906109</v>
      </c>
      <c r="Q160" s="445">
        <v>1524</v>
      </c>
    </row>
    <row r="161" spans="1:17" ht="14.4" customHeight="1" x14ac:dyDescent="0.3">
      <c r="A161" s="439" t="s">
        <v>845</v>
      </c>
      <c r="B161" s="440" t="s">
        <v>755</v>
      </c>
      <c r="C161" s="440" t="s">
        <v>752</v>
      </c>
      <c r="D161" s="440" t="s">
        <v>780</v>
      </c>
      <c r="E161" s="440" t="s">
        <v>781</v>
      </c>
      <c r="F161" s="444">
        <v>5</v>
      </c>
      <c r="G161" s="444">
        <v>80</v>
      </c>
      <c r="H161" s="444">
        <v>0.78431372549019607</v>
      </c>
      <c r="I161" s="444">
        <v>16</v>
      </c>
      <c r="J161" s="444">
        <v>6</v>
      </c>
      <c r="K161" s="444">
        <v>102</v>
      </c>
      <c r="L161" s="444">
        <v>1</v>
      </c>
      <c r="M161" s="444">
        <v>17</v>
      </c>
      <c r="N161" s="444">
        <v>8</v>
      </c>
      <c r="O161" s="444">
        <v>136</v>
      </c>
      <c r="P161" s="510">
        <v>1.3333333333333333</v>
      </c>
      <c r="Q161" s="445">
        <v>17</v>
      </c>
    </row>
    <row r="162" spans="1:17" ht="14.4" customHeight="1" x14ac:dyDescent="0.3">
      <c r="A162" s="439" t="s">
        <v>845</v>
      </c>
      <c r="B162" s="440" t="s">
        <v>755</v>
      </c>
      <c r="C162" s="440" t="s">
        <v>752</v>
      </c>
      <c r="D162" s="440" t="s">
        <v>782</v>
      </c>
      <c r="E162" s="440" t="s">
        <v>767</v>
      </c>
      <c r="F162" s="444">
        <v>12</v>
      </c>
      <c r="G162" s="444">
        <v>8352</v>
      </c>
      <c r="H162" s="444">
        <v>1.0724191063174113</v>
      </c>
      <c r="I162" s="444">
        <v>696</v>
      </c>
      <c r="J162" s="444">
        <v>11</v>
      </c>
      <c r="K162" s="444">
        <v>7788</v>
      </c>
      <c r="L162" s="444">
        <v>1</v>
      </c>
      <c r="M162" s="444">
        <v>708</v>
      </c>
      <c r="N162" s="444">
        <v>18</v>
      </c>
      <c r="O162" s="444">
        <v>12744</v>
      </c>
      <c r="P162" s="510">
        <v>1.6363636363636365</v>
      </c>
      <c r="Q162" s="445">
        <v>708</v>
      </c>
    </row>
    <row r="163" spans="1:17" ht="14.4" customHeight="1" x14ac:dyDescent="0.3">
      <c r="A163" s="439" t="s">
        <v>845</v>
      </c>
      <c r="B163" s="440" t="s">
        <v>755</v>
      </c>
      <c r="C163" s="440" t="s">
        <v>752</v>
      </c>
      <c r="D163" s="440" t="s">
        <v>783</v>
      </c>
      <c r="E163" s="440" t="s">
        <v>769</v>
      </c>
      <c r="F163" s="444">
        <v>11</v>
      </c>
      <c r="G163" s="444">
        <v>15257</v>
      </c>
      <c r="H163" s="444">
        <v>1.7683124710245712</v>
      </c>
      <c r="I163" s="444">
        <v>1387</v>
      </c>
      <c r="J163" s="444">
        <v>6</v>
      </c>
      <c r="K163" s="444">
        <v>8628</v>
      </c>
      <c r="L163" s="444">
        <v>1</v>
      </c>
      <c r="M163" s="444">
        <v>1438</v>
      </c>
      <c r="N163" s="444">
        <v>16</v>
      </c>
      <c r="O163" s="444">
        <v>23024</v>
      </c>
      <c r="P163" s="510">
        <v>2.6685210941121928</v>
      </c>
      <c r="Q163" s="445">
        <v>1439</v>
      </c>
    </row>
    <row r="164" spans="1:17" ht="14.4" customHeight="1" x14ac:dyDescent="0.3">
      <c r="A164" s="439" t="s">
        <v>845</v>
      </c>
      <c r="B164" s="440" t="s">
        <v>755</v>
      </c>
      <c r="C164" s="440" t="s">
        <v>752</v>
      </c>
      <c r="D164" s="440" t="s">
        <v>784</v>
      </c>
      <c r="E164" s="440" t="s">
        <v>785</v>
      </c>
      <c r="F164" s="444">
        <v>3</v>
      </c>
      <c r="G164" s="444">
        <v>7023</v>
      </c>
      <c r="H164" s="444">
        <v>0.41168884459815935</v>
      </c>
      <c r="I164" s="444">
        <v>2341</v>
      </c>
      <c r="J164" s="444">
        <v>7</v>
      </c>
      <c r="K164" s="444">
        <v>17059</v>
      </c>
      <c r="L164" s="444">
        <v>1</v>
      </c>
      <c r="M164" s="444">
        <v>2437</v>
      </c>
      <c r="N164" s="444">
        <v>14</v>
      </c>
      <c r="O164" s="444">
        <v>34132</v>
      </c>
      <c r="P164" s="510">
        <v>2.0008206811653673</v>
      </c>
      <c r="Q164" s="445">
        <v>2438</v>
      </c>
    </row>
    <row r="165" spans="1:17" ht="14.4" customHeight="1" x14ac:dyDescent="0.3">
      <c r="A165" s="439" t="s">
        <v>845</v>
      </c>
      <c r="B165" s="440" t="s">
        <v>755</v>
      </c>
      <c r="C165" s="440" t="s">
        <v>752</v>
      </c>
      <c r="D165" s="440" t="s">
        <v>786</v>
      </c>
      <c r="E165" s="440" t="s">
        <v>787</v>
      </c>
      <c r="F165" s="444">
        <v>14</v>
      </c>
      <c r="G165" s="444">
        <v>924</v>
      </c>
      <c r="H165" s="444">
        <v>1.2173913043478262</v>
      </c>
      <c r="I165" s="444">
        <v>66</v>
      </c>
      <c r="J165" s="444">
        <v>11</v>
      </c>
      <c r="K165" s="444">
        <v>759</v>
      </c>
      <c r="L165" s="444">
        <v>1</v>
      </c>
      <c r="M165" s="444">
        <v>69</v>
      </c>
      <c r="N165" s="444">
        <v>20</v>
      </c>
      <c r="O165" s="444">
        <v>1380</v>
      </c>
      <c r="P165" s="510">
        <v>1.8181818181818181</v>
      </c>
      <c r="Q165" s="445">
        <v>69</v>
      </c>
    </row>
    <row r="166" spans="1:17" ht="14.4" customHeight="1" x14ac:dyDescent="0.3">
      <c r="A166" s="439" t="s">
        <v>845</v>
      </c>
      <c r="B166" s="440" t="s">
        <v>755</v>
      </c>
      <c r="C166" s="440" t="s">
        <v>752</v>
      </c>
      <c r="D166" s="440" t="s">
        <v>788</v>
      </c>
      <c r="E166" s="440" t="s">
        <v>789</v>
      </c>
      <c r="F166" s="444">
        <v>15</v>
      </c>
      <c r="G166" s="444">
        <v>6015</v>
      </c>
      <c r="H166" s="444">
        <v>3.6947174447174449</v>
      </c>
      <c r="I166" s="444">
        <v>401</v>
      </c>
      <c r="J166" s="444">
        <v>4</v>
      </c>
      <c r="K166" s="444">
        <v>1628</v>
      </c>
      <c r="L166" s="444">
        <v>1</v>
      </c>
      <c r="M166" s="444">
        <v>407</v>
      </c>
      <c r="N166" s="444">
        <v>2</v>
      </c>
      <c r="O166" s="444">
        <v>816</v>
      </c>
      <c r="P166" s="510">
        <v>0.50122850122850127</v>
      </c>
      <c r="Q166" s="445">
        <v>408</v>
      </c>
    </row>
    <row r="167" spans="1:17" ht="14.4" customHeight="1" x14ac:dyDescent="0.3">
      <c r="A167" s="439" t="s">
        <v>845</v>
      </c>
      <c r="B167" s="440" t="s">
        <v>755</v>
      </c>
      <c r="C167" s="440" t="s">
        <v>752</v>
      </c>
      <c r="D167" s="440" t="s">
        <v>790</v>
      </c>
      <c r="E167" s="440" t="s">
        <v>791</v>
      </c>
      <c r="F167" s="444">
        <v>4</v>
      </c>
      <c r="G167" s="444">
        <v>6452</v>
      </c>
      <c r="H167" s="444">
        <v>1.9387019230769231</v>
      </c>
      <c r="I167" s="444">
        <v>1613</v>
      </c>
      <c r="J167" s="444">
        <v>2</v>
      </c>
      <c r="K167" s="444">
        <v>3328</v>
      </c>
      <c r="L167" s="444">
        <v>1</v>
      </c>
      <c r="M167" s="444">
        <v>1664</v>
      </c>
      <c r="N167" s="444">
        <v>4</v>
      </c>
      <c r="O167" s="444">
        <v>6660</v>
      </c>
      <c r="P167" s="510">
        <v>2.0012019230769229</v>
      </c>
      <c r="Q167" s="445">
        <v>1665</v>
      </c>
    </row>
    <row r="168" spans="1:17" ht="14.4" customHeight="1" x14ac:dyDescent="0.3">
      <c r="A168" s="439" t="s">
        <v>845</v>
      </c>
      <c r="B168" s="440" t="s">
        <v>755</v>
      </c>
      <c r="C168" s="440" t="s">
        <v>752</v>
      </c>
      <c r="D168" s="440" t="s">
        <v>792</v>
      </c>
      <c r="E168" s="440" t="s">
        <v>793</v>
      </c>
      <c r="F168" s="444">
        <v>63</v>
      </c>
      <c r="G168" s="444">
        <v>34776</v>
      </c>
      <c r="H168" s="444">
        <v>0.98571428571428577</v>
      </c>
      <c r="I168" s="444">
        <v>552</v>
      </c>
      <c r="J168" s="444">
        <v>63</v>
      </c>
      <c r="K168" s="444">
        <v>35280</v>
      </c>
      <c r="L168" s="444">
        <v>1</v>
      </c>
      <c r="M168" s="444">
        <v>560</v>
      </c>
      <c r="N168" s="444">
        <v>135</v>
      </c>
      <c r="O168" s="444">
        <v>75600</v>
      </c>
      <c r="P168" s="510">
        <v>2.1428571428571428</v>
      </c>
      <c r="Q168" s="445">
        <v>560</v>
      </c>
    </row>
    <row r="169" spans="1:17" ht="14.4" customHeight="1" x14ac:dyDescent="0.3">
      <c r="A169" s="439" t="s">
        <v>845</v>
      </c>
      <c r="B169" s="440" t="s">
        <v>755</v>
      </c>
      <c r="C169" s="440" t="s">
        <v>752</v>
      </c>
      <c r="D169" s="440" t="s">
        <v>800</v>
      </c>
      <c r="E169" s="440" t="s">
        <v>801</v>
      </c>
      <c r="F169" s="444">
        <v>57</v>
      </c>
      <c r="G169" s="444">
        <v>24282</v>
      </c>
      <c r="H169" s="444">
        <v>0.83237350884409711</v>
      </c>
      <c r="I169" s="444">
        <v>426</v>
      </c>
      <c r="J169" s="444">
        <v>68</v>
      </c>
      <c r="K169" s="444">
        <v>29172</v>
      </c>
      <c r="L169" s="444">
        <v>1</v>
      </c>
      <c r="M169" s="444">
        <v>429</v>
      </c>
      <c r="N169" s="444">
        <v>96</v>
      </c>
      <c r="O169" s="444">
        <v>41184</v>
      </c>
      <c r="P169" s="510">
        <v>1.411764705882353</v>
      </c>
      <c r="Q169" s="445">
        <v>429</v>
      </c>
    </row>
    <row r="170" spans="1:17" ht="14.4" customHeight="1" x14ac:dyDescent="0.3">
      <c r="A170" s="439" t="s">
        <v>845</v>
      </c>
      <c r="B170" s="440" t="s">
        <v>755</v>
      </c>
      <c r="C170" s="440" t="s">
        <v>752</v>
      </c>
      <c r="D170" s="440" t="s">
        <v>805</v>
      </c>
      <c r="E170" s="440" t="s">
        <v>806</v>
      </c>
      <c r="F170" s="444">
        <v>11</v>
      </c>
      <c r="G170" s="444">
        <v>17765</v>
      </c>
      <c r="H170" s="444">
        <v>0.35910652920962199</v>
      </c>
      <c r="I170" s="444">
        <v>1615</v>
      </c>
      <c r="J170" s="444">
        <v>30</v>
      </c>
      <c r="K170" s="444">
        <v>49470</v>
      </c>
      <c r="L170" s="444">
        <v>1</v>
      </c>
      <c r="M170" s="444">
        <v>1649</v>
      </c>
      <c r="N170" s="444">
        <v>30</v>
      </c>
      <c r="O170" s="444">
        <v>49470</v>
      </c>
      <c r="P170" s="510">
        <v>1</v>
      </c>
      <c r="Q170" s="445">
        <v>1649</v>
      </c>
    </row>
    <row r="171" spans="1:17" ht="14.4" customHeight="1" x14ac:dyDescent="0.3">
      <c r="A171" s="439" t="s">
        <v>845</v>
      </c>
      <c r="B171" s="440" t="s">
        <v>755</v>
      </c>
      <c r="C171" s="440" t="s">
        <v>752</v>
      </c>
      <c r="D171" s="440" t="s">
        <v>808</v>
      </c>
      <c r="E171" s="440"/>
      <c r="F171" s="444"/>
      <c r="G171" s="444"/>
      <c r="H171" s="444"/>
      <c r="I171" s="444"/>
      <c r="J171" s="444"/>
      <c r="K171" s="444"/>
      <c r="L171" s="444"/>
      <c r="M171" s="444"/>
      <c r="N171" s="444">
        <v>22</v>
      </c>
      <c r="O171" s="444">
        <v>48466</v>
      </c>
      <c r="P171" s="510"/>
      <c r="Q171" s="445">
        <v>2203</v>
      </c>
    </row>
    <row r="172" spans="1:17" ht="14.4" customHeight="1" x14ac:dyDescent="0.3">
      <c r="A172" s="439" t="s">
        <v>846</v>
      </c>
      <c r="B172" s="440" t="s">
        <v>755</v>
      </c>
      <c r="C172" s="440" t="s">
        <v>752</v>
      </c>
      <c r="D172" s="440" t="s">
        <v>766</v>
      </c>
      <c r="E172" s="440" t="s">
        <v>767</v>
      </c>
      <c r="F172" s="444"/>
      <c r="G172" s="444"/>
      <c r="H172" s="444"/>
      <c r="I172" s="444"/>
      <c r="J172" s="444"/>
      <c r="K172" s="444"/>
      <c r="L172" s="444"/>
      <c r="M172" s="444"/>
      <c r="N172" s="444">
        <v>2</v>
      </c>
      <c r="O172" s="444">
        <v>890</v>
      </c>
      <c r="P172" s="510"/>
      <c r="Q172" s="445">
        <v>445</v>
      </c>
    </row>
    <row r="173" spans="1:17" ht="14.4" customHeight="1" x14ac:dyDescent="0.3">
      <c r="A173" s="439" t="s">
        <v>846</v>
      </c>
      <c r="B173" s="440" t="s">
        <v>755</v>
      </c>
      <c r="C173" s="440" t="s">
        <v>752</v>
      </c>
      <c r="D173" s="440" t="s">
        <v>780</v>
      </c>
      <c r="E173" s="440" t="s">
        <v>781</v>
      </c>
      <c r="F173" s="444"/>
      <c r="G173" s="444"/>
      <c r="H173" s="444"/>
      <c r="I173" s="444"/>
      <c r="J173" s="444"/>
      <c r="K173" s="444"/>
      <c r="L173" s="444"/>
      <c r="M173" s="444"/>
      <c r="N173" s="444">
        <v>2</v>
      </c>
      <c r="O173" s="444">
        <v>34</v>
      </c>
      <c r="P173" s="510"/>
      <c r="Q173" s="445">
        <v>17</v>
      </c>
    </row>
    <row r="174" spans="1:17" ht="14.4" customHeight="1" x14ac:dyDescent="0.3">
      <c r="A174" s="439" t="s">
        <v>846</v>
      </c>
      <c r="B174" s="440" t="s">
        <v>755</v>
      </c>
      <c r="C174" s="440" t="s">
        <v>752</v>
      </c>
      <c r="D174" s="440" t="s">
        <v>782</v>
      </c>
      <c r="E174" s="440" t="s">
        <v>767</v>
      </c>
      <c r="F174" s="444"/>
      <c r="G174" s="444"/>
      <c r="H174" s="444"/>
      <c r="I174" s="444"/>
      <c r="J174" s="444"/>
      <c r="K174" s="444"/>
      <c r="L174" s="444"/>
      <c r="M174" s="444"/>
      <c r="N174" s="444">
        <v>2</v>
      </c>
      <c r="O174" s="444">
        <v>1416</v>
      </c>
      <c r="P174" s="510"/>
      <c r="Q174" s="445">
        <v>708</v>
      </c>
    </row>
    <row r="175" spans="1:17" ht="14.4" customHeight="1" x14ac:dyDescent="0.3">
      <c r="A175" s="439" t="s">
        <v>846</v>
      </c>
      <c r="B175" s="440" t="s">
        <v>755</v>
      </c>
      <c r="C175" s="440" t="s">
        <v>752</v>
      </c>
      <c r="D175" s="440" t="s">
        <v>786</v>
      </c>
      <c r="E175" s="440" t="s">
        <v>787</v>
      </c>
      <c r="F175" s="444"/>
      <c r="G175" s="444"/>
      <c r="H175" s="444"/>
      <c r="I175" s="444"/>
      <c r="J175" s="444"/>
      <c r="K175" s="444"/>
      <c r="L175" s="444"/>
      <c r="M175" s="444"/>
      <c r="N175" s="444">
        <v>4</v>
      </c>
      <c r="O175" s="444">
        <v>276</v>
      </c>
      <c r="P175" s="510"/>
      <c r="Q175" s="445">
        <v>69</v>
      </c>
    </row>
    <row r="176" spans="1:17" ht="14.4" customHeight="1" x14ac:dyDescent="0.3">
      <c r="A176" s="439" t="s">
        <v>846</v>
      </c>
      <c r="B176" s="440" t="s">
        <v>755</v>
      </c>
      <c r="C176" s="440" t="s">
        <v>752</v>
      </c>
      <c r="D176" s="440" t="s">
        <v>792</v>
      </c>
      <c r="E176" s="440" t="s">
        <v>793</v>
      </c>
      <c r="F176" s="444"/>
      <c r="G176" s="444"/>
      <c r="H176" s="444"/>
      <c r="I176" s="444"/>
      <c r="J176" s="444">
        <v>6</v>
      </c>
      <c r="K176" s="444">
        <v>3360</v>
      </c>
      <c r="L176" s="444">
        <v>1</v>
      </c>
      <c r="M176" s="444">
        <v>560</v>
      </c>
      <c r="N176" s="444"/>
      <c r="O176" s="444"/>
      <c r="P176" s="510"/>
      <c r="Q176" s="445"/>
    </row>
    <row r="177" spans="1:17" ht="14.4" customHeight="1" x14ac:dyDescent="0.3">
      <c r="A177" s="439" t="s">
        <v>846</v>
      </c>
      <c r="B177" s="440" t="s">
        <v>755</v>
      </c>
      <c r="C177" s="440" t="s">
        <v>752</v>
      </c>
      <c r="D177" s="440" t="s">
        <v>805</v>
      </c>
      <c r="E177" s="440" t="s">
        <v>806</v>
      </c>
      <c r="F177" s="444"/>
      <c r="G177" s="444"/>
      <c r="H177" s="444"/>
      <c r="I177" s="444"/>
      <c r="J177" s="444">
        <v>1</v>
      </c>
      <c r="K177" s="444">
        <v>1649</v>
      </c>
      <c r="L177" s="444">
        <v>1</v>
      </c>
      <c r="M177" s="444">
        <v>1649</v>
      </c>
      <c r="N177" s="444"/>
      <c r="O177" s="444"/>
      <c r="P177" s="510"/>
      <c r="Q177" s="445"/>
    </row>
    <row r="178" spans="1:17" ht="14.4" customHeight="1" x14ac:dyDescent="0.3">
      <c r="A178" s="439" t="s">
        <v>847</v>
      </c>
      <c r="B178" s="440" t="s">
        <v>751</v>
      </c>
      <c r="C178" s="440" t="s">
        <v>752</v>
      </c>
      <c r="D178" s="440" t="s">
        <v>753</v>
      </c>
      <c r="E178" s="440" t="s">
        <v>754</v>
      </c>
      <c r="F178" s="444">
        <v>2</v>
      </c>
      <c r="G178" s="444">
        <v>21450</v>
      </c>
      <c r="H178" s="444"/>
      <c r="I178" s="444">
        <v>10725</v>
      </c>
      <c r="J178" s="444"/>
      <c r="K178" s="444"/>
      <c r="L178" s="444"/>
      <c r="M178" s="444"/>
      <c r="N178" s="444"/>
      <c r="O178" s="444"/>
      <c r="P178" s="510"/>
      <c r="Q178" s="445"/>
    </row>
    <row r="179" spans="1:17" ht="14.4" customHeight="1" x14ac:dyDescent="0.3">
      <c r="A179" s="439" t="s">
        <v>847</v>
      </c>
      <c r="B179" s="440" t="s">
        <v>755</v>
      </c>
      <c r="C179" s="440" t="s">
        <v>752</v>
      </c>
      <c r="D179" s="440" t="s">
        <v>792</v>
      </c>
      <c r="E179" s="440" t="s">
        <v>793</v>
      </c>
      <c r="F179" s="444">
        <v>5</v>
      </c>
      <c r="G179" s="444">
        <v>2760</v>
      </c>
      <c r="H179" s="444"/>
      <c r="I179" s="444">
        <v>552</v>
      </c>
      <c r="J179" s="444"/>
      <c r="K179" s="444"/>
      <c r="L179" s="444"/>
      <c r="M179" s="444"/>
      <c r="N179" s="444"/>
      <c r="O179" s="444"/>
      <c r="P179" s="510"/>
      <c r="Q179" s="445"/>
    </row>
    <row r="180" spans="1:17" ht="14.4" customHeight="1" x14ac:dyDescent="0.3">
      <c r="A180" s="439" t="s">
        <v>848</v>
      </c>
      <c r="B180" s="440" t="s">
        <v>755</v>
      </c>
      <c r="C180" s="440" t="s">
        <v>752</v>
      </c>
      <c r="D180" s="440" t="s">
        <v>780</v>
      </c>
      <c r="E180" s="440" t="s">
        <v>781</v>
      </c>
      <c r="F180" s="444">
        <v>1</v>
      </c>
      <c r="G180" s="444">
        <v>16</v>
      </c>
      <c r="H180" s="444"/>
      <c r="I180" s="444">
        <v>16</v>
      </c>
      <c r="J180" s="444"/>
      <c r="K180" s="444"/>
      <c r="L180" s="444"/>
      <c r="M180" s="444"/>
      <c r="N180" s="444"/>
      <c r="O180" s="444"/>
      <c r="P180" s="510"/>
      <c r="Q180" s="445"/>
    </row>
    <row r="181" spans="1:17" ht="14.4" customHeight="1" x14ac:dyDescent="0.3">
      <c r="A181" s="439" t="s">
        <v>848</v>
      </c>
      <c r="B181" s="440" t="s">
        <v>755</v>
      </c>
      <c r="C181" s="440" t="s">
        <v>752</v>
      </c>
      <c r="D181" s="440" t="s">
        <v>782</v>
      </c>
      <c r="E181" s="440" t="s">
        <v>767</v>
      </c>
      <c r="F181" s="444">
        <v>2</v>
      </c>
      <c r="G181" s="444">
        <v>1392</v>
      </c>
      <c r="H181" s="444"/>
      <c r="I181" s="444">
        <v>696</v>
      </c>
      <c r="J181" s="444"/>
      <c r="K181" s="444"/>
      <c r="L181" s="444"/>
      <c r="M181" s="444"/>
      <c r="N181" s="444"/>
      <c r="O181" s="444"/>
      <c r="P181" s="510"/>
      <c r="Q181" s="445"/>
    </row>
    <row r="182" spans="1:17" ht="14.4" customHeight="1" x14ac:dyDescent="0.3">
      <c r="A182" s="439" t="s">
        <v>848</v>
      </c>
      <c r="B182" s="440" t="s">
        <v>755</v>
      </c>
      <c r="C182" s="440" t="s">
        <v>752</v>
      </c>
      <c r="D182" s="440" t="s">
        <v>786</v>
      </c>
      <c r="E182" s="440" t="s">
        <v>787</v>
      </c>
      <c r="F182" s="444">
        <v>2</v>
      </c>
      <c r="G182" s="444">
        <v>132</v>
      </c>
      <c r="H182" s="444"/>
      <c r="I182" s="444">
        <v>66</v>
      </c>
      <c r="J182" s="444"/>
      <c r="K182" s="444"/>
      <c r="L182" s="444"/>
      <c r="M182" s="444"/>
      <c r="N182" s="444"/>
      <c r="O182" s="444"/>
      <c r="P182" s="510"/>
      <c r="Q182" s="445"/>
    </row>
    <row r="183" spans="1:17" ht="14.4" customHeight="1" x14ac:dyDescent="0.3">
      <c r="A183" s="439" t="s">
        <v>849</v>
      </c>
      <c r="B183" s="440" t="s">
        <v>751</v>
      </c>
      <c r="C183" s="440" t="s">
        <v>752</v>
      </c>
      <c r="D183" s="440" t="s">
        <v>753</v>
      </c>
      <c r="E183" s="440" t="s">
        <v>754</v>
      </c>
      <c r="F183" s="444">
        <v>1</v>
      </c>
      <c r="G183" s="444">
        <v>10725</v>
      </c>
      <c r="H183" s="444"/>
      <c r="I183" s="444">
        <v>10725</v>
      </c>
      <c r="J183" s="444"/>
      <c r="K183" s="444"/>
      <c r="L183" s="444"/>
      <c r="M183" s="444"/>
      <c r="N183" s="444"/>
      <c r="O183" s="444"/>
      <c r="P183" s="510"/>
      <c r="Q183" s="445"/>
    </row>
    <row r="184" spans="1:17" ht="14.4" customHeight="1" x14ac:dyDescent="0.3">
      <c r="A184" s="439" t="s">
        <v>849</v>
      </c>
      <c r="B184" s="440" t="s">
        <v>755</v>
      </c>
      <c r="C184" s="440" t="s">
        <v>752</v>
      </c>
      <c r="D184" s="440" t="s">
        <v>756</v>
      </c>
      <c r="E184" s="440" t="s">
        <v>757</v>
      </c>
      <c r="F184" s="444">
        <v>2</v>
      </c>
      <c r="G184" s="444">
        <v>256</v>
      </c>
      <c r="H184" s="444"/>
      <c r="I184" s="444">
        <v>128</v>
      </c>
      <c r="J184" s="444"/>
      <c r="K184" s="444"/>
      <c r="L184" s="444"/>
      <c r="M184" s="444"/>
      <c r="N184" s="444"/>
      <c r="O184" s="444"/>
      <c r="P184" s="510"/>
      <c r="Q184" s="445"/>
    </row>
    <row r="185" spans="1:17" ht="14.4" customHeight="1" x14ac:dyDescent="0.3">
      <c r="A185" s="439" t="s">
        <v>849</v>
      </c>
      <c r="B185" s="440" t="s">
        <v>755</v>
      </c>
      <c r="C185" s="440" t="s">
        <v>752</v>
      </c>
      <c r="D185" s="440" t="s">
        <v>764</v>
      </c>
      <c r="E185" s="440" t="s">
        <v>765</v>
      </c>
      <c r="F185" s="444"/>
      <c r="G185" s="444"/>
      <c r="H185" s="444"/>
      <c r="I185" s="444"/>
      <c r="J185" s="444">
        <v>2</v>
      </c>
      <c r="K185" s="444">
        <v>7646</v>
      </c>
      <c r="L185" s="444">
        <v>1</v>
      </c>
      <c r="M185" s="444">
        <v>3823</v>
      </c>
      <c r="N185" s="444">
        <v>1</v>
      </c>
      <c r="O185" s="444">
        <v>3825</v>
      </c>
      <c r="P185" s="510">
        <v>0.500261574679571</v>
      </c>
      <c r="Q185" s="445">
        <v>3825</v>
      </c>
    </row>
    <row r="186" spans="1:17" ht="14.4" customHeight="1" x14ac:dyDescent="0.3">
      <c r="A186" s="439" t="s">
        <v>849</v>
      </c>
      <c r="B186" s="440" t="s">
        <v>755</v>
      </c>
      <c r="C186" s="440" t="s">
        <v>752</v>
      </c>
      <c r="D186" s="440" t="s">
        <v>766</v>
      </c>
      <c r="E186" s="440" t="s">
        <v>767</v>
      </c>
      <c r="F186" s="444">
        <v>1</v>
      </c>
      <c r="G186" s="444">
        <v>439</v>
      </c>
      <c r="H186" s="444"/>
      <c r="I186" s="444">
        <v>439</v>
      </c>
      <c r="J186" s="444"/>
      <c r="K186" s="444"/>
      <c r="L186" s="444"/>
      <c r="M186" s="444"/>
      <c r="N186" s="444"/>
      <c r="O186" s="444"/>
      <c r="P186" s="510"/>
      <c r="Q186" s="445"/>
    </row>
    <row r="187" spans="1:17" ht="14.4" customHeight="1" x14ac:dyDescent="0.3">
      <c r="A187" s="439" t="s">
        <v>849</v>
      </c>
      <c r="B187" s="440" t="s">
        <v>755</v>
      </c>
      <c r="C187" s="440" t="s">
        <v>752</v>
      </c>
      <c r="D187" s="440" t="s">
        <v>770</v>
      </c>
      <c r="E187" s="440" t="s">
        <v>771</v>
      </c>
      <c r="F187" s="444"/>
      <c r="G187" s="444"/>
      <c r="H187" s="444"/>
      <c r="I187" s="444"/>
      <c r="J187" s="444">
        <v>1</v>
      </c>
      <c r="K187" s="444">
        <v>1655</v>
      </c>
      <c r="L187" s="444">
        <v>1</v>
      </c>
      <c r="M187" s="444">
        <v>1655</v>
      </c>
      <c r="N187" s="444"/>
      <c r="O187" s="444"/>
      <c r="P187" s="510"/>
      <c r="Q187" s="445"/>
    </row>
    <row r="188" spans="1:17" ht="14.4" customHeight="1" x14ac:dyDescent="0.3">
      <c r="A188" s="439" t="s">
        <v>849</v>
      </c>
      <c r="B188" s="440" t="s">
        <v>755</v>
      </c>
      <c r="C188" s="440" t="s">
        <v>752</v>
      </c>
      <c r="D188" s="440" t="s">
        <v>776</v>
      </c>
      <c r="E188" s="440" t="s">
        <v>777</v>
      </c>
      <c r="F188" s="444">
        <v>3</v>
      </c>
      <c r="G188" s="444">
        <v>4383</v>
      </c>
      <c r="H188" s="444"/>
      <c r="I188" s="444">
        <v>1461</v>
      </c>
      <c r="J188" s="444"/>
      <c r="K188" s="444"/>
      <c r="L188" s="444"/>
      <c r="M188" s="444"/>
      <c r="N188" s="444"/>
      <c r="O188" s="444"/>
      <c r="P188" s="510"/>
      <c r="Q188" s="445"/>
    </row>
    <row r="189" spans="1:17" ht="14.4" customHeight="1" x14ac:dyDescent="0.3">
      <c r="A189" s="439" t="s">
        <v>849</v>
      </c>
      <c r="B189" s="440" t="s">
        <v>755</v>
      </c>
      <c r="C189" s="440" t="s">
        <v>752</v>
      </c>
      <c r="D189" s="440" t="s">
        <v>780</v>
      </c>
      <c r="E189" s="440" t="s">
        <v>781</v>
      </c>
      <c r="F189" s="444">
        <v>1</v>
      </c>
      <c r="G189" s="444">
        <v>16</v>
      </c>
      <c r="H189" s="444">
        <v>0.47058823529411764</v>
      </c>
      <c r="I189" s="444">
        <v>16</v>
      </c>
      <c r="J189" s="444">
        <v>2</v>
      </c>
      <c r="K189" s="444">
        <v>34</v>
      </c>
      <c r="L189" s="444">
        <v>1</v>
      </c>
      <c r="M189" s="444">
        <v>17</v>
      </c>
      <c r="N189" s="444">
        <v>5</v>
      </c>
      <c r="O189" s="444">
        <v>85</v>
      </c>
      <c r="P189" s="510">
        <v>2.5</v>
      </c>
      <c r="Q189" s="445">
        <v>17</v>
      </c>
    </row>
    <row r="190" spans="1:17" ht="14.4" customHeight="1" x14ac:dyDescent="0.3">
      <c r="A190" s="439" t="s">
        <v>849</v>
      </c>
      <c r="B190" s="440" t="s">
        <v>755</v>
      </c>
      <c r="C190" s="440" t="s">
        <v>752</v>
      </c>
      <c r="D190" s="440" t="s">
        <v>782</v>
      </c>
      <c r="E190" s="440" t="s">
        <v>767</v>
      </c>
      <c r="F190" s="444">
        <v>2</v>
      </c>
      <c r="G190" s="444">
        <v>1392</v>
      </c>
      <c r="H190" s="444">
        <v>0.49152542372881358</v>
      </c>
      <c r="I190" s="444">
        <v>696</v>
      </c>
      <c r="J190" s="444">
        <v>4</v>
      </c>
      <c r="K190" s="444">
        <v>2832</v>
      </c>
      <c r="L190" s="444">
        <v>1</v>
      </c>
      <c r="M190" s="444">
        <v>708</v>
      </c>
      <c r="N190" s="444">
        <v>10</v>
      </c>
      <c r="O190" s="444">
        <v>7080</v>
      </c>
      <c r="P190" s="510">
        <v>2.5</v>
      </c>
      <c r="Q190" s="445">
        <v>708</v>
      </c>
    </row>
    <row r="191" spans="1:17" ht="14.4" customHeight="1" x14ac:dyDescent="0.3">
      <c r="A191" s="439" t="s">
        <v>849</v>
      </c>
      <c r="B191" s="440" t="s">
        <v>755</v>
      </c>
      <c r="C191" s="440" t="s">
        <v>752</v>
      </c>
      <c r="D191" s="440" t="s">
        <v>783</v>
      </c>
      <c r="E191" s="440" t="s">
        <v>769</v>
      </c>
      <c r="F191" s="444"/>
      <c r="G191" s="444"/>
      <c r="H191" s="444"/>
      <c r="I191" s="444"/>
      <c r="J191" s="444">
        <v>3</v>
      </c>
      <c r="K191" s="444">
        <v>4314</v>
      </c>
      <c r="L191" s="444">
        <v>1</v>
      </c>
      <c r="M191" s="444">
        <v>1438</v>
      </c>
      <c r="N191" s="444">
        <v>4</v>
      </c>
      <c r="O191" s="444">
        <v>5756</v>
      </c>
      <c r="P191" s="510">
        <v>1.3342605470560964</v>
      </c>
      <c r="Q191" s="445">
        <v>1439</v>
      </c>
    </row>
    <row r="192" spans="1:17" ht="14.4" customHeight="1" x14ac:dyDescent="0.3">
      <c r="A192" s="439" t="s">
        <v>849</v>
      </c>
      <c r="B192" s="440" t="s">
        <v>755</v>
      </c>
      <c r="C192" s="440" t="s">
        <v>752</v>
      </c>
      <c r="D192" s="440" t="s">
        <v>784</v>
      </c>
      <c r="E192" s="440" t="s">
        <v>785</v>
      </c>
      <c r="F192" s="444"/>
      <c r="G192" s="444"/>
      <c r="H192" s="444"/>
      <c r="I192" s="444"/>
      <c r="J192" s="444">
        <v>3</v>
      </c>
      <c r="K192" s="444">
        <v>7311</v>
      </c>
      <c r="L192" s="444">
        <v>1</v>
      </c>
      <c r="M192" s="444">
        <v>2437</v>
      </c>
      <c r="N192" s="444">
        <v>2</v>
      </c>
      <c r="O192" s="444">
        <v>4876</v>
      </c>
      <c r="P192" s="510">
        <v>0.66694022705512246</v>
      </c>
      <c r="Q192" s="445">
        <v>2438</v>
      </c>
    </row>
    <row r="193" spans="1:17" ht="14.4" customHeight="1" x14ac:dyDescent="0.3">
      <c r="A193" s="439" t="s">
        <v>849</v>
      </c>
      <c r="B193" s="440" t="s">
        <v>755</v>
      </c>
      <c r="C193" s="440" t="s">
        <v>752</v>
      </c>
      <c r="D193" s="440" t="s">
        <v>786</v>
      </c>
      <c r="E193" s="440" t="s">
        <v>787</v>
      </c>
      <c r="F193" s="444">
        <v>2</v>
      </c>
      <c r="G193" s="444">
        <v>132</v>
      </c>
      <c r="H193" s="444">
        <v>0.47826086956521741</v>
      </c>
      <c r="I193" s="444">
        <v>66</v>
      </c>
      <c r="J193" s="444">
        <v>4</v>
      </c>
      <c r="K193" s="444">
        <v>276</v>
      </c>
      <c r="L193" s="444">
        <v>1</v>
      </c>
      <c r="M193" s="444">
        <v>69</v>
      </c>
      <c r="N193" s="444">
        <v>10</v>
      </c>
      <c r="O193" s="444">
        <v>690</v>
      </c>
      <c r="P193" s="510">
        <v>2.5</v>
      </c>
      <c r="Q193" s="445">
        <v>69</v>
      </c>
    </row>
    <row r="194" spans="1:17" ht="14.4" customHeight="1" x14ac:dyDescent="0.3">
      <c r="A194" s="439" t="s">
        <v>849</v>
      </c>
      <c r="B194" s="440" t="s">
        <v>755</v>
      </c>
      <c r="C194" s="440" t="s">
        <v>752</v>
      </c>
      <c r="D194" s="440" t="s">
        <v>788</v>
      </c>
      <c r="E194" s="440" t="s">
        <v>789</v>
      </c>
      <c r="F194" s="444">
        <v>3</v>
      </c>
      <c r="G194" s="444">
        <v>1203</v>
      </c>
      <c r="H194" s="444"/>
      <c r="I194" s="444">
        <v>401</v>
      </c>
      <c r="J194" s="444"/>
      <c r="K194" s="444"/>
      <c r="L194" s="444"/>
      <c r="M194" s="444"/>
      <c r="N194" s="444"/>
      <c r="O194" s="444"/>
      <c r="P194" s="510"/>
      <c r="Q194" s="445"/>
    </row>
    <row r="195" spans="1:17" ht="14.4" customHeight="1" x14ac:dyDescent="0.3">
      <c r="A195" s="439" t="s">
        <v>849</v>
      </c>
      <c r="B195" s="440" t="s">
        <v>755</v>
      </c>
      <c r="C195" s="440" t="s">
        <v>752</v>
      </c>
      <c r="D195" s="440" t="s">
        <v>792</v>
      </c>
      <c r="E195" s="440" t="s">
        <v>793</v>
      </c>
      <c r="F195" s="444">
        <v>6</v>
      </c>
      <c r="G195" s="444">
        <v>3312</v>
      </c>
      <c r="H195" s="444">
        <v>0.49285714285714288</v>
      </c>
      <c r="I195" s="444">
        <v>552</v>
      </c>
      <c r="J195" s="444">
        <v>12</v>
      </c>
      <c r="K195" s="444">
        <v>6720</v>
      </c>
      <c r="L195" s="444">
        <v>1</v>
      </c>
      <c r="M195" s="444">
        <v>560</v>
      </c>
      <c r="N195" s="444">
        <v>24</v>
      </c>
      <c r="O195" s="444">
        <v>13440</v>
      </c>
      <c r="P195" s="510">
        <v>2</v>
      </c>
      <c r="Q195" s="445">
        <v>560</v>
      </c>
    </row>
    <row r="196" spans="1:17" ht="14.4" customHeight="1" x14ac:dyDescent="0.3">
      <c r="A196" s="439" t="s">
        <v>849</v>
      </c>
      <c r="B196" s="440" t="s">
        <v>755</v>
      </c>
      <c r="C196" s="440" t="s">
        <v>752</v>
      </c>
      <c r="D196" s="440" t="s">
        <v>800</v>
      </c>
      <c r="E196" s="440" t="s">
        <v>801</v>
      </c>
      <c r="F196" s="444">
        <v>2</v>
      </c>
      <c r="G196" s="444">
        <v>852</v>
      </c>
      <c r="H196" s="444"/>
      <c r="I196" s="444">
        <v>426</v>
      </c>
      <c r="J196" s="444"/>
      <c r="K196" s="444"/>
      <c r="L196" s="444"/>
      <c r="M196" s="444"/>
      <c r="N196" s="444"/>
      <c r="O196" s="444"/>
      <c r="P196" s="510"/>
      <c r="Q196" s="445"/>
    </row>
    <row r="197" spans="1:17" ht="14.4" customHeight="1" x14ac:dyDescent="0.3">
      <c r="A197" s="439" t="s">
        <v>849</v>
      </c>
      <c r="B197" s="440" t="s">
        <v>755</v>
      </c>
      <c r="C197" s="440" t="s">
        <v>752</v>
      </c>
      <c r="D197" s="440" t="s">
        <v>805</v>
      </c>
      <c r="E197" s="440" t="s">
        <v>806</v>
      </c>
      <c r="F197" s="444"/>
      <c r="G197" s="444"/>
      <c r="H197" s="444"/>
      <c r="I197" s="444"/>
      <c r="J197" s="444">
        <v>3</v>
      </c>
      <c r="K197" s="444">
        <v>4947</v>
      </c>
      <c r="L197" s="444">
        <v>1</v>
      </c>
      <c r="M197" s="444">
        <v>1649</v>
      </c>
      <c r="N197" s="444"/>
      <c r="O197" s="444"/>
      <c r="P197" s="510"/>
      <c r="Q197" s="445"/>
    </row>
    <row r="198" spans="1:17" ht="14.4" customHeight="1" x14ac:dyDescent="0.3">
      <c r="A198" s="439" t="s">
        <v>849</v>
      </c>
      <c r="B198" s="440" t="s">
        <v>755</v>
      </c>
      <c r="C198" s="440" t="s">
        <v>752</v>
      </c>
      <c r="D198" s="440" t="s">
        <v>808</v>
      </c>
      <c r="E198" s="440"/>
      <c r="F198" s="444"/>
      <c r="G198" s="444"/>
      <c r="H198" s="444"/>
      <c r="I198" s="444"/>
      <c r="J198" s="444"/>
      <c r="K198" s="444"/>
      <c r="L198" s="444"/>
      <c r="M198" s="444"/>
      <c r="N198" s="444">
        <v>2</v>
      </c>
      <c r="O198" s="444">
        <v>4406</v>
      </c>
      <c r="P198" s="510"/>
      <c r="Q198" s="445">
        <v>2203</v>
      </c>
    </row>
    <row r="199" spans="1:17" ht="14.4" customHeight="1" x14ac:dyDescent="0.3">
      <c r="A199" s="439" t="s">
        <v>850</v>
      </c>
      <c r="B199" s="440" t="s">
        <v>755</v>
      </c>
      <c r="C199" s="440" t="s">
        <v>752</v>
      </c>
      <c r="D199" s="440" t="s">
        <v>800</v>
      </c>
      <c r="E199" s="440" t="s">
        <v>801</v>
      </c>
      <c r="F199" s="444"/>
      <c r="G199" s="444"/>
      <c r="H199" s="444"/>
      <c r="I199" s="444"/>
      <c r="J199" s="444"/>
      <c r="K199" s="444"/>
      <c r="L199" s="444"/>
      <c r="M199" s="444"/>
      <c r="N199" s="444">
        <v>1</v>
      </c>
      <c r="O199" s="444">
        <v>429</v>
      </c>
      <c r="P199" s="510"/>
      <c r="Q199" s="445">
        <v>429</v>
      </c>
    </row>
    <row r="200" spans="1:17" ht="14.4" customHeight="1" x14ac:dyDescent="0.3">
      <c r="A200" s="439" t="s">
        <v>851</v>
      </c>
      <c r="B200" s="440" t="s">
        <v>755</v>
      </c>
      <c r="C200" s="440" t="s">
        <v>752</v>
      </c>
      <c r="D200" s="440" t="s">
        <v>764</v>
      </c>
      <c r="E200" s="440" t="s">
        <v>765</v>
      </c>
      <c r="F200" s="444">
        <v>1</v>
      </c>
      <c r="G200" s="444">
        <v>3721</v>
      </c>
      <c r="H200" s="444"/>
      <c r="I200" s="444">
        <v>3721</v>
      </c>
      <c r="J200" s="444"/>
      <c r="K200" s="444"/>
      <c r="L200" s="444"/>
      <c r="M200" s="444"/>
      <c r="N200" s="444"/>
      <c r="O200" s="444"/>
      <c r="P200" s="510"/>
      <c r="Q200" s="445"/>
    </row>
    <row r="201" spans="1:17" ht="14.4" customHeight="1" x14ac:dyDescent="0.3">
      <c r="A201" s="439" t="s">
        <v>851</v>
      </c>
      <c r="B201" s="440" t="s">
        <v>755</v>
      </c>
      <c r="C201" s="440" t="s">
        <v>752</v>
      </c>
      <c r="D201" s="440" t="s">
        <v>784</v>
      </c>
      <c r="E201" s="440" t="s">
        <v>785</v>
      </c>
      <c r="F201" s="444">
        <v>1</v>
      </c>
      <c r="G201" s="444">
        <v>2341</v>
      </c>
      <c r="H201" s="444"/>
      <c r="I201" s="444">
        <v>2341</v>
      </c>
      <c r="J201" s="444"/>
      <c r="K201" s="444"/>
      <c r="L201" s="444"/>
      <c r="M201" s="444"/>
      <c r="N201" s="444"/>
      <c r="O201" s="444"/>
      <c r="P201" s="510"/>
      <c r="Q201" s="445"/>
    </row>
    <row r="202" spans="1:17" ht="14.4" customHeight="1" x14ac:dyDescent="0.3">
      <c r="A202" s="439" t="s">
        <v>851</v>
      </c>
      <c r="B202" s="440" t="s">
        <v>755</v>
      </c>
      <c r="C202" s="440" t="s">
        <v>752</v>
      </c>
      <c r="D202" s="440" t="s">
        <v>792</v>
      </c>
      <c r="E202" s="440" t="s">
        <v>793</v>
      </c>
      <c r="F202" s="444">
        <v>5</v>
      </c>
      <c r="G202" s="444">
        <v>2760</v>
      </c>
      <c r="H202" s="444"/>
      <c r="I202" s="444">
        <v>552</v>
      </c>
      <c r="J202" s="444"/>
      <c r="K202" s="444"/>
      <c r="L202" s="444"/>
      <c r="M202" s="444"/>
      <c r="N202" s="444"/>
      <c r="O202" s="444"/>
      <c r="P202" s="510"/>
      <c r="Q202" s="445"/>
    </row>
    <row r="203" spans="1:17" ht="14.4" customHeight="1" x14ac:dyDescent="0.3">
      <c r="A203" s="439" t="s">
        <v>851</v>
      </c>
      <c r="B203" s="440" t="s">
        <v>755</v>
      </c>
      <c r="C203" s="440" t="s">
        <v>752</v>
      </c>
      <c r="D203" s="440" t="s">
        <v>805</v>
      </c>
      <c r="E203" s="440" t="s">
        <v>806</v>
      </c>
      <c r="F203" s="444">
        <v>1</v>
      </c>
      <c r="G203" s="444">
        <v>1615</v>
      </c>
      <c r="H203" s="444"/>
      <c r="I203" s="444">
        <v>1615</v>
      </c>
      <c r="J203" s="444"/>
      <c r="K203" s="444"/>
      <c r="L203" s="444"/>
      <c r="M203" s="444"/>
      <c r="N203" s="444"/>
      <c r="O203" s="444"/>
      <c r="P203" s="510"/>
      <c r="Q203" s="445"/>
    </row>
    <row r="204" spans="1:17" ht="14.4" customHeight="1" x14ac:dyDescent="0.3">
      <c r="A204" s="439" t="s">
        <v>852</v>
      </c>
      <c r="B204" s="440" t="s">
        <v>751</v>
      </c>
      <c r="C204" s="440" t="s">
        <v>752</v>
      </c>
      <c r="D204" s="440" t="s">
        <v>753</v>
      </c>
      <c r="E204" s="440" t="s">
        <v>754</v>
      </c>
      <c r="F204" s="444">
        <v>4</v>
      </c>
      <c r="G204" s="444">
        <v>42900</v>
      </c>
      <c r="H204" s="444"/>
      <c r="I204" s="444">
        <v>10725</v>
      </c>
      <c r="J204" s="444"/>
      <c r="K204" s="444"/>
      <c r="L204" s="444"/>
      <c r="M204" s="444"/>
      <c r="N204" s="444">
        <v>2</v>
      </c>
      <c r="O204" s="444">
        <v>22826</v>
      </c>
      <c r="P204" s="510"/>
      <c r="Q204" s="445">
        <v>11413</v>
      </c>
    </row>
    <row r="205" spans="1:17" ht="14.4" customHeight="1" x14ac:dyDescent="0.3">
      <c r="A205" s="439" t="s">
        <v>852</v>
      </c>
      <c r="B205" s="440" t="s">
        <v>755</v>
      </c>
      <c r="C205" s="440" t="s">
        <v>752</v>
      </c>
      <c r="D205" s="440" t="s">
        <v>760</v>
      </c>
      <c r="E205" s="440" t="s">
        <v>761</v>
      </c>
      <c r="F205" s="444">
        <v>2</v>
      </c>
      <c r="G205" s="444">
        <v>4472</v>
      </c>
      <c r="H205" s="444"/>
      <c r="I205" s="444">
        <v>2236</v>
      </c>
      <c r="J205" s="444"/>
      <c r="K205" s="444"/>
      <c r="L205" s="444"/>
      <c r="M205" s="444"/>
      <c r="N205" s="444"/>
      <c r="O205" s="444"/>
      <c r="P205" s="510"/>
      <c r="Q205" s="445"/>
    </row>
    <row r="206" spans="1:17" ht="14.4" customHeight="1" x14ac:dyDescent="0.3">
      <c r="A206" s="439" t="s">
        <v>852</v>
      </c>
      <c r="B206" s="440" t="s">
        <v>755</v>
      </c>
      <c r="C206" s="440" t="s">
        <v>752</v>
      </c>
      <c r="D206" s="440" t="s">
        <v>764</v>
      </c>
      <c r="E206" s="440" t="s">
        <v>765</v>
      </c>
      <c r="F206" s="444">
        <v>2</v>
      </c>
      <c r="G206" s="444">
        <v>7442</v>
      </c>
      <c r="H206" s="444">
        <v>0.38932775307350248</v>
      </c>
      <c r="I206" s="444">
        <v>3721</v>
      </c>
      <c r="J206" s="444">
        <v>5</v>
      </c>
      <c r="K206" s="444">
        <v>19115</v>
      </c>
      <c r="L206" s="444">
        <v>1</v>
      </c>
      <c r="M206" s="444">
        <v>3823</v>
      </c>
      <c r="N206" s="444"/>
      <c r="O206" s="444"/>
      <c r="P206" s="510"/>
      <c r="Q206" s="445"/>
    </row>
    <row r="207" spans="1:17" ht="14.4" customHeight="1" x14ac:dyDescent="0.3">
      <c r="A207" s="439" t="s">
        <v>852</v>
      </c>
      <c r="B207" s="440" t="s">
        <v>755</v>
      </c>
      <c r="C207" s="440" t="s">
        <v>752</v>
      </c>
      <c r="D207" s="440" t="s">
        <v>768</v>
      </c>
      <c r="E207" s="440" t="s">
        <v>769</v>
      </c>
      <c r="F207" s="444"/>
      <c r="G207" s="444"/>
      <c r="H207" s="444"/>
      <c r="I207" s="444"/>
      <c r="J207" s="444">
        <v>3</v>
      </c>
      <c r="K207" s="444">
        <v>2559</v>
      </c>
      <c r="L207" s="444">
        <v>1</v>
      </c>
      <c r="M207" s="444">
        <v>853</v>
      </c>
      <c r="N207" s="444"/>
      <c r="O207" s="444"/>
      <c r="P207" s="510"/>
      <c r="Q207" s="445"/>
    </row>
    <row r="208" spans="1:17" ht="14.4" customHeight="1" x14ac:dyDescent="0.3">
      <c r="A208" s="439" t="s">
        <v>852</v>
      </c>
      <c r="B208" s="440" t="s">
        <v>755</v>
      </c>
      <c r="C208" s="440" t="s">
        <v>752</v>
      </c>
      <c r="D208" s="440" t="s">
        <v>770</v>
      </c>
      <c r="E208" s="440" t="s">
        <v>771</v>
      </c>
      <c r="F208" s="444">
        <v>1</v>
      </c>
      <c r="G208" s="444">
        <v>1621</v>
      </c>
      <c r="H208" s="444">
        <v>0.32648539778449143</v>
      </c>
      <c r="I208" s="444">
        <v>1621</v>
      </c>
      <c r="J208" s="444">
        <v>3</v>
      </c>
      <c r="K208" s="444">
        <v>4965</v>
      </c>
      <c r="L208" s="444">
        <v>1</v>
      </c>
      <c r="M208" s="444">
        <v>1655</v>
      </c>
      <c r="N208" s="444"/>
      <c r="O208" s="444"/>
      <c r="P208" s="510"/>
      <c r="Q208" s="445"/>
    </row>
    <row r="209" spans="1:17" ht="14.4" customHeight="1" x14ac:dyDescent="0.3">
      <c r="A209" s="439" t="s">
        <v>852</v>
      </c>
      <c r="B209" s="440" t="s">
        <v>755</v>
      </c>
      <c r="C209" s="440" t="s">
        <v>752</v>
      </c>
      <c r="D209" s="440" t="s">
        <v>780</v>
      </c>
      <c r="E209" s="440" t="s">
        <v>781</v>
      </c>
      <c r="F209" s="444">
        <v>2</v>
      </c>
      <c r="G209" s="444">
        <v>32</v>
      </c>
      <c r="H209" s="444">
        <v>0.94117647058823528</v>
      </c>
      <c r="I209" s="444">
        <v>16</v>
      </c>
      <c r="J209" s="444">
        <v>2</v>
      </c>
      <c r="K209" s="444">
        <v>34</v>
      </c>
      <c r="L209" s="444">
        <v>1</v>
      </c>
      <c r="M209" s="444">
        <v>17</v>
      </c>
      <c r="N209" s="444">
        <v>1</v>
      </c>
      <c r="O209" s="444">
        <v>17</v>
      </c>
      <c r="P209" s="510">
        <v>0.5</v>
      </c>
      <c r="Q209" s="445">
        <v>17</v>
      </c>
    </row>
    <row r="210" spans="1:17" ht="14.4" customHeight="1" x14ac:dyDescent="0.3">
      <c r="A210" s="439" t="s">
        <v>852</v>
      </c>
      <c r="B210" s="440" t="s">
        <v>755</v>
      </c>
      <c r="C210" s="440" t="s">
        <v>752</v>
      </c>
      <c r="D210" s="440" t="s">
        <v>782</v>
      </c>
      <c r="E210" s="440" t="s">
        <v>767</v>
      </c>
      <c r="F210" s="444">
        <v>4</v>
      </c>
      <c r="G210" s="444">
        <v>2784</v>
      </c>
      <c r="H210" s="444">
        <v>0.98305084745762716</v>
      </c>
      <c r="I210" s="444">
        <v>696</v>
      </c>
      <c r="J210" s="444">
        <v>4</v>
      </c>
      <c r="K210" s="444">
        <v>2832</v>
      </c>
      <c r="L210" s="444">
        <v>1</v>
      </c>
      <c r="M210" s="444">
        <v>708</v>
      </c>
      <c r="N210" s="444">
        <v>2</v>
      </c>
      <c r="O210" s="444">
        <v>1416</v>
      </c>
      <c r="P210" s="510">
        <v>0.5</v>
      </c>
      <c r="Q210" s="445">
        <v>708</v>
      </c>
    </row>
    <row r="211" spans="1:17" ht="14.4" customHeight="1" x14ac:dyDescent="0.3">
      <c r="A211" s="439" t="s">
        <v>852</v>
      </c>
      <c r="B211" s="440" t="s">
        <v>755</v>
      </c>
      <c r="C211" s="440" t="s">
        <v>752</v>
      </c>
      <c r="D211" s="440" t="s">
        <v>783</v>
      </c>
      <c r="E211" s="440" t="s">
        <v>769</v>
      </c>
      <c r="F211" s="444">
        <v>3</v>
      </c>
      <c r="G211" s="444">
        <v>4161</v>
      </c>
      <c r="H211" s="444">
        <v>0.57872044506258691</v>
      </c>
      <c r="I211" s="444">
        <v>1387</v>
      </c>
      <c r="J211" s="444">
        <v>5</v>
      </c>
      <c r="K211" s="444">
        <v>7190</v>
      </c>
      <c r="L211" s="444">
        <v>1</v>
      </c>
      <c r="M211" s="444">
        <v>1438</v>
      </c>
      <c r="N211" s="444">
        <v>2</v>
      </c>
      <c r="O211" s="444">
        <v>2878</v>
      </c>
      <c r="P211" s="510">
        <v>0.40027816411682893</v>
      </c>
      <c r="Q211" s="445">
        <v>1439</v>
      </c>
    </row>
    <row r="212" spans="1:17" ht="14.4" customHeight="1" x14ac:dyDescent="0.3">
      <c r="A212" s="439" t="s">
        <v>852</v>
      </c>
      <c r="B212" s="440" t="s">
        <v>755</v>
      </c>
      <c r="C212" s="440" t="s">
        <v>752</v>
      </c>
      <c r="D212" s="440" t="s">
        <v>784</v>
      </c>
      <c r="E212" s="440" t="s">
        <v>785</v>
      </c>
      <c r="F212" s="444">
        <v>1</v>
      </c>
      <c r="G212" s="444">
        <v>2341</v>
      </c>
      <c r="H212" s="444">
        <v>0.32020243468745724</v>
      </c>
      <c r="I212" s="444">
        <v>2341</v>
      </c>
      <c r="J212" s="444">
        <v>3</v>
      </c>
      <c r="K212" s="444">
        <v>7311</v>
      </c>
      <c r="L212" s="444">
        <v>1</v>
      </c>
      <c r="M212" s="444">
        <v>2437</v>
      </c>
      <c r="N212" s="444">
        <v>1</v>
      </c>
      <c r="O212" s="444">
        <v>2438</v>
      </c>
      <c r="P212" s="510">
        <v>0.33347011352756123</v>
      </c>
      <c r="Q212" s="445">
        <v>2438</v>
      </c>
    </row>
    <row r="213" spans="1:17" ht="14.4" customHeight="1" x14ac:dyDescent="0.3">
      <c r="A213" s="439" t="s">
        <v>852</v>
      </c>
      <c r="B213" s="440" t="s">
        <v>755</v>
      </c>
      <c r="C213" s="440" t="s">
        <v>752</v>
      </c>
      <c r="D213" s="440" t="s">
        <v>786</v>
      </c>
      <c r="E213" s="440" t="s">
        <v>787</v>
      </c>
      <c r="F213" s="444">
        <v>4</v>
      </c>
      <c r="G213" s="444">
        <v>264</v>
      </c>
      <c r="H213" s="444">
        <v>0.95652173913043481</v>
      </c>
      <c r="I213" s="444">
        <v>66</v>
      </c>
      <c r="J213" s="444">
        <v>4</v>
      </c>
      <c r="K213" s="444">
        <v>276</v>
      </c>
      <c r="L213" s="444">
        <v>1</v>
      </c>
      <c r="M213" s="444">
        <v>69</v>
      </c>
      <c r="N213" s="444">
        <v>2</v>
      </c>
      <c r="O213" s="444">
        <v>138</v>
      </c>
      <c r="P213" s="510">
        <v>0.5</v>
      </c>
      <c r="Q213" s="445">
        <v>69</v>
      </c>
    </row>
    <row r="214" spans="1:17" ht="14.4" customHeight="1" x14ac:dyDescent="0.3">
      <c r="A214" s="439" t="s">
        <v>852</v>
      </c>
      <c r="B214" s="440" t="s">
        <v>755</v>
      </c>
      <c r="C214" s="440" t="s">
        <v>752</v>
      </c>
      <c r="D214" s="440" t="s">
        <v>790</v>
      </c>
      <c r="E214" s="440" t="s">
        <v>791</v>
      </c>
      <c r="F214" s="444"/>
      <c r="G214" s="444"/>
      <c r="H214" s="444"/>
      <c r="I214" s="444"/>
      <c r="J214" s="444">
        <v>1</v>
      </c>
      <c r="K214" s="444">
        <v>1664</v>
      </c>
      <c r="L214" s="444">
        <v>1</v>
      </c>
      <c r="M214" s="444">
        <v>1664</v>
      </c>
      <c r="N214" s="444"/>
      <c r="O214" s="444"/>
      <c r="P214" s="510"/>
      <c r="Q214" s="445"/>
    </row>
    <row r="215" spans="1:17" ht="14.4" customHeight="1" x14ac:dyDescent="0.3">
      <c r="A215" s="439" t="s">
        <v>852</v>
      </c>
      <c r="B215" s="440" t="s">
        <v>755</v>
      </c>
      <c r="C215" s="440" t="s">
        <v>752</v>
      </c>
      <c r="D215" s="440" t="s">
        <v>792</v>
      </c>
      <c r="E215" s="440" t="s">
        <v>793</v>
      </c>
      <c r="F215" s="444">
        <v>10</v>
      </c>
      <c r="G215" s="444">
        <v>5520</v>
      </c>
      <c r="H215" s="444">
        <v>0.75824175824175821</v>
      </c>
      <c r="I215" s="444">
        <v>552</v>
      </c>
      <c r="J215" s="444">
        <v>13</v>
      </c>
      <c r="K215" s="444">
        <v>7280</v>
      </c>
      <c r="L215" s="444">
        <v>1</v>
      </c>
      <c r="M215" s="444">
        <v>560</v>
      </c>
      <c r="N215" s="444">
        <v>6</v>
      </c>
      <c r="O215" s="444">
        <v>3360</v>
      </c>
      <c r="P215" s="510">
        <v>0.46153846153846156</v>
      </c>
      <c r="Q215" s="445">
        <v>560</v>
      </c>
    </row>
    <row r="216" spans="1:17" ht="14.4" customHeight="1" x14ac:dyDescent="0.3">
      <c r="A216" s="439" t="s">
        <v>852</v>
      </c>
      <c r="B216" s="440" t="s">
        <v>755</v>
      </c>
      <c r="C216" s="440" t="s">
        <v>752</v>
      </c>
      <c r="D216" s="440" t="s">
        <v>800</v>
      </c>
      <c r="E216" s="440" t="s">
        <v>801</v>
      </c>
      <c r="F216" s="444"/>
      <c r="G216" s="444"/>
      <c r="H216" s="444"/>
      <c r="I216" s="444"/>
      <c r="J216" s="444">
        <v>7</v>
      </c>
      <c r="K216" s="444">
        <v>3003</v>
      </c>
      <c r="L216" s="444">
        <v>1</v>
      </c>
      <c r="M216" s="444">
        <v>429</v>
      </c>
      <c r="N216" s="444"/>
      <c r="O216" s="444"/>
      <c r="P216" s="510"/>
      <c r="Q216" s="445"/>
    </row>
    <row r="217" spans="1:17" ht="14.4" customHeight="1" thickBot="1" x14ac:dyDescent="0.35">
      <c r="A217" s="446" t="s">
        <v>852</v>
      </c>
      <c r="B217" s="447" t="s">
        <v>755</v>
      </c>
      <c r="C217" s="447" t="s">
        <v>752</v>
      </c>
      <c r="D217" s="447" t="s">
        <v>805</v>
      </c>
      <c r="E217" s="447" t="s">
        <v>806</v>
      </c>
      <c r="F217" s="451">
        <v>1</v>
      </c>
      <c r="G217" s="451">
        <v>1615</v>
      </c>
      <c r="H217" s="451">
        <v>9.7938144329896906E-2</v>
      </c>
      <c r="I217" s="451">
        <v>1615</v>
      </c>
      <c r="J217" s="451">
        <v>10</v>
      </c>
      <c r="K217" s="451">
        <v>16490</v>
      </c>
      <c r="L217" s="451">
        <v>1</v>
      </c>
      <c r="M217" s="451">
        <v>1649</v>
      </c>
      <c r="N217" s="451">
        <v>1</v>
      </c>
      <c r="O217" s="451">
        <v>1649</v>
      </c>
      <c r="P217" s="462">
        <v>0.1</v>
      </c>
      <c r="Q217" s="452">
        <v>1649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324" t="s">
        <v>105</v>
      </c>
      <c r="B1" s="324"/>
      <c r="C1" s="325"/>
      <c r="D1" s="325"/>
      <c r="E1" s="325"/>
    </row>
    <row r="2" spans="1:5" ht="14.4" customHeight="1" thickBot="1" x14ac:dyDescent="0.35">
      <c r="A2" s="203" t="s">
        <v>229</v>
      </c>
      <c r="B2" s="124"/>
    </row>
    <row r="3" spans="1:5" ht="14.4" customHeight="1" thickBot="1" x14ac:dyDescent="0.35">
      <c r="A3" s="127"/>
      <c r="C3" s="128" t="s">
        <v>93</v>
      </c>
      <c r="D3" s="129" t="s">
        <v>59</v>
      </c>
      <c r="E3" s="130" t="s">
        <v>61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13492.511533691406</v>
      </c>
      <c r="D4" s="133">
        <f ca="1">IF(ISERROR(VLOOKUP("Náklady celkem",INDIRECT("HI!$A:$G"),5,0)),0,VLOOKUP("Náklady celkem",INDIRECT("HI!$A:$G"),5,0))</f>
        <v>13956.85743</v>
      </c>
      <c r="E4" s="134">
        <f ca="1">IF(C4=0,0,D4/C4)</f>
        <v>1.0344150824069411</v>
      </c>
    </row>
    <row r="5" spans="1:5" ht="14.4" customHeight="1" x14ac:dyDescent="0.3">
      <c r="A5" s="135" t="s">
        <v>120</v>
      </c>
      <c r="B5" s="136"/>
      <c r="C5" s="137"/>
      <c r="D5" s="137"/>
      <c r="E5" s="138"/>
    </row>
    <row r="6" spans="1:5" ht="14.4" customHeight="1" x14ac:dyDescent="0.3">
      <c r="A6" s="139" t="s">
        <v>125</v>
      </c>
      <c r="B6" s="140"/>
      <c r="C6" s="141"/>
      <c r="D6" s="141"/>
      <c r="E6" s="138"/>
    </row>
    <row r="7" spans="1:5" ht="14.4" customHeight="1" x14ac:dyDescent="0.3">
      <c r="A7" s="2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97</v>
      </c>
      <c r="C7" s="141">
        <f>IF(ISERROR(HI!F5),"",HI!F5)</f>
        <v>5.8333330078124996</v>
      </c>
      <c r="D7" s="141">
        <f>IF(ISERROR(HI!E5),"",HI!E5)</f>
        <v>9.7098699999999987</v>
      </c>
      <c r="E7" s="138">
        <f t="shared" ref="E7:E12" si="0">IF(C7=0,0,D7/C7)</f>
        <v>1.664549235744935</v>
      </c>
    </row>
    <row r="8" spans="1:5" ht="14.4" customHeight="1" x14ac:dyDescent="0.3">
      <c r="A8" s="276" t="str">
        <f>HYPERLINK("#'LŽ Statim'!A1","Podíl statimových žádanek (max. 30%)")</f>
        <v>Podíl statimových žádanek (max. 30%)</v>
      </c>
      <c r="B8" s="274" t="s">
        <v>186</v>
      </c>
      <c r="C8" s="275">
        <v>0.3</v>
      </c>
      <c r="D8" s="275">
        <f>IF('LŽ Statim'!G3="",0,'LŽ Statim'!G3)</f>
        <v>0</v>
      </c>
      <c r="E8" s="138">
        <f>IF(C8=0,0,D8/C8)</f>
        <v>0</v>
      </c>
    </row>
    <row r="9" spans="1:5" ht="14.4" customHeight="1" x14ac:dyDescent="0.3">
      <c r="A9" s="143" t="s">
        <v>121</v>
      </c>
      <c r="B9" s="140"/>
      <c r="C9" s="141"/>
      <c r="D9" s="141"/>
      <c r="E9" s="138"/>
    </row>
    <row r="10" spans="1:5" ht="14.4" customHeight="1" x14ac:dyDescent="0.3">
      <c r="A10" s="143" t="s">
        <v>122</v>
      </c>
      <c r="B10" s="140"/>
      <c r="C10" s="141"/>
      <c r="D10" s="141"/>
      <c r="E10" s="138"/>
    </row>
    <row r="11" spans="1:5" ht="14.4" customHeight="1" x14ac:dyDescent="0.3">
      <c r="A11" s="144" t="s">
        <v>126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97</v>
      </c>
      <c r="C12" s="141">
        <f>IF(ISERROR(HI!F6),"",HI!F6)</f>
        <v>717.49998632812503</v>
      </c>
      <c r="D12" s="141">
        <f>IF(ISERROR(HI!E6),"",HI!E6)</f>
        <v>551.69604000000004</v>
      </c>
      <c r="E12" s="138">
        <f t="shared" si="0"/>
        <v>0.76891435611498393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10973.08334375</v>
      </c>
      <c r="D13" s="137">
        <f ca="1">IF(ISERROR(VLOOKUP("Osobní náklady (Kč) *",INDIRECT("HI!$A:$G"),5,0)),0,VLOOKUP("Osobní náklady (Kč) *",INDIRECT("HI!$A:$G"),5,0))</f>
        <v>11586.689060000001</v>
      </c>
      <c r="E13" s="138">
        <f ca="1">IF(C13=0,0,D13/C13)</f>
        <v>1.055919170303167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11570.861000000001</v>
      </c>
      <c r="D15" s="156">
        <f ca="1">IF(ISERROR(VLOOKUP("Výnosy celkem",INDIRECT("HI!$A:$G"),5,0)),0,VLOOKUP("Výnosy celkem",INDIRECT("HI!$A:$G"),5,0))</f>
        <v>11899.825999999999</v>
      </c>
      <c r="E15" s="157">
        <f t="shared" ref="E15:E20" ca="1" si="1">IF(C15=0,0,D15/C15)</f>
        <v>1.0284304685710077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11570.861000000001</v>
      </c>
      <c r="D16" s="137">
        <f ca="1">IF(ISERROR(VLOOKUP("Ambulance *",INDIRECT("HI!$A:$G"),5,0)),0,VLOOKUP("Ambulance *",INDIRECT("HI!$A:$G"),5,0))</f>
        <v>11899.825999999999</v>
      </c>
      <c r="E16" s="138">
        <f t="shared" ca="1" si="1"/>
        <v>1.0284304685710077</v>
      </c>
    </row>
    <row r="17" spans="1:5" ht="14.4" customHeight="1" x14ac:dyDescent="0.3">
      <c r="A17" s="285" t="str">
        <f>HYPERLINK("#'ZV Vykáz.-A'!A1","Zdravotní výkony vykázané u ambulantních pacientů (min. 100 % 2016)")</f>
        <v>Zdravotní výkony vykázané u ambulantních pacientů (min. 100 % 2016)</v>
      </c>
      <c r="B17" s="286" t="s">
        <v>107</v>
      </c>
      <c r="C17" s="142">
        <v>1</v>
      </c>
      <c r="D17" s="142">
        <f>IF(ISERROR(VLOOKUP("Celkem:",'ZV Vykáz.-A'!$A:$AB,10,0)),"",VLOOKUP("Celkem:",'ZV Vykáz.-A'!$A:$AB,10,0))</f>
        <v>1.0284304685710077</v>
      </c>
      <c r="E17" s="138">
        <f t="shared" si="1"/>
        <v>1.0284304685710077</v>
      </c>
    </row>
    <row r="18" spans="1:5" ht="14.4" customHeight="1" x14ac:dyDescent="0.3">
      <c r="A18" s="284" t="str">
        <f>HYPERLINK("#'ZV Vykáz.-A'!A1","Specializovaná ambulantní péče")</f>
        <v>Specializovaná ambulantní péče</v>
      </c>
      <c r="B18" s="286" t="s">
        <v>107</v>
      </c>
      <c r="C18" s="142">
        <v>1</v>
      </c>
      <c r="D18" s="275">
        <f>IF(ISERROR(VLOOKUP("Specializovaná ambulantní péče",'ZV Vykáz.-A'!$A:$AB,10,0)),"",VLOOKUP("Specializovaná ambulantní péče",'ZV Vykáz.-A'!$A:$AB,10,0))</f>
        <v>1.0444544703887308</v>
      </c>
      <c r="E18" s="138">
        <f t="shared" si="1"/>
        <v>1.0444544703887308</v>
      </c>
    </row>
    <row r="19" spans="1:5" ht="14.4" customHeight="1" x14ac:dyDescent="0.3">
      <c r="A19" s="284" t="str">
        <f>HYPERLINK("#'ZV Vykáz.-A'!A1","Ambulantní péče ve vyjmenovaných odbornostech (§9)")</f>
        <v>Ambulantní péče ve vyjmenovaných odbornostech (§9)</v>
      </c>
      <c r="B19" s="286" t="s">
        <v>107</v>
      </c>
      <c r="C19" s="142">
        <v>1</v>
      </c>
      <c r="D19" s="275">
        <f>IF(ISERROR(VLOOKUP("Ambulantní péče ve vyjmenovaných odbornostech (§9) *",'ZV Vykáz.-A'!$A:$AB,10,0)),"",VLOOKUP("Ambulantní péče ve vyjmenovaných odbornostech (§9) *",'ZV Vykáz.-A'!$A:$AB,10,0))</f>
        <v>0.99074197730251956</v>
      </c>
      <c r="E19" s="138">
        <f>IF(OR(C19=0,D19=""),0,IF(C19="","",D19/C19))</f>
        <v>0.99074197730251956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86" t="s">
        <v>109</v>
      </c>
      <c r="C20" s="142">
        <v>0.85</v>
      </c>
      <c r="D20" s="142">
        <f>IF(ISERROR(VLOOKUP("Celkem:",'ZV Vykáz.-H'!$A:$S,7,0)),"",VLOOKUP("Celkem:",'ZV Vykáz.-H'!$A:$S,7,0))</f>
        <v>1.2514720727350161</v>
      </c>
      <c r="E20" s="138">
        <f t="shared" si="1"/>
        <v>1.4723200855706073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123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124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5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5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35" t="s">
        <v>114</v>
      </c>
      <c r="B1" s="335"/>
      <c r="C1" s="335"/>
      <c r="D1" s="335"/>
      <c r="E1" s="335"/>
      <c r="F1" s="335"/>
      <c r="G1" s="335"/>
      <c r="H1" s="335"/>
      <c r="I1" s="335"/>
      <c r="J1" s="335"/>
    </row>
    <row r="2" spans="1:10" ht="14.4" customHeight="1" thickBot="1" x14ac:dyDescent="0.35">
      <c r="A2" s="203" t="s">
        <v>229</v>
      </c>
      <c r="B2" s="86"/>
      <c r="C2" s="86"/>
      <c r="D2" s="86"/>
      <c r="E2" s="86"/>
      <c r="F2" s="86"/>
    </row>
    <row r="3" spans="1:10" ht="14.4" customHeight="1" x14ac:dyDescent="0.3">
      <c r="A3" s="326"/>
      <c r="B3" s="82">
        <v>2015</v>
      </c>
      <c r="C3" s="40">
        <v>2016</v>
      </c>
      <c r="D3" s="7"/>
      <c r="E3" s="330">
        <v>2017</v>
      </c>
      <c r="F3" s="331"/>
      <c r="G3" s="331"/>
      <c r="H3" s="332"/>
      <c r="I3" s="333">
        <v>2017</v>
      </c>
      <c r="J3" s="334"/>
    </row>
    <row r="4" spans="1:10" ht="14.4" customHeight="1" thickBot="1" x14ac:dyDescent="0.35">
      <c r="A4" s="327"/>
      <c r="B4" s="328" t="s">
        <v>59</v>
      </c>
      <c r="C4" s="329"/>
      <c r="D4" s="7"/>
      <c r="E4" s="103" t="s">
        <v>59</v>
      </c>
      <c r="F4" s="84" t="s">
        <v>60</v>
      </c>
      <c r="G4" s="84" t="s">
        <v>54</v>
      </c>
      <c r="H4" s="85" t="s">
        <v>61</v>
      </c>
      <c r="I4" s="289" t="s">
        <v>220</v>
      </c>
      <c r="J4" s="290" t="s">
        <v>221</v>
      </c>
    </row>
    <row r="5" spans="1:10" ht="14.4" customHeight="1" x14ac:dyDescent="0.3">
      <c r="A5" s="87" t="str">
        <f>HYPERLINK("#'Léky Žádanky'!A1","Léky (Kč)")</f>
        <v>Léky (Kč)</v>
      </c>
      <c r="B5" s="27">
        <v>6.9430399999999999</v>
      </c>
      <c r="C5" s="29">
        <v>1.7242500000000001</v>
      </c>
      <c r="D5" s="8"/>
      <c r="E5" s="92">
        <v>9.7098699999999987</v>
      </c>
      <c r="F5" s="28">
        <v>5.8333330078124996</v>
      </c>
      <c r="G5" s="91">
        <f>E5-F5</f>
        <v>3.876536992187499</v>
      </c>
      <c r="H5" s="97">
        <f>IF(F5&lt;0.00000001,"",E5/F5)</f>
        <v>1.664549235744935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468.27265999999992</v>
      </c>
      <c r="C6" s="31">
        <v>574.99828000000002</v>
      </c>
      <c r="D6" s="8"/>
      <c r="E6" s="93">
        <v>551.69604000000004</v>
      </c>
      <c r="F6" s="30">
        <v>717.49998632812503</v>
      </c>
      <c r="G6" s="94">
        <f>E6-F6</f>
        <v>-165.80394632812499</v>
      </c>
      <c r="H6" s="98">
        <f>IF(F6&lt;0.00000001,"",E6/F6)</f>
        <v>0.76891435611498393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10159.91756</v>
      </c>
      <c r="C7" s="31">
        <v>10870.434989999998</v>
      </c>
      <c r="D7" s="8"/>
      <c r="E7" s="93">
        <v>11586.689060000001</v>
      </c>
      <c r="F7" s="30">
        <v>10973.08334375</v>
      </c>
      <c r="G7" s="94">
        <f>E7-F7</f>
        <v>613.60571625000011</v>
      </c>
      <c r="H7" s="98">
        <f>IF(F7&lt;0.00000001,"",E7/F7)</f>
        <v>1.055919170303167</v>
      </c>
    </row>
    <row r="8" spans="1:10" ht="14.4" customHeight="1" thickBot="1" x14ac:dyDescent="0.35">
      <c r="A8" s="1" t="s">
        <v>62</v>
      </c>
      <c r="B8" s="11">
        <v>1605.988409999997</v>
      </c>
      <c r="C8" s="33">
        <v>1729.2551500000034</v>
      </c>
      <c r="D8" s="8"/>
      <c r="E8" s="95">
        <v>1808.7624599999992</v>
      </c>
      <c r="F8" s="32">
        <v>1796.0948706054678</v>
      </c>
      <c r="G8" s="96">
        <f>E8-F8</f>
        <v>12.667589394531433</v>
      </c>
      <c r="H8" s="99">
        <f>IF(F8&lt;0.00000001,"",E8/F8)</f>
        <v>1.0070528509389156</v>
      </c>
    </row>
    <row r="9" spans="1:10" ht="14.4" customHeight="1" thickBot="1" x14ac:dyDescent="0.35">
      <c r="A9" s="2" t="s">
        <v>63</v>
      </c>
      <c r="B9" s="3">
        <v>12241.121669999997</v>
      </c>
      <c r="C9" s="35">
        <v>13176.41267</v>
      </c>
      <c r="D9" s="8"/>
      <c r="E9" s="3">
        <v>13956.85743</v>
      </c>
      <c r="F9" s="34">
        <v>13492.511533691406</v>
      </c>
      <c r="G9" s="34">
        <f>E9-F9</f>
        <v>464.34589630859409</v>
      </c>
      <c r="H9" s="100">
        <f>IF(F9&lt;0.00000001,"",E9/F9)</f>
        <v>1.0344150824069411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11079.359</v>
      </c>
      <c r="C11" s="29">
        <f>IF(ISERROR(VLOOKUP("Celkem:",'ZV Vykáz.-A'!A:H,5,0)),0,VLOOKUP("Celkem:",'ZV Vykáz.-A'!A:H,5,0)/1000)</f>
        <v>11570.861000000001</v>
      </c>
      <c r="D11" s="8"/>
      <c r="E11" s="92">
        <f>IF(ISERROR(VLOOKUP("Celkem:",'ZV Vykáz.-A'!A:H,8,0)),0,VLOOKUP("Celkem:",'ZV Vykáz.-A'!A:H,8,0)/1000)</f>
        <v>11899.825999999999</v>
      </c>
      <c r="F11" s="28">
        <f>C11</f>
        <v>11570.861000000001</v>
      </c>
      <c r="G11" s="91">
        <f>E11-F11</f>
        <v>328.96499999999833</v>
      </c>
      <c r="H11" s="97">
        <f>IF(F11&lt;0.00000001,"",E11/F11)</f>
        <v>1.0284304685710077</v>
      </c>
      <c r="I11" s="91">
        <f>E11-B11</f>
        <v>820.46699999999873</v>
      </c>
      <c r="J11" s="97">
        <f>IF(B11&lt;0.00000001,"",E11/B11)</f>
        <v>1.0740536523818751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11079.359</v>
      </c>
      <c r="C13" s="37">
        <f>SUM(C11:C12)</f>
        <v>11570.861000000001</v>
      </c>
      <c r="D13" s="8"/>
      <c r="E13" s="5">
        <f>SUM(E11:E12)</f>
        <v>11899.825999999999</v>
      </c>
      <c r="F13" s="36">
        <f>SUM(F11:F12)</f>
        <v>11570.861000000001</v>
      </c>
      <c r="G13" s="36">
        <f>E13-F13</f>
        <v>328.96499999999833</v>
      </c>
      <c r="H13" s="101">
        <f>IF(F13&lt;0.00000001,"",E13/F13)</f>
        <v>1.0284304685710077</v>
      </c>
      <c r="I13" s="36">
        <f>SUM(I11:I12)</f>
        <v>820.46699999999873</v>
      </c>
      <c r="J13" s="101">
        <f>IF(B13&lt;0.00000001,"",E13/B13)</f>
        <v>1.0740536523818751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0.90509344639166578</v>
      </c>
      <c r="C15" s="39">
        <f>IF(C9=0,"",C13/C9)</f>
        <v>0.87814956086981766</v>
      </c>
      <c r="D15" s="8"/>
      <c r="E15" s="6">
        <f>IF(E9=0,"",E13/E9)</f>
        <v>0.8526150001662659</v>
      </c>
      <c r="F15" s="38">
        <f>IF(F9=0,"",F13/F9)</f>
        <v>0.85757651354286724</v>
      </c>
      <c r="G15" s="38">
        <f>IF(ISERROR(F15-E15),"",E15-F15)</f>
        <v>-4.9615133766013342E-3</v>
      </c>
      <c r="H15" s="102">
        <f>IF(ISERROR(F15-E15),"",IF(F15&lt;0.00000001,"",E15/F15))</f>
        <v>0.99421449480221413</v>
      </c>
    </row>
    <row r="17" spans="1:8" ht="14.4" customHeight="1" x14ac:dyDescent="0.3">
      <c r="A17" s="88" t="s">
        <v>128</v>
      </c>
    </row>
    <row r="18" spans="1:8" ht="14.4" customHeight="1" x14ac:dyDescent="0.3">
      <c r="A18" s="252" t="s">
        <v>161</v>
      </c>
      <c r="B18" s="253"/>
      <c r="C18" s="253"/>
      <c r="D18" s="253"/>
      <c r="E18" s="253"/>
      <c r="F18" s="253"/>
      <c r="G18" s="253"/>
      <c r="H18" s="253"/>
    </row>
    <row r="19" spans="1:8" x14ac:dyDescent="0.3">
      <c r="A19" s="251" t="s">
        <v>160</v>
      </c>
      <c r="B19" s="253"/>
      <c r="C19" s="253"/>
      <c r="D19" s="253"/>
      <c r="E19" s="253"/>
      <c r="F19" s="253"/>
      <c r="G19" s="253"/>
      <c r="H19" s="253"/>
    </row>
    <row r="20" spans="1:8" ht="14.4" customHeight="1" x14ac:dyDescent="0.3">
      <c r="A20" s="89" t="s">
        <v>187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219</v>
      </c>
    </row>
    <row r="23" spans="1:8" ht="14.4" customHeight="1" x14ac:dyDescent="0.3">
      <c r="A23" s="90" t="s">
        <v>130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324" t="s">
        <v>90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3" ht="14.4" customHeight="1" x14ac:dyDescent="0.3">
      <c r="A2" s="203" t="s">
        <v>229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1.2937063363414574</v>
      </c>
      <c r="C4" s="174">
        <f t="shared" ref="C4:M4" si="0">(C10+C8)/C6</f>
        <v>1.1269060767130055</v>
      </c>
      <c r="D4" s="174">
        <f t="shared" si="0"/>
        <v>1.0659044889231322</v>
      </c>
      <c r="E4" s="174">
        <f t="shared" si="0"/>
        <v>0.98946533703151585</v>
      </c>
      <c r="F4" s="174">
        <f t="shared" si="0"/>
        <v>0.97144339439257854</v>
      </c>
      <c r="G4" s="174">
        <f t="shared" si="0"/>
        <v>0.9300058064384098</v>
      </c>
      <c r="H4" s="174">
        <f t="shared" si="0"/>
        <v>0.8526150001662659</v>
      </c>
      <c r="I4" s="174">
        <f t="shared" si="0"/>
        <v>0.8526150001662659</v>
      </c>
      <c r="J4" s="174">
        <f t="shared" si="0"/>
        <v>0.8526150001662659</v>
      </c>
      <c r="K4" s="174">
        <f t="shared" si="0"/>
        <v>0.8526150001662659</v>
      </c>
      <c r="L4" s="174">
        <f t="shared" si="0"/>
        <v>0.8526150001662659</v>
      </c>
      <c r="M4" s="174">
        <f t="shared" si="0"/>
        <v>0.8526150001662659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1820.6187399999999</v>
      </c>
      <c r="C5" s="174">
        <f>IF(ISERROR(VLOOKUP($A5,'Man Tab'!$A:$Q,COLUMN()+2,0)),0,VLOOKUP($A5,'Man Tab'!$A:$Q,COLUMN()+2,0))</f>
        <v>1786.29144</v>
      </c>
      <c r="D5" s="174">
        <f>IF(ISERROR(VLOOKUP($A5,'Man Tab'!$A:$Q,COLUMN()+2,0)),0,VLOOKUP($A5,'Man Tab'!$A:$Q,COLUMN()+2,0))</f>
        <v>2015.54386</v>
      </c>
      <c r="E5" s="174">
        <f>IF(ISERROR(VLOOKUP($A5,'Man Tab'!$A:$Q,COLUMN()+2,0)),0,VLOOKUP($A5,'Man Tab'!$A:$Q,COLUMN()+2,0))</f>
        <v>1921.65157</v>
      </c>
      <c r="F5" s="174">
        <f>IF(ISERROR(VLOOKUP($A5,'Man Tab'!$A:$Q,COLUMN()+2,0)),0,VLOOKUP($A5,'Man Tab'!$A:$Q,COLUMN()+2,0))</f>
        <v>1881.3854200000001</v>
      </c>
      <c r="G5" s="174">
        <f>IF(ISERROR(VLOOKUP($A5,'Man Tab'!$A:$Q,COLUMN()+2,0)),0,VLOOKUP($A5,'Man Tab'!$A:$Q,COLUMN()+2,0))</f>
        <v>1997.5355</v>
      </c>
      <c r="H5" s="174">
        <f>IF(ISERROR(VLOOKUP($A5,'Man Tab'!$A:$Q,COLUMN()+2,0)),0,VLOOKUP($A5,'Man Tab'!$A:$Q,COLUMN()+2,0))</f>
        <v>2533.8308999999999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1820.6187399999999</v>
      </c>
      <c r="C6" s="176">
        <f t="shared" ref="C6:M6" si="1">C5+B6</f>
        <v>3606.9101799999999</v>
      </c>
      <c r="D6" s="176">
        <f t="shared" si="1"/>
        <v>5622.4540399999996</v>
      </c>
      <c r="E6" s="176">
        <f t="shared" si="1"/>
        <v>7544.1056099999996</v>
      </c>
      <c r="F6" s="176">
        <f t="shared" si="1"/>
        <v>9425.4910299999992</v>
      </c>
      <c r="G6" s="176">
        <f t="shared" si="1"/>
        <v>11423.026529999999</v>
      </c>
      <c r="H6" s="176">
        <f t="shared" si="1"/>
        <v>13956.85743</v>
      </c>
      <c r="I6" s="176">
        <f t="shared" si="1"/>
        <v>13956.85743</v>
      </c>
      <c r="J6" s="176">
        <f t="shared" si="1"/>
        <v>13956.85743</v>
      </c>
      <c r="K6" s="176">
        <f t="shared" si="1"/>
        <v>13956.85743</v>
      </c>
      <c r="L6" s="176">
        <f t="shared" si="1"/>
        <v>13956.85743</v>
      </c>
      <c r="M6" s="176">
        <f t="shared" si="1"/>
        <v>13956.85743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2355346</v>
      </c>
      <c r="C9" s="175">
        <v>1709303</v>
      </c>
      <c r="D9" s="175">
        <v>1928350</v>
      </c>
      <c r="E9" s="175">
        <v>1471632</v>
      </c>
      <c r="F9" s="175">
        <v>1691700</v>
      </c>
      <c r="G9" s="175">
        <v>1467150</v>
      </c>
      <c r="H9" s="175">
        <v>1276345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2355.346</v>
      </c>
      <c r="C10" s="176">
        <f t="shared" ref="C10:M10" si="3">C9/1000+B10</f>
        <v>4064.6490000000003</v>
      </c>
      <c r="D10" s="176">
        <f t="shared" si="3"/>
        <v>5992.9989999999998</v>
      </c>
      <c r="E10" s="176">
        <f t="shared" si="3"/>
        <v>7464.6309999999994</v>
      </c>
      <c r="F10" s="176">
        <f t="shared" si="3"/>
        <v>9156.3310000000001</v>
      </c>
      <c r="G10" s="176">
        <f t="shared" si="3"/>
        <v>10623.481</v>
      </c>
      <c r="H10" s="176">
        <f t="shared" si="3"/>
        <v>11899.825999999999</v>
      </c>
      <c r="I10" s="176">
        <f t="shared" si="3"/>
        <v>11899.825999999999</v>
      </c>
      <c r="J10" s="176">
        <f t="shared" si="3"/>
        <v>11899.825999999999</v>
      </c>
      <c r="K10" s="176">
        <f t="shared" si="3"/>
        <v>11899.825999999999</v>
      </c>
      <c r="L10" s="176">
        <f t="shared" si="3"/>
        <v>11899.825999999999</v>
      </c>
      <c r="M10" s="176">
        <f t="shared" si="3"/>
        <v>11899.825999999999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8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0.85757651354286724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0.85757651354286724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36" t="s">
        <v>231</v>
      </c>
      <c r="B1" s="336"/>
      <c r="C1" s="336"/>
      <c r="D1" s="336"/>
      <c r="E1" s="336"/>
      <c r="F1" s="336"/>
      <c r="G1" s="336"/>
      <c r="H1" s="324"/>
      <c r="I1" s="324"/>
      <c r="J1" s="324"/>
      <c r="K1" s="324"/>
      <c r="L1" s="324"/>
      <c r="M1" s="324"/>
      <c r="N1" s="324"/>
      <c r="O1" s="324"/>
      <c r="P1" s="324"/>
      <c r="Q1" s="324"/>
    </row>
    <row r="2" spans="1:17" s="177" customFormat="1" ht="14.4" customHeight="1" thickBot="1" x14ac:dyDescent="0.3">
      <c r="A2" s="203" t="s">
        <v>229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37" t="s">
        <v>15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112"/>
      <c r="Q3" s="114"/>
    </row>
    <row r="4" spans="1:17" ht="14.4" customHeight="1" x14ac:dyDescent="0.3">
      <c r="A4" s="61"/>
      <c r="B4" s="20">
        <v>2017</v>
      </c>
      <c r="C4" s="113" t="s">
        <v>16</v>
      </c>
      <c r="D4" s="283" t="s">
        <v>195</v>
      </c>
      <c r="E4" s="283" t="s">
        <v>196</v>
      </c>
      <c r="F4" s="283" t="s">
        <v>197</v>
      </c>
      <c r="G4" s="283" t="s">
        <v>198</v>
      </c>
      <c r="H4" s="283" t="s">
        <v>199</v>
      </c>
      <c r="I4" s="283" t="s">
        <v>200</v>
      </c>
      <c r="J4" s="283" t="s">
        <v>201</v>
      </c>
      <c r="K4" s="283" t="s">
        <v>202</v>
      </c>
      <c r="L4" s="283" t="s">
        <v>203</v>
      </c>
      <c r="M4" s="283" t="s">
        <v>204</v>
      </c>
      <c r="N4" s="283" t="s">
        <v>205</v>
      </c>
      <c r="O4" s="283" t="s">
        <v>206</v>
      </c>
      <c r="P4" s="339" t="s">
        <v>3</v>
      </c>
      <c r="Q4" s="340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230</v>
      </c>
    </row>
    <row r="7" spans="1:17" ht="14.4" customHeight="1" x14ac:dyDescent="0.3">
      <c r="A7" s="15" t="s">
        <v>21</v>
      </c>
      <c r="B7" s="46">
        <v>10</v>
      </c>
      <c r="C7" s="47">
        <v>0.83333333333299997</v>
      </c>
      <c r="D7" s="47">
        <v>0.68969999999999998</v>
      </c>
      <c r="E7" s="47">
        <v>0.71464000000000005</v>
      </c>
      <c r="F7" s="47">
        <v>1.32125</v>
      </c>
      <c r="G7" s="47">
        <v>6.8551900000000003</v>
      </c>
      <c r="H7" s="47">
        <v>5.0549999999999998E-2</v>
      </c>
      <c r="I7" s="47">
        <v>0</v>
      </c>
      <c r="J7" s="47">
        <v>7.8539999999999999E-2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9.7098700000000004</v>
      </c>
      <c r="Q7" s="71">
        <v>1.6645491428570001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230</v>
      </c>
    </row>
    <row r="9" spans="1:17" ht="14.4" customHeight="1" x14ac:dyDescent="0.3">
      <c r="A9" s="15" t="s">
        <v>23</v>
      </c>
      <c r="B9" s="46">
        <v>1230</v>
      </c>
      <c r="C9" s="47">
        <v>102.5</v>
      </c>
      <c r="D9" s="47">
        <v>61.87247</v>
      </c>
      <c r="E9" s="47">
        <v>53.6905</v>
      </c>
      <c r="F9" s="47">
        <v>105.64809</v>
      </c>
      <c r="G9" s="47">
        <v>65.205839999999995</v>
      </c>
      <c r="H9" s="47">
        <v>118.92112</v>
      </c>
      <c r="I9" s="47">
        <v>68.544390000000007</v>
      </c>
      <c r="J9" s="47">
        <v>77.813630000000003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551.69604000000004</v>
      </c>
      <c r="Q9" s="71">
        <v>0.76891434146299997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230</v>
      </c>
    </row>
    <row r="11" spans="1:17" ht="14.4" customHeight="1" x14ac:dyDescent="0.3">
      <c r="A11" s="15" t="s">
        <v>25</v>
      </c>
      <c r="B11" s="46">
        <v>244.09756632445499</v>
      </c>
      <c r="C11" s="47">
        <v>20.341463860371</v>
      </c>
      <c r="D11" s="47">
        <v>17.57835</v>
      </c>
      <c r="E11" s="47">
        <v>12.521380000000001</v>
      </c>
      <c r="F11" s="47">
        <v>22.11382</v>
      </c>
      <c r="G11" s="47">
        <v>12.06794</v>
      </c>
      <c r="H11" s="47">
        <v>15.746969999999999</v>
      </c>
      <c r="I11" s="47">
        <v>18.584890000000001</v>
      </c>
      <c r="J11" s="47">
        <v>20.471109999999999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119.08446000000001</v>
      </c>
      <c r="Q11" s="71">
        <v>0.83632455515699999</v>
      </c>
    </row>
    <row r="12" spans="1:17" ht="14.4" customHeight="1" x14ac:dyDescent="0.3">
      <c r="A12" s="15" t="s">
        <v>26</v>
      </c>
      <c r="B12" s="46">
        <v>121.097988247101</v>
      </c>
      <c r="C12" s="47">
        <v>10.091499020591</v>
      </c>
      <c r="D12" s="47">
        <v>0</v>
      </c>
      <c r="E12" s="47">
        <v>0</v>
      </c>
      <c r="F12" s="47">
        <v>0</v>
      </c>
      <c r="G12" s="47">
        <v>0.36499999999999999</v>
      </c>
      <c r="H12" s="47">
        <v>0</v>
      </c>
      <c r="I12" s="47">
        <v>1.9430000000000001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2.3079999999999998</v>
      </c>
      <c r="Q12" s="71">
        <v>3.2672478592000002E-2</v>
      </c>
    </row>
    <row r="13" spans="1:17" ht="14.4" customHeight="1" x14ac:dyDescent="0.3">
      <c r="A13" s="15" t="s">
        <v>27</v>
      </c>
      <c r="B13" s="46">
        <v>35</v>
      </c>
      <c r="C13" s="47">
        <v>2.9166666666659999</v>
      </c>
      <c r="D13" s="47">
        <v>1.2596000000000001</v>
      </c>
      <c r="E13" s="47">
        <v>2.2639</v>
      </c>
      <c r="F13" s="47">
        <v>7.5919600000000003</v>
      </c>
      <c r="G13" s="47">
        <v>2.5133000000000001</v>
      </c>
      <c r="H13" s="47">
        <v>3.36531</v>
      </c>
      <c r="I13" s="47">
        <v>5.3248300000000004</v>
      </c>
      <c r="J13" s="47">
        <v>7.01084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29.329740000000001</v>
      </c>
      <c r="Q13" s="71">
        <v>1.4365586938770001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230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230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230</v>
      </c>
    </row>
    <row r="17" spans="1:17" ht="14.4" customHeight="1" x14ac:dyDescent="0.3">
      <c r="A17" s="15" t="s">
        <v>31</v>
      </c>
      <c r="B17" s="46">
        <v>81.70063127057</v>
      </c>
      <c r="C17" s="47">
        <v>6.8083859392140003</v>
      </c>
      <c r="D17" s="47">
        <v>14.3569</v>
      </c>
      <c r="E17" s="47">
        <v>2.105</v>
      </c>
      <c r="F17" s="47">
        <v>5.7673699999999997</v>
      </c>
      <c r="G17" s="47">
        <v>3.1482999999999999</v>
      </c>
      <c r="H17" s="47">
        <v>5.0940000000000003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30.47157</v>
      </c>
      <c r="Q17" s="71">
        <v>0.63937054500599999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3.399</v>
      </c>
      <c r="E18" s="47">
        <v>3.7389999999999999</v>
      </c>
      <c r="F18" s="47">
        <v>2.1579999999999999</v>
      </c>
      <c r="G18" s="47">
        <v>6.9589999999999996</v>
      </c>
      <c r="H18" s="47">
        <v>6.7489999999999997</v>
      </c>
      <c r="I18" s="47">
        <v>6.6870000000000003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29.690999999999999</v>
      </c>
      <c r="Q18" s="71" t="s">
        <v>230</v>
      </c>
    </row>
    <row r="19" spans="1:17" ht="14.4" customHeight="1" x14ac:dyDescent="0.3">
      <c r="A19" s="15" t="s">
        <v>33</v>
      </c>
      <c r="B19" s="46">
        <v>613.12345707443205</v>
      </c>
      <c r="C19" s="47">
        <v>51.093621422868999</v>
      </c>
      <c r="D19" s="47">
        <v>61.324179999999998</v>
      </c>
      <c r="E19" s="47">
        <v>39.450690000000002</v>
      </c>
      <c r="F19" s="47">
        <v>58.415579999999999</v>
      </c>
      <c r="G19" s="47">
        <v>91.514679999999998</v>
      </c>
      <c r="H19" s="47">
        <v>18.762029999999999</v>
      </c>
      <c r="I19" s="47">
        <v>122.04210999999999</v>
      </c>
      <c r="J19" s="47">
        <v>41.523269999999997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433.03253999999998</v>
      </c>
      <c r="Q19" s="71">
        <v>1.210753704784</v>
      </c>
    </row>
    <row r="20" spans="1:17" ht="14.4" customHeight="1" x14ac:dyDescent="0.3">
      <c r="A20" s="15" t="s">
        <v>34</v>
      </c>
      <c r="B20" s="46">
        <v>18811</v>
      </c>
      <c r="C20" s="47">
        <v>1567.5833333333301</v>
      </c>
      <c r="D20" s="47">
        <v>1515.6014399999999</v>
      </c>
      <c r="E20" s="47">
        <v>1520.0193300000001</v>
      </c>
      <c r="F20" s="47">
        <v>1657.8681200000001</v>
      </c>
      <c r="G20" s="47">
        <v>1578.48514</v>
      </c>
      <c r="H20" s="47">
        <v>1552.94424</v>
      </c>
      <c r="I20" s="47">
        <v>1580.2812799999999</v>
      </c>
      <c r="J20" s="47">
        <v>2181.4895099999999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11586.689060000001</v>
      </c>
      <c r="Q20" s="71">
        <v>1.055919171305</v>
      </c>
    </row>
    <row r="21" spans="1:17" ht="14.4" customHeight="1" x14ac:dyDescent="0.3">
      <c r="A21" s="16" t="s">
        <v>35</v>
      </c>
      <c r="B21" s="46">
        <v>1984</v>
      </c>
      <c r="C21" s="47">
        <v>165.333333333334</v>
      </c>
      <c r="D21" s="47">
        <v>144.53700000000001</v>
      </c>
      <c r="E21" s="47">
        <v>144.53700000000001</v>
      </c>
      <c r="F21" s="47">
        <v>144.53700000000001</v>
      </c>
      <c r="G21" s="47">
        <v>144.53700000000001</v>
      </c>
      <c r="H21" s="47">
        <v>144.53700000000001</v>
      </c>
      <c r="I21" s="47">
        <v>186.09399999999999</v>
      </c>
      <c r="J21" s="47">
        <v>186.09399999999999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1094.873</v>
      </c>
      <c r="Q21" s="71">
        <v>0.94603081797199995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230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230</v>
      </c>
    </row>
    <row r="24" spans="1:17" ht="14.4" customHeight="1" x14ac:dyDescent="0.3">
      <c r="A24" s="16" t="s">
        <v>38</v>
      </c>
      <c r="B24" s="46">
        <v>3.6379788070917101E-12</v>
      </c>
      <c r="C24" s="47">
        <v>4.5474735088646402E-13</v>
      </c>
      <c r="D24" s="47">
        <v>9.9999999974897906E-5</v>
      </c>
      <c r="E24" s="47">
        <v>7.25</v>
      </c>
      <c r="F24" s="47">
        <v>10.122669999999999</v>
      </c>
      <c r="G24" s="47">
        <v>10.00018</v>
      </c>
      <c r="H24" s="47">
        <v>15.215199999999999</v>
      </c>
      <c r="I24" s="47">
        <v>8.0339999999990006</v>
      </c>
      <c r="J24" s="47">
        <v>19.349999999999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69.972149999999004</v>
      </c>
      <c r="Q24" s="71"/>
    </row>
    <row r="25" spans="1:17" ht="14.4" customHeight="1" x14ac:dyDescent="0.3">
      <c r="A25" s="17" t="s">
        <v>39</v>
      </c>
      <c r="B25" s="49">
        <v>23130.019642916599</v>
      </c>
      <c r="C25" s="50">
        <v>1927.50163690971</v>
      </c>
      <c r="D25" s="50">
        <v>1820.6187399999999</v>
      </c>
      <c r="E25" s="50">
        <v>1786.29144</v>
      </c>
      <c r="F25" s="50">
        <v>2015.54386</v>
      </c>
      <c r="G25" s="50">
        <v>1921.65157</v>
      </c>
      <c r="H25" s="50">
        <v>1881.3854200000001</v>
      </c>
      <c r="I25" s="50">
        <v>1997.5355</v>
      </c>
      <c r="J25" s="50">
        <v>2533.8308999999999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13956.85743</v>
      </c>
      <c r="Q25" s="72">
        <v>1.0344150881809999</v>
      </c>
    </row>
    <row r="26" spans="1:17" ht="14.4" customHeight="1" x14ac:dyDescent="0.3">
      <c r="A26" s="15" t="s">
        <v>40</v>
      </c>
      <c r="B26" s="46">
        <v>2938.7413152672302</v>
      </c>
      <c r="C26" s="47">
        <v>244.89510960560199</v>
      </c>
      <c r="D26" s="47">
        <v>208.41156000000001</v>
      </c>
      <c r="E26" s="47">
        <v>202.82026999999999</v>
      </c>
      <c r="F26" s="47">
        <v>268.19193000000001</v>
      </c>
      <c r="G26" s="47">
        <v>241.23904999999999</v>
      </c>
      <c r="H26" s="47">
        <v>250.33611999999999</v>
      </c>
      <c r="I26" s="47">
        <v>277.11926</v>
      </c>
      <c r="J26" s="47">
        <v>298.93504999999999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1747.05324</v>
      </c>
      <c r="Q26" s="71">
        <v>1.0191262483250001</v>
      </c>
    </row>
    <row r="27" spans="1:17" ht="14.4" customHeight="1" x14ac:dyDescent="0.3">
      <c r="A27" s="18" t="s">
        <v>41</v>
      </c>
      <c r="B27" s="49">
        <v>26068.760958183801</v>
      </c>
      <c r="C27" s="50">
        <v>2172.39674651532</v>
      </c>
      <c r="D27" s="50">
        <v>2029.0302999999999</v>
      </c>
      <c r="E27" s="50">
        <v>1989.1117099999999</v>
      </c>
      <c r="F27" s="50">
        <v>2283.7357900000002</v>
      </c>
      <c r="G27" s="50">
        <v>2162.8906200000001</v>
      </c>
      <c r="H27" s="50">
        <v>2131.72154</v>
      </c>
      <c r="I27" s="50">
        <v>2274.6547599999999</v>
      </c>
      <c r="J27" s="50">
        <v>2832.76595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15703.910669999999</v>
      </c>
      <c r="Q27" s="72">
        <v>1.0326915714630001</v>
      </c>
    </row>
    <row r="28" spans="1:17" ht="14.4" customHeight="1" x14ac:dyDescent="0.3">
      <c r="A28" s="16" t="s">
        <v>42</v>
      </c>
      <c r="B28" s="46">
        <v>1194</v>
      </c>
      <c r="C28" s="47">
        <v>99.5</v>
      </c>
      <c r="D28" s="47">
        <v>111.49334</v>
      </c>
      <c r="E28" s="47">
        <v>102.82769999999999</v>
      </c>
      <c r="F28" s="47">
        <v>102.1375</v>
      </c>
      <c r="G28" s="47">
        <v>73.480530000000002</v>
      </c>
      <c r="H28" s="47">
        <v>125.01679</v>
      </c>
      <c r="I28" s="47">
        <v>117.76244</v>
      </c>
      <c r="J28" s="47">
        <v>81.723759999999999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714.44205999999997</v>
      </c>
      <c r="Q28" s="71">
        <v>1.0257603158649999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230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230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128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207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36" t="s">
        <v>47</v>
      </c>
      <c r="B1" s="336"/>
      <c r="C1" s="336"/>
      <c r="D1" s="336"/>
      <c r="E1" s="336"/>
      <c r="F1" s="336"/>
      <c r="G1" s="336"/>
      <c r="H1" s="341"/>
      <c r="I1" s="341"/>
      <c r="J1" s="341"/>
      <c r="K1" s="341"/>
    </row>
    <row r="2" spans="1:11" s="55" customFormat="1" ht="14.4" customHeight="1" thickBot="1" x14ac:dyDescent="0.35">
      <c r="A2" s="203" t="s">
        <v>229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37" t="s">
        <v>48</v>
      </c>
      <c r="C3" s="338"/>
      <c r="D3" s="338"/>
      <c r="E3" s="338"/>
      <c r="F3" s="344" t="s">
        <v>49</v>
      </c>
      <c r="G3" s="338"/>
      <c r="H3" s="338"/>
      <c r="I3" s="338"/>
      <c r="J3" s="338"/>
      <c r="K3" s="345"/>
    </row>
    <row r="4" spans="1:11" ht="14.4" customHeight="1" x14ac:dyDescent="0.3">
      <c r="A4" s="61"/>
      <c r="B4" s="342"/>
      <c r="C4" s="343"/>
      <c r="D4" s="343"/>
      <c r="E4" s="343"/>
      <c r="F4" s="346" t="s">
        <v>208</v>
      </c>
      <c r="G4" s="348" t="s">
        <v>50</v>
      </c>
      <c r="H4" s="115" t="s">
        <v>118</v>
      </c>
      <c r="I4" s="346" t="s">
        <v>51</v>
      </c>
      <c r="J4" s="348" t="s">
        <v>215</v>
      </c>
      <c r="K4" s="349" t="s">
        <v>209</v>
      </c>
    </row>
    <row r="5" spans="1:11" ht="42" thickBot="1" x14ac:dyDescent="0.35">
      <c r="A5" s="62"/>
      <c r="B5" s="24" t="s">
        <v>211</v>
      </c>
      <c r="C5" s="25" t="s">
        <v>212</v>
      </c>
      <c r="D5" s="26" t="s">
        <v>213</v>
      </c>
      <c r="E5" s="26" t="s">
        <v>214</v>
      </c>
      <c r="F5" s="347"/>
      <c r="G5" s="347"/>
      <c r="H5" s="25" t="s">
        <v>210</v>
      </c>
      <c r="I5" s="347"/>
      <c r="J5" s="347"/>
      <c r="K5" s="350"/>
    </row>
    <row r="6" spans="1:11" ht="14.4" customHeight="1" thickBot="1" x14ac:dyDescent="0.35">
      <c r="A6" s="411" t="s">
        <v>232</v>
      </c>
      <c r="B6" s="393">
        <v>21283.313730800201</v>
      </c>
      <c r="C6" s="393">
        <v>23805.409650000001</v>
      </c>
      <c r="D6" s="394">
        <v>2522.0959191997999</v>
      </c>
      <c r="E6" s="395">
        <v>1.1185010920330001</v>
      </c>
      <c r="F6" s="393">
        <v>23130.019642916599</v>
      </c>
      <c r="G6" s="394">
        <v>13492.511458368001</v>
      </c>
      <c r="H6" s="396">
        <v>2533.8308999999999</v>
      </c>
      <c r="I6" s="393">
        <v>13956.85743</v>
      </c>
      <c r="J6" s="394">
        <v>464.34597163200499</v>
      </c>
      <c r="K6" s="397">
        <v>0.603408801439</v>
      </c>
    </row>
    <row r="7" spans="1:11" ht="14.4" customHeight="1" thickBot="1" x14ac:dyDescent="0.35">
      <c r="A7" s="412" t="s">
        <v>233</v>
      </c>
      <c r="B7" s="393">
        <v>1784.63697768824</v>
      </c>
      <c r="C7" s="393">
        <v>1688.3403900000001</v>
      </c>
      <c r="D7" s="394">
        <v>-96.296587688236997</v>
      </c>
      <c r="E7" s="395">
        <v>0.94604135805</v>
      </c>
      <c r="F7" s="393">
        <v>1640.19555457156</v>
      </c>
      <c r="G7" s="394">
        <v>956.780740166741</v>
      </c>
      <c r="H7" s="396">
        <v>105.37412</v>
      </c>
      <c r="I7" s="393">
        <v>712.67228</v>
      </c>
      <c r="J7" s="394">
        <v>-244.108460166741</v>
      </c>
      <c r="K7" s="397">
        <v>0.434504457723</v>
      </c>
    </row>
    <row r="8" spans="1:11" ht="14.4" customHeight="1" thickBot="1" x14ac:dyDescent="0.35">
      <c r="A8" s="413" t="s">
        <v>234</v>
      </c>
      <c r="B8" s="393">
        <v>1784.63697768824</v>
      </c>
      <c r="C8" s="393">
        <v>1688.3403900000001</v>
      </c>
      <c r="D8" s="394">
        <v>-96.296587688236997</v>
      </c>
      <c r="E8" s="395">
        <v>0.94604135805</v>
      </c>
      <c r="F8" s="393">
        <v>1640.19555457156</v>
      </c>
      <c r="G8" s="394">
        <v>956.780740166741</v>
      </c>
      <c r="H8" s="396">
        <v>105.37412</v>
      </c>
      <c r="I8" s="393">
        <v>712.67228</v>
      </c>
      <c r="J8" s="394">
        <v>-244.108460166741</v>
      </c>
      <c r="K8" s="397">
        <v>0.434504457723</v>
      </c>
    </row>
    <row r="9" spans="1:11" ht="14.4" customHeight="1" thickBot="1" x14ac:dyDescent="0.35">
      <c r="A9" s="414" t="s">
        <v>235</v>
      </c>
      <c r="B9" s="398">
        <v>0</v>
      </c>
      <c r="C9" s="398">
        <v>3.3999999899999997E-4</v>
      </c>
      <c r="D9" s="399">
        <v>3.3999999899999997E-4</v>
      </c>
      <c r="E9" s="400" t="s">
        <v>230</v>
      </c>
      <c r="F9" s="398">
        <v>0</v>
      </c>
      <c r="G9" s="399">
        <v>0</v>
      </c>
      <c r="H9" s="401">
        <v>0</v>
      </c>
      <c r="I9" s="398">
        <v>1.7000000000000001E-4</v>
      </c>
      <c r="J9" s="399">
        <v>1.7000000000000001E-4</v>
      </c>
      <c r="K9" s="402" t="s">
        <v>230</v>
      </c>
    </row>
    <row r="10" spans="1:11" ht="14.4" customHeight="1" thickBot="1" x14ac:dyDescent="0.35">
      <c r="A10" s="415" t="s">
        <v>236</v>
      </c>
      <c r="B10" s="393">
        <v>0</v>
      </c>
      <c r="C10" s="393">
        <v>3.3999999899999997E-4</v>
      </c>
      <c r="D10" s="394">
        <v>3.3999999899999997E-4</v>
      </c>
      <c r="E10" s="403" t="s">
        <v>230</v>
      </c>
      <c r="F10" s="393">
        <v>0</v>
      </c>
      <c r="G10" s="394">
        <v>0</v>
      </c>
      <c r="H10" s="396">
        <v>0</v>
      </c>
      <c r="I10" s="393">
        <v>1.7000000000000001E-4</v>
      </c>
      <c r="J10" s="394">
        <v>1.7000000000000001E-4</v>
      </c>
      <c r="K10" s="404" t="s">
        <v>230</v>
      </c>
    </row>
    <row r="11" spans="1:11" ht="14.4" customHeight="1" thickBot="1" x14ac:dyDescent="0.35">
      <c r="A11" s="414" t="s">
        <v>237</v>
      </c>
      <c r="B11" s="398">
        <v>29.000002618105</v>
      </c>
      <c r="C11" s="398">
        <v>7.6551499999999999</v>
      </c>
      <c r="D11" s="399">
        <v>-21.344852618105001</v>
      </c>
      <c r="E11" s="405">
        <v>0.26397066582399997</v>
      </c>
      <c r="F11" s="398">
        <v>10</v>
      </c>
      <c r="G11" s="399">
        <v>5.833333333333</v>
      </c>
      <c r="H11" s="401">
        <v>7.8539999999999999E-2</v>
      </c>
      <c r="I11" s="398">
        <v>9.7098700000000004</v>
      </c>
      <c r="J11" s="399">
        <v>3.8765366666659999</v>
      </c>
      <c r="K11" s="406">
        <v>0.97098700000000004</v>
      </c>
    </row>
    <row r="12" spans="1:11" ht="14.4" customHeight="1" thickBot="1" x14ac:dyDescent="0.35">
      <c r="A12" s="415" t="s">
        <v>238</v>
      </c>
      <c r="B12" s="393">
        <v>29.000002618105</v>
      </c>
      <c r="C12" s="393">
        <v>7.6551499999999999</v>
      </c>
      <c r="D12" s="394">
        <v>-21.344852618105001</v>
      </c>
      <c r="E12" s="395">
        <v>0.26397066582399997</v>
      </c>
      <c r="F12" s="393">
        <v>10</v>
      </c>
      <c r="G12" s="394">
        <v>5.833333333333</v>
      </c>
      <c r="H12" s="396">
        <v>7.8539999999999999E-2</v>
      </c>
      <c r="I12" s="393">
        <v>2.9338700000000002</v>
      </c>
      <c r="J12" s="394">
        <v>-2.8994633333330002</v>
      </c>
      <c r="K12" s="397">
        <v>0.29338700000000001</v>
      </c>
    </row>
    <row r="13" spans="1:11" ht="14.4" customHeight="1" thickBot="1" x14ac:dyDescent="0.35">
      <c r="A13" s="415" t="s">
        <v>239</v>
      </c>
      <c r="B13" s="393">
        <v>0</v>
      </c>
      <c r="C13" s="393">
        <v>0</v>
      </c>
      <c r="D13" s="394">
        <v>0</v>
      </c>
      <c r="E13" s="403" t="s">
        <v>230</v>
      </c>
      <c r="F13" s="393">
        <v>0</v>
      </c>
      <c r="G13" s="394">
        <v>0</v>
      </c>
      <c r="H13" s="396">
        <v>0</v>
      </c>
      <c r="I13" s="393">
        <v>6.7759999999999998</v>
      </c>
      <c r="J13" s="394">
        <v>6.7759999999999998</v>
      </c>
      <c r="K13" s="404" t="s">
        <v>240</v>
      </c>
    </row>
    <row r="14" spans="1:11" ht="14.4" customHeight="1" thickBot="1" x14ac:dyDescent="0.35">
      <c r="A14" s="414" t="s">
        <v>241</v>
      </c>
      <c r="B14" s="398">
        <v>1361.00012287038</v>
      </c>
      <c r="C14" s="398">
        <v>1292.5291299999999</v>
      </c>
      <c r="D14" s="399">
        <v>-68.470992870377003</v>
      </c>
      <c r="E14" s="405">
        <v>0.94969067840599997</v>
      </c>
      <c r="F14" s="398">
        <v>1230</v>
      </c>
      <c r="G14" s="399">
        <v>717.5</v>
      </c>
      <c r="H14" s="401">
        <v>77.813630000000003</v>
      </c>
      <c r="I14" s="398">
        <v>551.69604000000004</v>
      </c>
      <c r="J14" s="399">
        <v>-165.80395999999999</v>
      </c>
      <c r="K14" s="406">
        <v>0.44853336585300002</v>
      </c>
    </row>
    <row r="15" spans="1:11" ht="14.4" customHeight="1" thickBot="1" x14ac:dyDescent="0.35">
      <c r="A15" s="415" t="s">
        <v>242</v>
      </c>
      <c r="B15" s="393">
        <v>900.00008125153602</v>
      </c>
      <c r="C15" s="393">
        <v>868.87531000000104</v>
      </c>
      <c r="D15" s="394">
        <v>-31.124771251535002</v>
      </c>
      <c r="E15" s="395">
        <v>0.96541692395300005</v>
      </c>
      <c r="F15" s="393">
        <v>800</v>
      </c>
      <c r="G15" s="394">
        <v>466.66666666666703</v>
      </c>
      <c r="H15" s="396">
        <v>29.30378</v>
      </c>
      <c r="I15" s="393">
        <v>323.33629000000002</v>
      </c>
      <c r="J15" s="394">
        <v>-143.33037666666701</v>
      </c>
      <c r="K15" s="397">
        <v>0.40417036249999999</v>
      </c>
    </row>
    <row r="16" spans="1:11" ht="14.4" customHeight="1" thickBot="1" x14ac:dyDescent="0.35">
      <c r="A16" s="415" t="s">
        <v>243</v>
      </c>
      <c r="B16" s="393">
        <v>80.000007222357993</v>
      </c>
      <c r="C16" s="393">
        <v>149.10729000000001</v>
      </c>
      <c r="D16" s="394">
        <v>69.107282777641004</v>
      </c>
      <c r="E16" s="395">
        <v>1.8638409567330001</v>
      </c>
      <c r="F16" s="393">
        <v>150</v>
      </c>
      <c r="G16" s="394">
        <v>87.5</v>
      </c>
      <c r="H16" s="396">
        <v>6.23271</v>
      </c>
      <c r="I16" s="393">
        <v>69.328720000000004</v>
      </c>
      <c r="J16" s="394">
        <v>-18.171279999999999</v>
      </c>
      <c r="K16" s="397">
        <v>0.46219146666599997</v>
      </c>
    </row>
    <row r="17" spans="1:11" ht="14.4" customHeight="1" thickBot="1" x14ac:dyDescent="0.35">
      <c r="A17" s="415" t="s">
        <v>244</v>
      </c>
      <c r="B17" s="393">
        <v>36.000003250060999</v>
      </c>
      <c r="C17" s="393">
        <v>30.69979</v>
      </c>
      <c r="D17" s="394">
        <v>-5.3002132500609997</v>
      </c>
      <c r="E17" s="395">
        <v>0.85277186745599998</v>
      </c>
      <c r="F17" s="393">
        <v>30</v>
      </c>
      <c r="G17" s="394">
        <v>17.5</v>
      </c>
      <c r="H17" s="396">
        <v>2.6598000000000002</v>
      </c>
      <c r="I17" s="393">
        <v>26.825040000000001</v>
      </c>
      <c r="J17" s="394">
        <v>9.3250399999999996</v>
      </c>
      <c r="K17" s="397">
        <v>0.89416799999999996</v>
      </c>
    </row>
    <row r="18" spans="1:11" ht="14.4" customHeight="1" thickBot="1" x14ac:dyDescent="0.35">
      <c r="A18" s="415" t="s">
        <v>245</v>
      </c>
      <c r="B18" s="393">
        <v>300.000027083845</v>
      </c>
      <c r="C18" s="393">
        <v>196.72647000000001</v>
      </c>
      <c r="D18" s="394">
        <v>-103.27355708384501</v>
      </c>
      <c r="E18" s="395">
        <v>0.65575484079799995</v>
      </c>
      <c r="F18" s="393">
        <v>200</v>
      </c>
      <c r="G18" s="394">
        <v>116.666666666667</v>
      </c>
      <c r="H18" s="396">
        <v>35.129190000000001</v>
      </c>
      <c r="I18" s="393">
        <v>97.881929999999997</v>
      </c>
      <c r="J18" s="394">
        <v>-18.784736666665999</v>
      </c>
      <c r="K18" s="397">
        <v>0.48940964999999997</v>
      </c>
    </row>
    <row r="19" spans="1:11" ht="14.4" customHeight="1" thickBot="1" x14ac:dyDescent="0.35">
      <c r="A19" s="415" t="s">
        <v>246</v>
      </c>
      <c r="B19" s="393">
        <v>0</v>
      </c>
      <c r="C19" s="393">
        <v>0.48499999999999999</v>
      </c>
      <c r="D19" s="394">
        <v>0.48499999999999999</v>
      </c>
      <c r="E19" s="403" t="s">
        <v>230</v>
      </c>
      <c r="F19" s="393">
        <v>0</v>
      </c>
      <c r="G19" s="394">
        <v>0</v>
      </c>
      <c r="H19" s="396">
        <v>0</v>
      </c>
      <c r="I19" s="393">
        <v>0.27500000000000002</v>
      </c>
      <c r="J19" s="394">
        <v>0.27500000000000002</v>
      </c>
      <c r="K19" s="404" t="s">
        <v>230</v>
      </c>
    </row>
    <row r="20" spans="1:11" ht="14.4" customHeight="1" thickBot="1" x14ac:dyDescent="0.35">
      <c r="A20" s="415" t="s">
        <v>247</v>
      </c>
      <c r="B20" s="393">
        <v>45.000004062575996</v>
      </c>
      <c r="C20" s="393">
        <v>46.082059999999998</v>
      </c>
      <c r="D20" s="394">
        <v>1.0820559374230001</v>
      </c>
      <c r="E20" s="395">
        <v>1.0240456853269999</v>
      </c>
      <c r="F20" s="393">
        <v>50</v>
      </c>
      <c r="G20" s="394">
        <v>29.166666666666</v>
      </c>
      <c r="H20" s="396">
        <v>4.4881500000000001</v>
      </c>
      <c r="I20" s="393">
        <v>34.049059999999997</v>
      </c>
      <c r="J20" s="394">
        <v>4.8823933333329999</v>
      </c>
      <c r="K20" s="397">
        <v>0.68098119999999995</v>
      </c>
    </row>
    <row r="21" spans="1:11" ht="14.4" customHeight="1" thickBot="1" x14ac:dyDescent="0.35">
      <c r="A21" s="415" t="s">
        <v>248</v>
      </c>
      <c r="B21" s="393">
        <v>0</v>
      </c>
      <c r="C21" s="393">
        <v>0.55320999999999998</v>
      </c>
      <c r="D21" s="394">
        <v>0.55320999999999998</v>
      </c>
      <c r="E21" s="403" t="s">
        <v>240</v>
      </c>
      <c r="F21" s="393">
        <v>0</v>
      </c>
      <c r="G21" s="394">
        <v>0</v>
      </c>
      <c r="H21" s="396">
        <v>0</v>
      </c>
      <c r="I21" s="393">
        <v>0</v>
      </c>
      <c r="J21" s="394">
        <v>0</v>
      </c>
      <c r="K21" s="404" t="s">
        <v>230</v>
      </c>
    </row>
    <row r="22" spans="1:11" ht="14.4" customHeight="1" thickBot="1" x14ac:dyDescent="0.35">
      <c r="A22" s="414" t="s">
        <v>249</v>
      </c>
      <c r="B22" s="398">
        <v>268.16542325867198</v>
      </c>
      <c r="C22" s="398">
        <v>238.42966999999999</v>
      </c>
      <c r="D22" s="399">
        <v>-29.735753258671998</v>
      </c>
      <c r="E22" s="405">
        <v>0.88911414119900001</v>
      </c>
      <c r="F22" s="398">
        <v>244.09756632445499</v>
      </c>
      <c r="G22" s="399">
        <v>142.390247022599</v>
      </c>
      <c r="H22" s="401">
        <v>20.471109999999999</v>
      </c>
      <c r="I22" s="398">
        <v>119.08446000000001</v>
      </c>
      <c r="J22" s="399">
        <v>-23.305787022598</v>
      </c>
      <c r="K22" s="406">
        <v>0.48785599050799999</v>
      </c>
    </row>
    <row r="23" spans="1:11" ht="14.4" customHeight="1" thickBot="1" x14ac:dyDescent="0.35">
      <c r="A23" s="415" t="s">
        <v>250</v>
      </c>
      <c r="B23" s="393">
        <v>-1.6516558117008901E-15</v>
      </c>
      <c r="C23" s="393">
        <v>-2.2204460492503101E-16</v>
      </c>
      <c r="D23" s="394">
        <v>1.42961120677586E-15</v>
      </c>
      <c r="E23" s="395">
        <v>0.134437576734</v>
      </c>
      <c r="F23" s="393">
        <v>0</v>
      </c>
      <c r="G23" s="394">
        <v>0</v>
      </c>
      <c r="H23" s="396">
        <v>0.06</v>
      </c>
      <c r="I23" s="393">
        <v>1.2095</v>
      </c>
      <c r="J23" s="394">
        <v>1.2095</v>
      </c>
      <c r="K23" s="404" t="s">
        <v>230</v>
      </c>
    </row>
    <row r="24" spans="1:11" ht="14.4" customHeight="1" thickBot="1" x14ac:dyDescent="0.35">
      <c r="A24" s="415" t="s">
        <v>251</v>
      </c>
      <c r="B24" s="393">
        <v>13.155458314963001</v>
      </c>
      <c r="C24" s="393">
        <v>5.7520699999999998</v>
      </c>
      <c r="D24" s="394">
        <v>-7.4033883149630002</v>
      </c>
      <c r="E24" s="395">
        <v>0.43723828256500002</v>
      </c>
      <c r="F24" s="393">
        <v>6</v>
      </c>
      <c r="G24" s="394">
        <v>3.5</v>
      </c>
      <c r="H24" s="396">
        <v>0.58674999999999999</v>
      </c>
      <c r="I24" s="393">
        <v>3.38503</v>
      </c>
      <c r="J24" s="394">
        <v>-0.11497</v>
      </c>
      <c r="K24" s="397">
        <v>0.56417166666600005</v>
      </c>
    </row>
    <row r="25" spans="1:11" ht="14.4" customHeight="1" thickBot="1" x14ac:dyDescent="0.35">
      <c r="A25" s="415" t="s">
        <v>252</v>
      </c>
      <c r="B25" s="393">
        <v>24.005969206056001</v>
      </c>
      <c r="C25" s="393">
        <v>37.225700000000003</v>
      </c>
      <c r="D25" s="394">
        <v>13.219730793943</v>
      </c>
      <c r="E25" s="395">
        <v>1.5506851517</v>
      </c>
      <c r="F25" s="393">
        <v>37.473788317093003</v>
      </c>
      <c r="G25" s="394">
        <v>21.859709851638002</v>
      </c>
      <c r="H25" s="396">
        <v>0</v>
      </c>
      <c r="I25" s="393">
        <v>8.8185599999999997</v>
      </c>
      <c r="J25" s="394">
        <v>-13.041149851638</v>
      </c>
      <c r="K25" s="397">
        <v>0.23532608780700001</v>
      </c>
    </row>
    <row r="26" spans="1:11" ht="14.4" customHeight="1" thickBot="1" x14ac:dyDescent="0.35">
      <c r="A26" s="415" t="s">
        <v>253</v>
      </c>
      <c r="B26" s="393">
        <v>43.543038246305997</v>
      </c>
      <c r="C26" s="393">
        <v>41.454940000000001</v>
      </c>
      <c r="D26" s="394">
        <v>-2.088098246306</v>
      </c>
      <c r="E26" s="395">
        <v>0.95204518723499998</v>
      </c>
      <c r="F26" s="393">
        <v>40</v>
      </c>
      <c r="G26" s="394">
        <v>23.333333333333002</v>
      </c>
      <c r="H26" s="396">
        <v>1.7011700000000001</v>
      </c>
      <c r="I26" s="393">
        <v>22.908930000000002</v>
      </c>
      <c r="J26" s="394">
        <v>-0.42440333333300001</v>
      </c>
      <c r="K26" s="397">
        <v>0.57272325000000002</v>
      </c>
    </row>
    <row r="27" spans="1:11" ht="14.4" customHeight="1" thickBot="1" x14ac:dyDescent="0.35">
      <c r="A27" s="415" t="s">
        <v>254</v>
      </c>
      <c r="B27" s="393">
        <v>4.2929669561999999E-2</v>
      </c>
      <c r="C27" s="393">
        <v>0</v>
      </c>
      <c r="D27" s="394">
        <v>-4.2929669561999999E-2</v>
      </c>
      <c r="E27" s="395">
        <v>0</v>
      </c>
      <c r="F27" s="393">
        <v>0</v>
      </c>
      <c r="G27" s="394">
        <v>0</v>
      </c>
      <c r="H27" s="396">
        <v>0</v>
      </c>
      <c r="I27" s="393">
        <v>2.6619999999999999</v>
      </c>
      <c r="J27" s="394">
        <v>2.6619999999999999</v>
      </c>
      <c r="K27" s="404" t="s">
        <v>240</v>
      </c>
    </row>
    <row r="28" spans="1:11" ht="14.4" customHeight="1" thickBot="1" x14ac:dyDescent="0.35">
      <c r="A28" s="415" t="s">
        <v>255</v>
      </c>
      <c r="B28" s="393">
        <v>0</v>
      </c>
      <c r="C28" s="393">
        <v>1.4930000000000001</v>
      </c>
      <c r="D28" s="394">
        <v>1.4930000000000001</v>
      </c>
      <c r="E28" s="403" t="s">
        <v>230</v>
      </c>
      <c r="F28" s="393">
        <v>0</v>
      </c>
      <c r="G28" s="394">
        <v>0</v>
      </c>
      <c r="H28" s="396">
        <v>0</v>
      </c>
      <c r="I28" s="393">
        <v>0.89580000000000004</v>
      </c>
      <c r="J28" s="394">
        <v>0.89580000000000004</v>
      </c>
      <c r="K28" s="404" t="s">
        <v>230</v>
      </c>
    </row>
    <row r="29" spans="1:11" ht="14.4" customHeight="1" thickBot="1" x14ac:dyDescent="0.35">
      <c r="A29" s="415" t="s">
        <v>256</v>
      </c>
      <c r="B29" s="393">
        <v>17.780185850355998</v>
      </c>
      <c r="C29" s="393">
        <v>21.99372</v>
      </c>
      <c r="D29" s="394">
        <v>4.2135341496430003</v>
      </c>
      <c r="E29" s="395">
        <v>1.236979196117</v>
      </c>
      <c r="F29" s="393">
        <v>30.623778007361</v>
      </c>
      <c r="G29" s="394">
        <v>17.863870504293999</v>
      </c>
      <c r="H29" s="396">
        <v>0.57474999999999998</v>
      </c>
      <c r="I29" s="393">
        <v>8.4037600000000001</v>
      </c>
      <c r="J29" s="394">
        <v>-9.4601105042940006</v>
      </c>
      <c r="K29" s="397">
        <v>0.27441943962499998</v>
      </c>
    </row>
    <row r="30" spans="1:11" ht="14.4" customHeight="1" thickBot="1" x14ac:dyDescent="0.35">
      <c r="A30" s="415" t="s">
        <v>257</v>
      </c>
      <c r="B30" s="393">
        <v>0</v>
      </c>
      <c r="C30" s="393">
        <v>1.6214999999999999</v>
      </c>
      <c r="D30" s="394">
        <v>1.6214999999999999</v>
      </c>
      <c r="E30" s="403" t="s">
        <v>240</v>
      </c>
      <c r="F30" s="393">
        <v>0</v>
      </c>
      <c r="G30" s="394">
        <v>0</v>
      </c>
      <c r="H30" s="396">
        <v>0</v>
      </c>
      <c r="I30" s="393">
        <v>0</v>
      </c>
      <c r="J30" s="394">
        <v>0</v>
      </c>
      <c r="K30" s="404" t="s">
        <v>230</v>
      </c>
    </row>
    <row r="31" spans="1:11" ht="14.4" customHeight="1" thickBot="1" x14ac:dyDescent="0.35">
      <c r="A31" s="415" t="s">
        <v>258</v>
      </c>
      <c r="B31" s="393">
        <v>0</v>
      </c>
      <c r="C31" s="393">
        <v>0</v>
      </c>
      <c r="D31" s="394">
        <v>0</v>
      </c>
      <c r="E31" s="403" t="s">
        <v>230</v>
      </c>
      <c r="F31" s="393">
        <v>0</v>
      </c>
      <c r="G31" s="394">
        <v>0</v>
      </c>
      <c r="H31" s="396">
        <v>0</v>
      </c>
      <c r="I31" s="393">
        <v>2.2919999999999998</v>
      </c>
      <c r="J31" s="394">
        <v>2.2919999999999998</v>
      </c>
      <c r="K31" s="404" t="s">
        <v>240</v>
      </c>
    </row>
    <row r="32" spans="1:11" ht="14.4" customHeight="1" thickBot="1" x14ac:dyDescent="0.35">
      <c r="A32" s="415" t="s">
        <v>259</v>
      </c>
      <c r="B32" s="393">
        <v>64.574267611745995</v>
      </c>
      <c r="C32" s="393">
        <v>72.418040000000005</v>
      </c>
      <c r="D32" s="394">
        <v>7.8437723882529999</v>
      </c>
      <c r="E32" s="395">
        <v>1.1214690104639999</v>
      </c>
      <c r="F32" s="393">
        <v>70</v>
      </c>
      <c r="G32" s="394">
        <v>40.833333333333002</v>
      </c>
      <c r="H32" s="396">
        <v>7.9168399999999997</v>
      </c>
      <c r="I32" s="393">
        <v>31.77328</v>
      </c>
      <c r="J32" s="394">
        <v>-9.0600533333330002</v>
      </c>
      <c r="K32" s="397">
        <v>0.45390399999999997</v>
      </c>
    </row>
    <row r="33" spans="1:11" ht="14.4" customHeight="1" thickBot="1" x14ac:dyDescent="0.35">
      <c r="A33" s="415" t="s">
        <v>260</v>
      </c>
      <c r="B33" s="393">
        <v>105.063574359679</v>
      </c>
      <c r="C33" s="393">
        <v>56.470700000000001</v>
      </c>
      <c r="D33" s="394">
        <v>-48.592874359679001</v>
      </c>
      <c r="E33" s="395">
        <v>0.53749075589799999</v>
      </c>
      <c r="F33" s="393">
        <v>60</v>
      </c>
      <c r="G33" s="394">
        <v>35</v>
      </c>
      <c r="H33" s="396">
        <v>9.6316000000000006</v>
      </c>
      <c r="I33" s="393">
        <v>36.735599999999998</v>
      </c>
      <c r="J33" s="394">
        <v>1.7355999999989999</v>
      </c>
      <c r="K33" s="397">
        <v>0.61225999999900005</v>
      </c>
    </row>
    <row r="34" spans="1:11" ht="14.4" customHeight="1" thickBot="1" x14ac:dyDescent="0.35">
      <c r="A34" s="414" t="s">
        <v>261</v>
      </c>
      <c r="B34" s="398">
        <v>112.36169439323</v>
      </c>
      <c r="C34" s="398">
        <v>117.54712000000001</v>
      </c>
      <c r="D34" s="399">
        <v>5.18542560677</v>
      </c>
      <c r="E34" s="405">
        <v>1.0461494073640001</v>
      </c>
      <c r="F34" s="398">
        <v>121.097988247101</v>
      </c>
      <c r="G34" s="399">
        <v>70.640493144141999</v>
      </c>
      <c r="H34" s="401">
        <v>0</v>
      </c>
      <c r="I34" s="398">
        <v>2.3079999999999998</v>
      </c>
      <c r="J34" s="399">
        <v>-68.332493144142006</v>
      </c>
      <c r="K34" s="406">
        <v>1.9058945845000001E-2</v>
      </c>
    </row>
    <row r="35" spans="1:11" ht="14.4" customHeight="1" thickBot="1" x14ac:dyDescent="0.35">
      <c r="A35" s="415" t="s">
        <v>262</v>
      </c>
      <c r="B35" s="393">
        <v>0</v>
      </c>
      <c r="C35" s="393">
        <v>0</v>
      </c>
      <c r="D35" s="394">
        <v>0</v>
      </c>
      <c r="E35" s="395">
        <v>1</v>
      </c>
      <c r="F35" s="393">
        <v>0</v>
      </c>
      <c r="G35" s="394">
        <v>0</v>
      </c>
      <c r="H35" s="396">
        <v>0</v>
      </c>
      <c r="I35" s="393">
        <v>0.36499999999999999</v>
      </c>
      <c r="J35" s="394">
        <v>0.36499999999999999</v>
      </c>
      <c r="K35" s="404" t="s">
        <v>240</v>
      </c>
    </row>
    <row r="36" spans="1:11" ht="14.4" customHeight="1" thickBot="1" x14ac:dyDescent="0.35">
      <c r="A36" s="415" t="s">
        <v>263</v>
      </c>
      <c r="B36" s="393">
        <v>0</v>
      </c>
      <c r="C36" s="393">
        <v>20.314</v>
      </c>
      <c r="D36" s="394">
        <v>20.314</v>
      </c>
      <c r="E36" s="403" t="s">
        <v>240</v>
      </c>
      <c r="F36" s="393">
        <v>18.145612621403998</v>
      </c>
      <c r="G36" s="394">
        <v>10.584940695819</v>
      </c>
      <c r="H36" s="396">
        <v>0</v>
      </c>
      <c r="I36" s="393">
        <v>0</v>
      </c>
      <c r="J36" s="394">
        <v>-10.584940695819</v>
      </c>
      <c r="K36" s="397">
        <v>0</v>
      </c>
    </row>
    <row r="37" spans="1:11" ht="14.4" customHeight="1" thickBot="1" x14ac:dyDescent="0.35">
      <c r="A37" s="415" t="s">
        <v>264</v>
      </c>
      <c r="B37" s="393">
        <v>112.36169439323</v>
      </c>
      <c r="C37" s="393">
        <v>94.193920000000006</v>
      </c>
      <c r="D37" s="394">
        <v>-18.167774393228999</v>
      </c>
      <c r="E37" s="395">
        <v>0.83830989296299996</v>
      </c>
      <c r="F37" s="393">
        <v>102.95237562569601</v>
      </c>
      <c r="G37" s="394">
        <v>60.055552448321997</v>
      </c>
      <c r="H37" s="396">
        <v>0</v>
      </c>
      <c r="I37" s="393">
        <v>1.9430000000000001</v>
      </c>
      <c r="J37" s="394">
        <v>-58.112552448321999</v>
      </c>
      <c r="K37" s="397">
        <v>1.8872803936E-2</v>
      </c>
    </row>
    <row r="38" spans="1:11" ht="14.4" customHeight="1" thickBot="1" x14ac:dyDescent="0.35">
      <c r="A38" s="415" t="s">
        <v>265</v>
      </c>
      <c r="B38" s="393">
        <v>0</v>
      </c>
      <c r="C38" s="393">
        <v>3.0392000000000001</v>
      </c>
      <c r="D38" s="394">
        <v>3.0392000000000001</v>
      </c>
      <c r="E38" s="403" t="s">
        <v>240</v>
      </c>
      <c r="F38" s="393">
        <v>0</v>
      </c>
      <c r="G38" s="394">
        <v>0</v>
      </c>
      <c r="H38" s="396">
        <v>0</v>
      </c>
      <c r="I38" s="393">
        <v>0</v>
      </c>
      <c r="J38" s="394">
        <v>0</v>
      </c>
      <c r="K38" s="404" t="s">
        <v>230</v>
      </c>
    </row>
    <row r="39" spans="1:11" ht="14.4" customHeight="1" thickBot="1" x14ac:dyDescent="0.35">
      <c r="A39" s="414" t="s">
        <v>266</v>
      </c>
      <c r="B39" s="398">
        <v>14.109734547853</v>
      </c>
      <c r="C39" s="398">
        <v>26.75328</v>
      </c>
      <c r="D39" s="399">
        <v>12.643545452146</v>
      </c>
      <c r="E39" s="405">
        <v>1.896086698815</v>
      </c>
      <c r="F39" s="398">
        <v>35</v>
      </c>
      <c r="G39" s="399">
        <v>20.416666666666</v>
      </c>
      <c r="H39" s="401">
        <v>7.01084</v>
      </c>
      <c r="I39" s="398">
        <v>29.329740000000001</v>
      </c>
      <c r="J39" s="399">
        <v>8.9130733333329992</v>
      </c>
      <c r="K39" s="406">
        <v>0.83799257142799999</v>
      </c>
    </row>
    <row r="40" spans="1:11" ht="14.4" customHeight="1" thickBot="1" x14ac:dyDescent="0.35">
      <c r="A40" s="415" t="s">
        <v>267</v>
      </c>
      <c r="B40" s="393">
        <v>0</v>
      </c>
      <c r="C40" s="393">
        <v>0</v>
      </c>
      <c r="D40" s="394">
        <v>0</v>
      </c>
      <c r="E40" s="395">
        <v>1</v>
      </c>
      <c r="F40" s="393">
        <v>0</v>
      </c>
      <c r="G40" s="394">
        <v>0</v>
      </c>
      <c r="H40" s="396">
        <v>0</v>
      </c>
      <c r="I40" s="393">
        <v>0.80971000000000004</v>
      </c>
      <c r="J40" s="394">
        <v>0.80971000000000004</v>
      </c>
      <c r="K40" s="404" t="s">
        <v>240</v>
      </c>
    </row>
    <row r="41" spans="1:11" ht="14.4" customHeight="1" thickBot="1" x14ac:dyDescent="0.35">
      <c r="A41" s="415" t="s">
        <v>268</v>
      </c>
      <c r="B41" s="393">
        <v>0</v>
      </c>
      <c r="C41" s="393">
        <v>13.39207</v>
      </c>
      <c r="D41" s="394">
        <v>13.39207</v>
      </c>
      <c r="E41" s="403" t="s">
        <v>230</v>
      </c>
      <c r="F41" s="393">
        <v>21</v>
      </c>
      <c r="G41" s="394">
        <v>12.25</v>
      </c>
      <c r="H41" s="396">
        <v>5.6992500000000001</v>
      </c>
      <c r="I41" s="393">
        <v>22.069559999999999</v>
      </c>
      <c r="J41" s="394">
        <v>9.8195599999990009</v>
      </c>
      <c r="K41" s="397">
        <v>1.0509314285710001</v>
      </c>
    </row>
    <row r="42" spans="1:11" ht="14.4" customHeight="1" thickBot="1" x14ac:dyDescent="0.35">
      <c r="A42" s="415" t="s">
        <v>269</v>
      </c>
      <c r="B42" s="393">
        <v>0.41976352313499998</v>
      </c>
      <c r="C42" s="393">
        <v>0</v>
      </c>
      <c r="D42" s="394">
        <v>-0.41976352313499998</v>
      </c>
      <c r="E42" s="395">
        <v>0</v>
      </c>
      <c r="F42" s="393">
        <v>0</v>
      </c>
      <c r="G42" s="394">
        <v>0</v>
      </c>
      <c r="H42" s="396">
        <v>0</v>
      </c>
      <c r="I42" s="393">
        <v>0</v>
      </c>
      <c r="J42" s="394">
        <v>0</v>
      </c>
      <c r="K42" s="397">
        <v>0</v>
      </c>
    </row>
    <row r="43" spans="1:11" ht="14.4" customHeight="1" thickBot="1" x14ac:dyDescent="0.35">
      <c r="A43" s="415" t="s">
        <v>270</v>
      </c>
      <c r="B43" s="393">
        <v>9.8538645470940001</v>
      </c>
      <c r="C43" s="393">
        <v>10.05561</v>
      </c>
      <c r="D43" s="394">
        <v>0.20174545290500001</v>
      </c>
      <c r="E43" s="395">
        <v>1.0204737392050001</v>
      </c>
      <c r="F43" s="393">
        <v>10</v>
      </c>
      <c r="G43" s="394">
        <v>5.833333333333</v>
      </c>
      <c r="H43" s="396">
        <v>0.43558999999999998</v>
      </c>
      <c r="I43" s="393">
        <v>5.1364700000000001</v>
      </c>
      <c r="J43" s="394">
        <v>-0.69686333333299999</v>
      </c>
      <c r="K43" s="397">
        <v>0.51364699999999996</v>
      </c>
    </row>
    <row r="44" spans="1:11" ht="14.4" customHeight="1" thickBot="1" x14ac:dyDescent="0.35">
      <c r="A44" s="415" t="s">
        <v>271</v>
      </c>
      <c r="B44" s="393">
        <v>3.8361064776229998</v>
      </c>
      <c r="C44" s="393">
        <v>3.3056000000000001</v>
      </c>
      <c r="D44" s="394">
        <v>-0.53050647762299996</v>
      </c>
      <c r="E44" s="395">
        <v>0.86170705095900002</v>
      </c>
      <c r="F44" s="393">
        <v>4</v>
      </c>
      <c r="G44" s="394">
        <v>2.333333333333</v>
      </c>
      <c r="H44" s="396">
        <v>0.876</v>
      </c>
      <c r="I44" s="393">
        <v>1.3140000000000001</v>
      </c>
      <c r="J44" s="394">
        <v>-1.0193333333329999</v>
      </c>
      <c r="K44" s="397">
        <v>0.32850000000000001</v>
      </c>
    </row>
    <row r="45" spans="1:11" ht="14.4" customHeight="1" thickBot="1" x14ac:dyDescent="0.35">
      <c r="A45" s="414" t="s">
        <v>272</v>
      </c>
      <c r="B45" s="398">
        <v>0</v>
      </c>
      <c r="C45" s="398">
        <v>0</v>
      </c>
      <c r="D45" s="399">
        <v>0</v>
      </c>
      <c r="E45" s="405">
        <v>1</v>
      </c>
      <c r="F45" s="398">
        <v>0</v>
      </c>
      <c r="G45" s="399">
        <v>0</v>
      </c>
      <c r="H45" s="401">
        <v>0</v>
      </c>
      <c r="I45" s="398">
        <v>0.54400000000000004</v>
      </c>
      <c r="J45" s="399">
        <v>0.54400000000000004</v>
      </c>
      <c r="K45" s="402" t="s">
        <v>240</v>
      </c>
    </row>
    <row r="46" spans="1:11" ht="14.4" customHeight="1" thickBot="1" x14ac:dyDescent="0.35">
      <c r="A46" s="415" t="s">
        <v>273</v>
      </c>
      <c r="B46" s="393">
        <v>0</v>
      </c>
      <c r="C46" s="393">
        <v>0</v>
      </c>
      <c r="D46" s="394">
        <v>0</v>
      </c>
      <c r="E46" s="395">
        <v>1</v>
      </c>
      <c r="F46" s="393">
        <v>0</v>
      </c>
      <c r="G46" s="394">
        <v>0</v>
      </c>
      <c r="H46" s="396">
        <v>0</v>
      </c>
      <c r="I46" s="393">
        <v>0.54400000000000004</v>
      </c>
      <c r="J46" s="394">
        <v>0.54400000000000004</v>
      </c>
      <c r="K46" s="404" t="s">
        <v>240</v>
      </c>
    </row>
    <row r="47" spans="1:11" ht="14.4" customHeight="1" thickBot="1" x14ac:dyDescent="0.35">
      <c r="A47" s="414" t="s">
        <v>274</v>
      </c>
      <c r="B47" s="398">
        <v>0</v>
      </c>
      <c r="C47" s="398">
        <v>5.4257</v>
      </c>
      <c r="D47" s="399">
        <v>5.4257</v>
      </c>
      <c r="E47" s="400" t="s">
        <v>240</v>
      </c>
      <c r="F47" s="398">
        <v>0</v>
      </c>
      <c r="G47" s="399">
        <v>0</v>
      </c>
      <c r="H47" s="401">
        <v>0</v>
      </c>
      <c r="I47" s="398">
        <v>0</v>
      </c>
      <c r="J47" s="399">
        <v>0</v>
      </c>
      <c r="K47" s="402" t="s">
        <v>230</v>
      </c>
    </row>
    <row r="48" spans="1:11" ht="14.4" customHeight="1" thickBot="1" x14ac:dyDescent="0.35">
      <c r="A48" s="415" t="s">
        <v>275</v>
      </c>
      <c r="B48" s="393">
        <v>0</v>
      </c>
      <c r="C48" s="393">
        <v>5.4257</v>
      </c>
      <c r="D48" s="394">
        <v>5.4257</v>
      </c>
      <c r="E48" s="403" t="s">
        <v>240</v>
      </c>
      <c r="F48" s="393">
        <v>0</v>
      </c>
      <c r="G48" s="394">
        <v>0</v>
      </c>
      <c r="H48" s="396">
        <v>0</v>
      </c>
      <c r="I48" s="393">
        <v>0</v>
      </c>
      <c r="J48" s="394">
        <v>0</v>
      </c>
      <c r="K48" s="404" t="s">
        <v>230</v>
      </c>
    </row>
    <row r="49" spans="1:11" ht="14.4" customHeight="1" thickBot="1" x14ac:dyDescent="0.35">
      <c r="A49" s="416" t="s">
        <v>276</v>
      </c>
      <c r="B49" s="398">
        <v>595.67119884711497</v>
      </c>
      <c r="C49" s="398">
        <v>965.06128000000103</v>
      </c>
      <c r="D49" s="399">
        <v>369.39008115288601</v>
      </c>
      <c r="E49" s="405">
        <v>1.620124125302</v>
      </c>
      <c r="F49" s="398">
        <v>694.824088345002</v>
      </c>
      <c r="G49" s="399">
        <v>405.31405153458502</v>
      </c>
      <c r="H49" s="401">
        <v>41.523269999999997</v>
      </c>
      <c r="I49" s="398">
        <v>493.19511</v>
      </c>
      <c r="J49" s="399">
        <v>87.881058465414995</v>
      </c>
      <c r="K49" s="406">
        <v>0.70981291275400005</v>
      </c>
    </row>
    <row r="50" spans="1:11" ht="14.4" customHeight="1" thickBot="1" x14ac:dyDescent="0.35">
      <c r="A50" s="413" t="s">
        <v>31</v>
      </c>
      <c r="B50" s="393">
        <v>133.88864348784</v>
      </c>
      <c r="C50" s="393">
        <v>103.74714</v>
      </c>
      <c r="D50" s="394">
        <v>-30.141503487839</v>
      </c>
      <c r="E50" s="395">
        <v>0.77487632481199997</v>
      </c>
      <c r="F50" s="393">
        <v>81.70063127057</v>
      </c>
      <c r="G50" s="394">
        <v>47.658701574498998</v>
      </c>
      <c r="H50" s="396">
        <v>0</v>
      </c>
      <c r="I50" s="393">
        <v>30.47157</v>
      </c>
      <c r="J50" s="394">
        <v>-17.187131574498999</v>
      </c>
      <c r="K50" s="397">
        <v>0.37296615125299998</v>
      </c>
    </row>
    <row r="51" spans="1:11" ht="14.4" customHeight="1" thickBot="1" x14ac:dyDescent="0.35">
      <c r="A51" s="417" t="s">
        <v>277</v>
      </c>
      <c r="B51" s="393">
        <v>133.88864348784</v>
      </c>
      <c r="C51" s="393">
        <v>103.74714</v>
      </c>
      <c r="D51" s="394">
        <v>-30.141503487839</v>
      </c>
      <c r="E51" s="395">
        <v>0.77487632481199997</v>
      </c>
      <c r="F51" s="393">
        <v>81.70063127057</v>
      </c>
      <c r="G51" s="394">
        <v>47.658701574498998</v>
      </c>
      <c r="H51" s="396">
        <v>0</v>
      </c>
      <c r="I51" s="393">
        <v>30.47157</v>
      </c>
      <c r="J51" s="394">
        <v>-17.187131574498999</v>
      </c>
      <c r="K51" s="397">
        <v>0.37296615125299998</v>
      </c>
    </row>
    <row r="52" spans="1:11" ht="14.4" customHeight="1" thickBot="1" x14ac:dyDescent="0.35">
      <c r="A52" s="415" t="s">
        <v>278</v>
      </c>
      <c r="B52" s="393">
        <v>45.798463349392001</v>
      </c>
      <c r="C52" s="393">
        <v>96.655789999999996</v>
      </c>
      <c r="D52" s="394">
        <v>50.857326650607</v>
      </c>
      <c r="E52" s="395">
        <v>2.1104592366469999</v>
      </c>
      <c r="F52" s="393">
        <v>75.259379083368998</v>
      </c>
      <c r="G52" s="394">
        <v>43.901304465297997</v>
      </c>
      <c r="H52" s="396">
        <v>0</v>
      </c>
      <c r="I52" s="393">
        <v>24.7042</v>
      </c>
      <c r="J52" s="394">
        <v>-19.197104465298001</v>
      </c>
      <c r="K52" s="397">
        <v>0.32825410335400002</v>
      </c>
    </row>
    <row r="53" spans="1:11" ht="14.4" customHeight="1" thickBot="1" x14ac:dyDescent="0.35">
      <c r="A53" s="415" t="s">
        <v>279</v>
      </c>
      <c r="B53" s="393">
        <v>0</v>
      </c>
      <c r="C53" s="393">
        <v>0.66600000000000004</v>
      </c>
      <c r="D53" s="394">
        <v>0.66600000000000004</v>
      </c>
      <c r="E53" s="403" t="s">
        <v>240</v>
      </c>
      <c r="F53" s="393">
        <v>0</v>
      </c>
      <c r="G53" s="394">
        <v>0</v>
      </c>
      <c r="H53" s="396">
        <v>0</v>
      </c>
      <c r="I53" s="393">
        <v>0</v>
      </c>
      <c r="J53" s="394">
        <v>0</v>
      </c>
      <c r="K53" s="404" t="s">
        <v>230</v>
      </c>
    </row>
    <row r="54" spans="1:11" ht="14.4" customHeight="1" thickBot="1" x14ac:dyDescent="0.35">
      <c r="A54" s="415" t="s">
        <v>280</v>
      </c>
      <c r="B54" s="393">
        <v>84.654960200022998</v>
      </c>
      <c r="C54" s="393">
        <v>1.58883</v>
      </c>
      <c r="D54" s="394">
        <v>-83.066130200022997</v>
      </c>
      <c r="E54" s="395">
        <v>1.8768303667E-2</v>
      </c>
      <c r="F54" s="393">
        <v>1.4412521871999999</v>
      </c>
      <c r="G54" s="394">
        <v>0.840730442533</v>
      </c>
      <c r="H54" s="396">
        <v>0</v>
      </c>
      <c r="I54" s="393">
        <v>0.3</v>
      </c>
      <c r="J54" s="394">
        <v>-0.54073044253299996</v>
      </c>
      <c r="K54" s="397">
        <v>0.20815232938700001</v>
      </c>
    </row>
    <row r="55" spans="1:11" ht="14.4" customHeight="1" thickBot="1" x14ac:dyDescent="0.35">
      <c r="A55" s="415" t="s">
        <v>281</v>
      </c>
      <c r="B55" s="393">
        <v>3.4352199384230002</v>
      </c>
      <c r="C55" s="393">
        <v>4.8365200000000002</v>
      </c>
      <c r="D55" s="394">
        <v>1.4013000615760001</v>
      </c>
      <c r="E55" s="395">
        <v>1.4079214975150001</v>
      </c>
      <c r="F55" s="393">
        <v>4.9999999999989999</v>
      </c>
      <c r="G55" s="394">
        <v>2.9166666666659999</v>
      </c>
      <c r="H55" s="396">
        <v>0</v>
      </c>
      <c r="I55" s="393">
        <v>5.4673699999999998</v>
      </c>
      <c r="J55" s="394">
        <v>2.5507033333329998</v>
      </c>
      <c r="K55" s="397">
        <v>1.0934740000000001</v>
      </c>
    </row>
    <row r="56" spans="1:11" ht="14.4" customHeight="1" thickBot="1" x14ac:dyDescent="0.35">
      <c r="A56" s="418" t="s">
        <v>32</v>
      </c>
      <c r="B56" s="398">
        <v>0</v>
      </c>
      <c r="C56" s="398">
        <v>162.77600000000001</v>
      </c>
      <c r="D56" s="399">
        <v>162.77600000000001</v>
      </c>
      <c r="E56" s="400" t="s">
        <v>230</v>
      </c>
      <c r="F56" s="398">
        <v>0</v>
      </c>
      <c r="G56" s="399">
        <v>0</v>
      </c>
      <c r="H56" s="401">
        <v>0</v>
      </c>
      <c r="I56" s="398">
        <v>29.690999999999999</v>
      </c>
      <c r="J56" s="399">
        <v>29.690999999999999</v>
      </c>
      <c r="K56" s="402" t="s">
        <v>230</v>
      </c>
    </row>
    <row r="57" spans="1:11" ht="14.4" customHeight="1" thickBot="1" x14ac:dyDescent="0.35">
      <c r="A57" s="414" t="s">
        <v>282</v>
      </c>
      <c r="B57" s="398">
        <v>0</v>
      </c>
      <c r="C57" s="398">
        <v>55.177999999999997</v>
      </c>
      <c r="D57" s="399">
        <v>55.177999999999997</v>
      </c>
      <c r="E57" s="400" t="s">
        <v>230</v>
      </c>
      <c r="F57" s="398">
        <v>0</v>
      </c>
      <c r="G57" s="399">
        <v>0</v>
      </c>
      <c r="H57" s="401">
        <v>0</v>
      </c>
      <c r="I57" s="398">
        <v>27.602</v>
      </c>
      <c r="J57" s="399">
        <v>27.602</v>
      </c>
      <c r="K57" s="402" t="s">
        <v>230</v>
      </c>
    </row>
    <row r="58" spans="1:11" ht="14.4" customHeight="1" thickBot="1" x14ac:dyDescent="0.35">
      <c r="A58" s="415" t="s">
        <v>283</v>
      </c>
      <c r="B58" s="393">
        <v>0</v>
      </c>
      <c r="C58" s="393">
        <v>51.817999999999998</v>
      </c>
      <c r="D58" s="394">
        <v>51.817999999999998</v>
      </c>
      <c r="E58" s="403" t="s">
        <v>230</v>
      </c>
      <c r="F58" s="393">
        <v>0</v>
      </c>
      <c r="G58" s="394">
        <v>0</v>
      </c>
      <c r="H58" s="396">
        <v>0</v>
      </c>
      <c r="I58" s="393">
        <v>27.602</v>
      </c>
      <c r="J58" s="394">
        <v>27.602</v>
      </c>
      <c r="K58" s="404" t="s">
        <v>230</v>
      </c>
    </row>
    <row r="59" spans="1:11" ht="14.4" customHeight="1" thickBot="1" x14ac:dyDescent="0.35">
      <c r="A59" s="415" t="s">
        <v>284</v>
      </c>
      <c r="B59" s="393">
        <v>0</v>
      </c>
      <c r="C59" s="393">
        <v>3.36</v>
      </c>
      <c r="D59" s="394">
        <v>3.36</v>
      </c>
      <c r="E59" s="403" t="s">
        <v>240</v>
      </c>
      <c r="F59" s="393">
        <v>0</v>
      </c>
      <c r="G59" s="394">
        <v>0</v>
      </c>
      <c r="H59" s="396">
        <v>0</v>
      </c>
      <c r="I59" s="393">
        <v>0</v>
      </c>
      <c r="J59" s="394">
        <v>0</v>
      </c>
      <c r="K59" s="404" t="s">
        <v>230</v>
      </c>
    </row>
    <row r="60" spans="1:11" ht="14.4" customHeight="1" thickBot="1" x14ac:dyDescent="0.35">
      <c r="A60" s="414" t="s">
        <v>285</v>
      </c>
      <c r="B60" s="398">
        <v>0</v>
      </c>
      <c r="C60" s="398">
        <v>107.598</v>
      </c>
      <c r="D60" s="399">
        <v>107.598</v>
      </c>
      <c r="E60" s="400" t="s">
        <v>230</v>
      </c>
      <c r="F60" s="398">
        <v>0</v>
      </c>
      <c r="G60" s="399">
        <v>0</v>
      </c>
      <c r="H60" s="401">
        <v>0</v>
      </c>
      <c r="I60" s="398">
        <v>2.089</v>
      </c>
      <c r="J60" s="399">
        <v>2.089</v>
      </c>
      <c r="K60" s="402" t="s">
        <v>230</v>
      </c>
    </row>
    <row r="61" spans="1:11" ht="14.4" customHeight="1" thickBot="1" x14ac:dyDescent="0.35">
      <c r="A61" s="415" t="s">
        <v>286</v>
      </c>
      <c r="B61" s="393">
        <v>0</v>
      </c>
      <c r="C61" s="393">
        <v>107.598</v>
      </c>
      <c r="D61" s="394">
        <v>107.598</v>
      </c>
      <c r="E61" s="403" t="s">
        <v>230</v>
      </c>
      <c r="F61" s="393">
        <v>0</v>
      </c>
      <c r="G61" s="394">
        <v>0</v>
      </c>
      <c r="H61" s="396">
        <v>0</v>
      </c>
      <c r="I61" s="393">
        <v>2.089</v>
      </c>
      <c r="J61" s="394">
        <v>2.089</v>
      </c>
      <c r="K61" s="404" t="s">
        <v>230</v>
      </c>
    </row>
    <row r="62" spans="1:11" ht="14.4" customHeight="1" thickBot="1" x14ac:dyDescent="0.35">
      <c r="A62" s="413" t="s">
        <v>33</v>
      </c>
      <c r="B62" s="393">
        <v>461.78255535927502</v>
      </c>
      <c r="C62" s="393">
        <v>698.53814000000102</v>
      </c>
      <c r="D62" s="394">
        <v>236.755584640726</v>
      </c>
      <c r="E62" s="395">
        <v>1.512699282147</v>
      </c>
      <c r="F62" s="393">
        <v>613.12345707443205</v>
      </c>
      <c r="G62" s="394">
        <v>357.655349960085</v>
      </c>
      <c r="H62" s="396">
        <v>41.523269999999997</v>
      </c>
      <c r="I62" s="393">
        <v>433.03253999999998</v>
      </c>
      <c r="J62" s="394">
        <v>75.377190039913998</v>
      </c>
      <c r="K62" s="397">
        <v>0.70627299445699998</v>
      </c>
    </row>
    <row r="63" spans="1:11" ht="14.4" customHeight="1" thickBot="1" x14ac:dyDescent="0.35">
      <c r="A63" s="414" t="s">
        <v>287</v>
      </c>
      <c r="B63" s="398">
        <v>0.630457904322</v>
      </c>
      <c r="C63" s="398">
        <v>0</v>
      </c>
      <c r="D63" s="399">
        <v>-0.630457904322</v>
      </c>
      <c r="E63" s="405">
        <v>0</v>
      </c>
      <c r="F63" s="398">
        <v>0</v>
      </c>
      <c r="G63" s="399">
        <v>0</v>
      </c>
      <c r="H63" s="401">
        <v>0</v>
      </c>
      <c r="I63" s="398">
        <v>0</v>
      </c>
      <c r="J63" s="399">
        <v>0</v>
      </c>
      <c r="K63" s="406">
        <v>0</v>
      </c>
    </row>
    <row r="64" spans="1:11" ht="14.4" customHeight="1" thickBot="1" x14ac:dyDescent="0.35">
      <c r="A64" s="415" t="s">
        <v>288</v>
      </c>
      <c r="B64" s="393">
        <v>0.630457904322</v>
      </c>
      <c r="C64" s="393">
        <v>0</v>
      </c>
      <c r="D64" s="394">
        <v>-0.630457904322</v>
      </c>
      <c r="E64" s="395">
        <v>0</v>
      </c>
      <c r="F64" s="393">
        <v>0</v>
      </c>
      <c r="G64" s="394">
        <v>0</v>
      </c>
      <c r="H64" s="396">
        <v>0</v>
      </c>
      <c r="I64" s="393">
        <v>0</v>
      </c>
      <c r="J64" s="394">
        <v>0</v>
      </c>
      <c r="K64" s="397">
        <v>0</v>
      </c>
    </row>
    <row r="65" spans="1:11" ht="14.4" customHeight="1" thickBot="1" x14ac:dyDescent="0.35">
      <c r="A65" s="414" t="s">
        <v>289</v>
      </c>
      <c r="B65" s="398">
        <v>33.571121687847999</v>
      </c>
      <c r="C65" s="398">
        <v>85.344790000000003</v>
      </c>
      <c r="D65" s="399">
        <v>51.773668312151003</v>
      </c>
      <c r="E65" s="405">
        <v>2.5422084729110002</v>
      </c>
      <c r="F65" s="398">
        <v>84.224787969637006</v>
      </c>
      <c r="G65" s="399">
        <v>49.131126315621003</v>
      </c>
      <c r="H65" s="401">
        <v>0.39939000000000002</v>
      </c>
      <c r="I65" s="398">
        <v>44.717419999999997</v>
      </c>
      <c r="J65" s="399">
        <v>-4.4137063156209999</v>
      </c>
      <c r="K65" s="406">
        <v>0.53092944580699997</v>
      </c>
    </row>
    <row r="66" spans="1:11" ht="14.4" customHeight="1" thickBot="1" x14ac:dyDescent="0.35">
      <c r="A66" s="415" t="s">
        <v>290</v>
      </c>
      <c r="B66" s="393">
        <v>0</v>
      </c>
      <c r="C66" s="393">
        <v>2.4851999999999999</v>
      </c>
      <c r="D66" s="394">
        <v>2.4851999999999999</v>
      </c>
      <c r="E66" s="403" t="s">
        <v>240</v>
      </c>
      <c r="F66" s="393">
        <v>0.23569054459800001</v>
      </c>
      <c r="G66" s="394">
        <v>0.137486151015</v>
      </c>
      <c r="H66" s="396">
        <v>0</v>
      </c>
      <c r="I66" s="393">
        <v>4.1167999999999996</v>
      </c>
      <c r="J66" s="394">
        <v>3.9793138489839999</v>
      </c>
      <c r="K66" s="397">
        <v>17.466971392556001</v>
      </c>
    </row>
    <row r="67" spans="1:11" ht="14.4" customHeight="1" thickBot="1" x14ac:dyDescent="0.35">
      <c r="A67" s="415" t="s">
        <v>291</v>
      </c>
      <c r="B67" s="393">
        <v>29.397518870990002</v>
      </c>
      <c r="C67" s="393">
        <v>79.007999999999996</v>
      </c>
      <c r="D67" s="394">
        <v>49.610481129009003</v>
      </c>
      <c r="E67" s="395">
        <v>2.6875737488840001</v>
      </c>
      <c r="F67" s="393">
        <v>79.599406528188993</v>
      </c>
      <c r="G67" s="394">
        <v>46.432987141444002</v>
      </c>
      <c r="H67" s="396">
        <v>0</v>
      </c>
      <c r="I67" s="393">
        <v>38.247999999999998</v>
      </c>
      <c r="J67" s="394">
        <v>-8.1849871414439992</v>
      </c>
      <c r="K67" s="397">
        <v>0.48050609506000003</v>
      </c>
    </row>
    <row r="68" spans="1:11" ht="14.4" customHeight="1" thickBot="1" x14ac:dyDescent="0.35">
      <c r="A68" s="415" t="s">
        <v>292</v>
      </c>
      <c r="B68" s="393">
        <v>4.1736028168569996</v>
      </c>
      <c r="C68" s="393">
        <v>3.8515899999999998</v>
      </c>
      <c r="D68" s="394">
        <v>-0.32201281685700001</v>
      </c>
      <c r="E68" s="395">
        <v>0.92284536143200002</v>
      </c>
      <c r="F68" s="393">
        <v>4.3896908968480002</v>
      </c>
      <c r="G68" s="394">
        <v>2.5606530231610001</v>
      </c>
      <c r="H68" s="396">
        <v>0.39939000000000002</v>
      </c>
      <c r="I68" s="393">
        <v>2.3526199999999999</v>
      </c>
      <c r="J68" s="394">
        <v>-0.208033023161</v>
      </c>
      <c r="K68" s="397">
        <v>0.535942064095</v>
      </c>
    </row>
    <row r="69" spans="1:11" ht="14.4" customHeight="1" thickBot="1" x14ac:dyDescent="0.35">
      <c r="A69" s="414" t="s">
        <v>293</v>
      </c>
      <c r="B69" s="398">
        <v>21.718331485444999</v>
      </c>
      <c r="C69" s="398">
        <v>43.899549999999998</v>
      </c>
      <c r="D69" s="399">
        <v>22.181218514554001</v>
      </c>
      <c r="E69" s="405">
        <v>2.0213131947730001</v>
      </c>
      <c r="F69" s="398">
        <v>52</v>
      </c>
      <c r="G69" s="399">
        <v>30.333333333333002</v>
      </c>
      <c r="H69" s="401">
        <v>0.40500000000000003</v>
      </c>
      <c r="I69" s="398">
        <v>35.188249999999996</v>
      </c>
      <c r="J69" s="399">
        <v>4.854916666666</v>
      </c>
      <c r="K69" s="406">
        <v>0.67669711538400001</v>
      </c>
    </row>
    <row r="70" spans="1:11" ht="14.4" customHeight="1" thickBot="1" x14ac:dyDescent="0.35">
      <c r="A70" s="415" t="s">
        <v>294</v>
      </c>
      <c r="B70" s="393">
        <v>1.999996816928</v>
      </c>
      <c r="C70" s="393">
        <v>1.62</v>
      </c>
      <c r="D70" s="394">
        <v>-0.37999681692800003</v>
      </c>
      <c r="E70" s="395">
        <v>0.81000128914500003</v>
      </c>
      <c r="F70" s="393">
        <v>2</v>
      </c>
      <c r="G70" s="394">
        <v>1.1666666666659999</v>
      </c>
      <c r="H70" s="396">
        <v>0.40500000000000003</v>
      </c>
      <c r="I70" s="393">
        <v>1.2150000000000001</v>
      </c>
      <c r="J70" s="394">
        <v>4.8333333333000002E-2</v>
      </c>
      <c r="K70" s="397">
        <v>0.60749999999899995</v>
      </c>
    </row>
    <row r="71" spans="1:11" ht="14.4" customHeight="1" thickBot="1" x14ac:dyDescent="0.35">
      <c r="A71" s="415" t="s">
        <v>295</v>
      </c>
      <c r="B71" s="393">
        <v>19.718334668516</v>
      </c>
      <c r="C71" s="393">
        <v>42.27955</v>
      </c>
      <c r="D71" s="394">
        <v>22.561215331483002</v>
      </c>
      <c r="E71" s="395">
        <v>2.1441744807940002</v>
      </c>
      <c r="F71" s="393">
        <v>50</v>
      </c>
      <c r="G71" s="394">
        <v>29.166666666666</v>
      </c>
      <c r="H71" s="396">
        <v>0</v>
      </c>
      <c r="I71" s="393">
        <v>33.97325</v>
      </c>
      <c r="J71" s="394">
        <v>4.8065833333330001</v>
      </c>
      <c r="K71" s="397">
        <v>0.67946499999900001</v>
      </c>
    </row>
    <row r="72" spans="1:11" ht="14.4" customHeight="1" thickBot="1" x14ac:dyDescent="0.35">
      <c r="A72" s="414" t="s">
        <v>296</v>
      </c>
      <c r="B72" s="398">
        <v>47.907786841951001</v>
      </c>
      <c r="C72" s="398">
        <v>47.377270000000003</v>
      </c>
      <c r="D72" s="399">
        <v>-0.53051684195100002</v>
      </c>
      <c r="E72" s="405">
        <v>0.98892629200899995</v>
      </c>
      <c r="F72" s="398">
        <v>59.092288392816002</v>
      </c>
      <c r="G72" s="399">
        <v>34.470501562476002</v>
      </c>
      <c r="H72" s="401">
        <v>4.1164800000000001</v>
      </c>
      <c r="I72" s="398">
        <v>28.682510000000001</v>
      </c>
      <c r="J72" s="399">
        <v>-5.7879915624759999</v>
      </c>
      <c r="K72" s="406">
        <v>0.48538499320400003</v>
      </c>
    </row>
    <row r="73" spans="1:11" ht="14.4" customHeight="1" thickBot="1" x14ac:dyDescent="0.35">
      <c r="A73" s="415" t="s">
        <v>297</v>
      </c>
      <c r="B73" s="393">
        <v>0.41070779633799998</v>
      </c>
      <c r="C73" s="393">
        <v>0</v>
      </c>
      <c r="D73" s="394">
        <v>-0.41070779633799998</v>
      </c>
      <c r="E73" s="395">
        <v>0</v>
      </c>
      <c r="F73" s="393">
        <v>0</v>
      </c>
      <c r="G73" s="394">
        <v>0</v>
      </c>
      <c r="H73" s="396">
        <v>0</v>
      </c>
      <c r="I73" s="393">
        <v>0</v>
      </c>
      <c r="J73" s="394">
        <v>0</v>
      </c>
      <c r="K73" s="397">
        <v>0</v>
      </c>
    </row>
    <row r="74" spans="1:11" ht="14.4" customHeight="1" thickBot="1" x14ac:dyDescent="0.35">
      <c r="A74" s="415" t="s">
        <v>298</v>
      </c>
      <c r="B74" s="393">
        <v>47.497079045612999</v>
      </c>
      <c r="C74" s="393">
        <v>47.377270000000003</v>
      </c>
      <c r="D74" s="394">
        <v>-0.119809045613</v>
      </c>
      <c r="E74" s="395">
        <v>0.99747754918700005</v>
      </c>
      <c r="F74" s="393">
        <v>59.092288392816002</v>
      </c>
      <c r="G74" s="394">
        <v>34.470501562476002</v>
      </c>
      <c r="H74" s="396">
        <v>4.1164800000000001</v>
      </c>
      <c r="I74" s="393">
        <v>28.682510000000001</v>
      </c>
      <c r="J74" s="394">
        <v>-5.7879915624759999</v>
      </c>
      <c r="K74" s="397">
        <v>0.48538499320400003</v>
      </c>
    </row>
    <row r="75" spans="1:11" ht="14.4" customHeight="1" thickBot="1" x14ac:dyDescent="0.35">
      <c r="A75" s="414" t="s">
        <v>299</v>
      </c>
      <c r="B75" s="398">
        <v>313.61543848599001</v>
      </c>
      <c r="C75" s="398">
        <v>427.13511000000102</v>
      </c>
      <c r="D75" s="399">
        <v>113.51967151401099</v>
      </c>
      <c r="E75" s="405">
        <v>1.361970928669</v>
      </c>
      <c r="F75" s="398">
        <v>329.22162144200797</v>
      </c>
      <c r="G75" s="399">
        <v>192.045945841171</v>
      </c>
      <c r="H75" s="401">
        <v>27.502400000000002</v>
      </c>
      <c r="I75" s="398">
        <v>241.56026</v>
      </c>
      <c r="J75" s="399">
        <v>49.514314158828</v>
      </c>
      <c r="K75" s="406">
        <v>0.73373145707099996</v>
      </c>
    </row>
    <row r="76" spans="1:11" ht="14.4" customHeight="1" thickBot="1" x14ac:dyDescent="0.35">
      <c r="A76" s="415" t="s">
        <v>300</v>
      </c>
      <c r="B76" s="393">
        <v>243.292535137735</v>
      </c>
      <c r="C76" s="393">
        <v>352.509150000001</v>
      </c>
      <c r="D76" s="394">
        <v>109.216614862265</v>
      </c>
      <c r="E76" s="395">
        <v>1.44891066962</v>
      </c>
      <c r="F76" s="393">
        <v>242.75385941127499</v>
      </c>
      <c r="G76" s="394">
        <v>141.60641798991</v>
      </c>
      <c r="H76" s="396">
        <v>14.023400000000001</v>
      </c>
      <c r="I76" s="393">
        <v>216.31402</v>
      </c>
      <c r="J76" s="394">
        <v>74.707602010089005</v>
      </c>
      <c r="K76" s="397">
        <v>0.89108375258999994</v>
      </c>
    </row>
    <row r="77" spans="1:11" ht="14.4" customHeight="1" thickBot="1" x14ac:dyDescent="0.35">
      <c r="A77" s="415" t="s">
        <v>301</v>
      </c>
      <c r="B77" s="393">
        <v>67.344750077707005</v>
      </c>
      <c r="C77" s="393">
        <v>74.625960000000006</v>
      </c>
      <c r="D77" s="394">
        <v>7.2812099222919997</v>
      </c>
      <c r="E77" s="395">
        <v>1.1081184489339999</v>
      </c>
      <c r="F77" s="393">
        <v>86.467762030732004</v>
      </c>
      <c r="G77" s="394">
        <v>50.439527851260003</v>
      </c>
      <c r="H77" s="396">
        <v>13.478999999999999</v>
      </c>
      <c r="I77" s="393">
        <v>25.24624</v>
      </c>
      <c r="J77" s="394">
        <v>-25.193287851259999</v>
      </c>
      <c r="K77" s="397">
        <v>0.29197286256799998</v>
      </c>
    </row>
    <row r="78" spans="1:11" ht="14.4" customHeight="1" thickBot="1" x14ac:dyDescent="0.35">
      <c r="A78" s="415" t="s">
        <v>302</v>
      </c>
      <c r="B78" s="393">
        <v>2.9781532705470002</v>
      </c>
      <c r="C78" s="393">
        <v>0</v>
      </c>
      <c r="D78" s="394">
        <v>-2.9781532705470002</v>
      </c>
      <c r="E78" s="395">
        <v>0</v>
      </c>
      <c r="F78" s="393">
        <v>0</v>
      </c>
      <c r="G78" s="394">
        <v>0</v>
      </c>
      <c r="H78" s="396">
        <v>0</v>
      </c>
      <c r="I78" s="393">
        <v>0</v>
      </c>
      <c r="J78" s="394">
        <v>0</v>
      </c>
      <c r="K78" s="397">
        <v>7</v>
      </c>
    </row>
    <row r="79" spans="1:11" ht="14.4" customHeight="1" thickBot="1" x14ac:dyDescent="0.35">
      <c r="A79" s="414" t="s">
        <v>303</v>
      </c>
      <c r="B79" s="398">
        <v>44.339418953717001</v>
      </c>
      <c r="C79" s="398">
        <v>94.781419999999997</v>
      </c>
      <c r="D79" s="399">
        <v>50.442001046283004</v>
      </c>
      <c r="E79" s="405">
        <v>2.1376333347740002</v>
      </c>
      <c r="F79" s="398">
        <v>88.584759269969993</v>
      </c>
      <c r="G79" s="399">
        <v>51.674442907482003</v>
      </c>
      <c r="H79" s="401">
        <v>9.1</v>
      </c>
      <c r="I79" s="398">
        <v>82.884100000000004</v>
      </c>
      <c r="J79" s="399">
        <v>31.209657092516998</v>
      </c>
      <c r="K79" s="406">
        <v>0.93564740349300002</v>
      </c>
    </row>
    <row r="80" spans="1:11" ht="14.4" customHeight="1" thickBot="1" x14ac:dyDescent="0.35">
      <c r="A80" s="415" t="s">
        <v>304</v>
      </c>
      <c r="B80" s="393">
        <v>0</v>
      </c>
      <c r="C80" s="393">
        <v>61.698999999999998</v>
      </c>
      <c r="D80" s="394">
        <v>61.698999999999998</v>
      </c>
      <c r="E80" s="403" t="s">
        <v>240</v>
      </c>
      <c r="F80" s="393">
        <v>0</v>
      </c>
      <c r="G80" s="394">
        <v>0</v>
      </c>
      <c r="H80" s="396">
        <v>9.1</v>
      </c>
      <c r="I80" s="393">
        <v>25.841999999999999</v>
      </c>
      <c r="J80" s="394">
        <v>25.841999999999999</v>
      </c>
      <c r="K80" s="404" t="s">
        <v>230</v>
      </c>
    </row>
    <row r="81" spans="1:11" ht="14.4" customHeight="1" thickBot="1" x14ac:dyDescent="0.35">
      <c r="A81" s="415" t="s">
        <v>305</v>
      </c>
      <c r="B81" s="393">
        <v>0</v>
      </c>
      <c r="C81" s="393">
        <v>5.60297</v>
      </c>
      <c r="D81" s="394">
        <v>5.60297</v>
      </c>
      <c r="E81" s="403" t="s">
        <v>240</v>
      </c>
      <c r="F81" s="393">
        <v>8.5847592699700002</v>
      </c>
      <c r="G81" s="394">
        <v>5.0077762408149997</v>
      </c>
      <c r="H81" s="396">
        <v>0</v>
      </c>
      <c r="I81" s="393">
        <v>6.0389999999999997</v>
      </c>
      <c r="J81" s="394">
        <v>1.0312237591840001</v>
      </c>
      <c r="K81" s="397">
        <v>0.70345595142299999</v>
      </c>
    </row>
    <row r="82" spans="1:11" ht="14.4" customHeight="1" thickBot="1" x14ac:dyDescent="0.35">
      <c r="A82" s="415" t="s">
        <v>306</v>
      </c>
      <c r="B82" s="393">
        <v>39.339426911394</v>
      </c>
      <c r="C82" s="393">
        <v>23.244450000000001</v>
      </c>
      <c r="D82" s="394">
        <v>-16.094976911393999</v>
      </c>
      <c r="E82" s="395">
        <v>0.59086905491399999</v>
      </c>
      <c r="F82" s="393">
        <v>40</v>
      </c>
      <c r="G82" s="394">
        <v>23.333333333333002</v>
      </c>
      <c r="H82" s="396">
        <v>0</v>
      </c>
      <c r="I82" s="393">
        <v>21.3581</v>
      </c>
      <c r="J82" s="394">
        <v>-1.9752333333330001</v>
      </c>
      <c r="K82" s="397">
        <v>0.53395250000000005</v>
      </c>
    </row>
    <row r="83" spans="1:11" ht="14.4" customHeight="1" thickBot="1" x14ac:dyDescent="0.35">
      <c r="A83" s="415" t="s">
        <v>307</v>
      </c>
      <c r="B83" s="393">
        <v>4.9999920423219999</v>
      </c>
      <c r="C83" s="393">
        <v>4.2350000000000003</v>
      </c>
      <c r="D83" s="394">
        <v>-0.76499204232200002</v>
      </c>
      <c r="E83" s="395">
        <v>0.847001348032</v>
      </c>
      <c r="F83" s="393">
        <v>40</v>
      </c>
      <c r="G83" s="394">
        <v>23.333333333333002</v>
      </c>
      <c r="H83" s="396">
        <v>0</v>
      </c>
      <c r="I83" s="393">
        <v>29.645</v>
      </c>
      <c r="J83" s="394">
        <v>6.3116666666660004</v>
      </c>
      <c r="K83" s="397">
        <v>0.74112500000000003</v>
      </c>
    </row>
    <row r="84" spans="1:11" ht="14.4" customHeight="1" thickBot="1" x14ac:dyDescent="0.35">
      <c r="A84" s="412" t="s">
        <v>34</v>
      </c>
      <c r="B84" s="393">
        <v>17169.001550008601</v>
      </c>
      <c r="C84" s="393">
        <v>19258.51298</v>
      </c>
      <c r="D84" s="394">
        <v>2089.5114299913898</v>
      </c>
      <c r="E84" s="395">
        <v>1.121702559342</v>
      </c>
      <c r="F84" s="393">
        <v>18811</v>
      </c>
      <c r="G84" s="394">
        <v>10973.083333333299</v>
      </c>
      <c r="H84" s="396">
        <v>2181.4895099999999</v>
      </c>
      <c r="I84" s="393">
        <v>11586.689060000001</v>
      </c>
      <c r="J84" s="394">
        <v>613.60572666666803</v>
      </c>
      <c r="K84" s="397">
        <v>0.61595284992800003</v>
      </c>
    </row>
    <row r="85" spans="1:11" ht="14.4" customHeight="1" thickBot="1" x14ac:dyDescent="0.35">
      <c r="A85" s="418" t="s">
        <v>308</v>
      </c>
      <c r="B85" s="398">
        <v>13033.001176612601</v>
      </c>
      <c r="C85" s="398">
        <v>14253.125</v>
      </c>
      <c r="D85" s="399">
        <v>1220.1238233873701</v>
      </c>
      <c r="E85" s="405">
        <v>1.0936180244939999</v>
      </c>
      <c r="F85" s="398">
        <v>14151</v>
      </c>
      <c r="G85" s="399">
        <v>8254.7500000000091</v>
      </c>
      <c r="H85" s="401">
        <v>1609.8230000000001</v>
      </c>
      <c r="I85" s="398">
        <v>8544.0830000000005</v>
      </c>
      <c r="J85" s="399">
        <v>289.33299999999701</v>
      </c>
      <c r="K85" s="406">
        <v>0.60377945021500001</v>
      </c>
    </row>
    <row r="86" spans="1:11" ht="14.4" customHeight="1" thickBot="1" x14ac:dyDescent="0.35">
      <c r="A86" s="414" t="s">
        <v>309</v>
      </c>
      <c r="B86" s="398">
        <v>11650.0010517561</v>
      </c>
      <c r="C86" s="398">
        <v>13041.726000000001</v>
      </c>
      <c r="D86" s="399">
        <v>1391.7249482439099</v>
      </c>
      <c r="E86" s="405">
        <v>1.119461358163</v>
      </c>
      <c r="F86" s="398">
        <v>12945</v>
      </c>
      <c r="G86" s="399">
        <v>7551.25</v>
      </c>
      <c r="H86" s="401">
        <v>1460.443</v>
      </c>
      <c r="I86" s="398">
        <v>7760.6989999999996</v>
      </c>
      <c r="J86" s="399">
        <v>209.44899999999799</v>
      </c>
      <c r="K86" s="406">
        <v>0.59951324835800002</v>
      </c>
    </row>
    <row r="87" spans="1:11" ht="14.4" customHeight="1" thickBot="1" x14ac:dyDescent="0.35">
      <c r="A87" s="415" t="s">
        <v>310</v>
      </c>
      <c r="B87" s="393">
        <v>11650.0010517561</v>
      </c>
      <c r="C87" s="393">
        <v>13041.726000000001</v>
      </c>
      <c r="D87" s="394">
        <v>1391.7249482439099</v>
      </c>
      <c r="E87" s="395">
        <v>1.119461358163</v>
      </c>
      <c r="F87" s="393">
        <v>12945</v>
      </c>
      <c r="G87" s="394">
        <v>7551.25</v>
      </c>
      <c r="H87" s="396">
        <v>1460.443</v>
      </c>
      <c r="I87" s="393">
        <v>7760.6989999999996</v>
      </c>
      <c r="J87" s="394">
        <v>209.44899999999799</v>
      </c>
      <c r="K87" s="397">
        <v>0.59951324835800002</v>
      </c>
    </row>
    <row r="88" spans="1:11" ht="14.4" customHeight="1" thickBot="1" x14ac:dyDescent="0.35">
      <c r="A88" s="414" t="s">
        <v>311</v>
      </c>
      <c r="B88" s="398">
        <v>0</v>
      </c>
      <c r="C88" s="398">
        <v>0</v>
      </c>
      <c r="D88" s="399">
        <v>0</v>
      </c>
      <c r="E88" s="405">
        <v>1</v>
      </c>
      <c r="F88" s="398">
        <v>0</v>
      </c>
      <c r="G88" s="399">
        <v>0</v>
      </c>
      <c r="H88" s="401">
        <v>0</v>
      </c>
      <c r="I88" s="398">
        <v>-1.1339999999999999</v>
      </c>
      <c r="J88" s="399">
        <v>-1.1339999999999999</v>
      </c>
      <c r="K88" s="402" t="s">
        <v>240</v>
      </c>
    </row>
    <row r="89" spans="1:11" ht="14.4" customHeight="1" thickBot="1" x14ac:dyDescent="0.35">
      <c r="A89" s="415" t="s">
        <v>312</v>
      </c>
      <c r="B89" s="393">
        <v>0</v>
      </c>
      <c r="C89" s="393">
        <v>0</v>
      </c>
      <c r="D89" s="394">
        <v>0</v>
      </c>
      <c r="E89" s="395">
        <v>1</v>
      </c>
      <c r="F89" s="393">
        <v>0</v>
      </c>
      <c r="G89" s="394">
        <v>0</v>
      </c>
      <c r="H89" s="396">
        <v>0</v>
      </c>
      <c r="I89" s="393">
        <v>-1.1339999999999999</v>
      </c>
      <c r="J89" s="394">
        <v>-1.1339999999999999</v>
      </c>
      <c r="K89" s="404" t="s">
        <v>240</v>
      </c>
    </row>
    <row r="90" spans="1:11" ht="14.4" customHeight="1" thickBot="1" x14ac:dyDescent="0.35">
      <c r="A90" s="414" t="s">
        <v>313</v>
      </c>
      <c r="B90" s="398">
        <v>1350.00012187732</v>
      </c>
      <c r="C90" s="398">
        <v>1167.3699999999999</v>
      </c>
      <c r="D90" s="399">
        <v>-182.63012187731599</v>
      </c>
      <c r="E90" s="405">
        <v>0.86471844045199997</v>
      </c>
      <c r="F90" s="398">
        <v>1170</v>
      </c>
      <c r="G90" s="399">
        <v>682.5</v>
      </c>
      <c r="H90" s="401">
        <v>124.38</v>
      </c>
      <c r="I90" s="398">
        <v>738.88</v>
      </c>
      <c r="J90" s="399">
        <v>56.38</v>
      </c>
      <c r="K90" s="406">
        <v>0.63152136752099997</v>
      </c>
    </row>
    <row r="91" spans="1:11" ht="14.4" customHeight="1" thickBot="1" x14ac:dyDescent="0.35">
      <c r="A91" s="415" t="s">
        <v>314</v>
      </c>
      <c r="B91" s="393">
        <v>1350.00012187732</v>
      </c>
      <c r="C91" s="393">
        <v>1167.3699999999999</v>
      </c>
      <c r="D91" s="394">
        <v>-182.63012187731599</v>
      </c>
      <c r="E91" s="395">
        <v>0.86471844045199997</v>
      </c>
      <c r="F91" s="393">
        <v>1170</v>
      </c>
      <c r="G91" s="394">
        <v>682.5</v>
      </c>
      <c r="H91" s="396">
        <v>124.38</v>
      </c>
      <c r="I91" s="393">
        <v>738.88</v>
      </c>
      <c r="J91" s="394">
        <v>56.38</v>
      </c>
      <c r="K91" s="397">
        <v>0.63152136752099997</v>
      </c>
    </row>
    <row r="92" spans="1:11" ht="14.4" customHeight="1" thickBot="1" x14ac:dyDescent="0.35">
      <c r="A92" s="414" t="s">
        <v>315</v>
      </c>
      <c r="B92" s="398">
        <v>33.000002979222998</v>
      </c>
      <c r="C92" s="398">
        <v>44.029000000000003</v>
      </c>
      <c r="D92" s="399">
        <v>11.028997020776</v>
      </c>
      <c r="E92" s="405">
        <v>1.33421200076</v>
      </c>
      <c r="F92" s="398">
        <v>36</v>
      </c>
      <c r="G92" s="399">
        <v>21</v>
      </c>
      <c r="H92" s="401">
        <v>0</v>
      </c>
      <c r="I92" s="398">
        <v>20.638000000000002</v>
      </c>
      <c r="J92" s="399">
        <v>-0.36199999999999999</v>
      </c>
      <c r="K92" s="406">
        <v>0.57327777777699995</v>
      </c>
    </row>
    <row r="93" spans="1:11" ht="14.4" customHeight="1" thickBot="1" x14ac:dyDescent="0.35">
      <c r="A93" s="415" t="s">
        <v>316</v>
      </c>
      <c r="B93" s="393">
        <v>33.000002979222998</v>
      </c>
      <c r="C93" s="393">
        <v>44.029000000000003</v>
      </c>
      <c r="D93" s="394">
        <v>11.028997020776</v>
      </c>
      <c r="E93" s="395">
        <v>1.33421200076</v>
      </c>
      <c r="F93" s="393">
        <v>36</v>
      </c>
      <c r="G93" s="394">
        <v>21</v>
      </c>
      <c r="H93" s="396">
        <v>0</v>
      </c>
      <c r="I93" s="393">
        <v>20.638000000000002</v>
      </c>
      <c r="J93" s="394">
        <v>-0.36199999999999999</v>
      </c>
      <c r="K93" s="397">
        <v>0.57327777777699995</v>
      </c>
    </row>
    <row r="94" spans="1:11" ht="14.4" customHeight="1" thickBot="1" x14ac:dyDescent="0.35">
      <c r="A94" s="417" t="s">
        <v>317</v>
      </c>
      <c r="B94" s="393">
        <v>0</v>
      </c>
      <c r="C94" s="393">
        <v>0</v>
      </c>
      <c r="D94" s="394">
        <v>0</v>
      </c>
      <c r="E94" s="395">
        <v>1</v>
      </c>
      <c r="F94" s="393">
        <v>0</v>
      </c>
      <c r="G94" s="394">
        <v>0</v>
      </c>
      <c r="H94" s="396">
        <v>25</v>
      </c>
      <c r="I94" s="393">
        <v>25</v>
      </c>
      <c r="J94" s="394">
        <v>25</v>
      </c>
      <c r="K94" s="404" t="s">
        <v>240</v>
      </c>
    </row>
    <row r="95" spans="1:11" ht="14.4" customHeight="1" thickBot="1" x14ac:dyDescent="0.35">
      <c r="A95" s="415" t="s">
        <v>318</v>
      </c>
      <c r="B95" s="393">
        <v>0</v>
      </c>
      <c r="C95" s="393">
        <v>0</v>
      </c>
      <c r="D95" s="394">
        <v>0</v>
      </c>
      <c r="E95" s="395">
        <v>1</v>
      </c>
      <c r="F95" s="393">
        <v>0</v>
      </c>
      <c r="G95" s="394">
        <v>0</v>
      </c>
      <c r="H95" s="396">
        <v>25</v>
      </c>
      <c r="I95" s="393">
        <v>25</v>
      </c>
      <c r="J95" s="394">
        <v>25</v>
      </c>
      <c r="K95" s="404" t="s">
        <v>240</v>
      </c>
    </row>
    <row r="96" spans="1:11" ht="14.4" customHeight="1" thickBot="1" x14ac:dyDescent="0.35">
      <c r="A96" s="413" t="s">
        <v>319</v>
      </c>
      <c r="B96" s="393">
        <v>3961.00035759707</v>
      </c>
      <c r="C96" s="393">
        <v>4809.1043399999999</v>
      </c>
      <c r="D96" s="394">
        <v>848.10398240292898</v>
      </c>
      <c r="E96" s="395">
        <v>1.2141135839020001</v>
      </c>
      <c r="F96" s="393">
        <v>4400.99999999999</v>
      </c>
      <c r="G96" s="394">
        <v>2567.25</v>
      </c>
      <c r="H96" s="396">
        <v>542.45793000000003</v>
      </c>
      <c r="I96" s="393">
        <v>2887.0033899999999</v>
      </c>
      <c r="J96" s="394">
        <v>319.753390000004</v>
      </c>
      <c r="K96" s="397">
        <v>0.65598804589799997</v>
      </c>
    </row>
    <row r="97" spans="1:11" ht="14.4" customHeight="1" thickBot="1" x14ac:dyDescent="0.35">
      <c r="A97" s="414" t="s">
        <v>320</v>
      </c>
      <c r="B97" s="398">
        <v>1049.0000947031899</v>
      </c>
      <c r="C97" s="398">
        <v>1274.0373500000001</v>
      </c>
      <c r="D97" s="399">
        <v>225.03725529681199</v>
      </c>
      <c r="E97" s="405">
        <v>1.2145254861579999</v>
      </c>
      <c r="F97" s="398">
        <v>1165</v>
      </c>
      <c r="G97" s="399">
        <v>679.58333333333098</v>
      </c>
      <c r="H97" s="401">
        <v>143.58966000000001</v>
      </c>
      <c r="I97" s="398">
        <v>764.29557999999997</v>
      </c>
      <c r="J97" s="399">
        <v>84.712246666669003</v>
      </c>
      <c r="K97" s="406">
        <v>0.65604770815400004</v>
      </c>
    </row>
    <row r="98" spans="1:11" ht="14.4" customHeight="1" thickBot="1" x14ac:dyDescent="0.35">
      <c r="A98" s="415" t="s">
        <v>321</v>
      </c>
      <c r="B98" s="393">
        <v>1049.0000947031899</v>
      </c>
      <c r="C98" s="393">
        <v>1274.0373500000001</v>
      </c>
      <c r="D98" s="394">
        <v>225.03725529681199</v>
      </c>
      <c r="E98" s="395">
        <v>1.2145254861579999</v>
      </c>
      <c r="F98" s="393">
        <v>1165</v>
      </c>
      <c r="G98" s="394">
        <v>679.58333333333098</v>
      </c>
      <c r="H98" s="396">
        <v>143.58966000000001</v>
      </c>
      <c r="I98" s="393">
        <v>764.29557999999997</v>
      </c>
      <c r="J98" s="394">
        <v>84.712246666669003</v>
      </c>
      <c r="K98" s="397">
        <v>0.65604770815400004</v>
      </c>
    </row>
    <row r="99" spans="1:11" ht="14.4" customHeight="1" thickBot="1" x14ac:dyDescent="0.35">
      <c r="A99" s="414" t="s">
        <v>322</v>
      </c>
      <c r="B99" s="398">
        <v>2912.0002628938801</v>
      </c>
      <c r="C99" s="398">
        <v>3535.0669899999998</v>
      </c>
      <c r="D99" s="399">
        <v>623.06672710611701</v>
      </c>
      <c r="E99" s="405">
        <v>1.2139652029029999</v>
      </c>
      <c r="F99" s="398">
        <v>3236</v>
      </c>
      <c r="G99" s="399">
        <v>1887.6666666666699</v>
      </c>
      <c r="H99" s="401">
        <v>398.86827</v>
      </c>
      <c r="I99" s="398">
        <v>2123.0948100000001</v>
      </c>
      <c r="J99" s="399">
        <v>235.42814333333399</v>
      </c>
      <c r="K99" s="406">
        <v>0.65608615883800003</v>
      </c>
    </row>
    <row r="100" spans="1:11" ht="14.4" customHeight="1" thickBot="1" x14ac:dyDescent="0.35">
      <c r="A100" s="415" t="s">
        <v>323</v>
      </c>
      <c r="B100" s="393">
        <v>2912.0002628938801</v>
      </c>
      <c r="C100" s="393">
        <v>3535.0669899999998</v>
      </c>
      <c r="D100" s="394">
        <v>623.06672710611701</v>
      </c>
      <c r="E100" s="395">
        <v>1.2139652029029999</v>
      </c>
      <c r="F100" s="393">
        <v>3236</v>
      </c>
      <c r="G100" s="394">
        <v>1887.6666666666699</v>
      </c>
      <c r="H100" s="396">
        <v>398.86827</v>
      </c>
      <c r="I100" s="393">
        <v>2123.0948100000001</v>
      </c>
      <c r="J100" s="394">
        <v>235.42814333333399</v>
      </c>
      <c r="K100" s="397">
        <v>0.65608615883800003</v>
      </c>
    </row>
    <row r="101" spans="1:11" ht="14.4" customHeight="1" thickBot="1" x14ac:dyDescent="0.35">
      <c r="A101" s="414" t="s">
        <v>324</v>
      </c>
      <c r="B101" s="398">
        <v>0</v>
      </c>
      <c r="C101" s="398">
        <v>0</v>
      </c>
      <c r="D101" s="399">
        <v>0</v>
      </c>
      <c r="E101" s="405">
        <v>1</v>
      </c>
      <c r="F101" s="398">
        <v>0</v>
      </c>
      <c r="G101" s="399">
        <v>0</v>
      </c>
      <c r="H101" s="401">
        <v>0</v>
      </c>
      <c r="I101" s="398">
        <v>-0.10299999999999999</v>
      </c>
      <c r="J101" s="399">
        <v>-0.10299999999999999</v>
      </c>
      <c r="K101" s="402" t="s">
        <v>240</v>
      </c>
    </row>
    <row r="102" spans="1:11" ht="14.4" customHeight="1" thickBot="1" x14ac:dyDescent="0.35">
      <c r="A102" s="415" t="s">
        <v>325</v>
      </c>
      <c r="B102" s="393">
        <v>0</v>
      </c>
      <c r="C102" s="393">
        <v>0</v>
      </c>
      <c r="D102" s="394">
        <v>0</v>
      </c>
      <c r="E102" s="395">
        <v>1</v>
      </c>
      <c r="F102" s="393">
        <v>0</v>
      </c>
      <c r="G102" s="394">
        <v>0</v>
      </c>
      <c r="H102" s="396">
        <v>0</v>
      </c>
      <c r="I102" s="393">
        <v>-0.10299999999999999</v>
      </c>
      <c r="J102" s="394">
        <v>-0.10299999999999999</v>
      </c>
      <c r="K102" s="404" t="s">
        <v>240</v>
      </c>
    </row>
    <row r="103" spans="1:11" ht="14.4" customHeight="1" thickBot="1" x14ac:dyDescent="0.35">
      <c r="A103" s="414" t="s">
        <v>326</v>
      </c>
      <c r="B103" s="398">
        <v>0</v>
      </c>
      <c r="C103" s="398">
        <v>0</v>
      </c>
      <c r="D103" s="399">
        <v>0</v>
      </c>
      <c r="E103" s="405">
        <v>1</v>
      </c>
      <c r="F103" s="398">
        <v>0</v>
      </c>
      <c r="G103" s="399">
        <v>0</v>
      </c>
      <c r="H103" s="401">
        <v>0</v>
      </c>
      <c r="I103" s="398">
        <v>-0.28399999999999997</v>
      </c>
      <c r="J103" s="399">
        <v>-0.28399999999999997</v>
      </c>
      <c r="K103" s="402" t="s">
        <v>240</v>
      </c>
    </row>
    <row r="104" spans="1:11" ht="14.4" customHeight="1" thickBot="1" x14ac:dyDescent="0.35">
      <c r="A104" s="415" t="s">
        <v>327</v>
      </c>
      <c r="B104" s="393">
        <v>0</v>
      </c>
      <c r="C104" s="393">
        <v>0</v>
      </c>
      <c r="D104" s="394">
        <v>0</v>
      </c>
      <c r="E104" s="395">
        <v>1</v>
      </c>
      <c r="F104" s="393">
        <v>0</v>
      </c>
      <c r="G104" s="394">
        <v>0</v>
      </c>
      <c r="H104" s="396">
        <v>0</v>
      </c>
      <c r="I104" s="393">
        <v>-0.28399999999999997</v>
      </c>
      <c r="J104" s="394">
        <v>-0.28399999999999997</v>
      </c>
      <c r="K104" s="404" t="s">
        <v>240</v>
      </c>
    </row>
    <row r="105" spans="1:11" ht="14.4" customHeight="1" thickBot="1" x14ac:dyDescent="0.35">
      <c r="A105" s="413" t="s">
        <v>328</v>
      </c>
      <c r="B105" s="393">
        <v>175.00001579891099</v>
      </c>
      <c r="C105" s="393">
        <v>196.28363999999999</v>
      </c>
      <c r="D105" s="394">
        <v>21.283624201087999</v>
      </c>
      <c r="E105" s="395">
        <v>1.1216206987399999</v>
      </c>
      <c r="F105" s="393">
        <v>259</v>
      </c>
      <c r="G105" s="394">
        <v>151.083333333333</v>
      </c>
      <c r="H105" s="396">
        <v>29.208580000000001</v>
      </c>
      <c r="I105" s="393">
        <v>155.60266999999999</v>
      </c>
      <c r="J105" s="394">
        <v>4.5193366666659998</v>
      </c>
      <c r="K105" s="397">
        <v>0.60078250965199997</v>
      </c>
    </row>
    <row r="106" spans="1:11" ht="14.4" customHeight="1" thickBot="1" x14ac:dyDescent="0.35">
      <c r="A106" s="414" t="s">
        <v>329</v>
      </c>
      <c r="B106" s="398">
        <v>175.00001579891099</v>
      </c>
      <c r="C106" s="398">
        <v>196.28363999999999</v>
      </c>
      <c r="D106" s="399">
        <v>21.283624201087999</v>
      </c>
      <c r="E106" s="405">
        <v>1.1216206987399999</v>
      </c>
      <c r="F106" s="398">
        <v>259</v>
      </c>
      <c r="G106" s="399">
        <v>151.083333333333</v>
      </c>
      <c r="H106" s="401">
        <v>29.208580000000001</v>
      </c>
      <c r="I106" s="398">
        <v>155.60266999999999</v>
      </c>
      <c r="J106" s="399">
        <v>4.5193366666659998</v>
      </c>
      <c r="K106" s="406">
        <v>0.60078250965199997</v>
      </c>
    </row>
    <row r="107" spans="1:11" ht="14.4" customHeight="1" thickBot="1" x14ac:dyDescent="0.35">
      <c r="A107" s="415" t="s">
        <v>330</v>
      </c>
      <c r="B107" s="393">
        <v>175.00001579891099</v>
      </c>
      <c r="C107" s="393">
        <v>196.28363999999999</v>
      </c>
      <c r="D107" s="394">
        <v>21.283624201087999</v>
      </c>
      <c r="E107" s="395">
        <v>1.1216206987399999</v>
      </c>
      <c r="F107" s="393">
        <v>259</v>
      </c>
      <c r="G107" s="394">
        <v>151.083333333333</v>
      </c>
      <c r="H107" s="396">
        <v>29.208580000000001</v>
      </c>
      <c r="I107" s="393">
        <v>155.60266999999999</v>
      </c>
      <c r="J107" s="394">
        <v>4.5193366666659998</v>
      </c>
      <c r="K107" s="397">
        <v>0.60078250965199997</v>
      </c>
    </row>
    <row r="108" spans="1:11" ht="14.4" customHeight="1" thickBot="1" x14ac:dyDescent="0.35">
      <c r="A108" s="412" t="s">
        <v>331</v>
      </c>
      <c r="B108" s="393">
        <v>0</v>
      </c>
      <c r="C108" s="393">
        <v>0.25</v>
      </c>
      <c r="D108" s="394">
        <v>0.25</v>
      </c>
      <c r="E108" s="403" t="s">
        <v>240</v>
      </c>
      <c r="F108" s="393">
        <v>0</v>
      </c>
      <c r="G108" s="394">
        <v>0</v>
      </c>
      <c r="H108" s="396">
        <v>0</v>
      </c>
      <c r="I108" s="393">
        <v>0</v>
      </c>
      <c r="J108" s="394">
        <v>0</v>
      </c>
      <c r="K108" s="397">
        <v>0</v>
      </c>
    </row>
    <row r="109" spans="1:11" ht="14.4" customHeight="1" thickBot="1" x14ac:dyDescent="0.35">
      <c r="A109" s="413" t="s">
        <v>332</v>
      </c>
      <c r="B109" s="393">
        <v>0</v>
      </c>
      <c r="C109" s="393">
        <v>0.25</v>
      </c>
      <c r="D109" s="394">
        <v>0.25</v>
      </c>
      <c r="E109" s="403" t="s">
        <v>240</v>
      </c>
      <c r="F109" s="393">
        <v>0</v>
      </c>
      <c r="G109" s="394">
        <v>0</v>
      </c>
      <c r="H109" s="396">
        <v>0</v>
      </c>
      <c r="I109" s="393">
        <v>0</v>
      </c>
      <c r="J109" s="394">
        <v>0</v>
      </c>
      <c r="K109" s="397">
        <v>0</v>
      </c>
    </row>
    <row r="110" spans="1:11" ht="14.4" customHeight="1" thickBot="1" x14ac:dyDescent="0.35">
      <c r="A110" s="414" t="s">
        <v>333</v>
      </c>
      <c r="B110" s="398">
        <v>0</v>
      </c>
      <c r="C110" s="398">
        <v>0.25</v>
      </c>
      <c r="D110" s="399">
        <v>0.25</v>
      </c>
      <c r="E110" s="400" t="s">
        <v>240</v>
      </c>
      <c r="F110" s="398">
        <v>0</v>
      </c>
      <c r="G110" s="399">
        <v>0</v>
      </c>
      <c r="H110" s="401">
        <v>0</v>
      </c>
      <c r="I110" s="398">
        <v>0</v>
      </c>
      <c r="J110" s="399">
        <v>0</v>
      </c>
      <c r="K110" s="406">
        <v>0</v>
      </c>
    </row>
    <row r="111" spans="1:11" ht="14.4" customHeight="1" thickBot="1" x14ac:dyDescent="0.35">
      <c r="A111" s="415" t="s">
        <v>334</v>
      </c>
      <c r="B111" s="393">
        <v>0</v>
      </c>
      <c r="C111" s="393">
        <v>0.25</v>
      </c>
      <c r="D111" s="394">
        <v>0.25</v>
      </c>
      <c r="E111" s="403" t="s">
        <v>240</v>
      </c>
      <c r="F111" s="393">
        <v>0</v>
      </c>
      <c r="G111" s="394">
        <v>0</v>
      </c>
      <c r="H111" s="396">
        <v>0</v>
      </c>
      <c r="I111" s="393">
        <v>0</v>
      </c>
      <c r="J111" s="394">
        <v>0</v>
      </c>
      <c r="K111" s="397">
        <v>0</v>
      </c>
    </row>
    <row r="112" spans="1:11" ht="14.4" customHeight="1" thickBot="1" x14ac:dyDescent="0.35">
      <c r="A112" s="412" t="s">
        <v>335</v>
      </c>
      <c r="B112" s="393">
        <v>0</v>
      </c>
      <c r="C112" s="393">
        <v>134.1867</v>
      </c>
      <c r="D112" s="394">
        <v>134.1867</v>
      </c>
      <c r="E112" s="403" t="s">
        <v>230</v>
      </c>
      <c r="F112" s="393">
        <v>0</v>
      </c>
      <c r="G112" s="394">
        <v>0</v>
      </c>
      <c r="H112" s="396">
        <v>19.350000000000001</v>
      </c>
      <c r="I112" s="393">
        <v>69.349000000000004</v>
      </c>
      <c r="J112" s="394">
        <v>69.349000000000004</v>
      </c>
      <c r="K112" s="404" t="s">
        <v>230</v>
      </c>
    </row>
    <row r="113" spans="1:11" ht="14.4" customHeight="1" thickBot="1" x14ac:dyDescent="0.35">
      <c r="A113" s="413" t="s">
        <v>336</v>
      </c>
      <c r="B113" s="393">
        <v>0</v>
      </c>
      <c r="C113" s="393">
        <v>134.1867</v>
      </c>
      <c r="D113" s="394">
        <v>134.1867</v>
      </c>
      <c r="E113" s="403" t="s">
        <v>230</v>
      </c>
      <c r="F113" s="393">
        <v>0</v>
      </c>
      <c r="G113" s="394">
        <v>0</v>
      </c>
      <c r="H113" s="396">
        <v>19.350000000000001</v>
      </c>
      <c r="I113" s="393">
        <v>69.349000000000004</v>
      </c>
      <c r="J113" s="394">
        <v>69.349000000000004</v>
      </c>
      <c r="K113" s="404" t="s">
        <v>230</v>
      </c>
    </row>
    <row r="114" spans="1:11" ht="14.4" customHeight="1" thickBot="1" x14ac:dyDescent="0.35">
      <c r="A114" s="414" t="s">
        <v>337</v>
      </c>
      <c r="B114" s="398">
        <v>0</v>
      </c>
      <c r="C114" s="398">
        <v>28.287700000000001</v>
      </c>
      <c r="D114" s="399">
        <v>28.287700000000001</v>
      </c>
      <c r="E114" s="400" t="s">
        <v>230</v>
      </c>
      <c r="F114" s="398">
        <v>0</v>
      </c>
      <c r="G114" s="399">
        <v>0</v>
      </c>
      <c r="H114" s="401">
        <v>10.15</v>
      </c>
      <c r="I114" s="398">
        <v>25.265000000000001</v>
      </c>
      <c r="J114" s="399">
        <v>25.265000000000001</v>
      </c>
      <c r="K114" s="402" t="s">
        <v>230</v>
      </c>
    </row>
    <row r="115" spans="1:11" ht="14.4" customHeight="1" thickBot="1" x14ac:dyDescent="0.35">
      <c r="A115" s="415" t="s">
        <v>338</v>
      </c>
      <c r="B115" s="393">
        <v>0</v>
      </c>
      <c r="C115" s="393">
        <v>-3.2673000000000001</v>
      </c>
      <c r="D115" s="394">
        <v>-3.2673000000000001</v>
      </c>
      <c r="E115" s="403" t="s">
        <v>230</v>
      </c>
      <c r="F115" s="393">
        <v>0</v>
      </c>
      <c r="G115" s="394">
        <v>0</v>
      </c>
      <c r="H115" s="396">
        <v>0</v>
      </c>
      <c r="I115" s="393">
        <v>0</v>
      </c>
      <c r="J115" s="394">
        <v>0</v>
      </c>
      <c r="K115" s="404">
        <v>0</v>
      </c>
    </row>
    <row r="116" spans="1:11" ht="14.4" customHeight="1" thickBot="1" x14ac:dyDescent="0.35">
      <c r="A116" s="415" t="s">
        <v>339</v>
      </c>
      <c r="B116" s="393">
        <v>0</v>
      </c>
      <c r="C116" s="393">
        <v>30.84</v>
      </c>
      <c r="D116" s="394">
        <v>30.84</v>
      </c>
      <c r="E116" s="403" t="s">
        <v>240</v>
      </c>
      <c r="F116" s="393">
        <v>0</v>
      </c>
      <c r="G116" s="394">
        <v>0</v>
      </c>
      <c r="H116" s="396">
        <v>10.15</v>
      </c>
      <c r="I116" s="393">
        <v>25.265000000000001</v>
      </c>
      <c r="J116" s="394">
        <v>25.265000000000001</v>
      </c>
      <c r="K116" s="404" t="s">
        <v>230</v>
      </c>
    </row>
    <row r="117" spans="1:11" ht="14.4" customHeight="1" thickBot="1" x14ac:dyDescent="0.35">
      <c r="A117" s="415" t="s">
        <v>340</v>
      </c>
      <c r="B117" s="393">
        <v>0</v>
      </c>
      <c r="C117" s="393">
        <v>0.71499999999999997</v>
      </c>
      <c r="D117" s="394">
        <v>0.71499999999999997</v>
      </c>
      <c r="E117" s="403" t="s">
        <v>230</v>
      </c>
      <c r="F117" s="393">
        <v>0</v>
      </c>
      <c r="G117" s="394">
        <v>0</v>
      </c>
      <c r="H117" s="396">
        <v>0</v>
      </c>
      <c r="I117" s="393">
        <v>0</v>
      </c>
      <c r="J117" s="394">
        <v>0</v>
      </c>
      <c r="K117" s="404" t="s">
        <v>230</v>
      </c>
    </row>
    <row r="118" spans="1:11" ht="14.4" customHeight="1" thickBot="1" x14ac:dyDescent="0.35">
      <c r="A118" s="414" t="s">
        <v>341</v>
      </c>
      <c r="B118" s="398">
        <v>0</v>
      </c>
      <c r="C118" s="398">
        <v>52.4</v>
      </c>
      <c r="D118" s="399">
        <v>52.4</v>
      </c>
      <c r="E118" s="400" t="s">
        <v>230</v>
      </c>
      <c r="F118" s="398">
        <v>0</v>
      </c>
      <c r="G118" s="399">
        <v>0</v>
      </c>
      <c r="H118" s="401">
        <v>9.1999999999999993</v>
      </c>
      <c r="I118" s="398">
        <v>28.6</v>
      </c>
      <c r="J118" s="399">
        <v>28.6</v>
      </c>
      <c r="K118" s="402" t="s">
        <v>230</v>
      </c>
    </row>
    <row r="119" spans="1:11" ht="14.4" customHeight="1" thickBot="1" x14ac:dyDescent="0.35">
      <c r="A119" s="415" t="s">
        <v>342</v>
      </c>
      <c r="B119" s="393">
        <v>0</v>
      </c>
      <c r="C119" s="393">
        <v>52.4</v>
      </c>
      <c r="D119" s="394">
        <v>52.4</v>
      </c>
      <c r="E119" s="403" t="s">
        <v>230</v>
      </c>
      <c r="F119" s="393">
        <v>0</v>
      </c>
      <c r="G119" s="394">
        <v>0</v>
      </c>
      <c r="H119" s="396">
        <v>9.1999999999999993</v>
      </c>
      <c r="I119" s="393">
        <v>28.6</v>
      </c>
      <c r="J119" s="394">
        <v>28.6</v>
      </c>
      <c r="K119" s="404" t="s">
        <v>230</v>
      </c>
    </row>
    <row r="120" spans="1:11" ht="14.4" customHeight="1" thickBot="1" x14ac:dyDescent="0.35">
      <c r="A120" s="417" t="s">
        <v>343</v>
      </c>
      <c r="B120" s="393">
        <v>0</v>
      </c>
      <c r="C120" s="393">
        <v>0</v>
      </c>
      <c r="D120" s="394">
        <v>0</v>
      </c>
      <c r="E120" s="395">
        <v>1</v>
      </c>
      <c r="F120" s="393">
        <v>0</v>
      </c>
      <c r="G120" s="394">
        <v>0</v>
      </c>
      <c r="H120" s="396">
        <v>0</v>
      </c>
      <c r="I120" s="393">
        <v>1.7</v>
      </c>
      <c r="J120" s="394">
        <v>1.7</v>
      </c>
      <c r="K120" s="404" t="s">
        <v>240</v>
      </c>
    </row>
    <row r="121" spans="1:11" ht="14.4" customHeight="1" thickBot="1" x14ac:dyDescent="0.35">
      <c r="A121" s="415" t="s">
        <v>344</v>
      </c>
      <c r="B121" s="393">
        <v>0</v>
      </c>
      <c r="C121" s="393">
        <v>0</v>
      </c>
      <c r="D121" s="394">
        <v>0</v>
      </c>
      <c r="E121" s="395">
        <v>1</v>
      </c>
      <c r="F121" s="393">
        <v>0</v>
      </c>
      <c r="G121" s="394">
        <v>0</v>
      </c>
      <c r="H121" s="396">
        <v>0</v>
      </c>
      <c r="I121" s="393">
        <v>1.7</v>
      </c>
      <c r="J121" s="394">
        <v>1.7</v>
      </c>
      <c r="K121" s="404" t="s">
        <v>240</v>
      </c>
    </row>
    <row r="122" spans="1:11" ht="14.4" customHeight="1" thickBot="1" x14ac:dyDescent="0.35">
      <c r="A122" s="417" t="s">
        <v>345</v>
      </c>
      <c r="B122" s="393">
        <v>0</v>
      </c>
      <c r="C122" s="393">
        <v>4.9000000000000004</v>
      </c>
      <c r="D122" s="394">
        <v>4.9000000000000004</v>
      </c>
      <c r="E122" s="403" t="s">
        <v>230</v>
      </c>
      <c r="F122" s="393">
        <v>0</v>
      </c>
      <c r="G122" s="394">
        <v>0</v>
      </c>
      <c r="H122" s="396">
        <v>0</v>
      </c>
      <c r="I122" s="393">
        <v>4.1500000000000004</v>
      </c>
      <c r="J122" s="394">
        <v>4.1500000000000004</v>
      </c>
      <c r="K122" s="404" t="s">
        <v>230</v>
      </c>
    </row>
    <row r="123" spans="1:11" ht="14.4" customHeight="1" thickBot="1" x14ac:dyDescent="0.35">
      <c r="A123" s="415" t="s">
        <v>346</v>
      </c>
      <c r="B123" s="393">
        <v>0</v>
      </c>
      <c r="C123" s="393">
        <v>4.9000000000000004</v>
      </c>
      <c r="D123" s="394">
        <v>4.9000000000000004</v>
      </c>
      <c r="E123" s="403" t="s">
        <v>230</v>
      </c>
      <c r="F123" s="393">
        <v>0</v>
      </c>
      <c r="G123" s="394">
        <v>0</v>
      </c>
      <c r="H123" s="396">
        <v>0</v>
      </c>
      <c r="I123" s="393">
        <v>4.1500000000000004</v>
      </c>
      <c r="J123" s="394">
        <v>4.1500000000000004</v>
      </c>
      <c r="K123" s="404" t="s">
        <v>230</v>
      </c>
    </row>
    <row r="124" spans="1:11" ht="14.4" customHeight="1" thickBot="1" x14ac:dyDescent="0.35">
      <c r="A124" s="417" t="s">
        <v>347</v>
      </c>
      <c r="B124" s="393">
        <v>0</v>
      </c>
      <c r="C124" s="393">
        <v>10.85</v>
      </c>
      <c r="D124" s="394">
        <v>10.85</v>
      </c>
      <c r="E124" s="403" t="s">
        <v>230</v>
      </c>
      <c r="F124" s="393">
        <v>0</v>
      </c>
      <c r="G124" s="394">
        <v>0</v>
      </c>
      <c r="H124" s="396">
        <v>0</v>
      </c>
      <c r="I124" s="393">
        <v>7</v>
      </c>
      <c r="J124" s="394">
        <v>7</v>
      </c>
      <c r="K124" s="404" t="s">
        <v>230</v>
      </c>
    </row>
    <row r="125" spans="1:11" ht="14.4" customHeight="1" thickBot="1" x14ac:dyDescent="0.35">
      <c r="A125" s="415" t="s">
        <v>348</v>
      </c>
      <c r="B125" s="393">
        <v>0</v>
      </c>
      <c r="C125" s="393">
        <v>10.85</v>
      </c>
      <c r="D125" s="394">
        <v>10.85</v>
      </c>
      <c r="E125" s="403" t="s">
        <v>230</v>
      </c>
      <c r="F125" s="393">
        <v>0</v>
      </c>
      <c r="G125" s="394">
        <v>0</v>
      </c>
      <c r="H125" s="396">
        <v>0</v>
      </c>
      <c r="I125" s="393">
        <v>7</v>
      </c>
      <c r="J125" s="394">
        <v>7</v>
      </c>
      <c r="K125" s="404" t="s">
        <v>230</v>
      </c>
    </row>
    <row r="126" spans="1:11" ht="14.4" customHeight="1" thickBot="1" x14ac:dyDescent="0.35">
      <c r="A126" s="417" t="s">
        <v>349</v>
      </c>
      <c r="B126" s="393">
        <v>0</v>
      </c>
      <c r="C126" s="393">
        <v>37.749000000000002</v>
      </c>
      <c r="D126" s="394">
        <v>37.749000000000002</v>
      </c>
      <c r="E126" s="403" t="s">
        <v>230</v>
      </c>
      <c r="F126" s="393">
        <v>0</v>
      </c>
      <c r="G126" s="394">
        <v>0</v>
      </c>
      <c r="H126" s="396">
        <v>0</v>
      </c>
      <c r="I126" s="393">
        <v>2.6339999999999999</v>
      </c>
      <c r="J126" s="394">
        <v>2.6339999999999999</v>
      </c>
      <c r="K126" s="404" t="s">
        <v>230</v>
      </c>
    </row>
    <row r="127" spans="1:11" ht="14.4" customHeight="1" thickBot="1" x14ac:dyDescent="0.35">
      <c r="A127" s="415" t="s">
        <v>350</v>
      </c>
      <c r="B127" s="393">
        <v>0</v>
      </c>
      <c r="C127" s="393">
        <v>37.749000000000002</v>
      </c>
      <c r="D127" s="394">
        <v>37.749000000000002</v>
      </c>
      <c r="E127" s="403" t="s">
        <v>230</v>
      </c>
      <c r="F127" s="393">
        <v>0</v>
      </c>
      <c r="G127" s="394">
        <v>0</v>
      </c>
      <c r="H127" s="396">
        <v>0</v>
      </c>
      <c r="I127" s="393">
        <v>2.6339999999999999</v>
      </c>
      <c r="J127" s="394">
        <v>2.6339999999999999</v>
      </c>
      <c r="K127" s="404" t="s">
        <v>230</v>
      </c>
    </row>
    <row r="128" spans="1:11" ht="14.4" customHeight="1" thickBot="1" x14ac:dyDescent="0.35">
      <c r="A128" s="412" t="s">
        <v>351</v>
      </c>
      <c r="B128" s="393">
        <v>1734.00400425624</v>
      </c>
      <c r="C128" s="393">
        <v>1758.6079999999999</v>
      </c>
      <c r="D128" s="394">
        <v>24.603995743761001</v>
      </c>
      <c r="E128" s="395">
        <v>1.014189122795</v>
      </c>
      <c r="F128" s="393">
        <v>1984</v>
      </c>
      <c r="G128" s="394">
        <v>1157.3333333333401</v>
      </c>
      <c r="H128" s="396">
        <v>186.09399999999999</v>
      </c>
      <c r="I128" s="393">
        <v>1094.873</v>
      </c>
      <c r="J128" s="394">
        <v>-62.460333333335001</v>
      </c>
      <c r="K128" s="397">
        <v>0.55185131048299996</v>
      </c>
    </row>
    <row r="129" spans="1:11" ht="14.4" customHeight="1" thickBot="1" x14ac:dyDescent="0.35">
      <c r="A129" s="413" t="s">
        <v>352</v>
      </c>
      <c r="B129" s="393">
        <v>1734.00400425624</v>
      </c>
      <c r="C129" s="393">
        <v>1734.444</v>
      </c>
      <c r="D129" s="394">
        <v>0.43999574376099998</v>
      </c>
      <c r="E129" s="395">
        <v>1.000253745517</v>
      </c>
      <c r="F129" s="393">
        <v>1984</v>
      </c>
      <c r="G129" s="394">
        <v>1157.3333333333401</v>
      </c>
      <c r="H129" s="396">
        <v>186.09399999999999</v>
      </c>
      <c r="I129" s="393">
        <v>1094.873</v>
      </c>
      <c r="J129" s="394">
        <v>-62.460333333335001</v>
      </c>
      <c r="K129" s="397">
        <v>0.55185131048299996</v>
      </c>
    </row>
    <row r="130" spans="1:11" ht="14.4" customHeight="1" thickBot="1" x14ac:dyDescent="0.35">
      <c r="A130" s="414" t="s">
        <v>353</v>
      </c>
      <c r="B130" s="398">
        <v>1734.00400425624</v>
      </c>
      <c r="C130" s="398">
        <v>1734.444</v>
      </c>
      <c r="D130" s="399">
        <v>0.43999574376099998</v>
      </c>
      <c r="E130" s="405">
        <v>1.000253745517</v>
      </c>
      <c r="F130" s="398">
        <v>1984</v>
      </c>
      <c r="G130" s="399">
        <v>1157.3333333333401</v>
      </c>
      <c r="H130" s="401">
        <v>186.09399999999999</v>
      </c>
      <c r="I130" s="398">
        <v>1094.873</v>
      </c>
      <c r="J130" s="399">
        <v>-62.460333333335001</v>
      </c>
      <c r="K130" s="406">
        <v>0.55185131048299996</v>
      </c>
    </row>
    <row r="131" spans="1:11" ht="14.4" customHeight="1" thickBot="1" x14ac:dyDescent="0.35">
      <c r="A131" s="415" t="s">
        <v>354</v>
      </c>
      <c r="B131" s="393">
        <v>2.0000046185190001</v>
      </c>
      <c r="C131" s="393">
        <v>1.728</v>
      </c>
      <c r="D131" s="394">
        <v>-0.27200461851899999</v>
      </c>
      <c r="E131" s="395">
        <v>0.86399800480400002</v>
      </c>
      <c r="F131" s="393">
        <v>2</v>
      </c>
      <c r="G131" s="394">
        <v>1.1666666666659999</v>
      </c>
      <c r="H131" s="396">
        <v>0.14399999999999999</v>
      </c>
      <c r="I131" s="393">
        <v>1.008</v>
      </c>
      <c r="J131" s="394">
        <v>-0.15866666666599999</v>
      </c>
      <c r="K131" s="397">
        <v>0.50399999999900003</v>
      </c>
    </row>
    <row r="132" spans="1:11" ht="14.4" customHeight="1" thickBot="1" x14ac:dyDescent="0.35">
      <c r="A132" s="415" t="s">
        <v>355</v>
      </c>
      <c r="B132" s="393">
        <v>1732.00399963772</v>
      </c>
      <c r="C132" s="393">
        <v>1732.404</v>
      </c>
      <c r="D132" s="394">
        <v>0.40000036228000002</v>
      </c>
      <c r="E132" s="395">
        <v>1.0002309465579999</v>
      </c>
      <c r="F132" s="393">
        <v>1982</v>
      </c>
      <c r="G132" s="394">
        <v>1156.1666666666699</v>
      </c>
      <c r="H132" s="396">
        <v>185.92400000000001</v>
      </c>
      <c r="I132" s="393">
        <v>1093.683</v>
      </c>
      <c r="J132" s="394">
        <v>-62.483666666668</v>
      </c>
      <c r="K132" s="397">
        <v>0.55180776992900005</v>
      </c>
    </row>
    <row r="133" spans="1:11" ht="14.4" customHeight="1" thickBot="1" x14ac:dyDescent="0.35">
      <c r="A133" s="415" t="s">
        <v>356</v>
      </c>
      <c r="B133" s="393">
        <v>0</v>
      </c>
      <c r="C133" s="393">
        <v>0.312</v>
      </c>
      <c r="D133" s="394">
        <v>0.312</v>
      </c>
      <c r="E133" s="403" t="s">
        <v>230</v>
      </c>
      <c r="F133" s="393">
        <v>0</v>
      </c>
      <c r="G133" s="394">
        <v>0</v>
      </c>
      <c r="H133" s="396">
        <v>2.5999999999999999E-2</v>
      </c>
      <c r="I133" s="393">
        <v>0.182</v>
      </c>
      <c r="J133" s="394">
        <v>0.182</v>
      </c>
      <c r="K133" s="404" t="s">
        <v>230</v>
      </c>
    </row>
    <row r="134" spans="1:11" ht="14.4" customHeight="1" thickBot="1" x14ac:dyDescent="0.35">
      <c r="A134" s="413" t="s">
        <v>357</v>
      </c>
      <c r="B134" s="393">
        <v>0</v>
      </c>
      <c r="C134" s="393">
        <v>24.164000000000001</v>
      </c>
      <c r="D134" s="394">
        <v>24.164000000000001</v>
      </c>
      <c r="E134" s="403" t="s">
        <v>230</v>
      </c>
      <c r="F134" s="393">
        <v>0</v>
      </c>
      <c r="G134" s="394">
        <v>0</v>
      </c>
      <c r="H134" s="396">
        <v>0</v>
      </c>
      <c r="I134" s="393">
        <v>0</v>
      </c>
      <c r="J134" s="394">
        <v>0</v>
      </c>
      <c r="K134" s="404" t="s">
        <v>230</v>
      </c>
    </row>
    <row r="135" spans="1:11" ht="14.4" customHeight="1" thickBot="1" x14ac:dyDescent="0.35">
      <c r="A135" s="414" t="s">
        <v>358</v>
      </c>
      <c r="B135" s="398">
        <v>0</v>
      </c>
      <c r="C135" s="398">
        <v>8.8940000000000001</v>
      </c>
      <c r="D135" s="399">
        <v>8.8940000000000001</v>
      </c>
      <c r="E135" s="400" t="s">
        <v>240</v>
      </c>
      <c r="F135" s="398">
        <v>0</v>
      </c>
      <c r="G135" s="399">
        <v>0</v>
      </c>
      <c r="H135" s="401">
        <v>0</v>
      </c>
      <c r="I135" s="398">
        <v>0</v>
      </c>
      <c r="J135" s="399">
        <v>0</v>
      </c>
      <c r="K135" s="402" t="s">
        <v>230</v>
      </c>
    </row>
    <row r="136" spans="1:11" ht="14.4" customHeight="1" thickBot="1" x14ac:dyDescent="0.35">
      <c r="A136" s="415" t="s">
        <v>359</v>
      </c>
      <c r="B136" s="393">
        <v>0</v>
      </c>
      <c r="C136" s="393">
        <v>-3.00685</v>
      </c>
      <c r="D136" s="394">
        <v>-3.00685</v>
      </c>
      <c r="E136" s="403" t="s">
        <v>240</v>
      </c>
      <c r="F136" s="393">
        <v>0</v>
      </c>
      <c r="G136" s="394">
        <v>0</v>
      </c>
      <c r="H136" s="396">
        <v>0</v>
      </c>
      <c r="I136" s="393">
        <v>0</v>
      </c>
      <c r="J136" s="394">
        <v>0</v>
      </c>
      <c r="K136" s="404" t="s">
        <v>230</v>
      </c>
    </row>
    <row r="137" spans="1:11" ht="14.4" customHeight="1" thickBot="1" x14ac:dyDescent="0.35">
      <c r="A137" s="415" t="s">
        <v>360</v>
      </c>
      <c r="B137" s="393">
        <v>0</v>
      </c>
      <c r="C137" s="393">
        <v>3.8119999999999998</v>
      </c>
      <c r="D137" s="394">
        <v>3.8119999999999998</v>
      </c>
      <c r="E137" s="403" t="s">
        <v>240</v>
      </c>
      <c r="F137" s="393">
        <v>0</v>
      </c>
      <c r="G137" s="394">
        <v>0</v>
      </c>
      <c r="H137" s="396">
        <v>0</v>
      </c>
      <c r="I137" s="393">
        <v>0</v>
      </c>
      <c r="J137" s="394">
        <v>0</v>
      </c>
      <c r="K137" s="397">
        <v>0</v>
      </c>
    </row>
    <row r="138" spans="1:11" ht="14.4" customHeight="1" thickBot="1" x14ac:dyDescent="0.35">
      <c r="A138" s="415" t="s">
        <v>361</v>
      </c>
      <c r="B138" s="393">
        <v>0</v>
      </c>
      <c r="C138" s="393">
        <v>8.0888500000000008</v>
      </c>
      <c r="D138" s="394">
        <v>8.0888500000000008</v>
      </c>
      <c r="E138" s="403" t="s">
        <v>240</v>
      </c>
      <c r="F138" s="393">
        <v>0</v>
      </c>
      <c r="G138" s="394">
        <v>0</v>
      </c>
      <c r="H138" s="396">
        <v>0</v>
      </c>
      <c r="I138" s="393">
        <v>0</v>
      </c>
      <c r="J138" s="394">
        <v>0</v>
      </c>
      <c r="K138" s="404" t="s">
        <v>230</v>
      </c>
    </row>
    <row r="139" spans="1:11" ht="14.4" customHeight="1" thickBot="1" x14ac:dyDescent="0.35">
      <c r="A139" s="414" t="s">
        <v>362</v>
      </c>
      <c r="B139" s="398">
        <v>0</v>
      </c>
      <c r="C139" s="398">
        <v>15.27</v>
      </c>
      <c r="D139" s="399">
        <v>15.27</v>
      </c>
      <c r="E139" s="400" t="s">
        <v>240</v>
      </c>
      <c r="F139" s="398">
        <v>0</v>
      </c>
      <c r="G139" s="399">
        <v>0</v>
      </c>
      <c r="H139" s="401">
        <v>0</v>
      </c>
      <c r="I139" s="398">
        <v>0</v>
      </c>
      <c r="J139" s="399">
        <v>0</v>
      </c>
      <c r="K139" s="402" t="s">
        <v>230</v>
      </c>
    </row>
    <row r="140" spans="1:11" ht="14.4" customHeight="1" thickBot="1" x14ac:dyDescent="0.35">
      <c r="A140" s="415" t="s">
        <v>363</v>
      </c>
      <c r="B140" s="393">
        <v>0</v>
      </c>
      <c r="C140" s="393">
        <v>15.27</v>
      </c>
      <c r="D140" s="394">
        <v>15.27</v>
      </c>
      <c r="E140" s="403" t="s">
        <v>240</v>
      </c>
      <c r="F140" s="393">
        <v>0</v>
      </c>
      <c r="G140" s="394">
        <v>0</v>
      </c>
      <c r="H140" s="396">
        <v>0</v>
      </c>
      <c r="I140" s="393">
        <v>0</v>
      </c>
      <c r="J140" s="394">
        <v>0</v>
      </c>
      <c r="K140" s="404" t="s">
        <v>230</v>
      </c>
    </row>
    <row r="141" spans="1:11" ht="14.4" customHeight="1" thickBot="1" x14ac:dyDescent="0.35">
      <c r="A141" s="412" t="s">
        <v>364</v>
      </c>
      <c r="B141" s="393">
        <v>0</v>
      </c>
      <c r="C141" s="393">
        <v>0.45029999999999998</v>
      </c>
      <c r="D141" s="394">
        <v>0.45029999999999998</v>
      </c>
      <c r="E141" s="403" t="s">
        <v>230</v>
      </c>
      <c r="F141" s="393">
        <v>0</v>
      </c>
      <c r="G141" s="394">
        <v>0</v>
      </c>
      <c r="H141" s="396">
        <v>0</v>
      </c>
      <c r="I141" s="393">
        <v>7.8979999999999995E-2</v>
      </c>
      <c r="J141" s="394">
        <v>7.8979999999999995E-2</v>
      </c>
      <c r="K141" s="404" t="s">
        <v>230</v>
      </c>
    </row>
    <row r="142" spans="1:11" ht="14.4" customHeight="1" thickBot="1" x14ac:dyDescent="0.35">
      <c r="A142" s="413" t="s">
        <v>365</v>
      </c>
      <c r="B142" s="393">
        <v>0</v>
      </c>
      <c r="C142" s="393">
        <v>0.45029999999999998</v>
      </c>
      <c r="D142" s="394">
        <v>0.45029999999999998</v>
      </c>
      <c r="E142" s="403" t="s">
        <v>230</v>
      </c>
      <c r="F142" s="393">
        <v>0</v>
      </c>
      <c r="G142" s="394">
        <v>0</v>
      </c>
      <c r="H142" s="396">
        <v>0</v>
      </c>
      <c r="I142" s="393">
        <v>7.8979999999999995E-2</v>
      </c>
      <c r="J142" s="394">
        <v>7.8979999999999995E-2</v>
      </c>
      <c r="K142" s="404" t="s">
        <v>230</v>
      </c>
    </row>
    <row r="143" spans="1:11" ht="14.4" customHeight="1" thickBot="1" x14ac:dyDescent="0.35">
      <c r="A143" s="414" t="s">
        <v>366</v>
      </c>
      <c r="B143" s="398">
        <v>0</v>
      </c>
      <c r="C143" s="398">
        <v>0.45029999999999998</v>
      </c>
      <c r="D143" s="399">
        <v>0.45029999999999998</v>
      </c>
      <c r="E143" s="400" t="s">
        <v>230</v>
      </c>
      <c r="F143" s="398">
        <v>0</v>
      </c>
      <c r="G143" s="399">
        <v>0</v>
      </c>
      <c r="H143" s="401">
        <v>0</v>
      </c>
      <c r="I143" s="398">
        <v>7.8979999999999995E-2</v>
      </c>
      <c r="J143" s="399">
        <v>7.8979999999999995E-2</v>
      </c>
      <c r="K143" s="402" t="s">
        <v>230</v>
      </c>
    </row>
    <row r="144" spans="1:11" ht="14.4" customHeight="1" thickBot="1" x14ac:dyDescent="0.35">
      <c r="A144" s="415" t="s">
        <v>367</v>
      </c>
      <c r="B144" s="393">
        <v>0</v>
      </c>
      <c r="C144" s="393">
        <v>0.45029999999999998</v>
      </c>
      <c r="D144" s="394">
        <v>0.45029999999999998</v>
      </c>
      <c r="E144" s="403" t="s">
        <v>230</v>
      </c>
      <c r="F144" s="393">
        <v>0</v>
      </c>
      <c r="G144" s="394">
        <v>0</v>
      </c>
      <c r="H144" s="396">
        <v>0</v>
      </c>
      <c r="I144" s="393">
        <v>7.8979999999999995E-2</v>
      </c>
      <c r="J144" s="394">
        <v>7.8979999999999995E-2</v>
      </c>
      <c r="K144" s="404" t="s">
        <v>230</v>
      </c>
    </row>
    <row r="145" spans="1:11" ht="14.4" customHeight="1" thickBot="1" x14ac:dyDescent="0.35">
      <c r="A145" s="411" t="s">
        <v>368</v>
      </c>
      <c r="B145" s="393">
        <v>25469.354388343902</v>
      </c>
      <c r="C145" s="393">
        <v>26029.703799999999</v>
      </c>
      <c r="D145" s="394">
        <v>560.34941165611599</v>
      </c>
      <c r="E145" s="395">
        <v>1.0220009271970001</v>
      </c>
      <c r="F145" s="393">
        <v>28543.633059844498</v>
      </c>
      <c r="G145" s="394">
        <v>16650.452618242602</v>
      </c>
      <c r="H145" s="396">
        <v>2913.39741</v>
      </c>
      <c r="I145" s="393">
        <v>17988.996609999998</v>
      </c>
      <c r="J145" s="394">
        <v>1338.5439917573799</v>
      </c>
      <c r="K145" s="397">
        <v>0.63022799418200004</v>
      </c>
    </row>
    <row r="146" spans="1:11" ht="14.4" customHeight="1" thickBot="1" x14ac:dyDescent="0.35">
      <c r="A146" s="412" t="s">
        <v>369</v>
      </c>
      <c r="B146" s="393">
        <v>25401.004190260399</v>
      </c>
      <c r="C146" s="393">
        <v>25505.50229</v>
      </c>
      <c r="D146" s="394">
        <v>104.49809973956501</v>
      </c>
      <c r="E146" s="395">
        <v>1.00411393577</v>
      </c>
      <c r="F146" s="393">
        <v>28001.498645287898</v>
      </c>
      <c r="G146" s="394">
        <v>16334.2075430846</v>
      </c>
      <c r="H146" s="396">
        <v>2843.6534799999999</v>
      </c>
      <c r="I146" s="393">
        <v>17364.91923</v>
      </c>
      <c r="J146" s="394">
        <v>1030.7116869154199</v>
      </c>
      <c r="K146" s="397">
        <v>0.62014249486999995</v>
      </c>
    </row>
    <row r="147" spans="1:11" ht="14.4" customHeight="1" thickBot="1" x14ac:dyDescent="0.35">
      <c r="A147" s="413" t="s">
        <v>370</v>
      </c>
      <c r="B147" s="393">
        <v>24002.774293791801</v>
      </c>
      <c r="C147" s="393">
        <v>23489.128939999999</v>
      </c>
      <c r="D147" s="394">
        <v>-513.64535379178801</v>
      </c>
      <c r="E147" s="395">
        <v>0.97860058393600002</v>
      </c>
      <c r="F147" s="393">
        <v>25983</v>
      </c>
      <c r="G147" s="394">
        <v>15156.75</v>
      </c>
      <c r="H147" s="396">
        <v>2711.10736</v>
      </c>
      <c r="I147" s="393">
        <v>16144.45442</v>
      </c>
      <c r="J147" s="394">
        <v>987.70442000000196</v>
      </c>
      <c r="K147" s="397">
        <v>0.621346819843</v>
      </c>
    </row>
    <row r="148" spans="1:11" ht="14.4" customHeight="1" thickBot="1" x14ac:dyDescent="0.35">
      <c r="A148" s="414" t="s">
        <v>371</v>
      </c>
      <c r="B148" s="398">
        <v>889.874720365852</v>
      </c>
      <c r="C148" s="398">
        <v>1353.2795699999999</v>
      </c>
      <c r="D148" s="399">
        <v>463.404849634149</v>
      </c>
      <c r="E148" s="405">
        <v>1.520752909402</v>
      </c>
      <c r="F148" s="398">
        <v>1194</v>
      </c>
      <c r="G148" s="399">
        <v>696.5</v>
      </c>
      <c r="H148" s="401">
        <v>81.723759999999999</v>
      </c>
      <c r="I148" s="398">
        <v>714.44205999999997</v>
      </c>
      <c r="J148" s="399">
        <v>17.942060000000001</v>
      </c>
      <c r="K148" s="406">
        <v>0.59836018425399995</v>
      </c>
    </row>
    <row r="149" spans="1:11" ht="14.4" customHeight="1" thickBot="1" x14ac:dyDescent="0.35">
      <c r="A149" s="415" t="s">
        <v>372</v>
      </c>
      <c r="B149" s="393">
        <v>11.795628231437</v>
      </c>
      <c r="C149" s="393">
        <v>150.11272</v>
      </c>
      <c r="D149" s="394">
        <v>138.31709176856199</v>
      </c>
      <c r="E149" s="395">
        <v>12.726131839244999</v>
      </c>
      <c r="F149" s="393">
        <v>150</v>
      </c>
      <c r="G149" s="394">
        <v>87.5</v>
      </c>
      <c r="H149" s="396">
        <v>0.79649999999999999</v>
      </c>
      <c r="I149" s="393">
        <v>20.59816</v>
      </c>
      <c r="J149" s="394">
        <v>-66.901840000000007</v>
      </c>
      <c r="K149" s="397">
        <v>0.137321066666</v>
      </c>
    </row>
    <row r="150" spans="1:11" ht="14.4" customHeight="1" thickBot="1" x14ac:dyDescent="0.35">
      <c r="A150" s="415" t="s">
        <v>373</v>
      </c>
      <c r="B150" s="393">
        <v>229.00092275675499</v>
      </c>
      <c r="C150" s="393">
        <v>349.35964999999999</v>
      </c>
      <c r="D150" s="394">
        <v>120.358727243245</v>
      </c>
      <c r="E150" s="395">
        <v>1.525581843925</v>
      </c>
      <c r="F150" s="393">
        <v>293</v>
      </c>
      <c r="G150" s="394">
        <v>170.916666666667</v>
      </c>
      <c r="H150" s="396">
        <v>65.662800000000004</v>
      </c>
      <c r="I150" s="393">
        <v>320.38772</v>
      </c>
      <c r="J150" s="394">
        <v>149.471053333333</v>
      </c>
      <c r="K150" s="397">
        <v>1.0934734470980001</v>
      </c>
    </row>
    <row r="151" spans="1:11" ht="14.4" customHeight="1" thickBot="1" x14ac:dyDescent="0.35">
      <c r="A151" s="415" t="s">
        <v>374</v>
      </c>
      <c r="B151" s="393">
        <v>0</v>
      </c>
      <c r="C151" s="393">
        <v>5.5652200000000001</v>
      </c>
      <c r="D151" s="394">
        <v>5.5652200000000001</v>
      </c>
      <c r="E151" s="403" t="s">
        <v>240</v>
      </c>
      <c r="F151" s="393">
        <v>6</v>
      </c>
      <c r="G151" s="394">
        <v>3.5</v>
      </c>
      <c r="H151" s="396">
        <v>0</v>
      </c>
      <c r="I151" s="393">
        <v>1.3913</v>
      </c>
      <c r="J151" s="394">
        <v>-2.1086999999999998</v>
      </c>
      <c r="K151" s="397">
        <v>0.23188333333300001</v>
      </c>
    </row>
    <row r="152" spans="1:11" ht="14.4" customHeight="1" thickBot="1" x14ac:dyDescent="0.35">
      <c r="A152" s="415" t="s">
        <v>375</v>
      </c>
      <c r="B152" s="393">
        <v>0</v>
      </c>
      <c r="C152" s="393">
        <v>0</v>
      </c>
      <c r="D152" s="394">
        <v>0</v>
      </c>
      <c r="E152" s="395">
        <v>1</v>
      </c>
      <c r="F152" s="393">
        <v>0</v>
      </c>
      <c r="G152" s="394">
        <v>0</v>
      </c>
      <c r="H152" s="396">
        <v>0</v>
      </c>
      <c r="I152" s="393">
        <v>2.5826099999999999</v>
      </c>
      <c r="J152" s="394">
        <v>2.5826099999999999</v>
      </c>
      <c r="K152" s="404" t="s">
        <v>240</v>
      </c>
    </row>
    <row r="153" spans="1:11" ht="14.4" customHeight="1" thickBot="1" x14ac:dyDescent="0.35">
      <c r="A153" s="415" t="s">
        <v>376</v>
      </c>
      <c r="B153" s="393">
        <v>27.127675222722999</v>
      </c>
      <c r="C153" s="393">
        <v>21.194299999999998</v>
      </c>
      <c r="D153" s="394">
        <v>-5.9333752227229999</v>
      </c>
      <c r="E153" s="395">
        <v>0.78127962775899995</v>
      </c>
      <c r="F153" s="393">
        <v>25</v>
      </c>
      <c r="G153" s="394">
        <v>14.583333333333</v>
      </c>
      <c r="H153" s="396">
        <v>7.8265000000000002</v>
      </c>
      <c r="I153" s="393">
        <v>8.0579000000000001</v>
      </c>
      <c r="J153" s="394">
        <v>-6.5254333333329999</v>
      </c>
      <c r="K153" s="397">
        <v>0.32231599999999999</v>
      </c>
    </row>
    <row r="154" spans="1:11" ht="14.4" customHeight="1" thickBot="1" x14ac:dyDescent="0.35">
      <c r="A154" s="415" t="s">
        <v>377</v>
      </c>
      <c r="B154" s="393">
        <v>621.95049415493497</v>
      </c>
      <c r="C154" s="393">
        <v>827.04768000000001</v>
      </c>
      <c r="D154" s="394">
        <v>205.09718584506501</v>
      </c>
      <c r="E154" s="395">
        <v>1.329764487322</v>
      </c>
      <c r="F154" s="393">
        <v>720</v>
      </c>
      <c r="G154" s="394">
        <v>420</v>
      </c>
      <c r="H154" s="396">
        <v>7.4379600000000003</v>
      </c>
      <c r="I154" s="393">
        <v>361.42437000000001</v>
      </c>
      <c r="J154" s="394">
        <v>-58.575629999999002</v>
      </c>
      <c r="K154" s="397">
        <v>0.50197829166600005</v>
      </c>
    </row>
    <row r="155" spans="1:11" ht="14.4" customHeight="1" thickBot="1" x14ac:dyDescent="0.35">
      <c r="A155" s="414" t="s">
        <v>378</v>
      </c>
      <c r="B155" s="398">
        <v>64.000006417194001</v>
      </c>
      <c r="C155" s="398">
        <v>84.314350000000005</v>
      </c>
      <c r="D155" s="399">
        <v>20.314343582805002</v>
      </c>
      <c r="E155" s="405">
        <v>1.3174115866539999</v>
      </c>
      <c r="F155" s="398">
        <v>111</v>
      </c>
      <c r="G155" s="399">
        <v>64.75</v>
      </c>
      <c r="H155" s="401">
        <v>33.536119999999997</v>
      </c>
      <c r="I155" s="398">
        <v>156.1362</v>
      </c>
      <c r="J155" s="399">
        <v>91.386200000000002</v>
      </c>
      <c r="K155" s="406">
        <v>1.4066324324320001</v>
      </c>
    </row>
    <row r="156" spans="1:11" ht="14.4" customHeight="1" thickBot="1" x14ac:dyDescent="0.35">
      <c r="A156" s="415" t="s">
        <v>379</v>
      </c>
      <c r="B156" s="393">
        <v>64.000006417194001</v>
      </c>
      <c r="C156" s="393">
        <v>84.314350000000005</v>
      </c>
      <c r="D156" s="394">
        <v>20.314343582805002</v>
      </c>
      <c r="E156" s="395">
        <v>1.3174115866539999</v>
      </c>
      <c r="F156" s="393">
        <v>111</v>
      </c>
      <c r="G156" s="394">
        <v>64.75</v>
      </c>
      <c r="H156" s="396">
        <v>33.536119999999997</v>
      </c>
      <c r="I156" s="393">
        <v>156.1362</v>
      </c>
      <c r="J156" s="394">
        <v>91.386200000000002</v>
      </c>
      <c r="K156" s="397">
        <v>1.4066324324320001</v>
      </c>
    </row>
    <row r="157" spans="1:11" ht="14.4" customHeight="1" thickBot="1" x14ac:dyDescent="0.35">
      <c r="A157" s="414" t="s">
        <v>380</v>
      </c>
      <c r="B157" s="398">
        <v>73.897263336343002</v>
      </c>
      <c r="C157" s="398">
        <v>24.908740000000002</v>
      </c>
      <c r="D157" s="399">
        <v>-48.988523336343</v>
      </c>
      <c r="E157" s="405">
        <v>0.33707256365600002</v>
      </c>
      <c r="F157" s="398">
        <v>108</v>
      </c>
      <c r="G157" s="399">
        <v>63</v>
      </c>
      <c r="H157" s="401">
        <v>0</v>
      </c>
      <c r="I157" s="398">
        <v>4.8242200000000004</v>
      </c>
      <c r="J157" s="399">
        <v>-58.175780000000003</v>
      </c>
      <c r="K157" s="406">
        <v>4.4668703703000003E-2</v>
      </c>
    </row>
    <row r="158" spans="1:11" ht="14.4" customHeight="1" thickBot="1" x14ac:dyDescent="0.35">
      <c r="A158" s="415" t="s">
        <v>381</v>
      </c>
      <c r="B158" s="393">
        <v>73.897263336343002</v>
      </c>
      <c r="C158" s="393">
        <v>20.891079999999999</v>
      </c>
      <c r="D158" s="394">
        <v>-53.006183336343</v>
      </c>
      <c r="E158" s="395">
        <v>0.28270437979399998</v>
      </c>
      <c r="F158" s="393">
        <v>108</v>
      </c>
      <c r="G158" s="394">
        <v>63</v>
      </c>
      <c r="H158" s="396">
        <v>0</v>
      </c>
      <c r="I158" s="393">
        <v>4.8242200000000004</v>
      </c>
      <c r="J158" s="394">
        <v>-58.175780000000003</v>
      </c>
      <c r="K158" s="397">
        <v>4.4668703703000003E-2</v>
      </c>
    </row>
    <row r="159" spans="1:11" ht="14.4" customHeight="1" thickBot="1" x14ac:dyDescent="0.35">
      <c r="A159" s="415" t="s">
        <v>382</v>
      </c>
      <c r="B159" s="393">
        <v>0</v>
      </c>
      <c r="C159" s="393">
        <v>4.0176600000000002</v>
      </c>
      <c r="D159" s="394">
        <v>4.0176600000000002</v>
      </c>
      <c r="E159" s="403" t="s">
        <v>230</v>
      </c>
      <c r="F159" s="393">
        <v>0</v>
      </c>
      <c r="G159" s="394">
        <v>0</v>
      </c>
      <c r="H159" s="396">
        <v>0</v>
      </c>
      <c r="I159" s="393">
        <v>0</v>
      </c>
      <c r="J159" s="394">
        <v>0</v>
      </c>
      <c r="K159" s="404" t="s">
        <v>230</v>
      </c>
    </row>
    <row r="160" spans="1:11" ht="14.4" customHeight="1" thickBot="1" x14ac:dyDescent="0.35">
      <c r="A160" s="414" t="s">
        <v>383</v>
      </c>
      <c r="B160" s="398">
        <v>22975.002303672401</v>
      </c>
      <c r="C160" s="398">
        <v>20879.46499</v>
      </c>
      <c r="D160" s="399">
        <v>-2095.5373136723902</v>
      </c>
      <c r="E160" s="405">
        <v>0.90879055044299994</v>
      </c>
      <c r="F160" s="398">
        <v>24570</v>
      </c>
      <c r="G160" s="399">
        <v>14332.5</v>
      </c>
      <c r="H160" s="401">
        <v>2595.8474799999999</v>
      </c>
      <c r="I160" s="398">
        <v>14504.437889999999</v>
      </c>
      <c r="J160" s="399">
        <v>171.937890000001</v>
      </c>
      <c r="K160" s="406">
        <v>0.590331212454</v>
      </c>
    </row>
    <row r="161" spans="1:11" ht="14.4" customHeight="1" thickBot="1" x14ac:dyDescent="0.35">
      <c r="A161" s="415" t="s">
        <v>384</v>
      </c>
      <c r="B161" s="393">
        <v>13945.001398246401</v>
      </c>
      <c r="C161" s="393">
        <v>11331.47847</v>
      </c>
      <c r="D161" s="394">
        <v>-2613.5229282464202</v>
      </c>
      <c r="E161" s="395">
        <v>0.81258353056999999</v>
      </c>
      <c r="F161" s="393">
        <v>14733</v>
      </c>
      <c r="G161" s="394">
        <v>8594.25</v>
      </c>
      <c r="H161" s="396">
        <v>1412.5590400000001</v>
      </c>
      <c r="I161" s="393">
        <v>7713.4599799999996</v>
      </c>
      <c r="J161" s="394">
        <v>-880.79002000000105</v>
      </c>
      <c r="K161" s="397">
        <v>0.52354985271099996</v>
      </c>
    </row>
    <row r="162" spans="1:11" ht="14.4" customHeight="1" thickBot="1" x14ac:dyDescent="0.35">
      <c r="A162" s="415" t="s">
        <v>385</v>
      </c>
      <c r="B162" s="393">
        <v>9030.0009054259699</v>
      </c>
      <c r="C162" s="393">
        <v>9547.9865200000004</v>
      </c>
      <c r="D162" s="394">
        <v>517.98561457402695</v>
      </c>
      <c r="E162" s="395">
        <v>1.0573627422630001</v>
      </c>
      <c r="F162" s="393">
        <v>9837</v>
      </c>
      <c r="G162" s="394">
        <v>5738.25</v>
      </c>
      <c r="H162" s="396">
        <v>1183.28844</v>
      </c>
      <c r="I162" s="393">
        <v>6790.9779099999996</v>
      </c>
      <c r="J162" s="394">
        <v>1052.7279100000001</v>
      </c>
      <c r="K162" s="397">
        <v>0.69035050421800004</v>
      </c>
    </row>
    <row r="163" spans="1:11" ht="14.4" customHeight="1" thickBot="1" x14ac:dyDescent="0.35">
      <c r="A163" s="414" t="s">
        <v>386</v>
      </c>
      <c r="B163" s="398">
        <v>0</v>
      </c>
      <c r="C163" s="398">
        <v>1147.16129</v>
      </c>
      <c r="D163" s="399">
        <v>1147.16129</v>
      </c>
      <c r="E163" s="400" t="s">
        <v>230</v>
      </c>
      <c r="F163" s="398">
        <v>0</v>
      </c>
      <c r="G163" s="399">
        <v>0</v>
      </c>
      <c r="H163" s="401">
        <v>0</v>
      </c>
      <c r="I163" s="398">
        <v>764.61405000000002</v>
      </c>
      <c r="J163" s="399">
        <v>764.61405000000002</v>
      </c>
      <c r="K163" s="402" t="s">
        <v>230</v>
      </c>
    </row>
    <row r="164" spans="1:11" ht="14.4" customHeight="1" thickBot="1" x14ac:dyDescent="0.35">
      <c r="A164" s="415" t="s">
        <v>387</v>
      </c>
      <c r="B164" s="393">
        <v>0</v>
      </c>
      <c r="C164" s="393">
        <v>224.72207</v>
      </c>
      <c r="D164" s="394">
        <v>224.72207</v>
      </c>
      <c r="E164" s="403" t="s">
        <v>230</v>
      </c>
      <c r="F164" s="393">
        <v>0</v>
      </c>
      <c r="G164" s="394">
        <v>0</v>
      </c>
      <c r="H164" s="396">
        <v>0</v>
      </c>
      <c r="I164" s="393">
        <v>633.82300999999995</v>
      </c>
      <c r="J164" s="394">
        <v>633.82300999999995</v>
      </c>
      <c r="K164" s="404" t="s">
        <v>230</v>
      </c>
    </row>
    <row r="165" spans="1:11" ht="14.4" customHeight="1" thickBot="1" x14ac:dyDescent="0.35">
      <c r="A165" s="415" t="s">
        <v>388</v>
      </c>
      <c r="B165" s="393">
        <v>0</v>
      </c>
      <c r="C165" s="393">
        <v>922.43921999999998</v>
      </c>
      <c r="D165" s="394">
        <v>922.43921999999998</v>
      </c>
      <c r="E165" s="403" t="s">
        <v>230</v>
      </c>
      <c r="F165" s="393">
        <v>0</v>
      </c>
      <c r="G165" s="394">
        <v>0</v>
      </c>
      <c r="H165" s="396">
        <v>0</v>
      </c>
      <c r="I165" s="393">
        <v>130.79104000000001</v>
      </c>
      <c r="J165" s="394">
        <v>130.79104000000001</v>
      </c>
      <c r="K165" s="404" t="s">
        <v>230</v>
      </c>
    </row>
    <row r="166" spans="1:11" ht="14.4" customHeight="1" thickBot="1" x14ac:dyDescent="0.35">
      <c r="A166" s="418" t="s">
        <v>389</v>
      </c>
      <c r="B166" s="398">
        <v>1398.2298964686499</v>
      </c>
      <c r="C166" s="398">
        <v>2016.3733500000001</v>
      </c>
      <c r="D166" s="399">
        <v>618.14345353135298</v>
      </c>
      <c r="E166" s="405">
        <v>1.4420899989989999</v>
      </c>
      <c r="F166" s="398">
        <v>2018.49864528786</v>
      </c>
      <c r="G166" s="399">
        <v>1177.45754308458</v>
      </c>
      <c r="H166" s="401">
        <v>132.54612</v>
      </c>
      <c r="I166" s="398">
        <v>1220.4648099999999</v>
      </c>
      <c r="J166" s="399">
        <v>43.007266915415002</v>
      </c>
      <c r="K166" s="406">
        <v>0.60463989552200004</v>
      </c>
    </row>
    <row r="167" spans="1:11" ht="14.4" customHeight="1" thickBot="1" x14ac:dyDescent="0.35">
      <c r="A167" s="414" t="s">
        <v>390</v>
      </c>
      <c r="B167" s="398">
        <v>1398.2298964686499</v>
      </c>
      <c r="C167" s="398">
        <v>2016.3733500000001</v>
      </c>
      <c r="D167" s="399">
        <v>618.14345353135298</v>
      </c>
      <c r="E167" s="405">
        <v>1.4420899989989999</v>
      </c>
      <c r="F167" s="398">
        <v>2018.49864528786</v>
      </c>
      <c r="G167" s="399">
        <v>1177.45754308458</v>
      </c>
      <c r="H167" s="401">
        <v>132.54612</v>
      </c>
      <c r="I167" s="398">
        <v>1220.4648099999999</v>
      </c>
      <c r="J167" s="399">
        <v>43.007266915415002</v>
      </c>
      <c r="K167" s="406">
        <v>0.60463989552200004</v>
      </c>
    </row>
    <row r="168" spans="1:11" ht="14.4" customHeight="1" thickBot="1" x14ac:dyDescent="0.35">
      <c r="A168" s="415" t="s">
        <v>391</v>
      </c>
      <c r="B168" s="393">
        <v>0</v>
      </c>
      <c r="C168" s="393">
        <v>0</v>
      </c>
      <c r="D168" s="394">
        <v>0</v>
      </c>
      <c r="E168" s="395">
        <v>1</v>
      </c>
      <c r="F168" s="393">
        <v>0</v>
      </c>
      <c r="G168" s="394">
        <v>0</v>
      </c>
      <c r="H168" s="396">
        <v>0</v>
      </c>
      <c r="I168" s="393">
        <v>0.95</v>
      </c>
      <c r="J168" s="394">
        <v>0.95</v>
      </c>
      <c r="K168" s="404" t="s">
        <v>240</v>
      </c>
    </row>
    <row r="169" spans="1:11" ht="14.4" customHeight="1" thickBot="1" x14ac:dyDescent="0.35">
      <c r="A169" s="415" t="s">
        <v>392</v>
      </c>
      <c r="B169" s="393">
        <v>1398.2298964686499</v>
      </c>
      <c r="C169" s="393">
        <v>2016.3733500000001</v>
      </c>
      <c r="D169" s="394">
        <v>618.14345353135298</v>
      </c>
      <c r="E169" s="395">
        <v>1.4420899989989999</v>
      </c>
      <c r="F169" s="393">
        <v>2018.49864528786</v>
      </c>
      <c r="G169" s="394">
        <v>1177.45754308458</v>
      </c>
      <c r="H169" s="396">
        <v>132.54612</v>
      </c>
      <c r="I169" s="393">
        <v>1219.5148099999999</v>
      </c>
      <c r="J169" s="394">
        <v>42.057266915414999</v>
      </c>
      <c r="K169" s="397">
        <v>0.60416924868699995</v>
      </c>
    </row>
    <row r="170" spans="1:11" ht="14.4" customHeight="1" thickBot="1" x14ac:dyDescent="0.35">
      <c r="A170" s="412" t="s">
        <v>393</v>
      </c>
      <c r="B170" s="393">
        <v>68.350198083451005</v>
      </c>
      <c r="C170" s="393">
        <v>524.06100000000004</v>
      </c>
      <c r="D170" s="394">
        <v>455.71080191654897</v>
      </c>
      <c r="E170" s="395">
        <v>7.6672930685600003</v>
      </c>
      <c r="F170" s="393">
        <v>542.13441455663099</v>
      </c>
      <c r="G170" s="394">
        <v>316.24507515803498</v>
      </c>
      <c r="H170" s="396">
        <v>69.743930000000006</v>
      </c>
      <c r="I170" s="393">
        <v>624.10222999999996</v>
      </c>
      <c r="J170" s="394">
        <v>307.85715484196498</v>
      </c>
      <c r="K170" s="397">
        <v>1.151194635947</v>
      </c>
    </row>
    <row r="171" spans="1:11" ht="14.4" customHeight="1" thickBot="1" x14ac:dyDescent="0.35">
      <c r="A171" s="413" t="s">
        <v>394</v>
      </c>
      <c r="B171" s="393">
        <v>0</v>
      </c>
      <c r="C171" s="393">
        <v>5.4257</v>
      </c>
      <c r="D171" s="394">
        <v>5.4257</v>
      </c>
      <c r="E171" s="403" t="s">
        <v>240</v>
      </c>
      <c r="F171" s="393">
        <v>0</v>
      </c>
      <c r="G171" s="394">
        <v>0</v>
      </c>
      <c r="H171" s="396">
        <v>25</v>
      </c>
      <c r="I171" s="393">
        <v>25</v>
      </c>
      <c r="J171" s="394">
        <v>25</v>
      </c>
      <c r="K171" s="404" t="s">
        <v>230</v>
      </c>
    </row>
    <row r="172" spans="1:11" ht="14.4" customHeight="1" thickBot="1" x14ac:dyDescent="0.35">
      <c r="A172" s="414" t="s">
        <v>395</v>
      </c>
      <c r="B172" s="398">
        <v>0</v>
      </c>
      <c r="C172" s="398">
        <v>5.4257</v>
      </c>
      <c r="D172" s="399">
        <v>5.4257</v>
      </c>
      <c r="E172" s="400" t="s">
        <v>240</v>
      </c>
      <c r="F172" s="398">
        <v>0</v>
      </c>
      <c r="G172" s="399">
        <v>0</v>
      </c>
      <c r="H172" s="401">
        <v>0</v>
      </c>
      <c r="I172" s="398">
        <v>0</v>
      </c>
      <c r="J172" s="399">
        <v>0</v>
      </c>
      <c r="K172" s="402" t="s">
        <v>230</v>
      </c>
    </row>
    <row r="173" spans="1:11" ht="14.4" customHeight="1" thickBot="1" x14ac:dyDescent="0.35">
      <c r="A173" s="415" t="s">
        <v>396</v>
      </c>
      <c r="B173" s="393">
        <v>0</v>
      </c>
      <c r="C173" s="393">
        <v>5.4257</v>
      </c>
      <c r="D173" s="394">
        <v>5.4257</v>
      </c>
      <c r="E173" s="403" t="s">
        <v>240</v>
      </c>
      <c r="F173" s="393">
        <v>0</v>
      </c>
      <c r="G173" s="394">
        <v>0</v>
      </c>
      <c r="H173" s="396">
        <v>0</v>
      </c>
      <c r="I173" s="393">
        <v>0</v>
      </c>
      <c r="J173" s="394">
        <v>0</v>
      </c>
      <c r="K173" s="404" t="s">
        <v>230</v>
      </c>
    </row>
    <row r="174" spans="1:11" ht="14.4" customHeight="1" thickBot="1" x14ac:dyDescent="0.35">
      <c r="A174" s="414" t="s">
        <v>397</v>
      </c>
      <c r="B174" s="398">
        <v>0</v>
      </c>
      <c r="C174" s="398">
        <v>0</v>
      </c>
      <c r="D174" s="399">
        <v>0</v>
      </c>
      <c r="E174" s="405">
        <v>1</v>
      </c>
      <c r="F174" s="398">
        <v>0</v>
      </c>
      <c r="G174" s="399">
        <v>0</v>
      </c>
      <c r="H174" s="401">
        <v>25</v>
      </c>
      <c r="I174" s="398">
        <v>25</v>
      </c>
      <c r="J174" s="399">
        <v>25</v>
      </c>
      <c r="K174" s="402" t="s">
        <v>240</v>
      </c>
    </row>
    <row r="175" spans="1:11" ht="14.4" customHeight="1" thickBot="1" x14ac:dyDescent="0.35">
      <c r="A175" s="415" t="s">
        <v>398</v>
      </c>
      <c r="B175" s="393">
        <v>0</v>
      </c>
      <c r="C175" s="393">
        <v>0</v>
      </c>
      <c r="D175" s="394">
        <v>0</v>
      </c>
      <c r="E175" s="395">
        <v>1</v>
      </c>
      <c r="F175" s="393">
        <v>0</v>
      </c>
      <c r="G175" s="394">
        <v>0</v>
      </c>
      <c r="H175" s="396">
        <v>25</v>
      </c>
      <c r="I175" s="393">
        <v>25</v>
      </c>
      <c r="J175" s="394">
        <v>25</v>
      </c>
      <c r="K175" s="404" t="s">
        <v>240</v>
      </c>
    </row>
    <row r="176" spans="1:11" ht="14.4" customHeight="1" thickBot="1" x14ac:dyDescent="0.35">
      <c r="A176" s="418" t="s">
        <v>399</v>
      </c>
      <c r="B176" s="398">
        <v>68.350198083451005</v>
      </c>
      <c r="C176" s="398">
        <v>518.63530000000003</v>
      </c>
      <c r="D176" s="399">
        <v>450.28510191654902</v>
      </c>
      <c r="E176" s="405">
        <v>7.5879121720580001</v>
      </c>
      <c r="F176" s="398">
        <v>542.13441455663099</v>
      </c>
      <c r="G176" s="399">
        <v>316.24507515803498</v>
      </c>
      <c r="H176" s="401">
        <v>44.743929999999999</v>
      </c>
      <c r="I176" s="398">
        <v>599.10222999999996</v>
      </c>
      <c r="J176" s="399">
        <v>282.85715484196498</v>
      </c>
      <c r="K176" s="406">
        <v>1.105080610848</v>
      </c>
    </row>
    <row r="177" spans="1:11" ht="14.4" customHeight="1" thickBot="1" x14ac:dyDescent="0.35">
      <c r="A177" s="414" t="s">
        <v>400</v>
      </c>
      <c r="B177" s="398">
        <v>0</v>
      </c>
      <c r="C177" s="398">
        <v>0.59580999999999995</v>
      </c>
      <c r="D177" s="399">
        <v>0.59580999999999995</v>
      </c>
      <c r="E177" s="400" t="s">
        <v>230</v>
      </c>
      <c r="F177" s="398">
        <v>0</v>
      </c>
      <c r="G177" s="399">
        <v>0</v>
      </c>
      <c r="H177" s="401">
        <v>1.7930000000000001E-2</v>
      </c>
      <c r="I177" s="398">
        <v>0.22733999999999999</v>
      </c>
      <c r="J177" s="399">
        <v>0.22733999999999999</v>
      </c>
      <c r="K177" s="402" t="s">
        <v>230</v>
      </c>
    </row>
    <row r="178" spans="1:11" ht="14.4" customHeight="1" thickBot="1" x14ac:dyDescent="0.35">
      <c r="A178" s="415" t="s">
        <v>401</v>
      </c>
      <c r="B178" s="393">
        <v>0</v>
      </c>
      <c r="C178" s="393">
        <v>0.59580999999999995</v>
      </c>
      <c r="D178" s="394">
        <v>0.59580999999999995</v>
      </c>
      <c r="E178" s="403" t="s">
        <v>230</v>
      </c>
      <c r="F178" s="393">
        <v>0</v>
      </c>
      <c r="G178" s="394">
        <v>0</v>
      </c>
      <c r="H178" s="396">
        <v>1.7930000000000001E-2</v>
      </c>
      <c r="I178" s="393">
        <v>0.22733999999999999</v>
      </c>
      <c r="J178" s="394">
        <v>0.22733999999999999</v>
      </c>
      <c r="K178" s="404" t="s">
        <v>230</v>
      </c>
    </row>
    <row r="179" spans="1:11" ht="14.4" customHeight="1" thickBot="1" x14ac:dyDescent="0.35">
      <c r="A179" s="414" t="s">
        <v>402</v>
      </c>
      <c r="B179" s="398">
        <v>68.350198083451005</v>
      </c>
      <c r="C179" s="398">
        <v>518.03949</v>
      </c>
      <c r="D179" s="399">
        <v>449.689291916549</v>
      </c>
      <c r="E179" s="405">
        <v>7.5791951526970003</v>
      </c>
      <c r="F179" s="398">
        <v>542.13441455663099</v>
      </c>
      <c r="G179" s="399">
        <v>316.24507515803498</v>
      </c>
      <c r="H179" s="401">
        <v>44.725999999999999</v>
      </c>
      <c r="I179" s="398">
        <v>598.87489000000005</v>
      </c>
      <c r="J179" s="399">
        <v>282.62981484196598</v>
      </c>
      <c r="K179" s="406">
        <v>1.104661268349</v>
      </c>
    </row>
    <row r="180" spans="1:11" ht="14.4" customHeight="1" thickBot="1" x14ac:dyDescent="0.35">
      <c r="A180" s="415" t="s">
        <v>403</v>
      </c>
      <c r="B180" s="393">
        <v>22.305418200798002</v>
      </c>
      <c r="C180" s="393">
        <v>465.80500000000001</v>
      </c>
      <c r="D180" s="394">
        <v>443.49958179920202</v>
      </c>
      <c r="E180" s="395">
        <v>20.883042667333999</v>
      </c>
      <c r="F180" s="393">
        <v>491.29660133345698</v>
      </c>
      <c r="G180" s="394">
        <v>286.58968411118298</v>
      </c>
      <c r="H180" s="396">
        <v>44.65</v>
      </c>
      <c r="I180" s="393">
        <v>589.53499999999997</v>
      </c>
      <c r="J180" s="394">
        <v>302.94531588881699</v>
      </c>
      <c r="K180" s="397">
        <v>1.1999574155399999</v>
      </c>
    </row>
    <row r="181" spans="1:11" ht="14.4" customHeight="1" thickBot="1" x14ac:dyDescent="0.35">
      <c r="A181" s="415" t="s">
        <v>404</v>
      </c>
      <c r="B181" s="393">
        <v>2.189576340066</v>
      </c>
      <c r="C181" s="393">
        <v>12.234</v>
      </c>
      <c r="D181" s="394">
        <v>10.044423659933001</v>
      </c>
      <c r="E181" s="395">
        <v>5.5873822602730003</v>
      </c>
      <c r="F181" s="393">
        <v>13.954518690767999</v>
      </c>
      <c r="G181" s="394">
        <v>8.1401359029479998</v>
      </c>
      <c r="H181" s="396">
        <v>7.5999999999999998E-2</v>
      </c>
      <c r="I181" s="393">
        <v>5.2076599999999997</v>
      </c>
      <c r="J181" s="394">
        <v>-2.9324759029480001</v>
      </c>
      <c r="K181" s="397">
        <v>0.37318807730999998</v>
      </c>
    </row>
    <row r="182" spans="1:11" ht="14.4" customHeight="1" thickBot="1" x14ac:dyDescent="0.35">
      <c r="A182" s="415" t="s">
        <v>405</v>
      </c>
      <c r="B182" s="393">
        <v>43.855203542585997</v>
      </c>
      <c r="C182" s="393">
        <v>40.000489999999999</v>
      </c>
      <c r="D182" s="394">
        <v>-3.854713542586</v>
      </c>
      <c r="E182" s="395">
        <v>0.91210362211899998</v>
      </c>
      <c r="F182" s="393">
        <v>36.883294532405003</v>
      </c>
      <c r="G182" s="394">
        <v>21.515255143903001</v>
      </c>
      <c r="H182" s="396">
        <v>0</v>
      </c>
      <c r="I182" s="393">
        <v>4.1322299999999998</v>
      </c>
      <c r="J182" s="394">
        <v>-17.383025143903001</v>
      </c>
      <c r="K182" s="397">
        <v>0.112035273757</v>
      </c>
    </row>
    <row r="183" spans="1:11" ht="14.4" customHeight="1" thickBot="1" x14ac:dyDescent="0.35">
      <c r="A183" s="412" t="s">
        <v>406</v>
      </c>
      <c r="B183" s="393">
        <v>0</v>
      </c>
      <c r="C183" s="393">
        <v>0.14051</v>
      </c>
      <c r="D183" s="394">
        <v>0.14051</v>
      </c>
      <c r="E183" s="403" t="s">
        <v>230</v>
      </c>
      <c r="F183" s="393">
        <v>0</v>
      </c>
      <c r="G183" s="394">
        <v>0</v>
      </c>
      <c r="H183" s="396">
        <v>0</v>
      </c>
      <c r="I183" s="393">
        <v>-2.4850000000000001E-2</v>
      </c>
      <c r="J183" s="394">
        <v>-2.4850000000000001E-2</v>
      </c>
      <c r="K183" s="404" t="s">
        <v>230</v>
      </c>
    </row>
    <row r="184" spans="1:11" ht="14.4" customHeight="1" thickBot="1" x14ac:dyDescent="0.35">
      <c r="A184" s="418" t="s">
        <v>407</v>
      </c>
      <c r="B184" s="398">
        <v>0</v>
      </c>
      <c r="C184" s="398">
        <v>0.14051</v>
      </c>
      <c r="D184" s="399">
        <v>0.14051</v>
      </c>
      <c r="E184" s="400" t="s">
        <v>230</v>
      </c>
      <c r="F184" s="398">
        <v>0</v>
      </c>
      <c r="G184" s="399">
        <v>0</v>
      </c>
      <c r="H184" s="401">
        <v>0</v>
      </c>
      <c r="I184" s="398">
        <v>-2.4850000000000001E-2</v>
      </c>
      <c r="J184" s="399">
        <v>-2.4850000000000001E-2</v>
      </c>
      <c r="K184" s="402" t="s">
        <v>230</v>
      </c>
    </row>
    <row r="185" spans="1:11" ht="14.4" customHeight="1" thickBot="1" x14ac:dyDescent="0.35">
      <c r="A185" s="414" t="s">
        <v>408</v>
      </c>
      <c r="B185" s="398">
        <v>0</v>
      </c>
      <c r="C185" s="398">
        <v>0.14051</v>
      </c>
      <c r="D185" s="399">
        <v>0.14051</v>
      </c>
      <c r="E185" s="400" t="s">
        <v>230</v>
      </c>
      <c r="F185" s="398">
        <v>0</v>
      </c>
      <c r="G185" s="399">
        <v>0</v>
      </c>
      <c r="H185" s="401">
        <v>0</v>
      </c>
      <c r="I185" s="398">
        <v>-2.4850000000000001E-2</v>
      </c>
      <c r="J185" s="399">
        <v>-2.4850000000000001E-2</v>
      </c>
      <c r="K185" s="402" t="s">
        <v>230</v>
      </c>
    </row>
    <row r="186" spans="1:11" ht="14.4" customHeight="1" thickBot="1" x14ac:dyDescent="0.35">
      <c r="A186" s="415" t="s">
        <v>409</v>
      </c>
      <c r="B186" s="393">
        <v>0</v>
      </c>
      <c r="C186" s="393">
        <v>0.14051</v>
      </c>
      <c r="D186" s="394">
        <v>0.14051</v>
      </c>
      <c r="E186" s="403" t="s">
        <v>230</v>
      </c>
      <c r="F186" s="393">
        <v>0</v>
      </c>
      <c r="G186" s="394">
        <v>0</v>
      </c>
      <c r="H186" s="396">
        <v>0</v>
      </c>
      <c r="I186" s="393">
        <v>-2.4850000000000001E-2</v>
      </c>
      <c r="J186" s="394">
        <v>-2.4850000000000001E-2</v>
      </c>
      <c r="K186" s="404" t="s">
        <v>230</v>
      </c>
    </row>
    <row r="187" spans="1:11" ht="14.4" customHeight="1" thickBot="1" x14ac:dyDescent="0.35">
      <c r="A187" s="411" t="s">
        <v>410</v>
      </c>
      <c r="B187" s="393">
        <v>3013.7666599491999</v>
      </c>
      <c r="C187" s="393">
        <v>3022.8273199999999</v>
      </c>
      <c r="D187" s="394">
        <v>9.0606600507970008</v>
      </c>
      <c r="E187" s="395">
        <v>1.0030064238780001</v>
      </c>
      <c r="F187" s="393">
        <v>2938.7413152672302</v>
      </c>
      <c r="G187" s="394">
        <v>1714.2657672392199</v>
      </c>
      <c r="H187" s="396">
        <v>298.93504999999999</v>
      </c>
      <c r="I187" s="393">
        <v>1747.05324</v>
      </c>
      <c r="J187" s="394">
        <v>32.787472760783999</v>
      </c>
      <c r="K187" s="397">
        <v>0.59449031152300003</v>
      </c>
    </row>
    <row r="188" spans="1:11" ht="14.4" customHeight="1" thickBot="1" x14ac:dyDescent="0.35">
      <c r="A188" s="416" t="s">
        <v>411</v>
      </c>
      <c r="B188" s="398">
        <v>3013.7666599491999</v>
      </c>
      <c r="C188" s="398">
        <v>3022.8273199999999</v>
      </c>
      <c r="D188" s="399">
        <v>9.0606600507970008</v>
      </c>
      <c r="E188" s="405">
        <v>1.0030064238780001</v>
      </c>
      <c r="F188" s="398">
        <v>2938.7413152672302</v>
      </c>
      <c r="G188" s="399">
        <v>1714.2657672392199</v>
      </c>
      <c r="H188" s="401">
        <v>298.93504999999999</v>
      </c>
      <c r="I188" s="398">
        <v>1747.05324</v>
      </c>
      <c r="J188" s="399">
        <v>32.787472760783999</v>
      </c>
      <c r="K188" s="406">
        <v>0.59449031152300003</v>
      </c>
    </row>
    <row r="189" spans="1:11" ht="14.4" customHeight="1" thickBot="1" x14ac:dyDescent="0.35">
      <c r="A189" s="418" t="s">
        <v>40</v>
      </c>
      <c r="B189" s="398">
        <v>3013.7666599491999</v>
      </c>
      <c r="C189" s="398">
        <v>3022.8273199999999</v>
      </c>
      <c r="D189" s="399">
        <v>9.0606600507970008</v>
      </c>
      <c r="E189" s="405">
        <v>1.0030064238780001</v>
      </c>
      <c r="F189" s="398">
        <v>2938.7413152672302</v>
      </c>
      <c r="G189" s="399">
        <v>1714.2657672392199</v>
      </c>
      <c r="H189" s="401">
        <v>298.93504999999999</v>
      </c>
      <c r="I189" s="398">
        <v>1747.05324</v>
      </c>
      <c r="J189" s="399">
        <v>32.787472760783999</v>
      </c>
      <c r="K189" s="406">
        <v>0.59449031152300003</v>
      </c>
    </row>
    <row r="190" spans="1:11" ht="14.4" customHeight="1" thickBot="1" x14ac:dyDescent="0.35">
      <c r="A190" s="417" t="s">
        <v>412</v>
      </c>
      <c r="B190" s="393">
        <v>0</v>
      </c>
      <c r="C190" s="393">
        <v>0</v>
      </c>
      <c r="D190" s="394">
        <v>0</v>
      </c>
      <c r="E190" s="395">
        <v>1</v>
      </c>
      <c r="F190" s="393">
        <v>0.17838197118599999</v>
      </c>
      <c r="G190" s="394">
        <v>0.104056149858</v>
      </c>
      <c r="H190" s="396">
        <v>2.1649999999999999E-2</v>
      </c>
      <c r="I190" s="393">
        <v>0.30036000000000002</v>
      </c>
      <c r="J190" s="394">
        <v>0.19630385014099999</v>
      </c>
      <c r="K190" s="397">
        <v>1.6838024493270001</v>
      </c>
    </row>
    <row r="191" spans="1:11" ht="14.4" customHeight="1" thickBot="1" x14ac:dyDescent="0.35">
      <c r="A191" s="415" t="s">
        <v>413</v>
      </c>
      <c r="B191" s="393">
        <v>0</v>
      </c>
      <c r="C191" s="393">
        <v>0</v>
      </c>
      <c r="D191" s="394">
        <v>0</v>
      </c>
      <c r="E191" s="395">
        <v>1</v>
      </c>
      <c r="F191" s="393">
        <v>0.17838197118599999</v>
      </c>
      <c r="G191" s="394">
        <v>0.104056149858</v>
      </c>
      <c r="H191" s="396">
        <v>2.1649999999999999E-2</v>
      </c>
      <c r="I191" s="393">
        <v>0.30036000000000002</v>
      </c>
      <c r="J191" s="394">
        <v>0.19630385014099999</v>
      </c>
      <c r="K191" s="397">
        <v>1.6838024493270001</v>
      </c>
    </row>
    <row r="192" spans="1:11" ht="14.4" customHeight="1" thickBot="1" x14ac:dyDescent="0.35">
      <c r="A192" s="414" t="s">
        <v>414</v>
      </c>
      <c r="B192" s="398">
        <v>6.3831925316399998</v>
      </c>
      <c r="C192" s="398">
        <v>6.6162999999999998</v>
      </c>
      <c r="D192" s="399">
        <v>0.23310746835900001</v>
      </c>
      <c r="E192" s="405">
        <v>1.0365189467810001</v>
      </c>
      <c r="F192" s="398">
        <v>7.1529992215089999</v>
      </c>
      <c r="G192" s="399">
        <v>4.1725828792139996</v>
      </c>
      <c r="H192" s="401">
        <v>0.72911999999999999</v>
      </c>
      <c r="I192" s="398">
        <v>3.6044399999999999</v>
      </c>
      <c r="J192" s="399">
        <v>-0.56814287921399997</v>
      </c>
      <c r="K192" s="406">
        <v>0.50390610824600002</v>
      </c>
    </row>
    <row r="193" spans="1:11" ht="14.4" customHeight="1" thickBot="1" x14ac:dyDescent="0.35">
      <c r="A193" s="415" t="s">
        <v>415</v>
      </c>
      <c r="B193" s="393">
        <v>0.39852451546500001</v>
      </c>
      <c r="C193" s="393">
        <v>8.9499999999999996E-2</v>
      </c>
      <c r="D193" s="394">
        <v>-0.30902451546499998</v>
      </c>
      <c r="E193" s="395">
        <v>0.22457840490700001</v>
      </c>
      <c r="F193" s="393">
        <v>0.16522642091</v>
      </c>
      <c r="G193" s="394">
        <v>9.6382078864000006E-2</v>
      </c>
      <c r="H193" s="396">
        <v>0</v>
      </c>
      <c r="I193" s="393">
        <v>0</v>
      </c>
      <c r="J193" s="394">
        <v>-9.6382078864000006E-2</v>
      </c>
      <c r="K193" s="397">
        <v>0</v>
      </c>
    </row>
    <row r="194" spans="1:11" ht="14.4" customHeight="1" thickBot="1" x14ac:dyDescent="0.35">
      <c r="A194" s="415" t="s">
        <v>416</v>
      </c>
      <c r="B194" s="393">
        <v>5.984668016174</v>
      </c>
      <c r="C194" s="393">
        <v>6.5267999999999997</v>
      </c>
      <c r="D194" s="394">
        <v>0.54213198382500005</v>
      </c>
      <c r="E194" s="395">
        <v>1.0905868098880001</v>
      </c>
      <c r="F194" s="393">
        <v>6.9877728005990001</v>
      </c>
      <c r="G194" s="394">
        <v>4.0762008003489996</v>
      </c>
      <c r="H194" s="396">
        <v>0.72911999999999999</v>
      </c>
      <c r="I194" s="393">
        <v>3.6044399999999999</v>
      </c>
      <c r="J194" s="394">
        <v>-0.47176080034899998</v>
      </c>
      <c r="K194" s="397">
        <v>0.51582100661399999</v>
      </c>
    </row>
    <row r="195" spans="1:11" ht="14.4" customHeight="1" thickBot="1" x14ac:dyDescent="0.35">
      <c r="A195" s="414" t="s">
        <v>417</v>
      </c>
      <c r="B195" s="398">
        <v>70.111577909374006</v>
      </c>
      <c r="C195" s="398">
        <v>71.313509999999994</v>
      </c>
      <c r="D195" s="399">
        <v>1.2019320906249999</v>
      </c>
      <c r="E195" s="405">
        <v>1.017143132795</v>
      </c>
      <c r="F195" s="398">
        <v>69.781921244649993</v>
      </c>
      <c r="G195" s="399">
        <v>40.706120726046002</v>
      </c>
      <c r="H195" s="401">
        <v>5.2919999999999998</v>
      </c>
      <c r="I195" s="398">
        <v>41.662709999999997</v>
      </c>
      <c r="J195" s="399">
        <v>0.95658927395299997</v>
      </c>
      <c r="K195" s="406">
        <v>0.59704160127499994</v>
      </c>
    </row>
    <row r="196" spans="1:11" ht="14.4" customHeight="1" thickBot="1" x14ac:dyDescent="0.35">
      <c r="A196" s="415" t="s">
        <v>418</v>
      </c>
      <c r="B196" s="393">
        <v>70.111577909374006</v>
      </c>
      <c r="C196" s="393">
        <v>71.313509999999994</v>
      </c>
      <c r="D196" s="394">
        <v>1.2019320906249999</v>
      </c>
      <c r="E196" s="395">
        <v>1.017143132795</v>
      </c>
      <c r="F196" s="393">
        <v>69.781921244649993</v>
      </c>
      <c r="G196" s="394">
        <v>40.706120726046002</v>
      </c>
      <c r="H196" s="396">
        <v>5.2919999999999998</v>
      </c>
      <c r="I196" s="393">
        <v>41.662709999999997</v>
      </c>
      <c r="J196" s="394">
        <v>0.95658927395299997</v>
      </c>
      <c r="K196" s="397">
        <v>0.59704160127499994</v>
      </c>
    </row>
    <row r="197" spans="1:11" ht="14.4" customHeight="1" thickBot="1" x14ac:dyDescent="0.35">
      <c r="A197" s="414" t="s">
        <v>419</v>
      </c>
      <c r="B197" s="398">
        <v>0</v>
      </c>
      <c r="C197" s="398">
        <v>1.1200000000000001</v>
      </c>
      <c r="D197" s="399">
        <v>1.1200000000000001</v>
      </c>
      <c r="E197" s="400" t="s">
        <v>240</v>
      </c>
      <c r="F197" s="398">
        <v>0</v>
      </c>
      <c r="G197" s="399">
        <v>0</v>
      </c>
      <c r="H197" s="401">
        <v>0</v>
      </c>
      <c r="I197" s="398">
        <v>0</v>
      </c>
      <c r="J197" s="399">
        <v>0</v>
      </c>
      <c r="K197" s="406">
        <v>0</v>
      </c>
    </row>
    <row r="198" spans="1:11" ht="14.4" customHeight="1" thickBot="1" x14ac:dyDescent="0.35">
      <c r="A198" s="415" t="s">
        <v>420</v>
      </c>
      <c r="B198" s="393">
        <v>0</v>
      </c>
      <c r="C198" s="393">
        <v>1.1200000000000001</v>
      </c>
      <c r="D198" s="394">
        <v>1.1200000000000001</v>
      </c>
      <c r="E198" s="403" t="s">
        <v>240</v>
      </c>
      <c r="F198" s="393">
        <v>0</v>
      </c>
      <c r="G198" s="394">
        <v>0</v>
      </c>
      <c r="H198" s="396">
        <v>0</v>
      </c>
      <c r="I198" s="393">
        <v>0</v>
      </c>
      <c r="J198" s="394">
        <v>0</v>
      </c>
      <c r="K198" s="397">
        <v>0</v>
      </c>
    </row>
    <row r="199" spans="1:11" ht="14.4" customHeight="1" thickBot="1" x14ac:dyDescent="0.35">
      <c r="A199" s="414" t="s">
        <v>421</v>
      </c>
      <c r="B199" s="398">
        <v>1003.80602064177</v>
      </c>
      <c r="C199" s="398">
        <v>960.42938000000004</v>
      </c>
      <c r="D199" s="399">
        <v>-43.376640641765</v>
      </c>
      <c r="E199" s="405">
        <v>0.95678782578499999</v>
      </c>
      <c r="F199" s="398">
        <v>1117.19758540414</v>
      </c>
      <c r="G199" s="399">
        <v>651.69859148574506</v>
      </c>
      <c r="H199" s="401">
        <v>74.192459999999997</v>
      </c>
      <c r="I199" s="398">
        <v>524.19399999999996</v>
      </c>
      <c r="J199" s="399">
        <v>-127.504591485745</v>
      </c>
      <c r="K199" s="406">
        <v>0.46920437964400002</v>
      </c>
    </row>
    <row r="200" spans="1:11" ht="14.4" customHeight="1" thickBot="1" x14ac:dyDescent="0.35">
      <c r="A200" s="415" t="s">
        <v>422</v>
      </c>
      <c r="B200" s="393">
        <v>1003.80602064177</v>
      </c>
      <c r="C200" s="393">
        <v>960.42938000000004</v>
      </c>
      <c r="D200" s="394">
        <v>-43.376640641765</v>
      </c>
      <c r="E200" s="395">
        <v>0.95678782578499999</v>
      </c>
      <c r="F200" s="393">
        <v>1117.19758540414</v>
      </c>
      <c r="G200" s="394">
        <v>651.69859148574506</v>
      </c>
      <c r="H200" s="396">
        <v>74.192459999999997</v>
      </c>
      <c r="I200" s="393">
        <v>524.19399999999996</v>
      </c>
      <c r="J200" s="394">
        <v>-127.504591485745</v>
      </c>
      <c r="K200" s="397">
        <v>0.46920437964400002</v>
      </c>
    </row>
    <row r="201" spans="1:11" ht="14.4" customHeight="1" thickBot="1" x14ac:dyDescent="0.35">
      <c r="A201" s="414" t="s">
        <v>423</v>
      </c>
      <c r="B201" s="398">
        <v>0</v>
      </c>
      <c r="C201" s="398">
        <v>2.2040000000000002</v>
      </c>
      <c r="D201" s="399">
        <v>2.2040000000000002</v>
      </c>
      <c r="E201" s="400" t="s">
        <v>240</v>
      </c>
      <c r="F201" s="398">
        <v>0</v>
      </c>
      <c r="G201" s="399">
        <v>0</v>
      </c>
      <c r="H201" s="401">
        <v>0.69299999999999995</v>
      </c>
      <c r="I201" s="398">
        <v>0.69299999999999995</v>
      </c>
      <c r="J201" s="399">
        <v>0.69299999999999995</v>
      </c>
      <c r="K201" s="402" t="s">
        <v>240</v>
      </c>
    </row>
    <row r="202" spans="1:11" ht="14.4" customHeight="1" thickBot="1" x14ac:dyDescent="0.35">
      <c r="A202" s="415" t="s">
        <v>424</v>
      </c>
      <c r="B202" s="393">
        <v>0</v>
      </c>
      <c r="C202" s="393">
        <v>2.2040000000000002</v>
      </c>
      <c r="D202" s="394">
        <v>2.2040000000000002</v>
      </c>
      <c r="E202" s="403" t="s">
        <v>240</v>
      </c>
      <c r="F202" s="393">
        <v>0</v>
      </c>
      <c r="G202" s="394">
        <v>0</v>
      </c>
      <c r="H202" s="396">
        <v>0.69299999999999995</v>
      </c>
      <c r="I202" s="393">
        <v>0.69299999999999995</v>
      </c>
      <c r="J202" s="394">
        <v>0.69299999999999995</v>
      </c>
      <c r="K202" s="404" t="s">
        <v>240</v>
      </c>
    </row>
    <row r="203" spans="1:11" ht="14.4" customHeight="1" thickBot="1" x14ac:dyDescent="0.35">
      <c r="A203" s="414" t="s">
        <v>425</v>
      </c>
      <c r="B203" s="398">
        <v>1933.4658688664199</v>
      </c>
      <c r="C203" s="398">
        <v>1981.1441299999999</v>
      </c>
      <c r="D203" s="399">
        <v>47.678261133577998</v>
      </c>
      <c r="E203" s="405">
        <v>1.0246594790729999</v>
      </c>
      <c r="F203" s="398">
        <v>1744.4304274257399</v>
      </c>
      <c r="G203" s="399">
        <v>1017.58441599835</v>
      </c>
      <c r="H203" s="401">
        <v>218.00682</v>
      </c>
      <c r="I203" s="398">
        <v>1176.5987299999999</v>
      </c>
      <c r="J203" s="399">
        <v>159.01431400164901</v>
      </c>
      <c r="K203" s="406">
        <v>0.67448876808199998</v>
      </c>
    </row>
    <row r="204" spans="1:11" ht="14.4" customHeight="1" thickBot="1" x14ac:dyDescent="0.35">
      <c r="A204" s="415" t="s">
        <v>426</v>
      </c>
      <c r="B204" s="393">
        <v>1933.4658688664199</v>
      </c>
      <c r="C204" s="393">
        <v>1981.1441299999999</v>
      </c>
      <c r="D204" s="394">
        <v>47.678261133577998</v>
      </c>
      <c r="E204" s="395">
        <v>1.0246594790729999</v>
      </c>
      <c r="F204" s="393">
        <v>1744.4304274257399</v>
      </c>
      <c r="G204" s="394">
        <v>1017.58441599835</v>
      </c>
      <c r="H204" s="396">
        <v>218.00682</v>
      </c>
      <c r="I204" s="393">
        <v>1176.5987299999999</v>
      </c>
      <c r="J204" s="394">
        <v>159.01431400164901</v>
      </c>
      <c r="K204" s="397">
        <v>0.67448876808199998</v>
      </c>
    </row>
    <row r="205" spans="1:11" ht="14.4" customHeight="1" thickBot="1" x14ac:dyDescent="0.35">
      <c r="A205" s="411" t="s">
        <v>427</v>
      </c>
      <c r="B205" s="393">
        <v>0</v>
      </c>
      <c r="C205" s="393">
        <v>6.8779999999999994E-2</v>
      </c>
      <c r="D205" s="394">
        <v>6.8779999999999994E-2</v>
      </c>
      <c r="E205" s="403" t="s">
        <v>240</v>
      </c>
      <c r="F205" s="393">
        <v>0</v>
      </c>
      <c r="G205" s="394">
        <v>0</v>
      </c>
      <c r="H205" s="396">
        <v>0</v>
      </c>
      <c r="I205" s="393">
        <v>0</v>
      </c>
      <c r="J205" s="394">
        <v>0</v>
      </c>
      <c r="K205" s="397">
        <v>0</v>
      </c>
    </row>
    <row r="206" spans="1:11" ht="14.4" customHeight="1" thickBot="1" x14ac:dyDescent="0.35">
      <c r="A206" s="416" t="s">
        <v>428</v>
      </c>
      <c r="B206" s="398">
        <v>0</v>
      </c>
      <c r="C206" s="398">
        <v>6.8779999999999994E-2</v>
      </c>
      <c r="D206" s="399">
        <v>6.8779999999999994E-2</v>
      </c>
      <c r="E206" s="400" t="s">
        <v>240</v>
      </c>
      <c r="F206" s="398">
        <v>0</v>
      </c>
      <c r="G206" s="399">
        <v>0</v>
      </c>
      <c r="H206" s="401">
        <v>0</v>
      </c>
      <c r="I206" s="398">
        <v>0</v>
      </c>
      <c r="J206" s="399">
        <v>0</v>
      </c>
      <c r="K206" s="406">
        <v>0</v>
      </c>
    </row>
    <row r="207" spans="1:11" ht="14.4" customHeight="1" thickBot="1" x14ac:dyDescent="0.35">
      <c r="A207" s="418" t="s">
        <v>429</v>
      </c>
      <c r="B207" s="398">
        <v>0</v>
      </c>
      <c r="C207" s="398">
        <v>6.8779999999999994E-2</v>
      </c>
      <c r="D207" s="399">
        <v>6.8779999999999994E-2</v>
      </c>
      <c r="E207" s="400" t="s">
        <v>240</v>
      </c>
      <c r="F207" s="398">
        <v>0</v>
      </c>
      <c r="G207" s="399">
        <v>0</v>
      </c>
      <c r="H207" s="401">
        <v>0</v>
      </c>
      <c r="I207" s="398">
        <v>0</v>
      </c>
      <c r="J207" s="399">
        <v>0</v>
      </c>
      <c r="K207" s="406">
        <v>0</v>
      </c>
    </row>
    <row r="208" spans="1:11" ht="14.4" customHeight="1" thickBot="1" x14ac:dyDescent="0.35">
      <c r="A208" s="414" t="s">
        <v>430</v>
      </c>
      <c r="B208" s="398">
        <v>0</v>
      </c>
      <c r="C208" s="398">
        <v>6.8779999999999994E-2</v>
      </c>
      <c r="D208" s="399">
        <v>6.8779999999999994E-2</v>
      </c>
      <c r="E208" s="400" t="s">
        <v>240</v>
      </c>
      <c r="F208" s="398">
        <v>0</v>
      </c>
      <c r="G208" s="399">
        <v>0</v>
      </c>
      <c r="H208" s="401">
        <v>0</v>
      </c>
      <c r="I208" s="398">
        <v>0</v>
      </c>
      <c r="J208" s="399">
        <v>0</v>
      </c>
      <c r="K208" s="406">
        <v>0</v>
      </c>
    </row>
    <row r="209" spans="1:11" ht="14.4" customHeight="1" thickBot="1" x14ac:dyDescent="0.35">
      <c r="A209" s="415" t="s">
        <v>431</v>
      </c>
      <c r="B209" s="393">
        <v>0</v>
      </c>
      <c r="C209" s="393">
        <v>6.8779999999999994E-2</v>
      </c>
      <c r="D209" s="394">
        <v>6.8779999999999994E-2</v>
      </c>
      <c r="E209" s="403" t="s">
        <v>240</v>
      </c>
      <c r="F209" s="393">
        <v>0</v>
      </c>
      <c r="G209" s="394">
        <v>0</v>
      </c>
      <c r="H209" s="396">
        <v>0</v>
      </c>
      <c r="I209" s="393">
        <v>0</v>
      </c>
      <c r="J209" s="394">
        <v>0</v>
      </c>
      <c r="K209" s="397">
        <v>0</v>
      </c>
    </row>
    <row r="210" spans="1:11" ht="14.4" customHeight="1" thickBot="1" x14ac:dyDescent="0.35">
      <c r="A210" s="419"/>
      <c r="B210" s="393">
        <v>1172.2739975944601</v>
      </c>
      <c r="C210" s="393">
        <v>-798.46439000001203</v>
      </c>
      <c r="D210" s="394">
        <v>-1970.7383875944799</v>
      </c>
      <c r="E210" s="395">
        <v>-0.68112437163799999</v>
      </c>
      <c r="F210" s="393">
        <v>2474.8721016607001</v>
      </c>
      <c r="G210" s="394">
        <v>1443.6753926354099</v>
      </c>
      <c r="H210" s="396">
        <v>80.631460000000004</v>
      </c>
      <c r="I210" s="393">
        <v>2285.0859399999999</v>
      </c>
      <c r="J210" s="394">
        <v>841.41054736459205</v>
      </c>
      <c r="K210" s="397">
        <v>0.92331475976699995</v>
      </c>
    </row>
    <row r="211" spans="1:11" ht="14.4" customHeight="1" thickBot="1" x14ac:dyDescent="0.35">
      <c r="A211" s="420" t="s">
        <v>52</v>
      </c>
      <c r="B211" s="407">
        <v>1172.2739975944601</v>
      </c>
      <c r="C211" s="407">
        <v>-798.46439000001203</v>
      </c>
      <c r="D211" s="408">
        <v>-1970.7383875944799</v>
      </c>
      <c r="E211" s="409" t="s">
        <v>240</v>
      </c>
      <c r="F211" s="407">
        <v>2474.8721016607001</v>
      </c>
      <c r="G211" s="408">
        <v>1443.6753926354099</v>
      </c>
      <c r="H211" s="407">
        <v>80.631460000000004</v>
      </c>
      <c r="I211" s="407">
        <v>2285.0859399999999</v>
      </c>
      <c r="J211" s="408">
        <v>841.41054736459296</v>
      </c>
      <c r="K211" s="410">
        <v>0.92331475976699995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54" t="s">
        <v>115</v>
      </c>
      <c r="B1" s="355"/>
      <c r="C1" s="355"/>
      <c r="D1" s="355"/>
      <c r="E1" s="355"/>
      <c r="F1" s="355"/>
      <c r="G1" s="325"/>
      <c r="H1" s="356"/>
      <c r="I1" s="356"/>
    </row>
    <row r="2" spans="1:10" ht="14.4" customHeight="1" thickBot="1" x14ac:dyDescent="0.35">
      <c r="A2" s="203" t="s">
        <v>229</v>
      </c>
      <c r="B2" s="179"/>
      <c r="C2" s="179"/>
      <c r="D2" s="179"/>
      <c r="E2" s="179"/>
      <c r="F2" s="179"/>
    </row>
    <row r="3" spans="1:10" ht="14.4" customHeight="1" thickBot="1" x14ac:dyDescent="0.35">
      <c r="A3" s="203"/>
      <c r="B3" s="293"/>
      <c r="C3" s="292">
        <v>2015</v>
      </c>
      <c r="D3" s="258">
        <v>2016</v>
      </c>
      <c r="E3" s="7"/>
      <c r="F3" s="333">
        <v>2017</v>
      </c>
      <c r="G3" s="351"/>
      <c r="H3" s="351"/>
      <c r="I3" s="334"/>
    </row>
    <row r="4" spans="1:10" ht="14.4" customHeight="1" thickBot="1" x14ac:dyDescent="0.35">
      <c r="A4" s="262" t="s">
        <v>0</v>
      </c>
      <c r="B4" s="263" t="s">
        <v>175</v>
      </c>
      <c r="C4" s="352" t="s">
        <v>59</v>
      </c>
      <c r="D4" s="353"/>
      <c r="E4" s="264"/>
      <c r="F4" s="259" t="s">
        <v>59</v>
      </c>
      <c r="G4" s="260" t="s">
        <v>60</v>
      </c>
      <c r="H4" s="260" t="s">
        <v>54</v>
      </c>
      <c r="I4" s="261" t="s">
        <v>61</v>
      </c>
    </row>
    <row r="5" spans="1:10" ht="14.4" customHeight="1" x14ac:dyDescent="0.3">
      <c r="A5" s="421" t="s">
        <v>432</v>
      </c>
      <c r="B5" s="422" t="s">
        <v>433</v>
      </c>
      <c r="C5" s="423" t="s">
        <v>434</v>
      </c>
      <c r="D5" s="423" t="s">
        <v>434</v>
      </c>
      <c r="E5" s="423"/>
      <c r="F5" s="423" t="s">
        <v>434</v>
      </c>
      <c r="G5" s="423" t="s">
        <v>434</v>
      </c>
      <c r="H5" s="423" t="s">
        <v>434</v>
      </c>
      <c r="I5" s="424" t="s">
        <v>434</v>
      </c>
      <c r="J5" s="425" t="s">
        <v>55</v>
      </c>
    </row>
    <row r="6" spans="1:10" ht="14.4" customHeight="1" x14ac:dyDescent="0.3">
      <c r="A6" s="421" t="s">
        <v>432</v>
      </c>
      <c r="B6" s="422" t="s">
        <v>435</v>
      </c>
      <c r="C6" s="423">
        <v>6.2654399999999999</v>
      </c>
      <c r="D6" s="423">
        <v>1.7242500000000001</v>
      </c>
      <c r="E6" s="423"/>
      <c r="F6" s="423">
        <v>2.9338699999999998</v>
      </c>
      <c r="G6" s="423">
        <v>5.8333330078124996</v>
      </c>
      <c r="H6" s="423">
        <v>-2.8994630078124999</v>
      </c>
      <c r="I6" s="424">
        <v>0.50294917092350289</v>
      </c>
      <c r="J6" s="425" t="s">
        <v>1</v>
      </c>
    </row>
    <row r="7" spans="1:10" ht="14.4" customHeight="1" x14ac:dyDescent="0.3">
      <c r="A7" s="421" t="s">
        <v>432</v>
      </c>
      <c r="B7" s="422" t="s">
        <v>436</v>
      </c>
      <c r="C7" s="423">
        <v>0.67759999999999998</v>
      </c>
      <c r="D7" s="423">
        <v>0</v>
      </c>
      <c r="E7" s="423"/>
      <c r="F7" s="423">
        <v>6.7759999999999998</v>
      </c>
      <c r="G7" s="423">
        <v>0</v>
      </c>
      <c r="H7" s="423">
        <v>6.7759999999999998</v>
      </c>
      <c r="I7" s="424" t="s">
        <v>434</v>
      </c>
      <c r="J7" s="425" t="s">
        <v>1</v>
      </c>
    </row>
    <row r="8" spans="1:10" ht="14.4" customHeight="1" x14ac:dyDescent="0.3">
      <c r="A8" s="421" t="s">
        <v>432</v>
      </c>
      <c r="B8" s="422" t="s">
        <v>437</v>
      </c>
      <c r="C8" s="423">
        <v>6.9430399999999999</v>
      </c>
      <c r="D8" s="423">
        <v>1.7242500000000001</v>
      </c>
      <c r="E8" s="423"/>
      <c r="F8" s="423">
        <v>9.7098699999999987</v>
      </c>
      <c r="G8" s="423">
        <v>5.8333330078124996</v>
      </c>
      <c r="H8" s="423">
        <v>3.876536992187499</v>
      </c>
      <c r="I8" s="424">
        <v>1.664549235744935</v>
      </c>
      <c r="J8" s="425" t="s">
        <v>438</v>
      </c>
    </row>
    <row r="10" spans="1:10" ht="14.4" customHeight="1" x14ac:dyDescent="0.3">
      <c r="A10" s="421" t="s">
        <v>432</v>
      </c>
      <c r="B10" s="422" t="s">
        <v>433</v>
      </c>
      <c r="C10" s="423" t="s">
        <v>434</v>
      </c>
      <c r="D10" s="423" t="s">
        <v>434</v>
      </c>
      <c r="E10" s="423"/>
      <c r="F10" s="423" t="s">
        <v>434</v>
      </c>
      <c r="G10" s="423" t="s">
        <v>434</v>
      </c>
      <c r="H10" s="423" t="s">
        <v>434</v>
      </c>
      <c r="I10" s="424" t="s">
        <v>434</v>
      </c>
      <c r="J10" s="425" t="s">
        <v>55</v>
      </c>
    </row>
    <row r="11" spans="1:10" ht="14.4" customHeight="1" x14ac:dyDescent="0.3">
      <c r="A11" s="421" t="s">
        <v>439</v>
      </c>
      <c r="B11" s="422" t="s">
        <v>440</v>
      </c>
      <c r="C11" s="423" t="s">
        <v>434</v>
      </c>
      <c r="D11" s="423" t="s">
        <v>434</v>
      </c>
      <c r="E11" s="423"/>
      <c r="F11" s="423" t="s">
        <v>434</v>
      </c>
      <c r="G11" s="423" t="s">
        <v>434</v>
      </c>
      <c r="H11" s="423" t="s">
        <v>434</v>
      </c>
      <c r="I11" s="424" t="s">
        <v>434</v>
      </c>
      <c r="J11" s="425" t="s">
        <v>0</v>
      </c>
    </row>
    <row r="12" spans="1:10" ht="14.4" customHeight="1" x14ac:dyDescent="0.3">
      <c r="A12" s="421" t="s">
        <v>439</v>
      </c>
      <c r="B12" s="422" t="s">
        <v>435</v>
      </c>
      <c r="C12" s="423">
        <v>6.2654399999999999</v>
      </c>
      <c r="D12" s="423">
        <v>1.7242500000000001</v>
      </c>
      <c r="E12" s="423"/>
      <c r="F12" s="423">
        <v>2.9338699999999998</v>
      </c>
      <c r="G12" s="423">
        <v>6</v>
      </c>
      <c r="H12" s="423">
        <v>-3.0661300000000002</v>
      </c>
      <c r="I12" s="424">
        <v>0.48897833333333329</v>
      </c>
      <c r="J12" s="425" t="s">
        <v>1</v>
      </c>
    </row>
    <row r="13" spans="1:10" ht="14.4" customHeight="1" x14ac:dyDescent="0.3">
      <c r="A13" s="421" t="s">
        <v>439</v>
      </c>
      <c r="B13" s="422" t="s">
        <v>436</v>
      </c>
      <c r="C13" s="423">
        <v>0.67759999999999998</v>
      </c>
      <c r="D13" s="423">
        <v>0</v>
      </c>
      <c r="E13" s="423"/>
      <c r="F13" s="423">
        <v>6.7759999999999998</v>
      </c>
      <c r="G13" s="423">
        <v>0</v>
      </c>
      <c r="H13" s="423">
        <v>6.7759999999999998</v>
      </c>
      <c r="I13" s="424" t="s">
        <v>434</v>
      </c>
      <c r="J13" s="425" t="s">
        <v>1</v>
      </c>
    </row>
    <row r="14" spans="1:10" ht="14.4" customHeight="1" x14ac:dyDescent="0.3">
      <c r="A14" s="421" t="s">
        <v>439</v>
      </c>
      <c r="B14" s="422" t="s">
        <v>441</v>
      </c>
      <c r="C14" s="423">
        <v>6.9430399999999999</v>
      </c>
      <c r="D14" s="423">
        <v>1.7242500000000001</v>
      </c>
      <c r="E14" s="423"/>
      <c r="F14" s="423">
        <v>9.7098699999999987</v>
      </c>
      <c r="G14" s="423">
        <v>6</v>
      </c>
      <c r="H14" s="423">
        <v>3.7098699999999987</v>
      </c>
      <c r="I14" s="424">
        <v>1.6183116666666664</v>
      </c>
      <c r="J14" s="425" t="s">
        <v>442</v>
      </c>
    </row>
    <row r="15" spans="1:10" ht="14.4" customHeight="1" x14ac:dyDescent="0.3">
      <c r="A15" s="421" t="s">
        <v>434</v>
      </c>
      <c r="B15" s="422" t="s">
        <v>434</v>
      </c>
      <c r="C15" s="423" t="s">
        <v>434</v>
      </c>
      <c r="D15" s="423" t="s">
        <v>434</v>
      </c>
      <c r="E15" s="423"/>
      <c r="F15" s="423" t="s">
        <v>434</v>
      </c>
      <c r="G15" s="423" t="s">
        <v>434</v>
      </c>
      <c r="H15" s="423" t="s">
        <v>434</v>
      </c>
      <c r="I15" s="424" t="s">
        <v>434</v>
      </c>
      <c r="J15" s="425" t="s">
        <v>443</v>
      </c>
    </row>
    <row r="16" spans="1:10" ht="14.4" customHeight="1" x14ac:dyDescent="0.3">
      <c r="A16" s="421" t="s">
        <v>432</v>
      </c>
      <c r="B16" s="422" t="s">
        <v>437</v>
      </c>
      <c r="C16" s="423">
        <v>6.9430399999999999</v>
      </c>
      <c r="D16" s="423">
        <v>1.7242500000000001</v>
      </c>
      <c r="E16" s="423"/>
      <c r="F16" s="423">
        <v>9.7098699999999987</v>
      </c>
      <c r="G16" s="423">
        <v>6</v>
      </c>
      <c r="H16" s="423">
        <v>3.7098699999999987</v>
      </c>
      <c r="I16" s="424">
        <v>1.6183116666666664</v>
      </c>
      <c r="J16" s="425" t="s">
        <v>438</v>
      </c>
    </row>
  </sheetData>
  <mergeCells count="3">
    <mergeCell ref="F3:I3"/>
    <mergeCell ref="C4:D4"/>
    <mergeCell ref="A1:I1"/>
  </mergeCells>
  <conditionalFormatting sqref="F9 F17:F65537">
    <cfRule type="cellIs" dxfId="43" priority="18" stopIfTrue="1" operator="greaterThan">
      <formula>1</formula>
    </cfRule>
  </conditionalFormatting>
  <conditionalFormatting sqref="H5:H8">
    <cfRule type="expression" dxfId="42" priority="14">
      <formula>$H5&gt;0</formula>
    </cfRule>
  </conditionalFormatting>
  <conditionalFormatting sqref="I5:I8">
    <cfRule type="expression" dxfId="41" priority="15">
      <formula>$I5&gt;1</formula>
    </cfRule>
  </conditionalFormatting>
  <conditionalFormatting sqref="B5:B8">
    <cfRule type="expression" dxfId="40" priority="11">
      <formula>OR($J5="NS",$J5="SumaNS",$J5="Účet")</formula>
    </cfRule>
  </conditionalFormatting>
  <conditionalFormatting sqref="B5:D8 F5:I8">
    <cfRule type="expression" dxfId="39" priority="17">
      <formula>AND($J5&lt;&gt;"",$J5&lt;&gt;"mezeraKL")</formula>
    </cfRule>
  </conditionalFormatting>
  <conditionalFormatting sqref="B5:D8 F5:I8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7" priority="13">
      <formula>OR($J5="SumaNS",$J5="NS")</formula>
    </cfRule>
  </conditionalFormatting>
  <conditionalFormatting sqref="A5:A8">
    <cfRule type="expression" dxfId="36" priority="9">
      <formula>AND($J5&lt;&gt;"mezeraKL",$J5&lt;&gt;"")</formula>
    </cfRule>
  </conditionalFormatting>
  <conditionalFormatting sqref="A5:A8">
    <cfRule type="expression" dxfId="35" priority="10">
      <formula>AND($J5&lt;&gt;"",$J5&lt;&gt;"mezeraKL")</formula>
    </cfRule>
  </conditionalFormatting>
  <conditionalFormatting sqref="H10:H16">
    <cfRule type="expression" dxfId="34" priority="5">
      <formula>$H10&gt;0</formula>
    </cfRule>
  </conditionalFormatting>
  <conditionalFormatting sqref="A10:A16">
    <cfRule type="expression" dxfId="33" priority="2">
      <formula>AND($J10&lt;&gt;"mezeraKL",$J10&lt;&gt;"")</formula>
    </cfRule>
  </conditionalFormatting>
  <conditionalFormatting sqref="I10:I16">
    <cfRule type="expression" dxfId="32" priority="6">
      <formula>$I10&gt;1</formula>
    </cfRule>
  </conditionalFormatting>
  <conditionalFormatting sqref="B10:B16">
    <cfRule type="expression" dxfId="31" priority="1">
      <formula>OR($J10="NS",$J10="SumaNS",$J10="Účet")</formula>
    </cfRule>
  </conditionalFormatting>
  <conditionalFormatting sqref="A10:D16 F10:I16">
    <cfRule type="expression" dxfId="30" priority="8">
      <formula>AND($J10&lt;&gt;"",$J10&lt;&gt;"mezeraKL")</formula>
    </cfRule>
  </conditionalFormatting>
  <conditionalFormatting sqref="B10:D16 F10:I16">
    <cfRule type="expression" dxfId="29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8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316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61" t="s">
        <v>131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14" ht="14.4" customHeight="1" thickBot="1" x14ac:dyDescent="0.35">
      <c r="A2" s="203" t="s">
        <v>229</v>
      </c>
      <c r="B2" s="57"/>
      <c r="C2" s="184"/>
      <c r="D2" s="184"/>
      <c r="E2" s="315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57"/>
      <c r="D3" s="358"/>
      <c r="E3" s="358"/>
      <c r="F3" s="358"/>
      <c r="G3" s="358"/>
      <c r="H3" s="358"/>
      <c r="I3" s="358"/>
      <c r="J3" s="359" t="s">
        <v>112</v>
      </c>
      <c r="K3" s="360"/>
      <c r="L3" s="74">
        <f>IF(M3&lt;&gt;0,N3/M3,0)</f>
        <v>104.78089163578871</v>
      </c>
      <c r="M3" s="74">
        <f>SUBTOTAL(9,M5:M1048576)</f>
        <v>28</v>
      </c>
      <c r="N3" s="75">
        <f>SUBTOTAL(9,N5:N1048576)</f>
        <v>2933.8649658020836</v>
      </c>
    </row>
    <row r="4" spans="1:14" s="181" customFormat="1" ht="14.4" customHeight="1" thickBot="1" x14ac:dyDescent="0.35">
      <c r="A4" s="426" t="s">
        <v>4</v>
      </c>
      <c r="B4" s="427" t="s">
        <v>5</v>
      </c>
      <c r="C4" s="427" t="s">
        <v>0</v>
      </c>
      <c r="D4" s="427" t="s">
        <v>6</v>
      </c>
      <c r="E4" s="428" t="s">
        <v>7</v>
      </c>
      <c r="F4" s="427" t="s">
        <v>1</v>
      </c>
      <c r="G4" s="427" t="s">
        <v>8</v>
      </c>
      <c r="H4" s="427" t="s">
        <v>9</v>
      </c>
      <c r="I4" s="427" t="s">
        <v>10</v>
      </c>
      <c r="J4" s="429" t="s">
        <v>11</v>
      </c>
      <c r="K4" s="429" t="s">
        <v>12</v>
      </c>
      <c r="L4" s="430" t="s">
        <v>119</v>
      </c>
      <c r="M4" s="430" t="s">
        <v>13</v>
      </c>
      <c r="N4" s="431" t="s">
        <v>127</v>
      </c>
    </row>
    <row r="5" spans="1:14" ht="14.4" customHeight="1" x14ac:dyDescent="0.3">
      <c r="A5" s="432" t="s">
        <v>432</v>
      </c>
      <c r="B5" s="433" t="s">
        <v>433</v>
      </c>
      <c r="C5" s="434" t="s">
        <v>439</v>
      </c>
      <c r="D5" s="435" t="s">
        <v>440</v>
      </c>
      <c r="E5" s="436">
        <v>50113001</v>
      </c>
      <c r="F5" s="435" t="s">
        <v>444</v>
      </c>
      <c r="G5" s="434" t="s">
        <v>445</v>
      </c>
      <c r="H5" s="434">
        <v>184256</v>
      </c>
      <c r="I5" s="434">
        <v>84256</v>
      </c>
      <c r="J5" s="434" t="s">
        <v>446</v>
      </c>
      <c r="K5" s="434" t="s">
        <v>447</v>
      </c>
      <c r="L5" s="437">
        <v>26.769999999999992</v>
      </c>
      <c r="M5" s="437">
        <v>2</v>
      </c>
      <c r="N5" s="438">
        <v>53.539999999999985</v>
      </c>
    </row>
    <row r="6" spans="1:14" ht="14.4" customHeight="1" x14ac:dyDescent="0.3">
      <c r="A6" s="439" t="s">
        <v>432</v>
      </c>
      <c r="B6" s="440" t="s">
        <v>433</v>
      </c>
      <c r="C6" s="441" t="s">
        <v>439</v>
      </c>
      <c r="D6" s="442" t="s">
        <v>440</v>
      </c>
      <c r="E6" s="443">
        <v>50113001</v>
      </c>
      <c r="F6" s="442" t="s">
        <v>444</v>
      </c>
      <c r="G6" s="441" t="s">
        <v>445</v>
      </c>
      <c r="H6" s="441">
        <v>145310</v>
      </c>
      <c r="I6" s="441">
        <v>45310</v>
      </c>
      <c r="J6" s="441" t="s">
        <v>448</v>
      </c>
      <c r="K6" s="441" t="s">
        <v>449</v>
      </c>
      <c r="L6" s="444">
        <v>44.9</v>
      </c>
      <c r="M6" s="444">
        <v>2</v>
      </c>
      <c r="N6" s="445">
        <v>89.8</v>
      </c>
    </row>
    <row r="7" spans="1:14" ht="14.4" customHeight="1" x14ac:dyDescent="0.3">
      <c r="A7" s="439" t="s">
        <v>432</v>
      </c>
      <c r="B7" s="440" t="s">
        <v>433</v>
      </c>
      <c r="C7" s="441" t="s">
        <v>439</v>
      </c>
      <c r="D7" s="442" t="s">
        <v>440</v>
      </c>
      <c r="E7" s="443">
        <v>50113001</v>
      </c>
      <c r="F7" s="442" t="s">
        <v>444</v>
      </c>
      <c r="G7" s="441" t="s">
        <v>445</v>
      </c>
      <c r="H7" s="441">
        <v>158668</v>
      </c>
      <c r="I7" s="441">
        <v>158668</v>
      </c>
      <c r="J7" s="441" t="s">
        <v>450</v>
      </c>
      <c r="K7" s="441" t="s">
        <v>451</v>
      </c>
      <c r="L7" s="444">
        <v>78.540000000000006</v>
      </c>
      <c r="M7" s="444">
        <v>1</v>
      </c>
      <c r="N7" s="445">
        <v>78.540000000000006</v>
      </c>
    </row>
    <row r="8" spans="1:14" ht="14.4" customHeight="1" x14ac:dyDescent="0.3">
      <c r="A8" s="439" t="s">
        <v>432</v>
      </c>
      <c r="B8" s="440" t="s">
        <v>433</v>
      </c>
      <c r="C8" s="441" t="s">
        <v>439</v>
      </c>
      <c r="D8" s="442" t="s">
        <v>440</v>
      </c>
      <c r="E8" s="443">
        <v>50113001</v>
      </c>
      <c r="F8" s="442" t="s">
        <v>444</v>
      </c>
      <c r="G8" s="441" t="s">
        <v>445</v>
      </c>
      <c r="H8" s="441">
        <v>162320</v>
      </c>
      <c r="I8" s="441">
        <v>62320</v>
      </c>
      <c r="J8" s="441" t="s">
        <v>452</v>
      </c>
      <c r="K8" s="441" t="s">
        <v>453</v>
      </c>
      <c r="L8" s="444">
        <v>74.870000000000033</v>
      </c>
      <c r="M8" s="444">
        <v>1</v>
      </c>
      <c r="N8" s="445">
        <v>74.870000000000033</v>
      </c>
    </row>
    <row r="9" spans="1:14" ht="14.4" customHeight="1" x14ac:dyDescent="0.3">
      <c r="A9" s="439" t="s">
        <v>432</v>
      </c>
      <c r="B9" s="440" t="s">
        <v>433</v>
      </c>
      <c r="C9" s="441" t="s">
        <v>439</v>
      </c>
      <c r="D9" s="442" t="s">
        <v>440</v>
      </c>
      <c r="E9" s="443">
        <v>50113001</v>
      </c>
      <c r="F9" s="442" t="s">
        <v>444</v>
      </c>
      <c r="G9" s="441" t="s">
        <v>445</v>
      </c>
      <c r="H9" s="441">
        <v>162315</v>
      </c>
      <c r="I9" s="441">
        <v>62315</v>
      </c>
      <c r="J9" s="441" t="s">
        <v>454</v>
      </c>
      <c r="K9" s="441" t="s">
        <v>455</v>
      </c>
      <c r="L9" s="444">
        <v>74.86999999999999</v>
      </c>
      <c r="M9" s="444">
        <v>2</v>
      </c>
      <c r="N9" s="445">
        <v>149.73999999999998</v>
      </c>
    </row>
    <row r="10" spans="1:14" ht="14.4" customHeight="1" x14ac:dyDescent="0.3">
      <c r="A10" s="439" t="s">
        <v>432</v>
      </c>
      <c r="B10" s="440" t="s">
        <v>433</v>
      </c>
      <c r="C10" s="441" t="s">
        <v>439</v>
      </c>
      <c r="D10" s="442" t="s">
        <v>440</v>
      </c>
      <c r="E10" s="443">
        <v>50113001</v>
      </c>
      <c r="F10" s="442" t="s">
        <v>444</v>
      </c>
      <c r="G10" s="441" t="s">
        <v>445</v>
      </c>
      <c r="H10" s="441">
        <v>194718</v>
      </c>
      <c r="I10" s="441">
        <v>194718</v>
      </c>
      <c r="J10" s="441" t="s">
        <v>456</v>
      </c>
      <c r="K10" s="441" t="s">
        <v>457</v>
      </c>
      <c r="L10" s="444">
        <v>422.31</v>
      </c>
      <c r="M10" s="444">
        <v>1</v>
      </c>
      <c r="N10" s="445">
        <v>422.31</v>
      </c>
    </row>
    <row r="11" spans="1:14" ht="14.4" customHeight="1" x14ac:dyDescent="0.3">
      <c r="A11" s="439" t="s">
        <v>432</v>
      </c>
      <c r="B11" s="440" t="s">
        <v>433</v>
      </c>
      <c r="C11" s="441" t="s">
        <v>439</v>
      </c>
      <c r="D11" s="442" t="s">
        <v>440</v>
      </c>
      <c r="E11" s="443">
        <v>50113001</v>
      </c>
      <c r="F11" s="442" t="s">
        <v>444</v>
      </c>
      <c r="G11" s="441" t="s">
        <v>445</v>
      </c>
      <c r="H11" s="441">
        <v>920170</v>
      </c>
      <c r="I11" s="441">
        <v>0</v>
      </c>
      <c r="J11" s="441" t="s">
        <v>458</v>
      </c>
      <c r="K11" s="441" t="s">
        <v>434</v>
      </c>
      <c r="L11" s="444">
        <v>75.166025878763236</v>
      </c>
      <c r="M11" s="444">
        <v>5</v>
      </c>
      <c r="N11" s="445">
        <v>375.83012939381621</v>
      </c>
    </row>
    <row r="12" spans="1:14" ht="14.4" customHeight="1" x14ac:dyDescent="0.3">
      <c r="A12" s="439" t="s">
        <v>432</v>
      </c>
      <c r="B12" s="440" t="s">
        <v>433</v>
      </c>
      <c r="C12" s="441" t="s">
        <v>439</v>
      </c>
      <c r="D12" s="442" t="s">
        <v>440</v>
      </c>
      <c r="E12" s="443">
        <v>50113001</v>
      </c>
      <c r="F12" s="442" t="s">
        <v>444</v>
      </c>
      <c r="G12" s="441" t="s">
        <v>445</v>
      </c>
      <c r="H12" s="441">
        <v>501596</v>
      </c>
      <c r="I12" s="441">
        <v>0</v>
      </c>
      <c r="J12" s="441" t="s">
        <v>459</v>
      </c>
      <c r="K12" s="441" t="s">
        <v>460</v>
      </c>
      <c r="L12" s="444">
        <v>115.43</v>
      </c>
      <c r="M12" s="444">
        <v>2</v>
      </c>
      <c r="N12" s="445">
        <v>230.86</v>
      </c>
    </row>
    <row r="13" spans="1:14" ht="14.4" customHeight="1" x14ac:dyDescent="0.3">
      <c r="A13" s="439" t="s">
        <v>432</v>
      </c>
      <c r="B13" s="440" t="s">
        <v>433</v>
      </c>
      <c r="C13" s="441" t="s">
        <v>439</v>
      </c>
      <c r="D13" s="442" t="s">
        <v>440</v>
      </c>
      <c r="E13" s="443">
        <v>50113001</v>
      </c>
      <c r="F13" s="442" t="s">
        <v>444</v>
      </c>
      <c r="G13" s="441" t="s">
        <v>445</v>
      </c>
      <c r="H13" s="441">
        <v>202924</v>
      </c>
      <c r="I13" s="441">
        <v>202924</v>
      </c>
      <c r="J13" s="441" t="s">
        <v>461</v>
      </c>
      <c r="K13" s="441" t="s">
        <v>462</v>
      </c>
      <c r="L13" s="444">
        <v>82.39</v>
      </c>
      <c r="M13" s="444">
        <v>2</v>
      </c>
      <c r="N13" s="445">
        <v>164.78</v>
      </c>
    </row>
    <row r="14" spans="1:14" ht="14.4" customHeight="1" x14ac:dyDescent="0.3">
      <c r="A14" s="439" t="s">
        <v>432</v>
      </c>
      <c r="B14" s="440" t="s">
        <v>433</v>
      </c>
      <c r="C14" s="441" t="s">
        <v>439</v>
      </c>
      <c r="D14" s="442" t="s">
        <v>440</v>
      </c>
      <c r="E14" s="443">
        <v>50113001</v>
      </c>
      <c r="F14" s="442" t="s">
        <v>444</v>
      </c>
      <c r="G14" s="441" t="s">
        <v>445</v>
      </c>
      <c r="H14" s="441">
        <v>846629</v>
      </c>
      <c r="I14" s="441">
        <v>100013</v>
      </c>
      <c r="J14" s="441" t="s">
        <v>463</v>
      </c>
      <c r="K14" s="441" t="s">
        <v>464</v>
      </c>
      <c r="L14" s="444">
        <v>37.399999999999984</v>
      </c>
      <c r="M14" s="444">
        <v>2</v>
      </c>
      <c r="N14" s="445">
        <v>74.799999999999969</v>
      </c>
    </row>
    <row r="15" spans="1:14" ht="14.4" customHeight="1" x14ac:dyDescent="0.3">
      <c r="A15" s="439" t="s">
        <v>432</v>
      </c>
      <c r="B15" s="440" t="s">
        <v>433</v>
      </c>
      <c r="C15" s="441" t="s">
        <v>439</v>
      </c>
      <c r="D15" s="442" t="s">
        <v>440</v>
      </c>
      <c r="E15" s="443">
        <v>50113001</v>
      </c>
      <c r="F15" s="442" t="s">
        <v>444</v>
      </c>
      <c r="G15" s="441" t="s">
        <v>445</v>
      </c>
      <c r="H15" s="441">
        <v>100802</v>
      </c>
      <c r="I15" s="441">
        <v>1000</v>
      </c>
      <c r="J15" s="441" t="s">
        <v>465</v>
      </c>
      <c r="K15" s="441" t="s">
        <v>466</v>
      </c>
      <c r="L15" s="444">
        <v>69.681327518312628</v>
      </c>
      <c r="M15" s="444">
        <v>1</v>
      </c>
      <c r="N15" s="445">
        <v>69.681327518312628</v>
      </c>
    </row>
    <row r="16" spans="1:14" ht="14.4" customHeight="1" x14ac:dyDescent="0.3">
      <c r="A16" s="439" t="s">
        <v>432</v>
      </c>
      <c r="B16" s="440" t="s">
        <v>433</v>
      </c>
      <c r="C16" s="441" t="s">
        <v>439</v>
      </c>
      <c r="D16" s="442" t="s">
        <v>440</v>
      </c>
      <c r="E16" s="443">
        <v>50113001</v>
      </c>
      <c r="F16" s="442" t="s">
        <v>444</v>
      </c>
      <c r="G16" s="441" t="s">
        <v>445</v>
      </c>
      <c r="H16" s="441">
        <v>920136</v>
      </c>
      <c r="I16" s="441">
        <v>0</v>
      </c>
      <c r="J16" s="441" t="s">
        <v>467</v>
      </c>
      <c r="K16" s="441" t="s">
        <v>468</v>
      </c>
      <c r="L16" s="444">
        <v>344.84933292870647</v>
      </c>
      <c r="M16" s="444">
        <v>2</v>
      </c>
      <c r="N16" s="445">
        <v>689.69866585741295</v>
      </c>
    </row>
    <row r="17" spans="1:14" ht="14.4" customHeight="1" x14ac:dyDescent="0.3">
      <c r="A17" s="439" t="s">
        <v>432</v>
      </c>
      <c r="B17" s="440" t="s">
        <v>433</v>
      </c>
      <c r="C17" s="441" t="s">
        <v>439</v>
      </c>
      <c r="D17" s="442" t="s">
        <v>440</v>
      </c>
      <c r="E17" s="443">
        <v>50113001</v>
      </c>
      <c r="F17" s="442" t="s">
        <v>444</v>
      </c>
      <c r="G17" s="441" t="s">
        <v>445</v>
      </c>
      <c r="H17" s="441">
        <v>900321</v>
      </c>
      <c r="I17" s="441">
        <v>0</v>
      </c>
      <c r="J17" s="441" t="s">
        <v>469</v>
      </c>
      <c r="K17" s="441" t="s">
        <v>434</v>
      </c>
      <c r="L17" s="444">
        <v>50.554843032542266</v>
      </c>
      <c r="M17" s="444">
        <v>1</v>
      </c>
      <c r="N17" s="445">
        <v>50.554843032542266</v>
      </c>
    </row>
    <row r="18" spans="1:14" ht="14.4" customHeight="1" x14ac:dyDescent="0.3">
      <c r="A18" s="439" t="s">
        <v>432</v>
      </c>
      <c r="B18" s="440" t="s">
        <v>433</v>
      </c>
      <c r="C18" s="441" t="s">
        <v>439</v>
      </c>
      <c r="D18" s="442" t="s">
        <v>440</v>
      </c>
      <c r="E18" s="443">
        <v>50113001</v>
      </c>
      <c r="F18" s="442" t="s">
        <v>444</v>
      </c>
      <c r="G18" s="441" t="s">
        <v>445</v>
      </c>
      <c r="H18" s="441">
        <v>101125</v>
      </c>
      <c r="I18" s="441">
        <v>1125</v>
      </c>
      <c r="J18" s="441" t="s">
        <v>470</v>
      </c>
      <c r="K18" s="441" t="s">
        <v>471</v>
      </c>
      <c r="L18" s="444">
        <v>79.19</v>
      </c>
      <c r="M18" s="444">
        <v>1</v>
      </c>
      <c r="N18" s="445">
        <v>79.19</v>
      </c>
    </row>
    <row r="19" spans="1:14" ht="14.4" customHeight="1" x14ac:dyDescent="0.3">
      <c r="A19" s="439" t="s">
        <v>432</v>
      </c>
      <c r="B19" s="440" t="s">
        <v>433</v>
      </c>
      <c r="C19" s="441" t="s">
        <v>439</v>
      </c>
      <c r="D19" s="442" t="s">
        <v>440</v>
      </c>
      <c r="E19" s="443">
        <v>50113001</v>
      </c>
      <c r="F19" s="442" t="s">
        <v>444</v>
      </c>
      <c r="G19" s="441" t="s">
        <v>445</v>
      </c>
      <c r="H19" s="441">
        <v>849997</v>
      </c>
      <c r="I19" s="441">
        <v>500278</v>
      </c>
      <c r="J19" s="441" t="s">
        <v>472</v>
      </c>
      <c r="K19" s="441" t="s">
        <v>473</v>
      </c>
      <c r="L19" s="444">
        <v>292.33</v>
      </c>
      <c r="M19" s="444">
        <v>1</v>
      </c>
      <c r="N19" s="445">
        <v>292.33</v>
      </c>
    </row>
    <row r="20" spans="1:14" ht="14.4" customHeight="1" thickBot="1" x14ac:dyDescent="0.35">
      <c r="A20" s="446" t="s">
        <v>432</v>
      </c>
      <c r="B20" s="447" t="s">
        <v>433</v>
      </c>
      <c r="C20" s="448" t="s">
        <v>439</v>
      </c>
      <c r="D20" s="449" t="s">
        <v>440</v>
      </c>
      <c r="E20" s="450">
        <v>50113001</v>
      </c>
      <c r="F20" s="449" t="s">
        <v>444</v>
      </c>
      <c r="G20" s="448" t="s">
        <v>445</v>
      </c>
      <c r="H20" s="448">
        <v>848950</v>
      </c>
      <c r="I20" s="448">
        <v>155148</v>
      </c>
      <c r="J20" s="448" t="s">
        <v>474</v>
      </c>
      <c r="K20" s="448" t="s">
        <v>475</v>
      </c>
      <c r="L20" s="451">
        <v>18.670000000000009</v>
      </c>
      <c r="M20" s="451">
        <v>2</v>
      </c>
      <c r="N20" s="452">
        <v>37.340000000000018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77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62" t="s">
        <v>176</v>
      </c>
      <c r="B1" s="362"/>
      <c r="C1" s="362"/>
      <c r="D1" s="362"/>
      <c r="E1" s="362"/>
      <c r="F1" s="325"/>
      <c r="G1" s="325"/>
      <c r="H1" s="325"/>
      <c r="I1" s="325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03" t="s">
        <v>229</v>
      </c>
      <c r="B2" s="187"/>
      <c r="C2" s="187"/>
      <c r="D2" s="187"/>
      <c r="E2" s="187"/>
    </row>
    <row r="3" spans="1:17" ht="14.4" customHeight="1" thickBot="1" x14ac:dyDescent="0.35">
      <c r="A3" s="266" t="s">
        <v>3</v>
      </c>
      <c r="B3" s="270">
        <f>SUM(B6:B1048576)</f>
        <v>35</v>
      </c>
      <c r="C3" s="271">
        <f>SUM(C6:C1048576)</f>
        <v>0</v>
      </c>
      <c r="D3" s="271">
        <f>SUM(D6:D1048576)</f>
        <v>0</v>
      </c>
      <c r="E3" s="272">
        <f>SUM(E6:E1048576)</f>
        <v>0</v>
      </c>
      <c r="F3" s="269">
        <f>IF(SUM($B3:$E3)=0,"",B3/SUM($B3:$E3))</f>
        <v>1</v>
      </c>
      <c r="G3" s="267">
        <f t="shared" ref="G3:I3" si="0">IF(SUM($B3:$E3)=0,"",C3/SUM($B3:$E3))</f>
        <v>0</v>
      </c>
      <c r="H3" s="267">
        <f t="shared" si="0"/>
        <v>0</v>
      </c>
      <c r="I3" s="268">
        <f t="shared" si="0"/>
        <v>0</v>
      </c>
      <c r="J3" s="271">
        <f>SUM(J6:J1048576)</f>
        <v>9</v>
      </c>
      <c r="K3" s="271">
        <f>SUM(K6:K1048576)</f>
        <v>0</v>
      </c>
      <c r="L3" s="271">
        <f>SUM(L6:L1048576)</f>
        <v>0</v>
      </c>
      <c r="M3" s="272">
        <f>SUM(M6:M1048576)</f>
        <v>0</v>
      </c>
      <c r="N3" s="269">
        <f>IF(SUM($J3:$M3)=0,"",J3/SUM($J3:$M3))</f>
        <v>1</v>
      </c>
      <c r="O3" s="267">
        <f t="shared" ref="O3:Q3" si="1">IF(SUM($J3:$M3)=0,"",K3/SUM($J3:$M3))</f>
        <v>0</v>
      </c>
      <c r="P3" s="267">
        <f t="shared" si="1"/>
        <v>0</v>
      </c>
      <c r="Q3" s="268">
        <f t="shared" si="1"/>
        <v>0</v>
      </c>
    </row>
    <row r="4" spans="1:17" ht="14.4" customHeight="1" thickBot="1" x14ac:dyDescent="0.35">
      <c r="A4" s="265"/>
      <c r="B4" s="366" t="s">
        <v>178</v>
      </c>
      <c r="C4" s="367"/>
      <c r="D4" s="367"/>
      <c r="E4" s="368"/>
      <c r="F4" s="363" t="s">
        <v>183</v>
      </c>
      <c r="G4" s="364"/>
      <c r="H4" s="364"/>
      <c r="I4" s="365"/>
      <c r="J4" s="366" t="s">
        <v>184</v>
      </c>
      <c r="K4" s="367"/>
      <c r="L4" s="367"/>
      <c r="M4" s="368"/>
      <c r="N4" s="363" t="s">
        <v>185</v>
      </c>
      <c r="O4" s="364"/>
      <c r="P4" s="364"/>
      <c r="Q4" s="365"/>
    </row>
    <row r="5" spans="1:17" ht="14.4" customHeight="1" thickBot="1" x14ac:dyDescent="0.35">
      <c r="A5" s="453" t="s">
        <v>177</v>
      </c>
      <c r="B5" s="454" t="s">
        <v>179</v>
      </c>
      <c r="C5" s="454" t="s">
        <v>180</v>
      </c>
      <c r="D5" s="454" t="s">
        <v>181</v>
      </c>
      <c r="E5" s="455" t="s">
        <v>182</v>
      </c>
      <c r="F5" s="456" t="s">
        <v>179</v>
      </c>
      <c r="G5" s="457" t="s">
        <v>180</v>
      </c>
      <c r="H5" s="457" t="s">
        <v>181</v>
      </c>
      <c r="I5" s="458" t="s">
        <v>182</v>
      </c>
      <c r="J5" s="454" t="s">
        <v>179</v>
      </c>
      <c r="K5" s="454" t="s">
        <v>180</v>
      </c>
      <c r="L5" s="454" t="s">
        <v>181</v>
      </c>
      <c r="M5" s="455" t="s">
        <v>182</v>
      </c>
      <c r="N5" s="456" t="s">
        <v>179</v>
      </c>
      <c r="O5" s="457" t="s">
        <v>180</v>
      </c>
      <c r="P5" s="457" t="s">
        <v>181</v>
      </c>
      <c r="Q5" s="458" t="s">
        <v>182</v>
      </c>
    </row>
    <row r="6" spans="1:17" ht="14.4" customHeight="1" x14ac:dyDescent="0.3">
      <c r="A6" s="464" t="s">
        <v>476</v>
      </c>
      <c r="B6" s="468"/>
      <c r="C6" s="437"/>
      <c r="D6" s="437"/>
      <c r="E6" s="438"/>
      <c r="F6" s="466"/>
      <c r="G6" s="460"/>
      <c r="H6" s="460"/>
      <c r="I6" s="470"/>
      <c r="J6" s="468"/>
      <c r="K6" s="437"/>
      <c r="L6" s="437"/>
      <c r="M6" s="438"/>
      <c r="N6" s="466"/>
      <c r="O6" s="460"/>
      <c r="P6" s="460"/>
      <c r="Q6" s="461"/>
    </row>
    <row r="7" spans="1:17" ht="14.4" customHeight="1" thickBot="1" x14ac:dyDescent="0.35">
      <c r="A7" s="465" t="s">
        <v>477</v>
      </c>
      <c r="B7" s="469">
        <v>35</v>
      </c>
      <c r="C7" s="451"/>
      <c r="D7" s="451"/>
      <c r="E7" s="452"/>
      <c r="F7" s="467">
        <v>1</v>
      </c>
      <c r="G7" s="462">
        <v>0</v>
      </c>
      <c r="H7" s="462">
        <v>0</v>
      </c>
      <c r="I7" s="471">
        <v>0</v>
      </c>
      <c r="J7" s="469">
        <v>9</v>
      </c>
      <c r="K7" s="451"/>
      <c r="L7" s="451"/>
      <c r="M7" s="452"/>
      <c r="N7" s="467">
        <v>1</v>
      </c>
      <c r="O7" s="462">
        <v>0</v>
      </c>
      <c r="P7" s="462">
        <v>0</v>
      </c>
      <c r="Q7" s="46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2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2017-09-07T10:18:57Z</dcterms:modified>
</cp:coreProperties>
</file>