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Statim" sheetId="427" r:id="rId9"/>
    <sheet name="Materiál Žádanky" sheetId="420" r:id="rId10"/>
    <sheet name="MŽ Detail" sheetId="403" r:id="rId11"/>
    <sheet name="Osobní náklady" sheetId="431" r:id="rId12"/>
    <sheet name="ON Data" sheetId="432" state="hidden" r:id="rId13"/>
    <sheet name="ZV Vykáz.-A" sheetId="344" r:id="rId14"/>
    <sheet name="ZV Vykáz.-A Lékaři" sheetId="429" r:id="rId15"/>
    <sheet name="ZV Vykáz.-A Detail" sheetId="345" r:id="rId16"/>
    <sheet name="ZV Vykáz.-A Det.Lék." sheetId="430" r:id="rId17"/>
    <sheet name="ZV Vykáz.-H" sheetId="410" r:id="rId18"/>
    <sheet name="ZV Vykáz.-H Detail" sheetId="377" r:id="rId19"/>
  </sheets>
  <definedNames>
    <definedName name="_xlnm._FilterDatabase" localSheetId="5" hidden="1">HV!$A$5:$A$5</definedName>
    <definedName name="_xlnm._FilterDatabase" localSheetId="6" hidden="1">'Léky Žádanky'!$A$4:$I$4</definedName>
    <definedName name="_xlnm._FilterDatabase" localSheetId="7" hidden="1">'LŽ Detail'!$A$4:$N$4</definedName>
    <definedName name="_xlnm._FilterDatabase" localSheetId="8" hidden="1">'LŽ Statim'!$A$5:$I$5</definedName>
    <definedName name="_xlnm._FilterDatabase" localSheetId="4" hidden="1">'Man Tab'!$A$5:$A$31</definedName>
    <definedName name="_xlnm._FilterDatabase" localSheetId="9" hidden="1">'Materiál Žádanky'!$A$4:$I$4</definedName>
    <definedName name="_xlnm._FilterDatabase" localSheetId="10" hidden="1">'MŽ Detail'!$A$4:$K$4</definedName>
    <definedName name="_xlnm._FilterDatabase" localSheetId="16" hidden="1">'ZV Vykáz.-A Det.Lék.'!$A$5:$S$5</definedName>
    <definedName name="_xlnm._FilterDatabase" localSheetId="15" hidden="1">'ZV Vykáz.-A Detail'!$A$5:$R$5</definedName>
    <definedName name="_xlnm._FilterDatabase" localSheetId="14" hidden="1">'ZV Vykáz.-A Lékaři'!$A$4:$A$5</definedName>
    <definedName name="_xlnm._FilterDatabase" localSheetId="18" hidden="1">'ZV Vykáz.-H Detail'!$A$5:$Q$5</definedName>
    <definedName name="doměsíce">'HI Graf'!$C$11</definedName>
    <definedName name="Obdobi" localSheetId="12">'ON Data'!$B$3:$B$16</definedName>
    <definedName name="Obdobi" localSheetId="11">'ON Data'!$B$3:$B$16</definedName>
    <definedName name="Obdobi">#REF!</definedName>
  </definedNames>
  <calcPr calcId="152511"/>
</workbook>
</file>

<file path=xl/calcChain.xml><?xml version="1.0" encoding="utf-8"?>
<calcChain xmlns="http://schemas.openxmlformats.org/spreadsheetml/2006/main">
  <c r="C9" i="431" l="1"/>
  <c r="C13" i="431"/>
  <c r="C17" i="431"/>
  <c r="C21" i="431"/>
  <c r="D9" i="431"/>
  <c r="D13" i="431"/>
  <c r="D17" i="431"/>
  <c r="D21" i="431"/>
  <c r="E9" i="431"/>
  <c r="E13" i="431"/>
  <c r="E17" i="431"/>
  <c r="E21" i="431"/>
  <c r="F9" i="431"/>
  <c r="F13" i="431"/>
  <c r="F17" i="431"/>
  <c r="F21" i="431"/>
  <c r="G9" i="431"/>
  <c r="G13" i="431"/>
  <c r="G17" i="431"/>
  <c r="G21" i="431"/>
  <c r="H9" i="431"/>
  <c r="H13" i="431"/>
  <c r="H17" i="431"/>
  <c r="H21" i="431"/>
  <c r="I9" i="431"/>
  <c r="I13" i="431"/>
  <c r="I17" i="431"/>
  <c r="I21" i="431"/>
  <c r="J9" i="431"/>
  <c r="J13" i="431"/>
  <c r="J17" i="431"/>
  <c r="J21" i="431"/>
  <c r="K9" i="431"/>
  <c r="K13" i="431"/>
  <c r="K17" i="431"/>
  <c r="K21" i="431"/>
  <c r="L9" i="431"/>
  <c r="L13" i="431"/>
  <c r="L17" i="431"/>
  <c r="L21" i="431"/>
  <c r="M9" i="431"/>
  <c r="M13" i="431"/>
  <c r="M17" i="431"/>
  <c r="M21" i="431"/>
  <c r="N9" i="431"/>
  <c r="N13" i="431"/>
  <c r="N17" i="431"/>
  <c r="N21" i="431"/>
  <c r="O9" i="431"/>
  <c r="O13" i="431"/>
  <c r="O17" i="431"/>
  <c r="O21" i="431"/>
  <c r="P9" i="431"/>
  <c r="P13" i="431"/>
  <c r="P17" i="431"/>
  <c r="P21" i="431"/>
  <c r="Q9" i="431"/>
  <c r="Q13" i="431"/>
  <c r="Q17" i="431"/>
  <c r="Q21" i="431"/>
  <c r="P22" i="431"/>
  <c r="Q14" i="431"/>
  <c r="Q18" i="431"/>
  <c r="C16" i="431"/>
  <c r="D16" i="431"/>
  <c r="D24" i="431"/>
  <c r="E16" i="431"/>
  <c r="F12" i="431"/>
  <c r="G12" i="431"/>
  <c r="G24" i="431"/>
  <c r="H20" i="431"/>
  <c r="I16" i="431"/>
  <c r="J12" i="431"/>
  <c r="J20" i="431"/>
  <c r="K16" i="431"/>
  <c r="L12" i="431"/>
  <c r="L24" i="431"/>
  <c r="M16" i="431"/>
  <c r="N12" i="431"/>
  <c r="N24" i="431"/>
  <c r="O20" i="431"/>
  <c r="P16" i="431"/>
  <c r="Q12" i="431"/>
  <c r="Q24" i="431"/>
  <c r="C10" i="431"/>
  <c r="C14" i="431"/>
  <c r="C18" i="431"/>
  <c r="C22" i="431"/>
  <c r="D10" i="431"/>
  <c r="D14" i="431"/>
  <c r="D18" i="431"/>
  <c r="D22" i="431"/>
  <c r="E10" i="431"/>
  <c r="E14" i="431"/>
  <c r="E18" i="431"/>
  <c r="E22" i="431"/>
  <c r="F10" i="431"/>
  <c r="F14" i="431"/>
  <c r="F18" i="431"/>
  <c r="F22" i="431"/>
  <c r="G10" i="431"/>
  <c r="G14" i="431"/>
  <c r="G18" i="431"/>
  <c r="G22" i="431"/>
  <c r="H10" i="431"/>
  <c r="H14" i="431"/>
  <c r="H18" i="431"/>
  <c r="H22" i="431"/>
  <c r="I10" i="431"/>
  <c r="I14" i="431"/>
  <c r="I18" i="431"/>
  <c r="I22" i="431"/>
  <c r="J10" i="431"/>
  <c r="J14" i="431"/>
  <c r="J18" i="431"/>
  <c r="J22" i="431"/>
  <c r="K10" i="431"/>
  <c r="K14" i="431"/>
  <c r="K18" i="431"/>
  <c r="K22" i="431"/>
  <c r="L10" i="431"/>
  <c r="L14" i="431"/>
  <c r="L18" i="431"/>
  <c r="L22" i="431"/>
  <c r="M10" i="431"/>
  <c r="M14" i="431"/>
  <c r="M18" i="431"/>
  <c r="M22" i="431"/>
  <c r="N10" i="431"/>
  <c r="N14" i="431"/>
  <c r="N18" i="431"/>
  <c r="N22" i="431"/>
  <c r="O10" i="431"/>
  <c r="O14" i="431"/>
  <c r="O18" i="431"/>
  <c r="O22" i="431"/>
  <c r="P10" i="431"/>
  <c r="P14" i="431"/>
  <c r="P18" i="431"/>
  <c r="Q10" i="431"/>
  <c r="Q22" i="431"/>
  <c r="D12" i="431"/>
  <c r="E24" i="431"/>
  <c r="F20" i="431"/>
  <c r="G16" i="431"/>
  <c r="H12" i="431"/>
  <c r="H24" i="431"/>
  <c r="I24" i="431"/>
  <c r="J24" i="431"/>
  <c r="K20" i="431"/>
  <c r="L16" i="431"/>
  <c r="M12" i="431"/>
  <c r="M24" i="431"/>
  <c r="N20" i="431"/>
  <c r="O16" i="431"/>
  <c r="P12" i="431"/>
  <c r="P24" i="431"/>
  <c r="Q20" i="431"/>
  <c r="C11" i="431"/>
  <c r="C15" i="431"/>
  <c r="C19" i="431"/>
  <c r="C23" i="431"/>
  <c r="D11" i="431"/>
  <c r="D15" i="431"/>
  <c r="D19" i="431"/>
  <c r="D23" i="431"/>
  <c r="E11" i="431"/>
  <c r="E15" i="431"/>
  <c r="E19" i="431"/>
  <c r="E23" i="431"/>
  <c r="F11" i="431"/>
  <c r="F15" i="431"/>
  <c r="F19" i="431"/>
  <c r="F23" i="431"/>
  <c r="G11" i="431"/>
  <c r="G15" i="431"/>
  <c r="G19" i="431"/>
  <c r="G23" i="431"/>
  <c r="H11" i="431"/>
  <c r="H15" i="431"/>
  <c r="H19" i="431"/>
  <c r="H23" i="431"/>
  <c r="I11" i="431"/>
  <c r="I15" i="431"/>
  <c r="I19" i="431"/>
  <c r="I23" i="431"/>
  <c r="J11" i="431"/>
  <c r="J15" i="431"/>
  <c r="J19" i="431"/>
  <c r="J23" i="431"/>
  <c r="K11" i="431"/>
  <c r="K15" i="431"/>
  <c r="K19" i="431"/>
  <c r="K23" i="431"/>
  <c r="L11" i="431"/>
  <c r="L15" i="431"/>
  <c r="L19" i="431"/>
  <c r="L23" i="431"/>
  <c r="M11" i="431"/>
  <c r="M15" i="431"/>
  <c r="M19" i="431"/>
  <c r="M23" i="431"/>
  <c r="N11" i="431"/>
  <c r="N15" i="431"/>
  <c r="N19" i="431"/>
  <c r="N23" i="431"/>
  <c r="O11" i="431"/>
  <c r="O15" i="431"/>
  <c r="O19" i="431"/>
  <c r="O23" i="431"/>
  <c r="P11" i="431"/>
  <c r="P15" i="431"/>
  <c r="P19" i="431"/>
  <c r="P23" i="431"/>
  <c r="Q11" i="431"/>
  <c r="Q15" i="431"/>
  <c r="Q19" i="431"/>
  <c r="Q23" i="431"/>
  <c r="C12" i="431"/>
  <c r="C20" i="431"/>
  <c r="C24" i="431"/>
  <c r="D20" i="431"/>
  <c r="E12" i="431"/>
  <c r="E20" i="431"/>
  <c r="F16" i="431"/>
  <c r="F24" i="431"/>
  <c r="G20" i="431"/>
  <c r="H16" i="431"/>
  <c r="I12" i="431"/>
  <c r="I20" i="431"/>
  <c r="J16" i="431"/>
  <c r="K12" i="431"/>
  <c r="K24" i="431"/>
  <c r="L20" i="431"/>
  <c r="M20" i="431"/>
  <c r="N16" i="431"/>
  <c r="O12" i="431"/>
  <c r="O24" i="431"/>
  <c r="P20" i="431"/>
  <c r="Q16" i="431"/>
  <c r="I8" i="431"/>
  <c r="E8" i="431"/>
  <c r="H8" i="431"/>
  <c r="C8" i="431"/>
  <c r="O8" i="431"/>
  <c r="P8" i="431"/>
  <c r="F8" i="431"/>
  <c r="M8" i="431"/>
  <c r="K8" i="431"/>
  <c r="D8" i="431"/>
  <c r="L8" i="431"/>
  <c r="G8" i="431"/>
  <c r="N8" i="431"/>
  <c r="Q8" i="431"/>
  <c r="J8" i="431"/>
  <c r="R16" i="431" l="1"/>
  <c r="S16" i="431"/>
  <c r="R23" i="431"/>
  <c r="S23" i="431"/>
  <c r="R19" i="431"/>
  <c r="S19" i="431"/>
  <c r="R15" i="431"/>
  <c r="S15" i="431"/>
  <c r="R11" i="431"/>
  <c r="S11" i="431"/>
  <c r="S20" i="431"/>
  <c r="R20" i="431"/>
  <c r="R22" i="431"/>
  <c r="S22" i="431"/>
  <c r="R10" i="431"/>
  <c r="S10" i="431"/>
  <c r="R24" i="431"/>
  <c r="S24" i="431"/>
  <c r="R12" i="431"/>
  <c r="S12" i="431"/>
  <c r="R18" i="431"/>
  <c r="S18" i="431"/>
  <c r="S14" i="431"/>
  <c r="R14" i="431"/>
  <c r="R21" i="431"/>
  <c r="S21" i="431"/>
  <c r="R17" i="431"/>
  <c r="S17" i="431"/>
  <c r="R13" i="431"/>
  <c r="S13" i="431"/>
  <c r="R9" i="431"/>
  <c r="S9" i="431"/>
  <c r="N6" i="431"/>
  <c r="R8" i="431"/>
  <c r="S8" i="431"/>
  <c r="Q6" i="431"/>
  <c r="M6" i="431"/>
  <c r="I6" i="431"/>
  <c r="P6" i="431"/>
  <c r="L6" i="431"/>
  <c r="H6" i="431"/>
  <c r="J6" i="431"/>
  <c r="O6" i="431"/>
  <c r="K6" i="431"/>
  <c r="G6" i="431"/>
  <c r="C6" i="431"/>
  <c r="R6" i="431" l="1"/>
  <c r="S6" i="431"/>
  <c r="D19" i="414" l="1"/>
  <c r="E19" i="414" s="1"/>
  <c r="D18" i="414"/>
  <c r="A22" i="383" l="1"/>
  <c r="Q3" i="430"/>
  <c r="P3" i="430"/>
  <c r="M3" i="430"/>
  <c r="L3" i="430"/>
  <c r="I3" i="430"/>
  <c r="H3" i="430"/>
  <c r="R3" i="430" l="1"/>
  <c r="S3" i="430"/>
  <c r="H3" i="344"/>
  <c r="E11" i="339" s="1"/>
  <c r="E3" i="344"/>
  <c r="B3" i="344"/>
  <c r="I3" i="344" s="1"/>
  <c r="J3" i="344" l="1"/>
  <c r="D17" i="414" s="1"/>
  <c r="C11" i="339"/>
  <c r="E18" i="414"/>
  <c r="A19" i="414"/>
  <c r="A18" i="414"/>
  <c r="A17" i="414"/>
  <c r="A8" i="414" l="1"/>
  <c r="A7" i="414"/>
  <c r="A20" i="383" l="1"/>
  <c r="G3" i="429"/>
  <c r="F3" i="429"/>
  <c r="E3" i="429"/>
  <c r="D3" i="429"/>
  <c r="C3" i="429"/>
  <c r="B3" i="429"/>
  <c r="A13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8" i="414" s="1"/>
  <c r="E8" i="414" s="1"/>
  <c r="H3" i="427"/>
  <c r="I3" i="427"/>
  <c r="F3" i="427"/>
  <c r="C11" i="340" l="1"/>
  <c r="A14" i="383" l="1"/>
  <c r="A11" i="383"/>
  <c r="A7" i="33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2" i="414" l="1"/>
  <c r="D7" i="414"/>
  <c r="A15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1" i="414" l="1"/>
  <c r="A16" i="414"/>
  <c r="R3" i="410" l="1"/>
  <c r="Q3" i="410"/>
  <c r="P3" i="410"/>
  <c r="S3" i="410" s="1"/>
  <c r="O3" i="410"/>
  <c r="N3" i="410"/>
  <c r="L3" i="410"/>
  <c r="K3" i="410"/>
  <c r="J3" i="410"/>
  <c r="M3" i="410" s="1"/>
  <c r="I3" i="410"/>
  <c r="H3" i="410"/>
  <c r="F3" i="410"/>
  <c r="E3" i="410"/>
  <c r="D3" i="410"/>
  <c r="C3" i="410"/>
  <c r="B3" i="410"/>
  <c r="D20" i="414" l="1"/>
  <c r="G3" i="410"/>
  <c r="Z3" i="344"/>
  <c r="Y3" i="344"/>
  <c r="W3" i="344"/>
  <c r="AB3" i="344" s="1"/>
  <c r="V3" i="344"/>
  <c r="T3" i="344"/>
  <c r="AA3" i="344" s="1"/>
  <c r="Q3" i="344"/>
  <c r="P3" i="344"/>
  <c r="N3" i="344"/>
  <c r="S3" i="344" s="1"/>
  <c r="M3" i="344"/>
  <c r="K3" i="344"/>
  <c r="R3" i="344" s="1"/>
  <c r="G3" i="344"/>
  <c r="C3" i="344"/>
  <c r="B11" i="339"/>
  <c r="J11" i="339" s="1"/>
  <c r="I11" i="339" l="1"/>
  <c r="F11" i="339"/>
  <c r="H11" i="339" l="1"/>
  <c r="G11" i="339"/>
  <c r="A20" i="414"/>
  <c r="A12" i="414"/>
  <c r="A13" i="414"/>
  <c r="A4" i="414"/>
  <c r="A6" i="339" l="1"/>
  <c r="A5" i="339"/>
  <c r="C16" i="414"/>
  <c r="C13" i="414"/>
  <c r="D16" i="414"/>
  <c r="D4" i="414"/>
  <c r="D13" i="414"/>
  <c r="C12" i="414" l="1"/>
  <c r="C7" i="414"/>
  <c r="E20" i="414" l="1"/>
  <c r="E17" i="414"/>
  <c r="E12" i="414"/>
  <c r="E7" i="414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E12" i="339" l="1"/>
  <c r="C12" i="339"/>
  <c r="F12" i="339" s="1"/>
  <c r="B12" i="339"/>
  <c r="J12" i="339" s="1"/>
  <c r="O3" i="377"/>
  <c r="N3" i="377"/>
  <c r="Q3" i="377" s="1"/>
  <c r="K3" i="377"/>
  <c r="P3" i="377" s="1"/>
  <c r="J3" i="377"/>
  <c r="G3" i="377"/>
  <c r="F3" i="377"/>
  <c r="P3" i="345"/>
  <c r="O3" i="345"/>
  <c r="R3" i="345" s="1"/>
  <c r="L3" i="345"/>
  <c r="Q3" i="345" s="1"/>
  <c r="K3" i="345"/>
  <c r="H3" i="345"/>
  <c r="G3" i="345"/>
  <c r="N3" i="220"/>
  <c r="L3" i="220" s="1"/>
  <c r="C21" i="414"/>
  <c r="D21" i="414"/>
  <c r="I12" i="339" l="1"/>
  <c r="I13" i="339" s="1"/>
  <c r="F13" i="339"/>
  <c r="E13" i="339"/>
  <c r="E15" i="339" s="1"/>
  <c r="H12" i="339"/>
  <c r="G12" i="339"/>
  <c r="A4" i="383"/>
  <c r="A24" i="383"/>
  <c r="A23" i="383"/>
  <c r="A21" i="383"/>
  <c r="A19" i="383"/>
  <c r="A16" i="383"/>
  <c r="A15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D15" i="414"/>
  <c r="C4" i="414"/>
  <c r="J13" i="339" l="1"/>
  <c r="B15" i="339"/>
  <c r="H13" i="339"/>
  <c r="F15" i="339"/>
  <c r="E13" i="414"/>
  <c r="E4" i="414"/>
  <c r="C6" i="340"/>
  <c r="D6" i="340" s="1"/>
  <c r="B4" i="340"/>
  <c r="G13" i="339"/>
  <c r="B13" i="340" l="1"/>
  <c r="B12" i="340"/>
  <c r="G15" i="339"/>
  <c r="H15" i="339"/>
  <c r="C4" i="340"/>
  <c r="E16" i="414"/>
  <c r="E21" i="414"/>
  <c r="D4" i="340"/>
  <c r="E6" i="340"/>
  <c r="C15" i="414"/>
  <c r="E15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<sst xmlns="http://schemas.openxmlformats.org/spreadsheetml/2006/main" count="2995" uniqueCount="793">
  <si>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</si>
  <si>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</si>
  <si>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</si>
  <si>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</si>
  <si>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</si>
  <si>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</si>
  <si>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</si>
  <si>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</si>
  <si>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</si>
  <si>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</si>
  <si>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</si>
  <si>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</si>
  <si>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</si>
  <si>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</si>
  <si>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</si>
  <si>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</si>
  <si>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</si>
  <si>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</si>
  <si>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</si>
  <si>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</si>
  <si>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</si>
  <si>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</si>
  <si>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</si>
  <si>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</si>
  <si>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</si>
  <si>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</si>
  <si>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</si>
  <si>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</si>
  <si>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</si>
  <si>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</si>
  <si>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</si>
  <si>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</si>
  <si>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</si>
  <si>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</si>
  <si>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</si>
  <si>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</si>
  <si>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</si>
  <si>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</si>
  <si>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</si>
  <si>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</si>
  <si>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</si>
  <si>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</si>
  <si>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</si>
  <si>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</si>
  <si>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</si>
  <si>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</si>
  <si>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</si>
  <si>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</si>
  <si>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</si>
  <si>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</si>
  <si>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</si>
  <si>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</si>
  <si>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</si>
  <si>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</si>
  <si>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</si>
  <si>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</si>
  <si>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</si>
  <si>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</si>
  <si>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</si>
  <si>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</si>
  <si>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</si>
  <si>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</si>
  <si>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</si>
  <si>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</si>
  <si>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</si>
  <si>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</si>
  <si>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</si>
  <si>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</si>
  <si>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</si>
  <si>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</si>
  <si>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</si>
  <si>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</si>
  <si>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</si>
  <si>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</si>
  <si>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</si>
  <si>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</si>
  <si>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</si>
  <si>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</si>
  <si>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</si>
  <si>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</si>
  <si>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</si>
  <si>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</si>
  <si>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</si>
  <si>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</si>
  <si>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</si>
  <si>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</si>
  <si>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</si>
  <si>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</si>
  <si>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</si>
  <si>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</si>
  <si>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</si>
  <si>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</si>
  <si>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</si>
  <si>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</si>
  <si>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</si>
  <si>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</si>
  <si>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</si>
  <si>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</si>
  <si>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</si>
  <si>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</si>
  <si>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</si>
  <si>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</si>
  <si>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</si>
  <si>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</si>
  <si>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</si>
  <si>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</si>
  <si>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</si>
  <si>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</si>
  <si>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</si>
  <si>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</si>
  <si>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</si>
  <si>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</si>
  <si>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Lékař</t>
  </si>
  <si>
    <t>Hospodaření zdravotnického pracoviště (v tisících)</t>
  </si>
  <si>
    <t>Spotřeba léčivých přípravků</t>
  </si>
  <si>
    <t>Spotřeba zdravotnického materiálu</t>
  </si>
  <si>
    <t>Přehledové sestavy</t>
  </si>
  <si>
    <t>Akt. měsíc</t>
  </si>
  <si>
    <t>Kč/ks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</si>
  <si>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</si>
  <si>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</si>
  <si>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</si>
  <si>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</si>
  <si>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</si>
  <si>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</si>
  <si>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</si>
  <si>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</si>
  <si>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</si>
  <si>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</si>
  <si>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</si>
  <si>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</si>
  <si>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</si>
  <si>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</si>
  <si>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</si>
  <si>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</si>
  <si>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</si>
  <si>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</si>
  <si>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</si>
  <si>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</si>
  <si>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</si>
  <si>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</si>
  <si>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</si>
  <si>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</si>
  <si>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</si>
  <si>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</si>
  <si>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</si>
  <si>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</si>
  <si>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</si>
  <si>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</si>
  <si>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</si>
  <si>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</si>
  <si>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</si>
  <si>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</si>
  <si>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</si>
  <si>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</si>
  <si>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</si>
  <si>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</si>
  <si>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</si>
  <si>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</si>
  <si>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</si>
  <si>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</si>
  <si>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</si>
  <si>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</si>
  <si>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</si>
  <si>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</si>
  <si>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</si>
  <si>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</si>
  <si>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</si>
  <si>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</si>
  <si>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</si>
  <si>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</si>
  <si>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</si>
  <si>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</si>
  <si>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</si>
  <si>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</si>
  <si>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Sml.odb./NS</t>
  </si>
  <si>
    <t>% 2015</t>
  </si>
  <si>
    <t>§</t>
  </si>
  <si>
    <t>ZV Vykáz.-A Det.Lék.</t>
  </si>
  <si>
    <t>Rozdíl 2015</t>
  </si>
  <si>
    <t>Plnění 2015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</si>
  <si>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</si>
  <si>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</si>
  <si>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</si>
  <si>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</si>
  <si>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</si>
  <si>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</si>
  <si>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</si>
  <si>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</si>
  <si>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</si>
  <si>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</si>
  <si>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</si>
  <si>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</si>
  <si>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</si>
  <si>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</si>
  <si>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</si>
  <si>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</si>
  <si>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</si>
  <si>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</si>
  <si>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</si>
  <si>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</si>
  <si>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</si>
  <si>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</si>
  <si>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</si>
  <si>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</si>
  <si>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</si>
  <si>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</si>
  <si>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</si>
  <si>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</si>
  <si>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</si>
  <si>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</si>
  <si>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</si>
  <si>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</si>
  <si>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t>Rozpočet výnosů pro rok 2018 je stanoven jako 100% skutečnosti referenčního období (2017)</t>
  </si>
  <si>
    <t>01/2018</t>
  </si>
  <si>
    <t>02/2018</t>
  </si>
  <si>
    <t>03/2018</t>
  </si>
  <si>
    <t>04/2018</t>
  </si>
  <si>
    <t>05/2018</t>
  </si>
  <si>
    <t>06/2018</t>
  </si>
  <si>
    <t>07/2018</t>
  </si>
  <si>
    <t>08/2018</t>
  </si>
  <si>
    <t>09/2018</t>
  </si>
  <si>
    <t>10/2018</t>
  </si>
  <si>
    <t>11/2018</t>
  </si>
  <si>
    <t>12/2018</t>
  </si>
  <si>
    <t>Rozp. 2017            CELKEM</t>
  </si>
  <si>
    <t>Skut. 2017 CELKEM</t>
  </si>
  <si>
    <t>ROZDÍL  Skut. - Rozp. 2017</t>
  </si>
  <si>
    <t>% plnění rozp.2017</t>
  </si>
  <si>
    <t>Rozp.rok 2018</t>
  </si>
  <si>
    <t>Sk.v tis 2018</t>
  </si>
  <si>
    <t>ROZDÍL (Sk.do data - Rozp.do data 2018)</t>
  </si>
  <si>
    <t>% plnění (Skut.do data/Rozp.rok 2018)</t>
  </si>
  <si>
    <t>POMĚROVÉ  PLNĚNÍ = Rozpočet na rok 2018 celkem a 1/12  ročního rozpočtu, skutečnost daných měsíců a % plnění načítané skutečnosti do data k poměrné části rozpočtu do data.</t>
  </si>
  <si>
    <r>
      <t>Zpět na Obsah</t>
    </r>
    <r>
      <rPr>
        <sz val="9"/>
        <rFont val="Calibri"/>
        <family val="2"/>
        <charset val="238"/>
        <scheme val="minor"/>
      </rPr>
      <t xml:space="preserve"> | 1.-4.měsíc | Ústav soudního lékařství a medicínského práva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</si>
  <si>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</si>
  <si>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</si>
  <si>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</si>
  <si>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</si>
  <si>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</si>
  <si>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</si>
  <si>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</si>
  <si>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</si>
  <si>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 (LEK)</t>
  </si>
  <si>
    <t>50113190     léky - medicinální plyny (sklad SVM)</t>
  </si>
  <si>
    <t>--</t>
  </si>
  <si>
    <t>50115     Zdravotnické prostředky</t>
  </si>
  <si>
    <t>50115020     laboratorní diagnostika-LEK (Z501)</t>
  </si>
  <si>
    <t>50115040     laboratorní materiál (Z505)</t>
  </si>
  <si>
    <t>50115050     obvazový materiál (Z502)</t>
  </si>
  <si>
    <t>50115060     ZPr - ostatní (Z503)</t>
  </si>
  <si>
    <t>50115065     ZPr - vpichovací materiál (Z530)</t>
  </si>
  <si>
    <t>50115067     ZPr - rukavice (Z532)</t>
  </si>
  <si>
    <t>50115090     ZPr - zubolékařský materiál (Z509)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</si>
  <si>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</si>
  <si>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</si>
  <si>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</si>
  <si>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</si>
  <si>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</si>
  <si>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50117005     údržbový materiál ZVIT (sk.B36,61,62,64)</t>
  </si>
  <si>
    <t>50117007     údržbový materiál ostatní - sklady (sk.T17)</t>
  </si>
  <si>
    <t>50117015     IT - spotřební materiál (sk. P37, 48)</t>
  </si>
  <si>
    <t>50117021     všeob.mat. - hosp.přístr.a nářadí (V32) od 1tis do 2999,99</t>
  </si>
  <si>
    <t>50117022     všeob.mat. - kuchyň tech. (V33) od 1tis do 2999,99</t>
  </si>
  <si>
    <t>50117024     všeob.mat. - ostatní-vyjímky (V44) od 0,01 do 999,99</t>
  </si>
  <si>
    <t>50117190     technické plyny</t>
  </si>
  <si>
    <t>50118     Náhradní díly</t>
  </si>
  <si>
    <t>50118002     ND - zdravot.techn.(sklad) (sk.Z39)</t>
  </si>
  <si>
    <t>50118003     ND - ostatní techn.(dispečink)</t>
  </si>
  <si>
    <t>50118004     ND - zdravot.techn.(dispečink)</t>
  </si>
  <si>
    <t>50118005     ND - výpoč. techn.(sklad) (sk.P47)</t>
  </si>
  <si>
    <t>50119     DDHM a textil</t>
  </si>
  <si>
    <t>50119002     prádlo pacientů (sk.T12)</t>
  </si>
  <si>
    <t>50119077     OOPP a prádlo pro zaměstnance (sk.T14)</t>
  </si>
  <si>
    <t>50119092     pokojový textil (sk. T15)</t>
  </si>
  <si>
    <t>50119100     jednorázové ochranné pomůcky (sk.T18A)</t>
  </si>
  <si>
    <t>50119102     jednorázové hygienické potřeby (sk.T18C)</t>
  </si>
  <si>
    <t>50160     Knihy a časopisy</t>
  </si>
  <si>
    <t>50160002     knihy a časopisy</t>
  </si>
  <si>
    <t>51     Služby</t>
  </si>
  <si>
    <t>51102     Technika a stavby</t>
  </si>
  <si>
    <t>51102021     opravy zdravotnické techniky</t>
  </si>
  <si>
    <t>51102023     opravy ostatní techniky</t>
  </si>
  <si>
    <t>51102025     opravy - hl.energetik</t>
  </si>
  <si>
    <t>51201     Cestovné zaměstnanců-tuzemské</t>
  </si>
  <si>
    <t>51201000     cestovné z mezd</t>
  </si>
  <si>
    <t>51201001     cestovné tuzemské - OUC</t>
  </si>
  <si>
    <t>51203     Cestovné zaměstnanců-zahraniční</t>
  </si>
  <si>
    <t>51203000     cestovné zahraniční - mzdy</t>
  </si>
  <si>
    <t>51802     Spoje</t>
  </si>
  <si>
    <t>51802001     poštovné</t>
  </si>
  <si>
    <t>51802002     spotřeba cenin (známky, kolky)</t>
  </si>
  <si>
    <t>51802003     telekom.styk</t>
  </si>
  <si>
    <t>51804     Nájemné</t>
  </si>
  <si>
    <t>51804004     popl. za R a TV, veř. produkce</t>
  </si>
  <si>
    <t>51804005     náj. plynových lahví</t>
  </si>
  <si>
    <t>51806     Úklid, odpad, desinf., deratizace</t>
  </si>
  <si>
    <t>51806005     odpad (spalovna)</t>
  </si>
  <si>
    <t>51808     Revize a smluvní servisy majetku</t>
  </si>
  <si>
    <t>51808008     revize, tech.kontroly, prev.prohl.- OHM</t>
  </si>
  <si>
    <t>51808013     revize - kalibrace - metrolog</t>
  </si>
  <si>
    <t>51808018     smluvní servis - OHM</t>
  </si>
  <si>
    <t>51874     Ostatní služby</t>
  </si>
  <si>
    <t>51874003     znalecké posudky, odměny z klinických hodnocení</t>
  </si>
  <si>
    <t>51874005     inzerce</t>
  </si>
  <si>
    <t>51874010     ostatní služby - zdravotní</t>
  </si>
  <si>
    <t>51874011     zkoušky kvality</t>
  </si>
  <si>
    <t>51874015     organ.rozvoj (certif., akred.)</t>
  </si>
  <si>
    <t>521     Mzdové náklady</t>
  </si>
  <si>
    <t>52111     Hrubé mzdy</t>
  </si>
  <si>
    <t>52111000     hrubé mzdy</t>
  </si>
  <si>
    <t>52113     Refundace</t>
  </si>
  <si>
    <t>52113000     refundace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</si>
  <si>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</si>
  <si>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</si>
  <si>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</si>
  <si>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</si>
  <si>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52148     Peněžité dary z FKSP</t>
  </si>
  <si>
    <t>52148000     peněžité dary z FKSP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</si>
  <si>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</si>
  <si>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</si>
  <si>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</si>
  <si>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</si>
  <si>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</si>
  <si>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52413     Refundace - zdravotní pojištění</t>
  </si>
  <si>
    <t>52413000     refundace - zdravotní pojištění</t>
  </si>
  <si>
    <t>52414     Refundace - sociální pojištění</t>
  </si>
  <si>
    <t>52414000     refundace - sociální pojištění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</si>
  <si>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</si>
  <si>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</si>
  <si>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</si>
  <si>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</si>
  <si>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542     Jiné pokuty a penále</t>
  </si>
  <si>
    <t>54201     Jiné pokuty a penále(dle dokladů)</t>
  </si>
  <si>
    <t>54201013     ostatní pokuty a penále</t>
  </si>
  <si>
    <t>549     Ostatní náklady z činnosti</t>
  </si>
  <si>
    <t>54910     Ostatní náklady z činnosti</t>
  </si>
  <si>
    <t>54910005     refundace věcných nákladů</t>
  </si>
  <si>
    <t>54910009     školení, kongresové poplatky tuzemské - ost.zdrav.pracov.</t>
  </si>
  <si>
    <t>54910010     školení - nezdrav.pracov.</t>
  </si>
  <si>
    <t>54920     Náklady účtované od UP</t>
  </si>
  <si>
    <t>54920000     náklady účtované od UP</t>
  </si>
  <si>
    <t>54925     Ostatní výplaty fyzickým osobám(OPMČ)</t>
  </si>
  <si>
    <t>54925000     odškodn.-náhr.mzdy zam.(OPMČ)</t>
  </si>
  <si>
    <t>54971     Školení - ost.zaměst.THP (pouze OPMČ)</t>
  </si>
  <si>
    <t>54971000     školení - ost.zaměst.THP(pouze OPMČ)</t>
  </si>
  <si>
    <t>54972     Školení, kongres.popl.tuzemské - lékaři (pouze OPMČ)</t>
  </si>
  <si>
    <t>54972000     školení, kongres.popl.tuzemské - lékaři (pouze OPMČ)</t>
  </si>
  <si>
    <t>54973     Školení, kongres.popl.tuzemské - ostatní zdrav.prac.(pouze OPMČ)</t>
  </si>
  <si>
    <t>54973000     školení, kongres.popl.tuzemské - ostatní zdrav.prac.(pouze OPMČ)</t>
  </si>
  <si>
    <t>54977     Registrační poplatky - kongresy zahraniční (pouze OPMČ)</t>
  </si>
  <si>
    <t>54977000     registrační poplatky - kongresy zahraniční 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</si>
  <si>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</si>
  <si>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</si>
  <si>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</si>
  <si>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</si>
  <si>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</si>
  <si>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55110013     odpisy DHM - budovy z dotací</t>
  </si>
  <si>
    <t>558     Náklady z drobného dlouhodobého majetku</t>
  </si>
  <si>
    <t>55802     DDHM - provozní</t>
  </si>
  <si>
    <t>55802003     DDHM - kacelářská technika (sk.V_37)</t>
  </si>
  <si>
    <t>55805     DDHM - inventář</t>
  </si>
  <si>
    <t>55805002     DDHM - nábytek (sk.V_31)</t>
  </si>
  <si>
    <t>56     Finanční náklady</t>
  </si>
  <si>
    <t>563     Kurzové ztráty</t>
  </si>
  <si>
    <t>56301     Kurzové ztráty</t>
  </si>
  <si>
    <t>56301000     kurzové ztráty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</si>
  <si>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</si>
  <si>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</si>
  <si>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</si>
  <si>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</si>
  <si>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</si>
  <si>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60210323     zdr.služby - státní orgány</t>
  </si>
  <si>
    <t>60210350     zdr.služby - nadstandart</t>
  </si>
  <si>
    <t>60210351     zdr.služby - doprovod (otec u porodu)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</si>
  <si>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</si>
  <si>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</si>
  <si>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</si>
  <si>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</si>
  <si>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60229     Zdr. výkony - ost. ZP sled.položky  OZPI</t>
  </si>
  <si>
    <t>60229208     výkony + mater. - ZP na výkon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</si>
  <si>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</si>
  <si>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</si>
  <si>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</si>
  <si>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</si>
  <si>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</si>
  <si>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</si>
  <si>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603     Výnosy z pronájmu</t>
  </si>
  <si>
    <t>60325     Výnosy z pronájmu</t>
  </si>
  <si>
    <t>60325423     nájem nebytových prostor (99xx)</t>
  </si>
  <si>
    <t>60325424     nájem DM - použití vybavení FNOL (pitevny)</t>
  </si>
  <si>
    <t>64     Jiné provozní výnosy</t>
  </si>
  <si>
    <t>648     Čerpání fondů</t>
  </si>
  <si>
    <t>64824     Čerpání FKSP</t>
  </si>
  <si>
    <t>64824048     čerpání z FKSP - peněžité dary</t>
  </si>
  <si>
    <t>649     Ostatní výnosy z činnosti</t>
  </si>
  <si>
    <t>64908     Ostatní výnosy z činnosti</t>
  </si>
  <si>
    <t>64908000     rozdíly v zaokrouhlení</t>
  </si>
  <si>
    <t>64924     Ostatní služby - mimo zdrav.výkony  FAKTURACE</t>
  </si>
  <si>
    <t>64924443     znalecké posudky - Znaleký ústav</t>
  </si>
  <si>
    <t>64924450     poštovné, balné za odeslání</t>
  </si>
  <si>
    <t>64924459     školení, stáže, odb. semináře, konference</t>
  </si>
  <si>
    <t>66     Finanční výnosy</t>
  </si>
  <si>
    <t>663     Kurzové zisky</t>
  </si>
  <si>
    <t>66300     Kurzové zisky</t>
  </si>
  <si>
    <t>66300001     kurzové zisky</t>
  </si>
  <si>
    <t>7     Účtová třída 7 - Vnitropodnikové účetnictví - náklady</t>
  </si>
  <si>
    <t>79     Vnitropodnikové náklady</t>
  </si>
  <si>
    <t>79901     VPN - lékárna</t>
  </si>
  <si>
    <t>79901002     výdej HVLP</t>
  </si>
  <si>
    <t>79903     VPN - doprava</t>
  </si>
  <si>
    <t>79903002     výkony dopravy - osobní</t>
  </si>
  <si>
    <t>79903003     výkony dopravy - nákladní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</si>
  <si>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</si>
  <si>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</si>
  <si>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</si>
  <si>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</si>
  <si>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</si>
  <si>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</si>
  <si>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79920     VPN - mezistřediskové převody</t>
  </si>
  <si>
    <t>79920000     mezistřediskové převody</t>
  </si>
  <si>
    <t>79950     VPN - správní režie</t>
  </si>
  <si>
    <t>79950001     režie HTS</t>
  </si>
  <si>
    <t>8     Účtová třída 8 - Vnitropodnikové účetnictví - výnosy</t>
  </si>
  <si>
    <t>89     Vnitropodnikové výnosy</t>
  </si>
  <si>
    <t>899     Vnitropodnikové výnosy</t>
  </si>
  <si>
    <t>89920     VPV - mezistřediskové převody</t>
  </si>
  <si>
    <t>89920000     mezistřediskové převody</t>
  </si>
  <si>
    <t>89920001     převody - agregované výkony laboratoří</t>
  </si>
  <si>
    <t>38</t>
  </si>
  <si>
    <t>SOUD: Ústav soudního lékařství a medicín. práva</t>
  </si>
  <si>
    <t/>
  </si>
  <si>
    <t>50113001 - léky - paušál (LEK)</t>
  </si>
  <si>
    <t>50113190 - léky - medicinální plyny (sklad SVM)</t>
  </si>
  <si>
    <t>SOUD: Ústav soudního lékařství a medicín. práva Celkem</t>
  </si>
  <si>
    <t>SumaKL</t>
  </si>
  <si>
    <t>3841</t>
  </si>
  <si>
    <t>SOUD: soudní lékařství - laboratoř</t>
  </si>
  <si>
    <t>SOUD: soudní lékařství - laboratoř Celkem</t>
  </si>
  <si>
    <t>SumaNS</t>
  </si>
  <si>
    <t>mezeraNS</t>
  </si>
  <si>
    <t>léky - paušál (LEK)</t>
  </si>
  <si>
    <t>O</t>
  </si>
  <si>
    <t>DZ TRIXO LIND 100 ml</t>
  </si>
  <si>
    <t>ECOLAV Výplach očí 100ml</t>
  </si>
  <si>
    <t>100 ml</t>
  </si>
  <si>
    <t>FORTRANS</t>
  </si>
  <si>
    <t>PLV 1X4(SACKY)</t>
  </si>
  <si>
    <t>KL VASELINUM ALBUM, 50G</t>
  </si>
  <si>
    <t>KL VASELINUM FLAVUM, 50G</t>
  </si>
  <si>
    <t>38 - Ústav soudního lékařství a medicínského práva</t>
  </si>
  <si>
    <t>3841 - soudní lékařství - laboratoř</t>
  </si>
  <si>
    <t>50115020 - laboratorní diagnostika-LEK (Z501)</t>
  </si>
  <si>
    <t>50115040 - laboratorní materiál (Z505)</t>
  </si>
  <si>
    <t>50115050 - obvazový materiál (Z502)</t>
  </si>
  <si>
    <t>50115060 - ZPr - ostatní (Z503)</t>
  </si>
  <si>
    <t>50115067 - ZPr - rukavice (Z532)</t>
  </si>
  <si>
    <t>50115090 - ZPr - zubolékařský materiál (Z509)</t>
  </si>
  <si>
    <t>50115020</t>
  </si>
  <si>
    <t>laboratorní diagnostika-LEK (Z501)</t>
  </si>
  <si>
    <t>DB304</t>
  </si>
  <si>
    <t>1-BUTANOL, ANHYDROUS, 99.8%</t>
  </si>
  <si>
    <t>DB244</t>
  </si>
  <si>
    <t>1-PROPANOL FOR ANALYSIS EMSURE</t>
  </si>
  <si>
    <t>DG099</t>
  </si>
  <si>
    <t>2,3,4,5,6-Pentafluorobenzyl bromide 1g</t>
  </si>
  <si>
    <t>DB322</t>
  </si>
  <si>
    <t>2-BUTANOL FOR ANALYSIS EMSURE(R)</t>
  </si>
  <si>
    <t>DB311</t>
  </si>
  <si>
    <t>2-PROPANOL, BIOREAGENT, FOR  MOLECULAR</t>
  </si>
  <si>
    <t>DC342</t>
  </si>
  <si>
    <t>ACETON P.A.</t>
  </si>
  <si>
    <t>DA885</t>
  </si>
  <si>
    <t>ACETONITRILE LC-MS CHROMASOLV 4x2,5l</t>
  </si>
  <si>
    <t>DD079</t>
  </si>
  <si>
    <t>AMONIAK VODNY ROZTOK 25%</t>
  </si>
  <si>
    <t>DG384</t>
  </si>
  <si>
    <t>Bactec- PEDS - PLUS/F - plastic</t>
  </si>
  <si>
    <t>DA554</t>
  </si>
  <si>
    <t>BIA 2-093</t>
  </si>
  <si>
    <t>DI178</t>
  </si>
  <si>
    <t>Carmine</t>
  </si>
  <si>
    <t>DA587</t>
  </si>
  <si>
    <t>Cyclohexan CHROMASOLV 2 L</t>
  </si>
  <si>
    <t>DG794</t>
  </si>
  <si>
    <t>Desetikomorové kyvety (10 800 ks/balení)</t>
  </si>
  <si>
    <t>DC236</t>
  </si>
  <si>
    <t>DIETHYLETER P.A. NESTAB.</t>
  </si>
  <si>
    <t>DG379</t>
  </si>
  <si>
    <t>Doprava 21%</t>
  </si>
  <si>
    <t>DG770</t>
  </si>
  <si>
    <t>DRI Acetaminophen</t>
  </si>
  <si>
    <t>DG764</t>
  </si>
  <si>
    <t>DRI Amphetamine</t>
  </si>
  <si>
    <t>DG765</t>
  </si>
  <si>
    <t>DRI Benzodiazepines</t>
  </si>
  <si>
    <t>DG766</t>
  </si>
  <si>
    <t>DRI Cannabinoids</t>
  </si>
  <si>
    <t>DG774</t>
  </si>
  <si>
    <t>DRI Multi-Drug Calibrator 2</t>
  </si>
  <si>
    <t>DG775</t>
  </si>
  <si>
    <t>DRI Multi-Drug Calibrator 3</t>
  </si>
  <si>
    <t>DG776</t>
  </si>
  <si>
    <t>DRI Multi-Drug Calibrator 4</t>
  </si>
  <si>
    <t>DG771</t>
  </si>
  <si>
    <t>DRI Multi-Drug Negative Calibrator</t>
  </si>
  <si>
    <t>DG768</t>
  </si>
  <si>
    <t>DRI Opiates</t>
  </si>
  <si>
    <t>DG784</t>
  </si>
  <si>
    <t>DRI Primary control Set</t>
  </si>
  <si>
    <t>DG779</t>
  </si>
  <si>
    <t>DRI THC Calibrator 100</t>
  </si>
  <si>
    <t>DG777</t>
  </si>
  <si>
    <t>DRI THC Calibrator 20</t>
  </si>
  <si>
    <t>DG778</t>
  </si>
  <si>
    <t>DRI THC Calibrator 50</t>
  </si>
  <si>
    <t>DG785</t>
  </si>
  <si>
    <t>DRI THC Control 40 ng/ml</t>
  </si>
  <si>
    <t>DG231</t>
  </si>
  <si>
    <t>Ethanol 99,8% UV spektroskopie, 1L</t>
  </si>
  <si>
    <t>DA911</t>
  </si>
  <si>
    <t>ETHYLACETATE  CHROMASOLV HPLC 4x2,5l</t>
  </si>
  <si>
    <t>DG226</t>
  </si>
  <si>
    <t>ETHYLESTER KYS.OCTOVE P.A.</t>
  </si>
  <si>
    <t>DF519</t>
  </si>
  <si>
    <t>Etylglukuronid cut off 500 ng/ml</t>
  </si>
  <si>
    <t>DA368</t>
  </si>
  <si>
    <t>Fencyklidin PCP - rychlý test na záchyt drog</t>
  </si>
  <si>
    <t>DF571</t>
  </si>
  <si>
    <t>Formaldehyd 36-38% p.a., 5 L</t>
  </si>
  <si>
    <t>DB257</t>
  </si>
  <si>
    <t>CHLOROFORM P.A. - stab. methanolem</t>
  </si>
  <si>
    <t>DG145</t>
  </si>
  <si>
    <t>kyselina CHLOROVODÍKOVÁ 35% P.A.</t>
  </si>
  <si>
    <t>DG143</t>
  </si>
  <si>
    <t>kyselina SÍROVÁ P.A.</t>
  </si>
  <si>
    <t>DH006</t>
  </si>
  <si>
    <t>KYSELINA ŠŤAVELOVÁ DIHYDRÁT 500g p.a</t>
  </si>
  <si>
    <t>DB242</t>
  </si>
  <si>
    <t>METHANOL ECD FID SUPRASOLV 1 L</t>
  </si>
  <si>
    <t>DG229</t>
  </si>
  <si>
    <t>METHANOL P.A.</t>
  </si>
  <si>
    <t>DF908</t>
  </si>
  <si>
    <t>MTD(methadone) test na záchyt drog v moči</t>
  </si>
  <si>
    <t>DG795</t>
  </si>
  <si>
    <t>Promývací roztok 4,5% (4 x 20 ml/balení)</t>
  </si>
  <si>
    <t>DG184</t>
  </si>
  <si>
    <t>SIRAN SODNY BEZV.,P.A.</t>
  </si>
  <si>
    <t>DG222</t>
  </si>
  <si>
    <t>SOLACRYL BMX, 1000 ML</t>
  </si>
  <si>
    <t>DB557</t>
  </si>
  <si>
    <t>STANDARDNI ROZTOK ETHANOLU</t>
  </si>
  <si>
    <t>DB331</t>
  </si>
  <si>
    <t>TOLUENE ECD FID SUPRASOLV 1 L</t>
  </si>
  <si>
    <t>50115040</t>
  </si>
  <si>
    <t>laboratorní materiál (Z505)</t>
  </si>
  <si>
    <t>ZM003</t>
  </si>
  <si>
    <t>Baňka odměrná s NZ a skl.dutou zátkou objem 100 ml GLAS130.234.08</t>
  </si>
  <si>
    <t>ZM046</t>
  </si>
  <si>
    <t>Baňka odměrná se zábrusem a PE zátkou objem 1000 ml přesnost +/- 0,4 ml GLAS130.202.09</t>
  </si>
  <si>
    <t>ZE071</t>
  </si>
  <si>
    <t>Kádinka nízká sklo 1000 ml KAVA632417010940_U</t>
  </si>
  <si>
    <t>ZE009</t>
  </si>
  <si>
    <t>Kádinka nízká sklo 600 ml (213-1049) KAVA632417010600</t>
  </si>
  <si>
    <t>ZD437</t>
  </si>
  <si>
    <t>Nálevka dělící 250 ml s teflonovým kohoutem GLAS149.202.04</t>
  </si>
  <si>
    <t>ZC080</t>
  </si>
  <si>
    <t>Sklo krycí 24 x 24 mm, á 1000 ks BD2424</t>
  </si>
  <si>
    <t>ZC716</t>
  </si>
  <si>
    <t>Špička žlutá pipetovací dlouhá manžeta bal. á 1000 ks 1123</t>
  </si>
  <si>
    <t>ZB486</t>
  </si>
  <si>
    <t>Vialka-reaction vials 1,0 ml bal. á 12 ks C*099420</t>
  </si>
  <si>
    <t>50115050</t>
  </si>
  <si>
    <t>obvazový materiál (Z502)</t>
  </si>
  <si>
    <t>ZB404</t>
  </si>
  <si>
    <t>Náplast cosmos 8 cm x 1 m 5403353</t>
  </si>
  <si>
    <t>ZN366</t>
  </si>
  <si>
    <t>Náplast poinjekční elastická tkaná jednotl. baleno 19 mm x 72 mm P-CURE1972ELAST</t>
  </si>
  <si>
    <t>ZA446</t>
  </si>
  <si>
    <t>Vata buničitá přířezy 20 x 30 cm 1230200129</t>
  </si>
  <si>
    <t>ZA090</t>
  </si>
  <si>
    <t>Vata buničitá přířezy 37 x 57 cm 2730152</t>
  </si>
  <si>
    <t>50115060</t>
  </si>
  <si>
    <t>ZPr - ostatní (Z503)</t>
  </si>
  <si>
    <t>ZB973</t>
  </si>
  <si>
    <t>Fólie hliniková 20 x 20 cm bal. á 25 ks HPTLC 1.055480.001 (č. n. CZ_2016_EM_1098_19234)</t>
  </si>
  <si>
    <t>ZC019</t>
  </si>
  <si>
    <t>Fólie plastická silikag. 20 x 20 cm bal. á 25 ks TLC 1.057350.001 (č. n. CZ_2016_EM_1098_19234)</t>
  </si>
  <si>
    <t>ZH343</t>
  </si>
  <si>
    <t>Kladívko chirurgické kovové 250 g 397128080901</t>
  </si>
  <si>
    <t>ZH342</t>
  </si>
  <si>
    <t>Kladívko chirurgické kovové 500 g 397128080911</t>
  </si>
  <si>
    <t>ZG037</t>
  </si>
  <si>
    <t>Kleště wolf na sádrové obvazy 240 mm RU6240-24</t>
  </si>
  <si>
    <t>ZO373</t>
  </si>
  <si>
    <t>Kolonka separační  SPE Strata X-CW 33 um Polymeric Weak Cation 30mg/1 ml bal á 100 ks 8B-S035-TAK</t>
  </si>
  <si>
    <t>ZO930</t>
  </si>
  <si>
    <t>Kontejner 100 ml PP 72/62 mm s přiloženým uzávěrem bílé víčko sterilní na tekutý materiál 75.562.105</t>
  </si>
  <si>
    <t>ZQ235</t>
  </si>
  <si>
    <t>Měřítko 15,0 cm B397111910081</t>
  </si>
  <si>
    <t>ZF159</t>
  </si>
  <si>
    <t>Nádoba na kontaminovaný odpad 1 l 15-0002</t>
  </si>
  <si>
    <t>ZE159</t>
  </si>
  <si>
    <t>Nádoba na kontaminovaný odpad 2 l 15-0003</t>
  </si>
  <si>
    <t>ZP199</t>
  </si>
  <si>
    <t>Nádoba na kontaminovaný odpad 30 l PP s víkem 335 x 400 x 318 mm 4430</t>
  </si>
  <si>
    <t>ZF192</t>
  </si>
  <si>
    <t>Nádoba na kontaminovaný odpad 4 l 15-0004</t>
  </si>
  <si>
    <t>ZI114</t>
  </si>
  <si>
    <t>Nůž amputační COLLIN 130 mm 260 mm B397112910062</t>
  </si>
  <si>
    <t>ZP992</t>
  </si>
  <si>
    <t>Nůž amputační Collin hrotnatý čepel 160 mm celk. délka 290 mm 397112080740</t>
  </si>
  <si>
    <t>ZP993</t>
  </si>
  <si>
    <t>Nůžky chirugické hrotnatotupé rovné 155 mm B397113910023</t>
  </si>
  <si>
    <t>ZA350</t>
  </si>
  <si>
    <t>Nůžky na střeva 220 mm 113010520</t>
  </si>
  <si>
    <t>ZP991</t>
  </si>
  <si>
    <t>Nůžky na střeva s olivkou 210 mm B397113910296</t>
  </si>
  <si>
    <t>ZP476</t>
  </si>
  <si>
    <t>Nůžky oční rovné hrotnatotupé 100 mm 397113380020</t>
  </si>
  <si>
    <t>ZQ242</t>
  </si>
  <si>
    <t>Pátradlo paličkové oboustranné 25 cm 397133080060</t>
  </si>
  <si>
    <t>ZM383</t>
  </si>
  <si>
    <t>Pinzeta chirurgická jemná 1 x 2 zuby 160 mm 397114080430</t>
  </si>
  <si>
    <t>ZQ243</t>
  </si>
  <si>
    <t>Pinzeta chirururgická 1 x 2 zuby 20 cm 397114080340</t>
  </si>
  <si>
    <t>ZA788</t>
  </si>
  <si>
    <t>Stříkačka injekční 2-dílná 20 ml L Inject Solo 4606205V</t>
  </si>
  <si>
    <t>ZH615</t>
  </si>
  <si>
    <t>Uzávěr krimplovací Al s otvorem 20 mm á 100 ks (548-3096) LAPH20010408</t>
  </si>
  <si>
    <t>ZH614</t>
  </si>
  <si>
    <t>Zátka butyl šedá 20 mm á 100 ks (548-3100) LAPH20100290</t>
  </si>
  <si>
    <t>ZA817</t>
  </si>
  <si>
    <t>Zkumavka PS 10 ml sterilní modrá zátka bal. á 20 ks 400914 - pouze pro Soudní + DMP + NEU</t>
  </si>
  <si>
    <t>ZB830</t>
  </si>
  <si>
    <t>Zrcátko zubní zvětšovací 24 mm B397122510020</t>
  </si>
  <si>
    <t>ZF709</t>
  </si>
  <si>
    <t>Žiletka mikrotomová á 50 ks JP-BN35</t>
  </si>
  <si>
    <t>50115067</t>
  </si>
  <si>
    <t>ZPr - rukavice (Z532)</t>
  </si>
  <si>
    <t>ZP948</t>
  </si>
  <si>
    <t>Rukavice nitril basic bez p. modré L bal. á 200 ks 44752</t>
  </si>
  <si>
    <t>ZP947</t>
  </si>
  <si>
    <t>Rukavice nitril basic bez p. modré M bal. á 200 ks 44751</t>
  </si>
  <si>
    <t>ZP946</t>
  </si>
  <si>
    <t>Rukavice nitril basic bez p. modré S bal. á 200 ks 44750</t>
  </si>
  <si>
    <t>ZP981</t>
  </si>
  <si>
    <t>Rukavice nitril sterling bez p. prodloužené L bal. á 100 ks 44289</t>
  </si>
  <si>
    <t>ZP980</t>
  </si>
  <si>
    <t>Rukavice nitril sterling bez p. prodloužené M bal. á 100 ks 44288</t>
  </si>
  <si>
    <t>ZK476</t>
  </si>
  <si>
    <t>Rukavice operační latexové s pudrem ansell, vasco surgical powderet vel. 7,5 6035534</t>
  </si>
  <si>
    <t>ZK477</t>
  </si>
  <si>
    <t>Rukavice operační latexové s pudrem ansell, vasco surgical powderet vel. 8 6035542 (303506EU)</t>
  </si>
  <si>
    <t>ZK442</t>
  </si>
  <si>
    <t>Rukavice operační latexové s pudrem sempermed classic vel. 9,0 bal. á 70 párů 31286</t>
  </si>
  <si>
    <t>ZI758</t>
  </si>
  <si>
    <t>Rukavice vinyl bez p. M á 100 ks EFEKTVR03</t>
  </si>
  <si>
    <t>50115090</t>
  </si>
  <si>
    <t>ZPr - zubolékařský materiál (Z509)</t>
  </si>
  <si>
    <t>ZC133</t>
  </si>
  <si>
    <t>Pátradlo paličkové oboustranné 150 mm 397133080020</t>
  </si>
  <si>
    <t>Spotřeba zdravotnického materiálu - orientační přehled</t>
  </si>
  <si>
    <t>2 VŠ NLZP</t>
  </si>
  <si>
    <t>3 NLZP</t>
  </si>
  <si>
    <t>4 THP</t>
  </si>
  <si>
    <t>1 Celkem</t>
  </si>
  <si>
    <t>2 Celkem</t>
  </si>
  <si>
    <t>3 Celkem</t>
  </si>
  <si>
    <t>4 Celkem</t>
  </si>
  <si>
    <t>ON Data</t>
  </si>
  <si>
    <t>lékaři pod odborným dozorem</t>
  </si>
  <si>
    <t>lékaři pod odborným dohledem</t>
  </si>
  <si>
    <t>lékaři specialisté</t>
  </si>
  <si>
    <t>kliničtí psychologové</t>
  </si>
  <si>
    <t>kliničtí psychologové spec.</t>
  </si>
  <si>
    <t>odborní pracovníci v lab. metodách</t>
  </si>
  <si>
    <t>abs. stud. oboru přirodověd. zaměření</t>
  </si>
  <si>
    <t>všeobecné sestry bez dohl.</t>
  </si>
  <si>
    <t>zdravotní laboranti</t>
  </si>
  <si>
    <t>sanitáři</t>
  </si>
  <si>
    <t>dělníci</t>
  </si>
  <si>
    <t>THP</t>
  </si>
  <si>
    <t>řidiči dopravy nemocných a raněných</t>
  </si>
  <si>
    <t>Specializovaná ambulantní péče</t>
  </si>
  <si>
    <t>808 - Pracoviště soudního lékařství</t>
  </si>
  <si>
    <t>Ambulantní péče ve vyjmenovaných odbornostech (§9) *</t>
  </si>
  <si>
    <t>814 - Laboratoř toxikologická</t>
  </si>
  <si>
    <t>Zdravotní výkony vykázané na pracovišti v rámci ambulantní péče *</t>
  </si>
  <si>
    <t>beze jména</t>
  </si>
  <si>
    <t>* Legenda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</si>
  <si>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</si>
  <si>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</si>
  <si>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Zdravotní výkony vykázané na pracovišti v rámci ambulantní péče dle lékařů *</t>
  </si>
  <si>
    <t>09</t>
  </si>
  <si>
    <t>808</t>
  </si>
  <si>
    <t>V</t>
  </si>
  <si>
    <t>88101</t>
  </si>
  <si>
    <t>PROVEDENÍ PITVY NA SOUDNĚ LÉKAŘSKÉM PRACOVIŠTI ZDR</t>
  </si>
  <si>
    <t>814</t>
  </si>
  <si>
    <t>92111</t>
  </si>
  <si>
    <t xml:space="preserve">KONZULTACE OŠETŘUJÍCÍHO LÉKAŘE TOXIKOLOGEM        </t>
  </si>
  <si>
    <t>92121</t>
  </si>
  <si>
    <t>STANOVENÍ EXTRAKTIVNÍCH LÁTEK PLYNOVOU CHROMATOGRA</t>
  </si>
  <si>
    <t>92127</t>
  </si>
  <si>
    <t>TĚKAVÉ LÁTKY - PRŮKAZ PLYNOVOU CHROMATOGRAFIÍ -  S</t>
  </si>
  <si>
    <t>92131</t>
  </si>
  <si>
    <t>EXTRAKTIVNÍ LÁTKY - CÍLENÝ PRŮKAZ PLYNOVOU CHROMAT</t>
  </si>
  <si>
    <t>92137</t>
  </si>
  <si>
    <t>IDENTIFIKACE NEZNÁMÉ LÁTKY POMOCÍ PLYNOVÉ CHROMATO</t>
  </si>
  <si>
    <t>92141</t>
  </si>
  <si>
    <t>ETHANOL - SPECIFICKÉ STANOVENÍ PLYNOVOU CHROMATOGR</t>
  </si>
  <si>
    <t>92147</t>
  </si>
  <si>
    <t>EXTRAKTIVNÍ LÁTKY - CÍLENÝ PRŮKAZ CHROMATOGRAFIÍ N</t>
  </si>
  <si>
    <t>92157</t>
  </si>
  <si>
    <t>EXTRAKTIVNÍ LÁTKY - STANOVENÍ POMOCÍ KAPALINOVÉ CH</t>
  </si>
  <si>
    <t>92181</t>
  </si>
  <si>
    <t xml:space="preserve">TĚKAVÉ LÁTKY - STANOVENÍ PLYNOVOU CHROMATOGRAFIÍ  </t>
  </si>
  <si>
    <t>92187</t>
  </si>
  <si>
    <t>EXTRAKTIVNÍ LÁTKY - CÍLENÝ PRŮKAZ (KVALITATIVNÍ VY</t>
  </si>
  <si>
    <t>92191</t>
  </si>
  <si>
    <t>EXTRAKTIVNÍ LÁTKY - STANOVENÍ (KVANTITATIVNÍ VYŠET</t>
  </si>
  <si>
    <t>97111</t>
  </si>
  <si>
    <t xml:space="preserve">SEPARACE SÉRA NEBO PLAZMY                         </t>
  </si>
  <si>
    <t>92129</t>
  </si>
  <si>
    <t>92123</t>
  </si>
  <si>
    <t>92125</t>
  </si>
  <si>
    <t>EXTRAKTIVNÍ LÁTKY - PRŮKAZ CHROMATOGRAFIÍ NA TENKÉ</t>
  </si>
  <si>
    <t>92183</t>
  </si>
  <si>
    <t xml:space="preserve">STANOVENÍ TĚKAVÝCH REDUKUJÍCÍCH LÁTEK             </t>
  </si>
  <si>
    <t>92185</t>
  </si>
  <si>
    <t>IZOLACE LÁTKY PRO CÍLENÝ PRŮKAZ PLYNOVOU CHROMATOG</t>
  </si>
  <si>
    <t>92153</t>
  </si>
  <si>
    <t>EXTRAKTIVNÍ LÁTKY - PRŮKAZ V TĚLNÍCH TEKUTINÁCH CH</t>
  </si>
  <si>
    <t>92133</t>
  </si>
  <si>
    <t>DROGY A LÉČIVA - CÍLENÝ IMUNOCHEMICKÝ ZÁCHYT - STA</t>
  </si>
  <si>
    <t>92189</t>
  </si>
  <si>
    <t>IZOLACE LÁTKY A PŘÍPRAVA KALIBRÁTORŮ PRO STANOVENÍ</t>
  </si>
  <si>
    <t>09123</t>
  </si>
  <si>
    <t xml:space="preserve">ANALÝZA MOČI CHEMICKY                             </t>
  </si>
  <si>
    <t>92173</t>
  </si>
  <si>
    <t xml:space="preserve">STANOVENÍ LÁTEK SPEKTROFOTOMETRICKY PO JEDNODUCHÉ </t>
  </si>
  <si>
    <t>92135</t>
  </si>
  <si>
    <t xml:space="preserve">DROGY A LÉČIVA - CÍLENÝ IMUNOCHEMICKÝ ZÁCHYT      </t>
  </si>
  <si>
    <t>92155</t>
  </si>
  <si>
    <t>EXTRAKTIVNÍ LÁTKY - STANOVENÍ PLYNOVOU CHROMATOGRA</t>
  </si>
  <si>
    <t>92145</t>
  </si>
  <si>
    <t>92143</t>
  </si>
  <si>
    <t>EXTRAKTIVNÍ LÁTKY - CÍLENÝ PRŮKAZ KAPALINOVOU CHRO</t>
  </si>
  <si>
    <t>92119</t>
  </si>
  <si>
    <t>92178</t>
  </si>
  <si>
    <t xml:space="preserve">LC-MS ANALÝZA PO JEDNODUCHÉ ÚPRAVĚ VZORKU         </t>
  </si>
  <si>
    <t>92180</t>
  </si>
  <si>
    <t xml:space="preserve">ZPRACOVÁNÍ ORGÁNŮ PRO DALŠÍ ANALYTICKÉ POSTUPY    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</si>
  <si>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</si>
  <si>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lékařů</t>
  </si>
  <si>
    <t>01 - I. interní klinika - kardiologická</t>
  </si>
  <si>
    <t>02 - II. interní klinika - gastro-enterologická a hepatologická</t>
  </si>
  <si>
    <t>03 - III. interní klinika - nefrologická, revmatologická a endokrinologická</t>
  </si>
  <si>
    <t>05 - II. chirurgická klinika - cévně-transplantační</t>
  </si>
  <si>
    <t>06 - Neurochirurgická klinika</t>
  </si>
  <si>
    <t>07 - Klinika anesteziologie, resuscitace a intenzivní medicíny</t>
  </si>
  <si>
    <t>08 - Porodnicko-gynekologická klinika</t>
  </si>
  <si>
    <t>09 - Novorozenecké oddělení</t>
  </si>
  <si>
    <t>10 - Dětská klinika</t>
  </si>
  <si>
    <t>13 - Otolaryngologická klinika</t>
  </si>
  <si>
    <t>16 - Klinika plicních nemocí a tuberkulózy</t>
  </si>
  <si>
    <t>17 - Neurologická klinika</t>
  </si>
  <si>
    <t>18 - Klinika psychiatrie</t>
  </si>
  <si>
    <t>20 - Klinika chorob kožních a pohlavních</t>
  </si>
  <si>
    <t>31 - Traumatologické oddělení</t>
  </si>
  <si>
    <t>32 - Hemato-onkologická klinika</t>
  </si>
  <si>
    <t>59 - Oddělení intenzivní péče chirurgických oborů</t>
  </si>
  <si>
    <t>01</t>
  </si>
  <si>
    <t>02</t>
  </si>
  <si>
    <t>03</t>
  </si>
  <si>
    <t>92177</t>
  </si>
  <si>
    <t xml:space="preserve">TĚKAVÉ LÁTKY - PRŮKAZ PLYNOVOU CHROMATOGRAFIÍ     </t>
  </si>
  <si>
    <t>05</t>
  </si>
  <si>
    <t>06</t>
  </si>
  <si>
    <t>07</t>
  </si>
  <si>
    <t>08</t>
  </si>
  <si>
    <t>10</t>
  </si>
  <si>
    <t>13</t>
  </si>
  <si>
    <t>16</t>
  </si>
  <si>
    <t>17</t>
  </si>
  <si>
    <t>18</t>
  </si>
  <si>
    <t>20</t>
  </si>
  <si>
    <t>31</t>
  </si>
  <si>
    <t>32</t>
  </si>
  <si>
    <t>59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</si>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</sst>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68" formatCode="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#,##0%;\-#,##0%;"/>
    <numFmt numFmtId="176" formatCode="#,##0.0;\-#,##0.0;"/>
    <numFmt numFmtId="177" formatCode="#,##0%"/>
  </numFmts>
  <fonts count="62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22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98">
    <xf numFmtId="0" fontId="0" fillId="0" borderId="0"/>
    <xf numFmtId="0" fontId="25" fillId="0" borderId="0" applyNumberForma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533">
    <xf numFmtId="0" fontId="0" fillId="0" borderId="0" xfId="0"/>
    <xf numFmtId="0" fontId="27" fillId="2" borderId="18" xfId="81" applyFont="1" applyFill="1" applyBorder="1"/>
    <xf numFmtId="0" fontId="28" fillId="2" borderId="19" xfId="81" applyFont="1" applyFill="1" applyBorder="1"/>
    <xf numFmtId="3" fontId="28" fillId="2" borderId="20" xfId="81" applyNumberFormat="1" applyFont="1" applyFill="1" applyBorder="1"/>
    <xf numFmtId="0" fontId="28" fillId="4" borderId="19" xfId="81" applyFont="1" applyFill="1" applyBorder="1"/>
    <xf numFmtId="3" fontId="28" fillId="4" borderId="20" xfId="81" applyNumberFormat="1" applyFont="1" applyFill="1" applyBorder="1"/>
    <xf numFmtId="171" fontId="28" fillId="3" borderId="20" xfId="81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5" xfId="81" applyNumberFormat="1" applyFont="1" applyFill="1" applyBorder="1"/>
    <xf numFmtId="3" fontId="27" fillId="5" borderId="9" xfId="81" applyNumberFormat="1" applyFont="1" applyFill="1" applyBorder="1"/>
    <xf numFmtId="3" fontId="27" fillId="5" borderId="13" xfId="81" applyNumberFormat="1" applyFont="1" applyFill="1" applyBorder="1"/>
    <xf numFmtId="0" fontId="27" fillId="5" borderId="0" xfId="81" applyFont="1" applyFill="1"/>
    <xf numFmtId="10" fontId="27" fillId="5" borderId="0" xfId="81" applyNumberFormat="1" applyFont="1" applyFill="1"/>
    <xf numFmtId="0" fontId="37" fillId="2" borderId="34" xfId="0" applyFont="1" applyFill="1" applyBorder="1" applyAlignment="1">
      <alignment vertical="top"/>
    </xf>
    <xf numFmtId="0" fontId="37" fillId="2" borderId="35" xfId="0" applyFont="1" applyFill="1" applyBorder="1" applyAlignment="1">
      <alignment vertical="top"/>
    </xf>
    <xf numFmtId="0" fontId="34" fillId="2" borderId="35" xfId="0" applyFont="1" applyFill="1" applyBorder="1" applyAlignment="1">
      <alignment vertical="top"/>
    </xf>
    <xf numFmtId="0" fontId="38" fillId="2" borderId="35" xfId="0" applyFont="1" applyFill="1" applyBorder="1" applyAlignment="1">
      <alignment vertical="top"/>
    </xf>
    <xf numFmtId="0" fontId="36" fillId="2" borderId="35" xfId="0" applyFont="1" applyFill="1" applyBorder="1" applyAlignment="1">
      <alignment vertical="top"/>
    </xf>
    <xf numFmtId="0" fontId="34" fillId="2" borderId="36" xfId="0" applyFont="1" applyFill="1" applyBorder="1" applyAlignment="1">
      <alignment vertical="top"/>
    </xf>
    <xf numFmtId="0" fontId="37" fillId="2" borderId="9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7" fillId="2" borderId="24" xfId="0" applyFont="1" applyFill="1" applyBorder="1" applyAlignment="1">
      <alignment horizontal="center" vertical="center"/>
    </xf>
    <xf numFmtId="0" fontId="37" fillId="2" borderId="23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 wrapText="1"/>
    </xf>
    <xf numFmtId="0" fontId="38" fillId="2" borderId="24" xfId="0" applyFont="1" applyFill="1" applyBorder="1" applyAlignment="1">
      <alignment horizontal="center" vertical="center" wrapText="1"/>
    </xf>
    <xf numFmtId="0" fontId="36" fillId="2" borderId="24" xfId="0" applyFont="1" applyFill="1" applyBorder="1" applyAlignment="1">
      <alignment horizontal="center" vertical="center" wrapText="1"/>
    </xf>
    <xf numFmtId="3" fontId="27" fillId="5" borderId="5" xfId="81" applyNumberFormat="1" applyFont="1" applyFill="1" applyBorder="1"/>
    <xf numFmtId="3" fontId="27" fillId="5" borderId="30" xfId="81" applyNumberFormat="1" applyFont="1" applyFill="1" applyBorder="1"/>
    <xf numFmtId="3" fontId="27" fillId="5" borderId="26" xfId="81" applyNumberFormat="1" applyFont="1" applyFill="1" applyBorder="1"/>
    <xf numFmtId="3" fontId="27" fillId="5" borderId="10" xfId="81" applyNumberFormat="1" applyFont="1" applyFill="1" applyBorder="1"/>
    <xf numFmtId="3" fontId="27" fillId="5" borderId="11" xfId="81" applyNumberFormat="1" applyFont="1" applyFill="1" applyBorder="1"/>
    <xf numFmtId="3" fontId="27" fillId="5" borderId="14" xfId="81" applyNumberFormat="1" applyFont="1" applyFill="1" applyBorder="1"/>
    <xf numFmtId="3" fontId="27" fillId="5" borderId="15" xfId="81" applyNumberFormat="1" applyFont="1" applyFill="1" applyBorder="1"/>
    <xf numFmtId="3" fontId="28" fillId="2" borderId="28" xfId="81" applyNumberFormat="1" applyFont="1" applyFill="1" applyBorder="1"/>
    <xf numFmtId="3" fontId="28" fillId="2" borderId="21" xfId="81" applyNumberFormat="1" applyFont="1" applyFill="1" applyBorder="1"/>
    <xf numFmtId="3" fontId="28" fillId="4" borderId="28" xfId="81" applyNumberFormat="1" applyFont="1" applyFill="1" applyBorder="1"/>
    <xf numFmtId="3" fontId="28" fillId="4" borderId="21" xfId="81" applyNumberFormat="1" applyFont="1" applyFill="1" applyBorder="1"/>
    <xf numFmtId="171" fontId="28" fillId="3" borderId="28" xfId="81" applyNumberFormat="1" applyFont="1" applyFill="1" applyBorder="1"/>
    <xf numFmtId="171" fontId="28" fillId="3" borderId="21" xfId="81" applyNumberFormat="1" applyFont="1" applyFill="1" applyBorder="1"/>
    <xf numFmtId="0" fontId="31" fillId="2" borderId="26" xfId="81" applyFont="1" applyFill="1" applyBorder="1" applyAlignment="1">
      <alignment horizontal="center"/>
    </xf>
    <xf numFmtId="0" fontId="32" fillId="0" borderId="37" xfId="0" applyFont="1" applyFill="1" applyBorder="1" applyAlignment="1"/>
    <xf numFmtId="0" fontId="41" fillId="0" borderId="0" xfId="0" applyFont="1" applyFill="1" applyBorder="1" applyAlignment="1"/>
    <xf numFmtId="3" fontId="33" fillId="0" borderId="8" xfId="0" applyNumberFormat="1" applyFont="1" applyFill="1" applyBorder="1" applyAlignment="1">
      <alignment horizontal="right" vertical="top"/>
    </xf>
    <xf numFmtId="3" fontId="33" fillId="0" borderId="6" xfId="0" applyNumberFormat="1" applyFont="1" applyFill="1" applyBorder="1" applyAlignment="1">
      <alignment horizontal="right" vertical="top"/>
    </xf>
    <xf numFmtId="3" fontId="34" fillId="0" borderId="6" xfId="0" applyNumberFormat="1" applyFont="1" applyFill="1" applyBorder="1" applyAlignment="1">
      <alignment horizontal="right" vertical="top"/>
    </xf>
    <xf numFmtId="3" fontId="33" fillId="0" borderId="12" xfId="0" applyNumberFormat="1" applyFont="1" applyFill="1" applyBorder="1" applyAlignment="1">
      <alignment horizontal="right" vertical="top"/>
    </xf>
    <xf numFmtId="3" fontId="33" fillId="0" borderId="10" xfId="0" applyNumberFormat="1" applyFont="1" applyFill="1" applyBorder="1" applyAlignment="1">
      <alignment horizontal="right" vertical="top"/>
    </xf>
    <xf numFmtId="3" fontId="34" fillId="0" borderId="10" xfId="0" applyNumberFormat="1" applyFont="1" applyFill="1" applyBorder="1" applyAlignment="1">
      <alignment horizontal="right" vertical="top"/>
    </xf>
    <xf numFmtId="3" fontId="35" fillId="0" borderId="12" xfId="0" applyNumberFormat="1" applyFont="1" applyFill="1" applyBorder="1" applyAlignment="1">
      <alignment horizontal="right" vertical="top"/>
    </xf>
    <xf numFmtId="3" fontId="35" fillId="0" borderId="10" xfId="0" applyNumberFormat="1" applyFont="1" applyFill="1" applyBorder="1" applyAlignment="1">
      <alignment horizontal="right" vertical="top"/>
    </xf>
    <xf numFmtId="3" fontId="36" fillId="0" borderId="10" xfId="0" applyNumberFormat="1" applyFont="1" applyFill="1" applyBorder="1" applyAlignment="1">
      <alignment horizontal="right" vertical="top"/>
    </xf>
    <xf numFmtId="3" fontId="33" fillId="0" borderId="33" xfId="0" applyNumberFormat="1" applyFont="1" applyFill="1" applyBorder="1" applyAlignment="1">
      <alignment horizontal="right" vertical="top"/>
    </xf>
    <xf numFmtId="3" fontId="33" fillId="0" borderId="24" xfId="0" applyNumberFormat="1" applyFont="1" applyFill="1" applyBorder="1" applyAlignment="1">
      <alignment horizontal="right" vertical="top"/>
    </xf>
    <xf numFmtId="3" fontId="34" fillId="0" borderId="24" xfId="0" applyNumberFormat="1" applyFont="1" applyFill="1" applyBorder="1" applyAlignment="1">
      <alignment horizontal="right" vertical="top"/>
    </xf>
    <xf numFmtId="0" fontId="6" fillId="0" borderId="0" xfId="82" applyFont="1" applyFill="1"/>
    <xf numFmtId="0" fontId="8" fillId="0" borderId="37" xfId="82" applyFont="1" applyFill="1" applyBorder="1" applyAlignment="1"/>
    <xf numFmtId="0" fontId="29" fillId="0" borderId="0" xfId="49" applyFont="1" applyFill="1"/>
    <xf numFmtId="164" fontId="3" fillId="0" borderId="58" xfId="53" applyNumberFormat="1" applyFont="1" applyFill="1" applyBorder="1"/>
    <xf numFmtId="9" fontId="3" fillId="0" borderId="58" xfId="53" applyNumberFormat="1" applyFont="1" applyFill="1" applyBorder="1"/>
    <xf numFmtId="0" fontId="32" fillId="0" borderId="31" xfId="0" applyFont="1" applyFill="1" applyBorder="1" applyAlignment="1"/>
    <xf numFmtId="0" fontId="32" fillId="0" borderId="32" xfId="0" applyFont="1" applyFill="1" applyBorder="1" applyAlignment="1"/>
    <xf numFmtId="0" fontId="32" fillId="0" borderId="53" xfId="0" applyFont="1" applyFill="1" applyBorder="1" applyAlignment="1"/>
    <xf numFmtId="0" fontId="3" fillId="2" borderId="56" xfId="53" applyFont="1" applyFill="1" applyBorder="1" applyAlignment="1">
      <alignment horizontal="right"/>
    </xf>
    <xf numFmtId="0" fontId="32" fillId="0" borderId="26" xfId="0" applyFont="1" applyBorder="1" applyAlignment="1"/>
    <xf numFmtId="0" fontId="32" fillId="5" borderId="7" xfId="0" applyFont="1" applyFill="1" applyBorder="1"/>
    <xf numFmtId="0" fontId="32" fillId="5" borderId="11" xfId="0" applyFont="1" applyFill="1" applyBorder="1"/>
    <xf numFmtId="0" fontId="32" fillId="5" borderId="23" xfId="0" applyFont="1" applyFill="1" applyBorder="1"/>
    <xf numFmtId="0" fontId="32" fillId="5" borderId="37" xfId="0" applyFont="1" applyFill="1" applyBorder="1"/>
    <xf numFmtId="0" fontId="32" fillId="5" borderId="45" xfId="0" applyFont="1" applyFill="1" applyBorder="1"/>
    <xf numFmtId="9" fontId="34" fillId="0" borderId="7" xfId="0" applyNumberFormat="1" applyFont="1" applyFill="1" applyBorder="1" applyAlignment="1">
      <alignment horizontal="right" vertical="top"/>
    </xf>
    <xf numFmtId="9" fontId="34" fillId="0" borderId="11" xfId="0" applyNumberFormat="1" applyFont="1" applyFill="1" applyBorder="1" applyAlignment="1">
      <alignment horizontal="right" vertical="top"/>
    </xf>
    <xf numFmtId="9" fontId="36" fillId="0" borderId="11" xfId="0" applyNumberFormat="1" applyFont="1" applyFill="1" applyBorder="1" applyAlignment="1">
      <alignment horizontal="right" vertical="top"/>
    </xf>
    <xf numFmtId="9" fontId="34" fillId="0" borderId="23" xfId="0" applyNumberFormat="1" applyFont="1" applyFill="1" applyBorder="1" applyAlignment="1">
      <alignment horizontal="right" vertical="top"/>
    </xf>
    <xf numFmtId="3" fontId="31" fillId="0" borderId="30" xfId="53" applyNumberFormat="1" applyFont="1" applyFill="1" applyBorder="1"/>
    <xf numFmtId="3" fontId="31" fillId="0" borderId="26" xfId="53" applyNumberFormat="1" applyFont="1" applyFill="1" applyBorder="1"/>
    <xf numFmtId="0" fontId="31" fillId="2" borderId="45" xfId="0" applyFont="1" applyFill="1" applyBorder="1" applyAlignment="1">
      <alignment horizontal="center"/>
    </xf>
    <xf numFmtId="3" fontId="3" fillId="0" borderId="57" xfId="53" applyNumberFormat="1" applyFont="1" applyFill="1" applyBorder="1"/>
    <xf numFmtId="3" fontId="3" fillId="0" borderId="58" xfId="53" applyNumberFormat="1" applyFont="1" applyFill="1" applyBorder="1"/>
    <xf numFmtId="3" fontId="3" fillId="0" borderId="59" xfId="53" applyNumberFormat="1" applyFont="1" applyFill="1" applyBorder="1"/>
    <xf numFmtId="0" fontId="31" fillId="2" borderId="45" xfId="0" applyNumberFormat="1" applyFont="1" applyFill="1" applyBorder="1" applyAlignment="1">
      <alignment horizontal="center"/>
    </xf>
    <xf numFmtId="169" fontId="32" fillId="0" borderId="0" xfId="0" applyNumberFormat="1" applyFont="1" applyFill="1"/>
    <xf numFmtId="0" fontId="31" fillId="2" borderId="41" xfId="74" applyFont="1" applyFill="1" applyBorder="1" applyAlignment="1">
      <alignment horizontal="center"/>
    </xf>
    <xf numFmtId="0" fontId="27" fillId="5" borderId="37" xfId="81" applyFont="1" applyFill="1" applyBorder="1"/>
    <xf numFmtId="0" fontId="31" fillId="2" borderId="24" xfId="81" applyFont="1" applyFill="1" applyBorder="1" applyAlignment="1">
      <alignment horizontal="center"/>
    </xf>
    <xf numFmtId="0" fontId="31" fillId="2" borderId="23" xfId="81" applyFont="1" applyFill="1" applyBorder="1" applyAlignment="1">
      <alignment horizontal="center"/>
    </xf>
    <xf numFmtId="0" fontId="32" fillId="0" borderId="0" xfId="0" applyFont="1" applyFill="1" applyBorder="1" applyAlignment="1"/>
    <xf numFmtId="0" fontId="46" fillId="2" borderId="18" xfId="1" applyFont="1" applyFill="1" applyBorder="1"/>
    <xf numFmtId="0" fontId="47" fillId="0" borderId="0" xfId="0" applyFont="1" applyFill="1"/>
    <xf numFmtId="0" fontId="48" fillId="0" borderId="0" xfId="0" applyFont="1" applyFill="1"/>
    <xf numFmtId="0" fontId="48" fillId="0" borderId="0" xfId="0" applyFont="1" applyFill="1" applyBorder="1"/>
    <xf numFmtId="3" fontId="32" fillId="0" borderId="30" xfId="0" applyNumberFormat="1" applyFont="1" applyFill="1" applyBorder="1"/>
    <xf numFmtId="3" fontId="32" fillId="0" borderId="25" xfId="0" applyNumberFormat="1" applyFont="1" applyFill="1" applyBorder="1"/>
    <xf numFmtId="3" fontId="32" fillId="0" borderId="9" xfId="0" applyNumberFormat="1" applyFont="1" applyFill="1" applyBorder="1"/>
    <xf numFmtId="3" fontId="32" fillId="0" borderId="10" xfId="0" applyNumberFormat="1" applyFont="1" applyFill="1" applyBorder="1"/>
    <xf numFmtId="3" fontId="32" fillId="0" borderId="13" xfId="0" applyNumberFormat="1" applyFont="1" applyFill="1" applyBorder="1"/>
    <xf numFmtId="3" fontId="32" fillId="0" borderId="14" xfId="0" applyNumberFormat="1" applyFont="1" applyFill="1" applyBorder="1"/>
    <xf numFmtId="9" fontId="32" fillId="0" borderId="26" xfId="0" applyNumberFormat="1" applyFont="1" applyFill="1" applyBorder="1"/>
    <xf numFmtId="9" fontId="32" fillId="0" borderId="11" xfId="0" applyNumberFormat="1" applyFont="1" applyFill="1" applyBorder="1"/>
    <xf numFmtId="9" fontId="32" fillId="0" borderId="15" xfId="0" applyNumberFormat="1" applyFont="1" applyFill="1" applyBorder="1"/>
    <xf numFmtId="9" fontId="28" fillId="2" borderId="21" xfId="81" applyNumberFormat="1" applyFont="1" applyFill="1" applyBorder="1"/>
    <xf numFmtId="9" fontId="28" fillId="4" borderId="21" xfId="81" applyNumberFormat="1" applyFont="1" applyFill="1" applyBorder="1"/>
    <xf numFmtId="9" fontId="28" fillId="3" borderId="21" xfId="81" applyNumberFormat="1" applyFont="1" applyFill="1" applyBorder="1"/>
    <xf numFmtId="0" fontId="31" fillId="2" borderId="22" xfId="81" applyFont="1" applyFill="1" applyBorder="1" applyAlignment="1">
      <alignment horizontal="center"/>
    </xf>
    <xf numFmtId="0" fontId="32" fillId="0" borderId="0" xfId="0" applyFont="1" applyFill="1"/>
    <xf numFmtId="0" fontId="32" fillId="0" borderId="45" xfId="0" applyFont="1" applyFill="1" applyBorder="1" applyAlignment="1"/>
    <xf numFmtId="0" fontId="32" fillId="0" borderId="0" xfId="0" applyFont="1" applyFill="1" applyAlignment="1"/>
    <xf numFmtId="0" fontId="46" fillId="4" borderId="34" xfId="1" applyFont="1" applyFill="1" applyBorder="1"/>
    <xf numFmtId="0" fontId="46" fillId="4" borderId="18" xfId="1" applyFont="1" applyFill="1" applyBorder="1"/>
    <xf numFmtId="0" fontId="46" fillId="3" borderId="19" xfId="1" applyFont="1" applyFill="1" applyBorder="1"/>
    <xf numFmtId="0" fontId="49" fillId="0" borderId="0" xfId="0" applyFont="1" applyFill="1" applyBorder="1" applyAlignment="1">
      <alignment vertical="center"/>
    </xf>
    <xf numFmtId="0" fontId="49" fillId="0" borderId="0" xfId="0" applyFont="1" applyFill="1" applyAlignment="1">
      <alignment vertical="center"/>
    </xf>
    <xf numFmtId="0" fontId="32" fillId="2" borderId="30" xfId="0" applyFont="1" applyFill="1" applyBorder="1" applyAlignment="1">
      <alignment horizontal="center" vertical="center"/>
    </xf>
    <xf numFmtId="0" fontId="37" fillId="2" borderId="10" xfId="0" applyFont="1" applyFill="1" applyBorder="1" applyAlignment="1">
      <alignment horizontal="center" vertical="center"/>
    </xf>
    <xf numFmtId="0" fontId="32" fillId="2" borderId="26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 wrapText="1"/>
    </xf>
    <xf numFmtId="164" fontId="31" fillId="2" borderId="25" xfId="53" applyNumberFormat="1" applyFont="1" applyFill="1" applyBorder="1" applyAlignment="1">
      <alignment horizontal="right"/>
    </xf>
    <xf numFmtId="0" fontId="46" fillId="3" borderId="9" xfId="1" applyFont="1" applyFill="1" applyBorder="1"/>
    <xf numFmtId="0" fontId="46" fillId="3" borderId="5" xfId="1" applyFont="1" applyFill="1" applyBorder="1"/>
    <xf numFmtId="0" fontId="46" fillId="6" borderId="5" xfId="1" applyFont="1" applyFill="1" applyBorder="1"/>
    <xf numFmtId="0" fontId="46" fillId="6" borderId="51" xfId="1" applyFont="1" applyFill="1" applyBorder="1"/>
    <xf numFmtId="0" fontId="46" fillId="2" borderId="5" xfId="1" applyFont="1" applyFill="1" applyBorder="1"/>
    <xf numFmtId="0" fontId="46" fillId="4" borderId="5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8" xfId="0" applyNumberFormat="1" applyFont="1" applyFill="1" applyBorder="1"/>
    <xf numFmtId="3" fontId="39" fillId="2" borderId="49" xfId="0" applyNumberFormat="1" applyFont="1" applyFill="1" applyBorder="1"/>
    <xf numFmtId="9" fontId="39" fillId="2" borderId="52" xfId="0" applyNumberFormat="1" applyFont="1" applyFill="1" applyBorder="1"/>
    <xf numFmtId="0" fontId="50" fillId="2" borderId="19" xfId="1" applyFont="1" applyFill="1" applyBorder="1" applyAlignment="1"/>
    <xf numFmtId="0" fontId="32" fillId="2" borderId="29" xfId="0" applyFont="1" applyFill="1" applyBorder="1" applyAlignment="1"/>
    <xf numFmtId="3" fontId="32" fillId="2" borderId="28" xfId="0" applyNumberFormat="1" applyFont="1" applyFill="1" applyBorder="1" applyAlignment="1"/>
    <xf numFmtId="9" fontId="32" fillId="2" borderId="21" xfId="0" applyNumberFormat="1" applyFont="1" applyFill="1" applyBorder="1" applyAlignment="1"/>
    <xf numFmtId="0" fontId="39" fillId="2" borderId="50" xfId="0" applyFont="1" applyFill="1" applyBorder="1" applyAlignment="1"/>
    <xf numFmtId="0" fontId="32" fillId="0" borderId="8" xfId="0" applyFont="1" applyBorder="1" applyAlignment="1"/>
    <xf numFmtId="3" fontId="32" fillId="0" borderId="6" xfId="0" applyNumberFormat="1" applyFont="1" applyBorder="1" applyAlignment="1"/>
    <xf numFmtId="9" fontId="32" fillId="0" borderId="11" xfId="0" applyNumberFormat="1" applyFont="1" applyBorder="1" applyAlignment="1"/>
    <xf numFmtId="0" fontId="29" fillId="2" borderId="35" xfId="1" applyFont="1" applyFill="1" applyBorder="1" applyAlignment="1">
      <alignment horizontal="left" indent="2"/>
    </xf>
    <xf numFmtId="0" fontId="32" fillId="0" borderId="12" xfId="0" applyFont="1" applyBorder="1" applyAlignment="1"/>
    <xf numFmtId="3" fontId="32" fillId="0" borderId="10" xfId="0" applyNumberFormat="1" applyFont="1" applyBorder="1" applyAlignment="1"/>
    <xf numFmtId="9" fontId="32" fillId="0" borderId="10" xfId="0" applyNumberFormat="1" applyFont="1" applyBorder="1" applyAlignment="1"/>
    <xf numFmtId="0" fontId="32" fillId="2" borderId="35" xfId="0" applyFont="1" applyFill="1" applyBorder="1" applyAlignment="1">
      <alignment horizontal="left" indent="2"/>
    </xf>
    <xf numFmtId="0" fontId="31" fillId="2" borderId="35" xfId="1" applyFont="1" applyFill="1" applyBorder="1" applyAlignment="1"/>
    <xf numFmtId="0" fontId="46" fillId="2" borderId="35" xfId="1" applyFont="1" applyFill="1" applyBorder="1" applyAlignment="1">
      <alignment horizontal="left" indent="2"/>
    </xf>
    <xf numFmtId="0" fontId="50" fillId="2" borderId="35" xfId="1" applyFont="1" applyFill="1" applyBorder="1" applyAlignment="1"/>
    <xf numFmtId="0" fontId="32" fillId="0" borderId="33" xfId="0" applyFont="1" applyBorder="1" applyAlignment="1"/>
    <xf numFmtId="3" fontId="32" fillId="0" borderId="24" xfId="0" applyNumberFormat="1" applyFont="1" applyBorder="1" applyAlignment="1"/>
    <xf numFmtId="9" fontId="32" fillId="0" borderId="23" xfId="0" applyNumberFormat="1" applyFont="1" applyBorder="1" applyAlignment="1"/>
    <xf numFmtId="0" fontId="39" fillId="0" borderId="37" xfId="0" applyFont="1" applyFill="1" applyBorder="1" applyAlignment="1">
      <alignment horizontal="left" indent="2"/>
    </xf>
    <xf numFmtId="0" fontId="32" fillId="0" borderId="37" xfId="0" applyFont="1" applyBorder="1" applyAlignment="1"/>
    <xf numFmtId="3" fontId="32" fillId="0" borderId="37" xfId="0" applyNumberFormat="1" applyFont="1" applyBorder="1" applyAlignment="1"/>
    <xf numFmtId="9" fontId="32" fillId="0" borderId="37" xfId="0" applyNumberFormat="1" applyFont="1" applyBorder="1" applyAlignment="1"/>
    <xf numFmtId="0" fontId="50" fillId="4" borderId="19" xfId="1" applyFont="1" applyFill="1" applyBorder="1" applyAlignment="1">
      <alignment horizontal="left"/>
    </xf>
    <xf numFmtId="0" fontId="32" fillId="4" borderId="29" xfId="0" applyFont="1" applyFill="1" applyBorder="1" applyAlignment="1"/>
    <xf numFmtId="3" fontId="32" fillId="4" borderId="28" xfId="0" applyNumberFormat="1" applyFont="1" applyFill="1" applyBorder="1" applyAlignment="1"/>
    <xf numFmtId="9" fontId="32" fillId="4" borderId="21" xfId="0" applyNumberFormat="1" applyFont="1" applyFill="1" applyBorder="1" applyAlignment="1"/>
    <xf numFmtId="0" fontId="50" fillId="4" borderId="50" xfId="1" applyFont="1" applyFill="1" applyBorder="1" applyAlignment="1">
      <alignment horizontal="left"/>
    </xf>
    <xf numFmtId="0" fontId="46" fillId="4" borderId="35" xfId="1" applyFont="1" applyFill="1" applyBorder="1" applyAlignment="1">
      <alignment horizontal="left" indent="2"/>
    </xf>
    <xf numFmtId="0" fontId="50" fillId="4" borderId="35" xfId="1" applyFont="1" applyFill="1" applyBorder="1" applyAlignment="1">
      <alignment horizontal="left"/>
    </xf>
    <xf numFmtId="0" fontId="32" fillId="4" borderId="36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5" xfId="0" applyNumberFormat="1" applyFont="1" applyBorder="1" applyAlignment="1"/>
    <xf numFmtId="0" fontId="39" fillId="3" borderId="19" xfId="0" applyFont="1" applyFill="1" applyBorder="1" applyAlignment="1"/>
    <xf numFmtId="0" fontId="32" fillId="3" borderId="29" xfId="0" applyFont="1" applyFill="1" applyBorder="1" applyAlignment="1"/>
    <xf numFmtId="3" fontId="32" fillId="3" borderId="28" xfId="0" applyNumberFormat="1" applyFont="1" applyFill="1" applyBorder="1" applyAlignment="1"/>
    <xf numFmtId="9" fontId="32" fillId="3" borderId="21" xfId="0" applyNumberFormat="1" applyFont="1" applyFill="1" applyBorder="1" applyAlignment="1"/>
    <xf numFmtId="0" fontId="40" fillId="0" borderId="0" xfId="0" applyFont="1" applyFill="1" applyBorder="1" applyAlignment="1"/>
    <xf numFmtId="0" fontId="41" fillId="0" borderId="0" xfId="0" applyFont="1" applyFill="1"/>
    <xf numFmtId="16" fontId="41" fillId="0" borderId="0" xfId="0" quotePrefix="1" applyNumberFormat="1" applyFont="1" applyFill="1"/>
    <xf numFmtId="0" fontId="41" fillId="0" borderId="0" xfId="0" quotePrefix="1" applyFont="1" applyFill="1"/>
    <xf numFmtId="171" fontId="41" fillId="0" borderId="0" xfId="0" applyNumberFormat="1" applyFont="1" applyFill="1"/>
    <xf numFmtId="172" fontId="41" fillId="0" borderId="0" xfId="0" applyNumberFormat="1" applyFont="1" applyFill="1"/>
    <xf numFmtId="3" fontId="41" fillId="0" borderId="0" xfId="0" applyNumberFormat="1" applyFont="1" applyFill="1"/>
    <xf numFmtId="0" fontId="7" fillId="0" borderId="0" xfId="81" applyFont="1" applyFill="1"/>
    <xf numFmtId="0" fontId="51" fillId="0" borderId="37" xfId="81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4" fontId="32" fillId="0" borderId="0" xfId="0" applyNumberFormat="1" applyFont="1" applyFill="1"/>
    <xf numFmtId="9" fontId="32" fillId="0" borderId="0" xfId="0" applyNumberFormat="1" applyFont="1" applyFill="1"/>
    <xf numFmtId="164" fontId="27" fillId="0" borderId="0" xfId="78" applyNumberFormat="1" applyFont="1" applyFill="1" applyBorder="1" applyAlignment="1"/>
    <xf numFmtId="3" fontId="27" fillId="0" borderId="0" xfId="78" applyNumberFormat="1" applyFont="1" applyFill="1" applyBorder="1" applyAlignment="1"/>
    <xf numFmtId="164" fontId="32" fillId="0" borderId="0" xfId="0" applyNumberFormat="1" applyFont="1" applyFill="1" applyAlignment="1">
      <alignment horizontal="right"/>
    </xf>
    <xf numFmtId="3" fontId="6" fillId="0" borderId="0" xfId="78" applyNumberFormat="1" applyFont="1" applyFill="1" applyBorder="1" applyAlignment="1"/>
    <xf numFmtId="0" fontId="39" fillId="2" borderId="27" xfId="0" applyFont="1" applyFill="1" applyBorder="1" applyAlignment="1">
      <alignment horizontal="right"/>
    </xf>
    <xf numFmtId="169" fontId="39" fillId="0" borderId="20" xfId="0" applyNumberFormat="1" applyFont="1" applyFill="1" applyBorder="1" applyAlignment="1"/>
    <xf numFmtId="169" fontId="39" fillId="0" borderId="28" xfId="0" applyNumberFormat="1" applyFont="1" applyFill="1" applyBorder="1" applyAlignment="1"/>
    <xf numFmtId="9" fontId="39" fillId="0" borderId="21" xfId="0" applyNumberFormat="1" applyFont="1" applyFill="1" applyBorder="1" applyAlignment="1"/>
    <xf numFmtId="169" fontId="39" fillId="0" borderId="29" xfId="0" applyNumberFormat="1" applyFont="1" applyFill="1" applyBorder="1" applyAlignment="1"/>
    <xf numFmtId="9" fontId="39" fillId="0" borderId="47" xfId="0" applyNumberFormat="1" applyFont="1" applyFill="1" applyBorder="1" applyAlignment="1"/>
    <xf numFmtId="169" fontId="32" fillId="0" borderId="0" xfId="0" applyNumberFormat="1" applyFont="1" applyFill="1" applyBorder="1" applyAlignment="1"/>
    <xf numFmtId="9" fontId="32" fillId="0" borderId="0" xfId="0" applyNumberFormat="1" applyFont="1" applyFill="1" applyBorder="1" applyAlignment="1"/>
    <xf numFmtId="3" fontId="32" fillId="0" borderId="45" xfId="0" applyNumberFormat="1" applyFont="1" applyFill="1" applyBorder="1" applyAlignment="1"/>
    <xf numFmtId="9" fontId="32" fillId="0" borderId="45" xfId="0" applyNumberFormat="1" applyFont="1" applyFill="1" applyBorder="1" applyAlignment="1"/>
    <xf numFmtId="3" fontId="32" fillId="0" borderId="0" xfId="0" applyNumberFormat="1" applyFont="1" applyFill="1" applyBorder="1" applyAlignment="1"/>
    <xf numFmtId="3" fontId="0" fillId="0" borderId="0" xfId="0" applyNumberFormat="1"/>
    <xf numFmtId="0" fontId="54" fillId="0" borderId="0" xfId="1" applyFont="1" applyFill="1"/>
    <xf numFmtId="3" fontId="52" fillId="0" borderId="0" xfId="26" applyNumberFormat="1" applyFont="1" applyFill="1" applyBorder="1" applyAlignment="1"/>
    <xf numFmtId="0" fontId="57" fillId="0" borderId="0" xfId="0" applyFont="1" applyAlignment="1">
      <alignment horizontal="left" vertical="center" indent="1"/>
    </xf>
    <xf numFmtId="0" fontId="57" fillId="0" borderId="0" xfId="0" applyFont="1" applyAlignment="1">
      <alignment vertical="center"/>
    </xf>
    <xf numFmtId="0" fontId="0" fillId="0" borderId="0" xfId="0" applyAlignment="1"/>
    <xf numFmtId="0" fontId="58" fillId="0" borderId="0" xfId="0" applyFont="1"/>
    <xf numFmtId="0" fontId="31" fillId="2" borderId="85" xfId="74" applyFont="1" applyFill="1" applyBorder="1" applyAlignment="1">
      <alignment horizontal="center"/>
    </xf>
    <xf numFmtId="0" fontId="31" fillId="2" borderId="67" xfId="81" applyFont="1" applyFill="1" applyBorder="1" applyAlignment="1">
      <alignment horizontal="center"/>
    </xf>
    <xf numFmtId="0" fontId="31" fillId="2" borderId="68" xfId="81" applyFont="1" applyFill="1" applyBorder="1" applyAlignment="1">
      <alignment horizontal="center"/>
    </xf>
    <xf numFmtId="0" fontId="31" fillId="2" borderId="69" xfId="81" applyFont="1" applyFill="1" applyBorder="1" applyAlignment="1">
      <alignment horizontal="center"/>
    </xf>
    <xf numFmtId="0" fontId="31" fillId="2" borderId="70" xfId="81" applyFont="1" applyFill="1" applyBorder="1" applyAlignment="1">
      <alignment horizontal="center"/>
    </xf>
    <xf numFmtId="0" fontId="3" fillId="2" borderId="20" xfId="79" applyFont="1" applyFill="1" applyBorder="1" applyAlignment="1"/>
    <xf numFmtId="0" fontId="3" fillId="2" borderId="28" xfId="79" applyFont="1" applyFill="1" applyBorder="1" applyAlignment="1"/>
    <xf numFmtId="0" fontId="29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7" xfId="79" applyFont="1" applyFill="1" applyBorder="1" applyAlignment="1">
      <alignment horizontal="right"/>
    </xf>
    <xf numFmtId="9" fontId="32" fillId="0" borderId="28" xfId="0" applyNumberFormat="1" applyFont="1" applyFill="1" applyBorder="1"/>
    <xf numFmtId="9" fontId="32" fillId="0" borderId="21" xfId="0" applyNumberFormat="1" applyFont="1" applyFill="1" applyBorder="1"/>
    <xf numFmtId="9" fontId="32" fillId="0" borderId="29" xfId="0" applyNumberFormat="1" applyFont="1" applyFill="1" applyBorder="1"/>
    <xf numFmtId="3" fontId="6" fillId="0" borderId="20" xfId="78" applyNumberFormat="1" applyFont="1" applyFill="1" applyBorder="1" applyAlignment="1"/>
    <xf numFmtId="3" fontId="6" fillId="0" borderId="28" xfId="78" applyNumberFormat="1" applyFont="1" applyFill="1" applyBorder="1" applyAlignment="1"/>
    <xf numFmtId="3" fontId="6" fillId="0" borderId="21" xfId="78" applyNumberFormat="1" applyFont="1" applyFill="1" applyBorder="1" applyAlignment="1"/>
    <xf numFmtId="0" fontId="32" fillId="5" borderId="75" xfId="0" applyFont="1" applyFill="1" applyBorder="1"/>
    <xf numFmtId="0" fontId="32" fillId="0" borderId="76" xfId="0" applyFont="1" applyBorder="1" applyAlignment="1"/>
    <xf numFmtId="9" fontId="32" fillId="0" borderId="74" xfId="0" applyNumberFormat="1" applyFont="1" applyBorder="1" applyAlignment="1"/>
    <xf numFmtId="0" fontId="25" fillId="2" borderId="35" xfId="1" applyFill="1" applyBorder="1" applyAlignment="1">
      <alignment horizontal="left" indent="4"/>
    </xf>
    <xf numFmtId="0" fontId="39" fillId="0" borderId="0" xfId="0" applyFont="1" applyFill="1" applyAlignment="1">
      <alignment horizontal="left" indent="1"/>
    </xf>
    <xf numFmtId="3" fontId="39" fillId="0" borderId="20" xfId="0" applyNumberFormat="1" applyFont="1" applyFill="1" applyBorder="1" applyAlignment="1"/>
    <xf numFmtId="3" fontId="39" fillId="0" borderId="28" xfId="0" applyNumberFormat="1" applyFont="1" applyFill="1" applyBorder="1" applyAlignment="1"/>
    <xf numFmtId="169" fontId="39" fillId="0" borderId="21" xfId="0" applyNumberFormat="1" applyFont="1" applyFill="1" applyBorder="1" applyAlignment="1"/>
    <xf numFmtId="49" fontId="37" fillId="2" borderId="74" xfId="0" quotePrefix="1" applyNumberFormat="1" applyFont="1" applyFill="1" applyBorder="1" applyAlignment="1">
      <alignment horizontal="center" vertical="center"/>
    </xf>
    <xf numFmtId="0" fontId="25" fillId="4" borderId="72" xfId="1" applyFill="1" applyBorder="1" applyAlignment="1">
      <alignment horizontal="left" indent="4"/>
    </xf>
    <xf numFmtId="0" fontId="25" fillId="4" borderId="35" xfId="1" applyFill="1" applyBorder="1" applyAlignment="1">
      <alignment horizontal="left" indent="2"/>
    </xf>
    <xf numFmtId="0" fontId="32" fillId="0" borderId="73" xfId="0" applyFont="1" applyBorder="1"/>
    <xf numFmtId="0" fontId="31" fillId="2" borderId="63" xfId="0" applyFont="1" applyFill="1" applyBorder="1" applyAlignment="1">
      <alignment horizontal="center" vertical="top" wrapText="1"/>
    </xf>
    <xf numFmtId="0" fontId="25" fillId="6" borderId="5" xfId="1" applyFill="1" applyBorder="1"/>
    <xf numFmtId="0" fontId="31" fillId="2" borderId="39" xfId="81" applyFont="1" applyFill="1" applyBorder="1" applyAlignment="1">
      <alignment horizontal="center"/>
    </xf>
    <xf numFmtId="0" fontId="31" fillId="2" borderId="40" xfId="81" applyFont="1" applyFill="1" applyBorder="1" applyAlignment="1">
      <alignment horizontal="center"/>
    </xf>
    <xf numFmtId="0" fontId="31" fillId="2" borderId="25" xfId="74" applyFont="1" applyFill="1" applyBorder="1" applyAlignment="1">
      <alignment horizontal="center"/>
    </xf>
    <xf numFmtId="0" fontId="6" fillId="0" borderId="3" xfId="78" applyFont="1" applyFill="1" applyBorder="1" applyAlignment="1"/>
    <xf numFmtId="3" fontId="39" fillId="0" borderId="21" xfId="0" applyNumberFormat="1" applyFont="1" applyFill="1" applyBorder="1" applyAlignment="1"/>
    <xf numFmtId="0" fontId="39" fillId="2" borderId="19" xfId="0" applyFont="1" applyFill="1" applyBorder="1" applyAlignment="1">
      <alignment horizontal="right"/>
    </xf>
    <xf numFmtId="0" fontId="27" fillId="0" borderId="0" xfId="78" applyNumberFormat="1" applyFont="1" applyFill="1" applyBorder="1" applyAlignment="1"/>
    <xf numFmtId="0" fontId="32" fillId="0" borderId="0" xfId="0" applyNumberFormat="1" applyFont="1" applyFill="1"/>
    <xf numFmtId="9" fontId="0" fillId="0" borderId="0" xfId="0" applyNumberFormat="1"/>
    <xf numFmtId="168" fontId="0" fillId="0" borderId="0" xfId="0" applyNumberFormat="1"/>
    <xf numFmtId="0" fontId="48" fillId="0" borderId="0" xfId="0" applyFont="1" applyFill="1" applyAlignment="1">
      <alignment horizontal="left" indent="2"/>
    </xf>
    <xf numFmtId="176" fontId="39" fillId="0" borderId="16" xfId="0" applyNumberFormat="1" applyFont="1" applyBorder="1" applyAlignment="1">
      <alignment vertical="center"/>
    </xf>
    <xf numFmtId="173" fontId="39" fillId="0" borderId="32" xfId="0" applyNumberFormat="1" applyFont="1" applyBorder="1" applyAlignment="1">
      <alignment vertical="center"/>
    </xf>
    <xf numFmtId="173" fontId="32" fillId="0" borderId="17" xfId="0" applyNumberFormat="1" applyFont="1" applyBorder="1" applyAlignment="1">
      <alignment vertical="center"/>
    </xf>
    <xf numFmtId="173" fontId="32" fillId="0" borderId="0" xfId="0" applyNumberFormat="1" applyFont="1" applyBorder="1" applyAlignment="1">
      <alignment vertical="center"/>
    </xf>
    <xf numFmtId="173" fontId="32" fillId="0" borderId="16" xfId="0" applyNumberFormat="1" applyFont="1" applyBorder="1" applyAlignment="1">
      <alignment vertical="center"/>
    </xf>
    <xf numFmtId="174" fontId="32" fillId="0" borderId="0" xfId="0" applyNumberFormat="1" applyFont="1" applyBorder="1" applyAlignment="1">
      <alignment vertical="center"/>
    </xf>
    <xf numFmtId="0" fontId="55" fillId="0" borderId="17" xfId="0" applyFont="1" applyFill="1" applyBorder="1" applyAlignment="1">
      <alignment horizontal="left" vertical="center"/>
    </xf>
    <xf numFmtId="0" fontId="39" fillId="2" borderId="0" xfId="0" applyFont="1" applyFill="1" applyBorder="1" applyAlignment="1">
      <alignment horizontal="center" vertical="center"/>
    </xf>
    <xf numFmtId="173" fontId="32" fillId="0" borderId="0" xfId="0" applyNumberFormat="1" applyFont="1" applyBorder="1" applyAlignment="1">
      <alignment horizontal="right" vertical="center"/>
    </xf>
    <xf numFmtId="175" fontId="32" fillId="0" borderId="0" xfId="0" applyNumberFormat="1" applyFont="1" applyBorder="1" applyAlignment="1">
      <alignment horizontal="right" vertical="center"/>
    </xf>
    <xf numFmtId="3" fontId="39" fillId="0" borderId="55" xfId="0" applyNumberFormat="1" applyFont="1" applyBorder="1" applyAlignment="1">
      <alignment horizontal="right" vertical="center"/>
    </xf>
    <xf numFmtId="9" fontId="39" fillId="0" borderId="92" xfId="0" applyNumberFormat="1" applyFont="1" applyBorder="1" applyAlignment="1">
      <alignment horizontal="right" vertical="center"/>
    </xf>
    <xf numFmtId="173" fontId="39" fillId="0" borderId="92" xfId="0" applyNumberFormat="1" applyFont="1" applyBorder="1" applyAlignment="1">
      <alignment horizontal="right" vertical="center"/>
    </xf>
    <xf numFmtId="173" fontId="39" fillId="0" borderId="61" xfId="0" applyNumberFormat="1" applyFont="1" applyBorder="1" applyAlignment="1">
      <alignment horizontal="right" vertical="center"/>
    </xf>
    <xf numFmtId="173" fontId="39" fillId="0" borderId="63" xfId="0" applyNumberFormat="1" applyFont="1" applyBorder="1" applyAlignment="1">
      <alignment vertical="center"/>
    </xf>
    <xf numFmtId="173" fontId="39" fillId="0" borderId="93" xfId="0" applyNumberFormat="1" applyFont="1" applyBorder="1" applyAlignment="1">
      <alignment vertical="center"/>
    </xf>
    <xf numFmtId="173" fontId="39" fillId="0" borderId="92" xfId="0" applyNumberFormat="1" applyFont="1" applyBorder="1" applyAlignment="1">
      <alignment vertical="center"/>
    </xf>
    <xf numFmtId="173" fontId="39" fillId="0" borderId="61" xfId="0" applyNumberFormat="1" applyFont="1" applyBorder="1" applyAlignment="1">
      <alignment vertical="center"/>
    </xf>
    <xf numFmtId="173" fontId="39" fillId="0" borderId="94" xfId="0" applyNumberFormat="1" applyFont="1" applyBorder="1" applyAlignment="1">
      <alignment vertical="center"/>
    </xf>
    <xf numFmtId="174" fontId="39" fillId="0" borderId="95" xfId="0" applyNumberFormat="1" applyFont="1" applyBorder="1" applyAlignment="1">
      <alignment vertical="center"/>
    </xf>
    <xf numFmtId="174" fontId="39" fillId="0" borderId="92" xfId="0" applyNumberFormat="1" applyFont="1" applyBorder="1" applyAlignment="1">
      <alignment vertical="center"/>
    </xf>
    <xf numFmtId="174" fontId="39" fillId="0" borderId="61" xfId="0" applyNumberFormat="1" applyFont="1" applyBorder="1" applyAlignment="1">
      <alignment vertical="center"/>
    </xf>
    <xf numFmtId="168" fontId="39" fillId="0" borderId="86" xfId="0" applyNumberFormat="1" applyFont="1" applyBorder="1" applyAlignment="1">
      <alignment vertical="center"/>
    </xf>
    <xf numFmtId="0" fontId="32" fillId="0" borderId="93" xfId="0" applyFont="1" applyBorder="1" applyAlignment="1">
      <alignment horizontal="center" vertical="center"/>
    </xf>
    <xf numFmtId="166" fontId="39" fillId="2" borderId="61" xfId="0" applyNumberFormat="1" applyFont="1" applyFill="1" applyBorder="1" applyAlignment="1">
      <alignment horizontal="center" vertical="center"/>
    </xf>
    <xf numFmtId="173" fontId="39" fillId="0" borderId="70" xfId="0" applyNumberFormat="1" applyFont="1" applyBorder="1" applyAlignment="1">
      <alignment horizontal="right" vertical="center"/>
    </xf>
    <xf numFmtId="175" fontId="39" fillId="0" borderId="69" xfId="0" applyNumberFormat="1" applyFont="1" applyBorder="1" applyAlignment="1">
      <alignment horizontal="right" vertical="center"/>
    </xf>
    <xf numFmtId="173" fontId="39" fillId="0" borderId="69" xfId="0" applyNumberFormat="1" applyFont="1" applyBorder="1" applyAlignment="1">
      <alignment horizontal="right" vertical="center"/>
    </xf>
    <xf numFmtId="173" fontId="39" fillId="0" borderId="70" xfId="0" applyNumberFormat="1" applyFont="1" applyBorder="1" applyAlignment="1">
      <alignment vertical="center"/>
    </xf>
    <xf numFmtId="173" fontId="39" fillId="0" borderId="69" xfId="0" applyNumberFormat="1" applyFont="1" applyBorder="1" applyAlignment="1">
      <alignment vertical="center"/>
    </xf>
    <xf numFmtId="173" fontId="39" fillId="0" borderId="68" xfId="0" applyNumberFormat="1" applyFont="1" applyBorder="1" applyAlignment="1">
      <alignment vertical="center"/>
    </xf>
    <xf numFmtId="176" fontId="39" fillId="0" borderId="68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55" fillId="9" borderId="74" xfId="0" quotePrefix="1" applyFont="1" applyFill="1" applyBorder="1" applyAlignment="1">
      <alignment horizontal="center" vertical="center" wrapText="1"/>
    </xf>
    <xf numFmtId="0" fontId="40" fillId="9" borderId="74" xfId="0" quotePrefix="1" applyFont="1" applyFill="1" applyBorder="1" applyAlignment="1">
      <alignment horizontal="center" vertical="center" wrapText="1"/>
    </xf>
    <xf numFmtId="0" fontId="40" fillId="9" borderId="73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7" borderId="101" xfId="0" applyNumberFormat="1" applyFont="1" applyFill="1" applyBorder="1"/>
    <xf numFmtId="3" fontId="0" fillId="7" borderId="62" xfId="0" applyNumberFormat="1" applyFont="1" applyFill="1" applyBorder="1"/>
    <xf numFmtId="0" fontId="0" fillId="0" borderId="102" xfId="0" applyNumberFormat="1" applyFont="1" applyBorder="1"/>
    <xf numFmtId="3" fontId="0" fillId="0" borderId="103" xfId="0" applyNumberFormat="1" applyFont="1" applyBorder="1"/>
    <xf numFmtId="0" fontId="0" fillId="7" borderId="102" xfId="0" applyNumberFormat="1" applyFont="1" applyFill="1" applyBorder="1"/>
    <xf numFmtId="3" fontId="0" fillId="7" borderId="103" xfId="0" applyNumberFormat="1" applyFont="1" applyFill="1" applyBorder="1"/>
    <xf numFmtId="0" fontId="53" fillId="8" borderId="102" xfId="0" applyNumberFormat="1" applyFont="1" applyFill="1" applyBorder="1"/>
    <xf numFmtId="3" fontId="53" fillId="8" borderId="103" xfId="0" applyNumberFormat="1" applyFont="1" applyFill="1" applyBorder="1"/>
    <xf numFmtId="0" fontId="39" fillId="3" borderId="27" xfId="0" applyFont="1" applyFill="1" applyBorder="1" applyAlignment="1"/>
    <xf numFmtId="0" fontId="32" fillId="0" borderId="38" xfId="0" applyFont="1" applyBorder="1" applyAlignment="1"/>
    <xf numFmtId="0" fontId="39" fillId="2" borderId="27" xfId="0" applyFont="1" applyFill="1" applyBorder="1" applyAlignment="1"/>
    <xf numFmtId="0" fontId="39" fillId="4" borderId="27" xfId="0" applyFont="1" applyFill="1" applyBorder="1" applyAlignment="1"/>
    <xf numFmtId="0" fontId="42" fillId="0" borderId="2" xfId="0" applyFont="1" applyFill="1" applyBorder="1" applyAlignment="1"/>
    <xf numFmtId="0" fontId="42" fillId="0" borderId="2" xfId="0" applyFont="1" applyBorder="1" applyAlignment="1"/>
    <xf numFmtId="0" fontId="30" fillId="5" borderId="17" xfId="81" applyFont="1" applyFill="1" applyBorder="1" applyAlignment="1">
      <alignment horizontal="center" vertical="center"/>
    </xf>
    <xf numFmtId="0" fontId="41" fillId="0" borderId="3" xfId="0" applyFont="1" applyBorder="1" applyAlignment="1">
      <alignment horizontal="center" vertical="center"/>
    </xf>
    <xf numFmtId="0" fontId="31" fillId="2" borderId="43" xfId="81" applyFont="1" applyFill="1" applyBorder="1" applyAlignment="1">
      <alignment horizontal="center"/>
    </xf>
    <xf numFmtId="0" fontId="31" fillId="2" borderId="44" xfId="81" applyFont="1" applyFill="1" applyBorder="1" applyAlignment="1">
      <alignment horizontal="center"/>
    </xf>
    <xf numFmtId="0" fontId="31" fillId="2" borderId="41" xfId="81" applyFont="1" applyFill="1" applyBorder="1" applyAlignment="1">
      <alignment horizontal="center"/>
    </xf>
    <xf numFmtId="0" fontId="31" fillId="2" borderId="60" xfId="81" applyFont="1" applyFill="1" applyBorder="1" applyAlignment="1">
      <alignment horizontal="center"/>
    </xf>
    <xf numFmtId="0" fontId="31" fillId="2" borderId="42" xfId="81" applyFont="1" applyFill="1" applyBorder="1" applyAlignment="1">
      <alignment horizontal="center"/>
    </xf>
    <xf numFmtId="0" fontId="31" fillId="2" borderId="85" xfId="81" applyFont="1" applyFill="1" applyBorder="1" applyAlignment="1">
      <alignment horizontal="center"/>
    </xf>
    <xf numFmtId="0" fontId="31" fillId="2" borderId="71" xfId="81" applyFont="1" applyFill="1" applyBorder="1" applyAlignment="1">
      <alignment horizontal="center"/>
    </xf>
    <xf numFmtId="0" fontId="42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38" fillId="2" borderId="25" xfId="0" applyFont="1" applyFill="1" applyBorder="1" applyAlignment="1">
      <alignment horizontal="center" vertical="center"/>
    </xf>
    <xf numFmtId="0" fontId="32" fillId="2" borderId="30" xfId="0" applyFont="1" applyFill="1" applyBorder="1" applyAlignment="1">
      <alignment horizontal="center" vertical="center"/>
    </xf>
    <xf numFmtId="0" fontId="37" fillId="2" borderId="10" xfId="0" applyFont="1" applyFill="1" applyBorder="1" applyAlignment="1">
      <alignment horizontal="center" vertical="center"/>
    </xf>
    <xf numFmtId="0" fontId="32" fillId="2" borderId="11" xfId="0" applyFont="1" applyFill="1" applyBorder="1" applyAlignment="1">
      <alignment horizontal="center" vertical="center"/>
    </xf>
    <xf numFmtId="0" fontId="5" fillId="0" borderId="2" xfId="0" applyFont="1" applyFill="1" applyBorder="1" applyAlignment="1"/>
    <xf numFmtId="0" fontId="32" fillId="2" borderId="9" xfId="0" applyFont="1" applyFill="1" applyBorder="1" applyAlignment="1">
      <alignment horizontal="center" vertical="center"/>
    </xf>
    <xf numFmtId="0" fontId="32" fillId="2" borderId="10" xfId="0" applyFont="1" applyFill="1" applyBorder="1" applyAlignment="1">
      <alignment horizontal="center" vertical="center"/>
    </xf>
    <xf numFmtId="0" fontId="38" fillId="2" borderId="30" xfId="0" applyFont="1" applyFill="1" applyBorder="1" applyAlignment="1">
      <alignment horizontal="center" vertical="center"/>
    </xf>
    <xf numFmtId="0" fontId="32" fillId="2" borderId="26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 wrapText="1"/>
    </xf>
    <xf numFmtId="0" fontId="32" fillId="2" borderId="24" xfId="0" applyFont="1" applyFill="1" applyBorder="1" applyAlignment="1">
      <alignment horizontal="center" vertical="center" wrapText="1"/>
    </xf>
    <xf numFmtId="0" fontId="36" fillId="2" borderId="10" xfId="0" applyFont="1" applyFill="1" applyBorder="1" applyAlignment="1">
      <alignment horizontal="center" vertical="center" wrapText="1"/>
    </xf>
    <xf numFmtId="0" fontId="36" fillId="2" borderId="11" xfId="0" applyFont="1" applyFill="1" applyBorder="1" applyAlignment="1">
      <alignment horizontal="center" vertical="center" wrapText="1"/>
    </xf>
    <xf numFmtId="0" fontId="32" fillId="2" borderId="23" xfId="0" applyFont="1" applyFill="1" applyBorder="1" applyAlignment="1">
      <alignment horizontal="center" vertical="center" wrapText="1"/>
    </xf>
    <xf numFmtId="0" fontId="31" fillId="2" borderId="83" xfId="81" applyFont="1" applyFill="1" applyBorder="1" applyAlignment="1">
      <alignment horizontal="center"/>
    </xf>
    <xf numFmtId="0" fontId="31" fillId="2" borderId="84" xfId="81" applyFont="1" applyFill="1" applyBorder="1" applyAlignment="1">
      <alignment horizontal="center"/>
    </xf>
    <xf numFmtId="0" fontId="31" fillId="2" borderId="79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2" fillId="0" borderId="2" xfId="14" applyFont="1" applyFill="1" applyBorder="1" applyAlignment="1"/>
    <xf numFmtId="0" fontId="0" fillId="0" borderId="2" xfId="0" applyBorder="1" applyAlignment="1"/>
    <xf numFmtId="164" fontId="31" fillId="0" borderId="0" xfId="53" applyNumberFormat="1" applyFont="1" applyFill="1" applyBorder="1" applyAlignment="1">
      <alignment horizontal="center"/>
    </xf>
    <xf numFmtId="164" fontId="29" fillId="0" borderId="0" xfId="79" applyNumberFormat="1" applyFont="1" applyFill="1" applyBorder="1" applyAlignment="1">
      <alignment horizontal="center"/>
    </xf>
    <xf numFmtId="164" fontId="31" fillId="2" borderId="25" xfId="53" applyNumberFormat="1" applyFont="1" applyFill="1" applyBorder="1" applyAlignment="1">
      <alignment horizontal="right"/>
    </xf>
    <xf numFmtId="164" fontId="29" fillId="2" borderId="30" xfId="79" applyNumberFormat="1" applyFont="1" applyFill="1" applyBorder="1" applyAlignment="1">
      <alignment horizontal="right"/>
    </xf>
    <xf numFmtId="164" fontId="43" fillId="0" borderId="2" xfId="14" applyNumberFormat="1" applyFont="1" applyFill="1" applyBorder="1" applyAlignment="1"/>
    <xf numFmtId="0" fontId="5" fillId="0" borderId="2" xfId="14" applyFont="1" applyFill="1" applyBorder="1" applyAlignment="1"/>
    <xf numFmtId="9" fontId="3" fillId="2" borderId="88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87" xfId="80" applyNumberFormat="1" applyFont="1" applyFill="1" applyBorder="1" applyAlignment="1">
      <alignment horizontal="left"/>
    </xf>
    <xf numFmtId="3" fontId="3" fillId="2" borderId="81" xfId="80" applyNumberFormat="1" applyFont="1" applyFill="1" applyBorder="1" applyAlignment="1">
      <alignment horizontal="left"/>
    </xf>
    <xf numFmtId="0" fontId="2" fillId="0" borderId="2" xfId="26" applyFont="1" applyFill="1" applyBorder="1" applyAlignment="1"/>
    <xf numFmtId="3" fontId="55" fillId="4" borderId="77" xfId="0" applyNumberFormat="1" applyFont="1" applyFill="1" applyBorder="1" applyAlignment="1">
      <alignment horizontal="center" vertical="center"/>
    </xf>
    <xf numFmtId="3" fontId="55" fillId="4" borderId="90" xfId="0" applyNumberFormat="1" applyFont="1" applyFill="1" applyBorder="1" applyAlignment="1">
      <alignment horizontal="center" vertical="center"/>
    </xf>
    <xf numFmtId="9" fontId="55" fillId="4" borderId="77" xfId="0" applyNumberFormat="1" applyFont="1" applyFill="1" applyBorder="1" applyAlignment="1">
      <alignment horizontal="center" vertical="center"/>
    </xf>
    <xf numFmtId="9" fontId="55" fillId="4" borderId="90" xfId="0" applyNumberFormat="1" applyFont="1" applyFill="1" applyBorder="1" applyAlignment="1">
      <alignment horizontal="center" vertical="center"/>
    </xf>
    <xf numFmtId="3" fontId="55" fillId="4" borderId="78" xfId="0" applyNumberFormat="1" applyFont="1" applyFill="1" applyBorder="1" applyAlignment="1">
      <alignment horizontal="center" vertical="center" wrapText="1"/>
    </xf>
    <xf numFmtId="3" fontId="55" fillId="4" borderId="91" xfId="0" applyNumberFormat="1" applyFont="1" applyFill="1" applyBorder="1" applyAlignment="1">
      <alignment horizontal="center" vertical="center" wrapText="1"/>
    </xf>
    <xf numFmtId="0" fontId="39" fillId="2" borderId="98" xfId="0" applyFont="1" applyFill="1" applyBorder="1" applyAlignment="1">
      <alignment horizontal="center" vertical="center" wrapText="1"/>
    </xf>
    <xf numFmtId="0" fontId="39" fillId="2" borderId="81" xfId="0" applyFont="1" applyFill="1" applyBorder="1" applyAlignment="1">
      <alignment horizontal="center" vertical="center" wrapText="1"/>
    </xf>
    <xf numFmtId="0" fontId="55" fillId="9" borderId="100" xfId="0" applyFont="1" applyFill="1" applyBorder="1" applyAlignment="1">
      <alignment horizontal="center"/>
    </xf>
    <xf numFmtId="0" fontId="55" fillId="9" borderId="99" xfId="0" applyFont="1" applyFill="1" applyBorder="1" applyAlignment="1">
      <alignment horizontal="center"/>
    </xf>
    <xf numFmtId="0" fontId="55" fillId="9" borderId="76" xfId="0" applyFont="1" applyFill="1" applyBorder="1" applyAlignment="1">
      <alignment horizontal="center"/>
    </xf>
    <xf numFmtId="0" fontId="55" fillId="2" borderId="78" xfId="0" applyFont="1" applyFill="1" applyBorder="1" applyAlignment="1">
      <alignment horizontal="center" vertical="center" wrapText="1"/>
    </xf>
    <xf numFmtId="0" fontId="55" fillId="2" borderId="91" xfId="0" applyFont="1" applyFill="1" applyBorder="1" applyAlignment="1">
      <alignment horizontal="center" vertical="center" wrapText="1"/>
    </xf>
    <xf numFmtId="0" fontId="39" fillId="4" borderId="86" xfId="0" applyFont="1" applyFill="1" applyBorder="1" applyAlignment="1">
      <alignment horizontal="center" vertical="center" wrapText="1"/>
    </xf>
    <xf numFmtId="0" fontId="39" fillId="4" borderId="64" xfId="0" applyFont="1" applyFill="1" applyBorder="1" applyAlignment="1">
      <alignment horizontal="center" vertical="center" wrapText="1"/>
    </xf>
    <xf numFmtId="0" fontId="59" fillId="2" borderId="41" xfId="0" applyFont="1" applyFill="1" applyBorder="1" applyAlignment="1">
      <alignment horizontal="center"/>
    </xf>
    <xf numFmtId="0" fontId="59" fillId="2" borderId="83" xfId="0" applyFont="1" applyFill="1" applyBorder="1" applyAlignment="1">
      <alignment horizontal="center"/>
    </xf>
    <xf numFmtId="0" fontId="59" fillId="2" borderId="71" xfId="0" applyFont="1" applyFill="1" applyBorder="1" applyAlignment="1">
      <alignment horizontal="center"/>
    </xf>
    <xf numFmtId="0" fontId="59" fillId="4" borderId="25" xfId="0" applyFont="1" applyFill="1" applyBorder="1" applyAlignment="1">
      <alignment horizontal="center"/>
    </xf>
    <xf numFmtId="0" fontId="59" fillId="4" borderId="66" xfId="0" applyFont="1" applyFill="1" applyBorder="1" applyAlignment="1">
      <alignment horizontal="center"/>
    </xf>
    <xf numFmtId="0" fontId="59" fillId="4" borderId="67" xfId="0" applyFont="1" applyFill="1" applyBorder="1" applyAlignment="1">
      <alignment horizontal="center"/>
    </xf>
    <xf numFmtId="0" fontId="59" fillId="2" borderId="25" xfId="0" applyFont="1" applyFill="1" applyBorder="1" applyAlignment="1">
      <alignment horizontal="center"/>
    </xf>
    <xf numFmtId="0" fontId="59" fillId="2" borderId="66" xfId="0" applyFont="1" applyFill="1" applyBorder="1" applyAlignment="1">
      <alignment horizontal="center"/>
    </xf>
    <xf numFmtId="0" fontId="59" fillId="2" borderId="67" xfId="0" applyFont="1" applyFill="1" applyBorder="1" applyAlignment="1">
      <alignment horizontal="center"/>
    </xf>
    <xf numFmtId="166" fontId="39" fillId="2" borderId="68" xfId="0" applyNumberFormat="1" applyFont="1" applyFill="1" applyBorder="1" applyAlignment="1">
      <alignment horizontal="center" vertical="center"/>
    </xf>
    <xf numFmtId="0" fontId="32" fillId="0" borderId="96" xfId="0" applyFont="1" applyBorder="1" applyAlignment="1">
      <alignment horizontal="center" vertical="center"/>
    </xf>
    <xf numFmtId="0" fontId="55" fillId="4" borderId="89" xfId="0" applyFont="1" applyFill="1" applyBorder="1" applyAlignment="1">
      <alignment horizontal="center" vertical="center" wrapText="1"/>
    </xf>
    <xf numFmtId="0" fontId="55" fillId="4" borderId="97" xfId="0" applyFont="1" applyFill="1" applyBorder="1" applyAlignment="1">
      <alignment horizontal="center" vertical="center" wrapText="1"/>
    </xf>
    <xf numFmtId="0" fontId="55" fillId="4" borderId="77" xfId="0" applyFont="1" applyFill="1" applyBorder="1" applyAlignment="1">
      <alignment horizontal="center" vertical="center" wrapText="1"/>
    </xf>
    <xf numFmtId="0" fontId="55" fillId="4" borderId="90" xfId="0" applyFont="1" applyFill="1" applyBorder="1" applyAlignment="1">
      <alignment horizontal="center" vertical="center" wrapText="1"/>
    </xf>
    <xf numFmtId="0" fontId="55" fillId="4" borderId="78" xfId="0" applyFont="1" applyFill="1" applyBorder="1" applyAlignment="1">
      <alignment horizontal="center" vertical="center" wrapText="1"/>
    </xf>
    <xf numFmtId="0" fontId="55" fillId="4" borderId="91" xfId="0" applyFont="1" applyFill="1" applyBorder="1" applyAlignment="1">
      <alignment horizontal="center" vertical="center" wrapText="1"/>
    </xf>
    <xf numFmtId="0" fontId="39" fillId="4" borderId="1" xfId="0" applyFont="1" applyFill="1" applyBorder="1" applyAlignment="1">
      <alignment horizontal="center" vertical="center" wrapText="1"/>
    </xf>
    <xf numFmtId="0" fontId="39" fillId="4" borderId="3" xfId="0" applyFont="1" applyFill="1" applyBorder="1" applyAlignment="1">
      <alignment horizontal="center" vertical="center" wrapText="1"/>
    </xf>
    <xf numFmtId="168" fontId="55" fillId="2" borderId="89" xfId="0" applyNumberFormat="1" applyFont="1" applyFill="1" applyBorder="1" applyAlignment="1">
      <alignment horizontal="center" vertical="center" wrapText="1"/>
    </xf>
    <xf numFmtId="168" fontId="55" fillId="2" borderId="97" xfId="0" applyNumberFormat="1" applyFont="1" applyFill="1" applyBorder="1" applyAlignment="1">
      <alignment horizontal="center" vertical="center" wrapText="1"/>
    </xf>
    <xf numFmtId="0" fontId="55" fillId="2" borderId="77" xfId="0" applyFont="1" applyFill="1" applyBorder="1" applyAlignment="1">
      <alignment horizontal="center" vertical="center" wrapText="1"/>
    </xf>
    <xf numFmtId="0" fontId="55" fillId="2" borderId="90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wrapText="1"/>
    </xf>
    <xf numFmtId="0" fontId="39" fillId="2" borderId="52" xfId="0" applyFont="1" applyFill="1" applyBorder="1" applyAlignment="1">
      <alignment vertical="center"/>
    </xf>
    <xf numFmtId="3" fontId="31" fillId="2" borderId="54" xfId="26" applyNumberFormat="1" applyFont="1" applyFill="1" applyBorder="1" applyAlignment="1">
      <alignment horizontal="center"/>
    </xf>
    <xf numFmtId="3" fontId="31" fillId="2" borderId="45" xfId="26" applyNumberFormat="1" applyFont="1" applyFill="1" applyBorder="1" applyAlignment="1">
      <alignment horizontal="center"/>
    </xf>
    <xf numFmtId="3" fontId="31" fillId="2" borderId="82" xfId="26" applyNumberFormat="1" applyFont="1" applyFill="1" applyBorder="1" applyAlignment="1">
      <alignment horizontal="center"/>
    </xf>
    <xf numFmtId="3" fontId="31" fillId="2" borderId="46" xfId="26" applyNumberFormat="1" applyFont="1" applyFill="1" applyBorder="1" applyAlignment="1">
      <alignment horizontal="center"/>
    </xf>
    <xf numFmtId="3" fontId="31" fillId="2" borderId="86" xfId="26" applyNumberFormat="1" applyFont="1" applyFill="1" applyBorder="1" applyAlignment="1">
      <alignment horizontal="center"/>
    </xf>
    <xf numFmtId="3" fontId="31" fillId="2" borderId="64" xfId="26" applyNumberFormat="1" applyFont="1" applyFill="1" applyBorder="1" applyAlignment="1">
      <alignment horizontal="center"/>
    </xf>
    <xf numFmtId="0" fontId="31" fillId="2" borderId="31" xfId="0" applyFont="1" applyFill="1" applyBorder="1" applyAlignment="1">
      <alignment horizontal="center" vertical="top" wrapText="1"/>
    </xf>
    <xf numFmtId="3" fontId="31" fillId="2" borderId="46" xfId="0" applyNumberFormat="1" applyFont="1" applyFill="1" applyBorder="1" applyAlignment="1">
      <alignment horizontal="center" vertical="top"/>
    </xf>
    <xf numFmtId="0" fontId="31" fillId="2" borderId="31" xfId="0" applyFont="1" applyFill="1" applyBorder="1" applyAlignment="1">
      <alignment horizontal="center" vertical="top"/>
    </xf>
    <xf numFmtId="0" fontId="31" fillId="2" borderId="31" xfId="0" applyFont="1" applyFill="1" applyBorder="1" applyAlignment="1">
      <alignment horizontal="center" vertical="center"/>
    </xf>
    <xf numFmtId="0" fontId="31" fillId="2" borderId="54" xfId="0" quotePrefix="1" applyFont="1" applyFill="1" applyBorder="1" applyAlignment="1">
      <alignment horizontal="center"/>
    </xf>
    <xf numFmtId="0" fontId="31" fillId="2" borderId="46" xfId="0" applyFont="1" applyFill="1" applyBorder="1" applyAlignment="1">
      <alignment horizontal="center"/>
    </xf>
    <xf numFmtId="9" fontId="44" fillId="2" borderId="46" xfId="0" applyNumberFormat="1" applyFont="1" applyFill="1" applyBorder="1" applyAlignment="1">
      <alignment horizontal="center" vertical="top"/>
    </xf>
    <xf numFmtId="0" fontId="31" fillId="2" borderId="63" xfId="0" applyNumberFormat="1" applyFont="1" applyFill="1" applyBorder="1" applyAlignment="1">
      <alignment horizontal="center" vertical="top"/>
    </xf>
    <xf numFmtId="0" fontId="31" fillId="2" borderId="63" xfId="0" applyFont="1" applyFill="1" applyBorder="1" applyAlignment="1">
      <alignment horizontal="center" vertical="top" wrapText="1"/>
    </xf>
    <xf numFmtId="0" fontId="31" fillId="2" borderId="54" xfId="0" quotePrefix="1" applyNumberFormat="1" applyFont="1" applyFill="1" applyBorder="1" applyAlignment="1">
      <alignment horizontal="center"/>
    </xf>
    <xf numFmtId="0" fontId="31" fillId="2" borderId="46" xfId="0" applyNumberFormat="1" applyFont="1" applyFill="1" applyBorder="1" applyAlignment="1">
      <alignment horizontal="center"/>
    </xf>
    <xf numFmtId="49" fontId="31" fillId="2" borderId="31" xfId="0" applyNumberFormat="1" applyFont="1" applyFill="1" applyBorder="1" applyAlignment="1">
      <alignment horizontal="center" vertical="top"/>
    </xf>
    <xf numFmtId="0" fontId="44" fillId="2" borderId="46" xfId="0" applyNumberFormat="1" applyFont="1" applyFill="1" applyBorder="1" applyAlignment="1">
      <alignment horizontal="center" vertical="top"/>
    </xf>
    <xf numFmtId="3" fontId="33" fillId="10" borderId="105" xfId="0" applyNumberFormat="1" applyFont="1" applyFill="1" applyBorder="1" applyAlignment="1">
      <alignment horizontal="right" vertical="top"/>
    </xf>
    <xf numFmtId="3" fontId="33" fillId="10" borderId="106" xfId="0" applyNumberFormat="1" applyFont="1" applyFill="1" applyBorder="1" applyAlignment="1">
      <alignment horizontal="right" vertical="top"/>
    </xf>
    <xf numFmtId="177" fontId="33" fillId="10" borderId="107" xfId="0" applyNumberFormat="1" applyFont="1" applyFill="1" applyBorder="1" applyAlignment="1">
      <alignment horizontal="right" vertical="top"/>
    </xf>
    <xf numFmtId="3" fontId="33" fillId="0" borderId="105" xfId="0" applyNumberFormat="1" applyFont="1" applyBorder="1" applyAlignment="1">
      <alignment horizontal="right" vertical="top"/>
    </xf>
    <xf numFmtId="177" fontId="33" fillId="10" borderId="108" xfId="0" applyNumberFormat="1" applyFont="1" applyFill="1" applyBorder="1" applyAlignment="1">
      <alignment horizontal="right" vertical="top"/>
    </xf>
    <xf numFmtId="3" fontId="35" fillId="10" borderId="110" xfId="0" applyNumberFormat="1" applyFont="1" applyFill="1" applyBorder="1" applyAlignment="1">
      <alignment horizontal="right" vertical="top"/>
    </xf>
    <xf numFmtId="3" fontId="35" fillId="10" borderId="111" xfId="0" applyNumberFormat="1" applyFont="1" applyFill="1" applyBorder="1" applyAlignment="1">
      <alignment horizontal="right" vertical="top"/>
    </xf>
    <xf numFmtId="0" fontId="35" fillId="10" borderId="112" xfId="0" applyFont="1" applyFill="1" applyBorder="1" applyAlignment="1">
      <alignment horizontal="right" vertical="top"/>
    </xf>
    <xf numFmtId="3" fontId="35" fillId="0" borderId="110" xfId="0" applyNumberFormat="1" applyFont="1" applyBorder="1" applyAlignment="1">
      <alignment horizontal="right" vertical="top"/>
    </xf>
    <xf numFmtId="0" fontId="35" fillId="10" borderId="113" xfId="0" applyFont="1" applyFill="1" applyBorder="1" applyAlignment="1">
      <alignment horizontal="right" vertical="top"/>
    </xf>
    <xf numFmtId="0" fontId="33" fillId="10" borderId="107" xfId="0" applyFont="1" applyFill="1" applyBorder="1" applyAlignment="1">
      <alignment horizontal="right" vertical="top"/>
    </xf>
    <xf numFmtId="0" fontId="33" fillId="10" borderId="108" xfId="0" applyFont="1" applyFill="1" applyBorder="1" applyAlignment="1">
      <alignment horizontal="right" vertical="top"/>
    </xf>
    <xf numFmtId="177" fontId="35" fillId="10" borderId="112" xfId="0" applyNumberFormat="1" applyFont="1" applyFill="1" applyBorder="1" applyAlignment="1">
      <alignment horizontal="right" vertical="top"/>
    </xf>
    <xf numFmtId="177" fontId="35" fillId="10" borderId="113" xfId="0" applyNumberFormat="1" applyFont="1" applyFill="1" applyBorder="1" applyAlignment="1">
      <alignment horizontal="right" vertical="top"/>
    </xf>
    <xf numFmtId="3" fontId="35" fillId="0" borderId="114" xfId="0" applyNumberFormat="1" applyFont="1" applyBorder="1" applyAlignment="1">
      <alignment horizontal="right" vertical="top"/>
    </xf>
    <xf numFmtId="3" fontId="35" fillId="0" borderId="115" xfId="0" applyNumberFormat="1" applyFont="1" applyBorder="1" applyAlignment="1">
      <alignment horizontal="right" vertical="top"/>
    </xf>
    <xf numFmtId="0" fontId="35" fillId="0" borderId="116" xfId="0" applyFont="1" applyBorder="1" applyAlignment="1">
      <alignment horizontal="right" vertical="top"/>
    </xf>
    <xf numFmtId="177" fontId="35" fillId="10" borderId="117" xfId="0" applyNumberFormat="1" applyFont="1" applyFill="1" applyBorder="1" applyAlignment="1">
      <alignment horizontal="right" vertical="top"/>
    </xf>
    <xf numFmtId="0" fontId="37" fillId="11" borderId="104" xfId="0" applyFont="1" applyFill="1" applyBorder="1" applyAlignment="1">
      <alignment vertical="top"/>
    </xf>
    <xf numFmtId="0" fontId="37" fillId="11" borderId="104" xfId="0" applyFont="1" applyFill="1" applyBorder="1" applyAlignment="1">
      <alignment vertical="top" indent="2"/>
    </xf>
    <xf numFmtId="0" fontId="37" fillId="11" borderId="104" xfId="0" applyFont="1" applyFill="1" applyBorder="1" applyAlignment="1">
      <alignment vertical="top" indent="4"/>
    </xf>
    <xf numFmtId="0" fontId="38" fillId="11" borderId="109" xfId="0" applyFont="1" applyFill="1" applyBorder="1" applyAlignment="1">
      <alignment vertical="top" indent="6"/>
    </xf>
    <xf numFmtId="0" fontId="37" fillId="11" borderId="104" xfId="0" applyFont="1" applyFill="1" applyBorder="1" applyAlignment="1">
      <alignment vertical="top" indent="8"/>
    </xf>
    <xf numFmtId="0" fontId="38" fillId="11" borderId="109" xfId="0" applyFont="1" applyFill="1" applyBorder="1" applyAlignment="1">
      <alignment vertical="top" indent="2"/>
    </xf>
    <xf numFmtId="0" fontId="37" fillId="11" borderId="104" xfId="0" applyFont="1" applyFill="1" applyBorder="1" applyAlignment="1">
      <alignment vertical="top" indent="6"/>
    </xf>
    <xf numFmtId="0" fontId="38" fillId="11" borderId="109" xfId="0" applyFont="1" applyFill="1" applyBorder="1" applyAlignment="1">
      <alignment vertical="top" indent="4"/>
    </xf>
    <xf numFmtId="0" fontId="32" fillId="11" borderId="104" xfId="0" applyFont="1" applyFill="1" applyBorder="1"/>
    <xf numFmtId="0" fontId="38" fillId="11" borderId="19" xfId="0" applyFont="1" applyFill="1" applyBorder="1" applyAlignment="1">
      <alignment vertical="top"/>
    </xf>
    <xf numFmtId="0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right"/>
    </xf>
    <xf numFmtId="9" fontId="29" fillId="0" borderId="0" xfId="0" applyNumberFormat="1" applyFont="1" applyFill="1" applyBorder="1" applyAlignment="1">
      <alignment horizontal="right"/>
    </xf>
    <xf numFmtId="3" fontId="29" fillId="0" borderId="0" xfId="0" applyNumberFormat="1" applyFont="1" applyFill="1" applyBorder="1"/>
    <xf numFmtId="164" fontId="31" fillId="2" borderId="94" xfId="53" applyNumberFormat="1" applyFont="1" applyFill="1" applyBorder="1" applyAlignment="1">
      <alignment horizontal="left"/>
    </xf>
    <xf numFmtId="164" fontId="31" fillId="2" borderId="118" xfId="53" applyNumberFormat="1" applyFont="1" applyFill="1" applyBorder="1" applyAlignment="1">
      <alignment horizontal="left"/>
    </xf>
    <xf numFmtId="0" fontId="31" fillId="2" borderId="118" xfId="53" applyNumberFormat="1" applyFont="1" applyFill="1" applyBorder="1" applyAlignment="1">
      <alignment horizontal="left"/>
    </xf>
    <xf numFmtId="164" fontId="31" fillId="2" borderId="92" xfId="53" applyNumberFormat="1" applyFont="1" applyFill="1" applyBorder="1" applyAlignment="1">
      <alignment horizontal="left"/>
    </xf>
    <xf numFmtId="3" fontId="31" fillId="2" borderId="92" xfId="53" applyNumberFormat="1" applyFont="1" applyFill="1" applyBorder="1" applyAlignment="1">
      <alignment horizontal="left"/>
    </xf>
    <xf numFmtId="3" fontId="31" fillId="2" borderId="55" xfId="53" applyNumberFormat="1" applyFont="1" applyFill="1" applyBorder="1" applyAlignment="1">
      <alignment horizontal="left"/>
    </xf>
    <xf numFmtId="0" fontId="32" fillId="0" borderId="65" xfId="0" applyFont="1" applyFill="1" applyBorder="1"/>
    <xf numFmtId="0" fontId="32" fillId="0" borderId="66" xfId="0" applyFont="1" applyFill="1" applyBorder="1"/>
    <xf numFmtId="164" fontId="32" fillId="0" borderId="66" xfId="0" applyNumberFormat="1" applyFont="1" applyFill="1" applyBorder="1"/>
    <xf numFmtId="164" fontId="32" fillId="0" borderId="66" xfId="0" applyNumberFormat="1" applyFont="1" applyFill="1" applyBorder="1" applyAlignment="1">
      <alignment horizontal="right"/>
    </xf>
    <xf numFmtId="0" fontId="32" fillId="0" borderId="66" xfId="0" applyNumberFormat="1" applyFont="1" applyFill="1" applyBorder="1"/>
    <xf numFmtId="3" fontId="32" fillId="0" borderId="66" xfId="0" applyNumberFormat="1" applyFont="1" applyFill="1" applyBorder="1"/>
    <xf numFmtId="3" fontId="32" fillId="0" borderId="67" xfId="0" applyNumberFormat="1" applyFont="1" applyFill="1" applyBorder="1"/>
    <xf numFmtId="0" fontId="32" fillId="0" borderId="73" xfId="0" applyFont="1" applyFill="1" applyBorder="1"/>
    <xf numFmtId="0" fontId="32" fillId="0" borderId="74" xfId="0" applyFont="1" applyFill="1" applyBorder="1"/>
    <xf numFmtId="164" fontId="32" fillId="0" borderId="74" xfId="0" applyNumberFormat="1" applyFont="1" applyFill="1" applyBorder="1"/>
    <xf numFmtId="164" fontId="32" fillId="0" borderId="74" xfId="0" applyNumberFormat="1" applyFont="1" applyFill="1" applyBorder="1" applyAlignment="1">
      <alignment horizontal="right"/>
    </xf>
    <xf numFmtId="0" fontId="32" fillId="0" borderId="74" xfId="0" applyNumberFormat="1" applyFont="1" applyFill="1" applyBorder="1"/>
    <xf numFmtId="3" fontId="32" fillId="0" borderId="74" xfId="0" applyNumberFormat="1" applyFont="1" applyFill="1" applyBorder="1"/>
    <xf numFmtId="3" fontId="32" fillId="0" borderId="75" xfId="0" applyNumberFormat="1" applyFont="1" applyFill="1" applyBorder="1"/>
    <xf numFmtId="0" fontId="32" fillId="0" borderId="68" xfId="0" applyFont="1" applyFill="1" applyBorder="1"/>
    <xf numFmtId="0" fontId="32" fillId="0" borderId="69" xfId="0" applyFont="1" applyFill="1" applyBorder="1"/>
    <xf numFmtId="164" fontId="32" fillId="0" borderId="69" xfId="0" applyNumberFormat="1" applyFont="1" applyFill="1" applyBorder="1"/>
    <xf numFmtId="164" fontId="32" fillId="0" borderId="69" xfId="0" applyNumberFormat="1" applyFont="1" applyFill="1" applyBorder="1" applyAlignment="1">
      <alignment horizontal="right"/>
    </xf>
    <xf numFmtId="0" fontId="32" fillId="0" borderId="69" xfId="0" applyNumberFormat="1" applyFont="1" applyFill="1" applyBorder="1"/>
    <xf numFmtId="3" fontId="32" fillId="0" borderId="69" xfId="0" applyNumberFormat="1" applyFont="1" applyFill="1" applyBorder="1"/>
    <xf numFmtId="3" fontId="32" fillId="0" borderId="70" xfId="0" applyNumberFormat="1" applyFont="1" applyFill="1" applyBorder="1"/>
    <xf numFmtId="0" fontId="3" fillId="2" borderId="94" xfId="79" applyFont="1" applyFill="1" applyBorder="1" applyAlignment="1">
      <alignment horizontal="left"/>
    </xf>
    <xf numFmtId="3" fontId="3" fillId="2" borderId="77" xfId="80" applyNumberFormat="1" applyFont="1" applyFill="1" applyBorder="1"/>
    <xf numFmtId="3" fontId="3" fillId="2" borderId="78" xfId="80" applyNumberFormat="1" applyFont="1" applyFill="1" applyBorder="1"/>
    <xf numFmtId="9" fontId="3" fillId="2" borderId="119" xfId="80" applyNumberFormat="1" applyFont="1" applyFill="1" applyBorder="1"/>
    <xf numFmtId="9" fontId="3" fillId="2" borderId="77" xfId="80" applyNumberFormat="1" applyFont="1" applyFill="1" applyBorder="1"/>
    <xf numFmtId="9" fontId="3" fillId="2" borderId="78" xfId="80" applyNumberFormat="1" applyFont="1" applyFill="1" applyBorder="1"/>
    <xf numFmtId="0" fontId="39" fillId="0" borderId="65" xfId="0" applyFont="1" applyFill="1" applyBorder="1"/>
    <xf numFmtId="9" fontId="32" fillId="0" borderId="66" xfId="0" applyNumberFormat="1" applyFont="1" applyFill="1" applyBorder="1"/>
    <xf numFmtId="9" fontId="32" fillId="0" borderId="67" xfId="0" applyNumberFormat="1" applyFont="1" applyFill="1" applyBorder="1"/>
    <xf numFmtId="9" fontId="32" fillId="0" borderId="69" xfId="0" applyNumberFormat="1" applyFont="1" applyFill="1" applyBorder="1"/>
    <xf numFmtId="9" fontId="32" fillId="0" borderId="70" xfId="0" applyNumberFormat="1" applyFont="1" applyFill="1" applyBorder="1"/>
    <xf numFmtId="0" fontId="39" fillId="0" borderId="85" xfId="0" applyFont="1" applyFill="1" applyBorder="1"/>
    <xf numFmtId="0" fontId="39" fillId="0" borderId="84" xfId="0" applyFont="1" applyFill="1" applyBorder="1" applyAlignment="1">
      <alignment horizontal="left" indent="1"/>
    </xf>
    <xf numFmtId="9" fontId="32" fillId="0" borderId="120" xfId="0" applyNumberFormat="1" applyFont="1" applyFill="1" applyBorder="1"/>
    <xf numFmtId="9" fontId="32" fillId="0" borderId="80" xfId="0" applyNumberFormat="1" applyFont="1" applyFill="1" applyBorder="1"/>
    <xf numFmtId="3" fontId="32" fillId="0" borderId="65" xfId="0" applyNumberFormat="1" applyFont="1" applyFill="1" applyBorder="1"/>
    <xf numFmtId="3" fontId="32" fillId="0" borderId="68" xfId="0" applyNumberFormat="1" applyFont="1" applyFill="1" applyBorder="1"/>
    <xf numFmtId="9" fontId="32" fillId="0" borderId="121" xfId="0" applyNumberFormat="1" applyFont="1" applyFill="1" applyBorder="1"/>
    <xf numFmtId="9" fontId="32" fillId="0" borderId="96" xfId="0" applyNumberFormat="1" applyFont="1" applyFill="1" applyBorder="1"/>
    <xf numFmtId="0" fontId="32" fillId="2" borderId="55" xfId="0" applyFont="1" applyFill="1" applyBorder="1" applyAlignment="1">
      <alignment vertical="center"/>
    </xf>
    <xf numFmtId="0" fontId="31" fillId="2" borderId="16" xfId="26" applyNumberFormat="1" applyFont="1" applyFill="1" applyBorder="1"/>
    <xf numFmtId="0" fontId="31" fillId="2" borderId="0" xfId="26" applyNumberFormat="1" applyFont="1" applyFill="1" applyBorder="1"/>
    <xf numFmtId="9" fontId="31" fillId="2" borderId="0" xfId="26" quotePrefix="1" applyNumberFormat="1" applyFont="1" applyFill="1" applyBorder="1" applyAlignment="1">
      <alignment horizontal="right"/>
    </xf>
    <xf numFmtId="9" fontId="31" fillId="2" borderId="17" xfId="26" applyNumberFormat="1" applyFont="1" applyFill="1" applyBorder="1" applyAlignment="1">
      <alignment horizontal="right"/>
    </xf>
    <xf numFmtId="0" fontId="59" fillId="4" borderId="65" xfId="0" applyFont="1" applyFill="1" applyBorder="1" applyAlignment="1">
      <alignment horizontal="left"/>
    </xf>
    <xf numFmtId="169" fontId="59" fillId="4" borderId="66" xfId="0" applyNumberFormat="1" applyFont="1" applyFill="1" applyBorder="1"/>
    <xf numFmtId="9" fontId="59" fillId="4" borderId="66" xfId="0" applyNumberFormat="1" applyFont="1" applyFill="1" applyBorder="1"/>
    <xf numFmtId="9" fontId="59" fillId="4" borderId="67" xfId="0" applyNumberFormat="1" applyFont="1" applyFill="1" applyBorder="1"/>
    <xf numFmtId="169" fontId="0" fillId="0" borderId="74" xfId="0" applyNumberFormat="1" applyBorder="1"/>
    <xf numFmtId="9" fontId="0" fillId="0" borderId="74" xfId="0" applyNumberFormat="1" applyBorder="1"/>
    <xf numFmtId="9" fontId="0" fillId="0" borderId="75" xfId="0" applyNumberFormat="1" applyBorder="1"/>
    <xf numFmtId="0" fontId="59" fillId="4" borderId="73" xfId="0" applyFont="1" applyFill="1" applyBorder="1" applyAlignment="1">
      <alignment horizontal="left"/>
    </xf>
    <xf numFmtId="169" fontId="59" fillId="4" borderId="74" xfId="0" applyNumberFormat="1" applyFont="1" applyFill="1" applyBorder="1"/>
    <xf numFmtId="9" fontId="59" fillId="4" borderId="74" xfId="0" applyNumberFormat="1" applyFont="1" applyFill="1" applyBorder="1"/>
    <xf numFmtId="9" fontId="59" fillId="4" borderId="75" xfId="0" applyNumberFormat="1" applyFont="1" applyFill="1" applyBorder="1"/>
    <xf numFmtId="169" fontId="0" fillId="0" borderId="69" xfId="0" applyNumberFormat="1" applyBorder="1"/>
    <xf numFmtId="9" fontId="0" fillId="0" borderId="69" xfId="0" applyNumberFormat="1" applyBorder="1"/>
    <xf numFmtId="9" fontId="0" fillId="0" borderId="70" xfId="0" applyNumberFormat="1" applyBorder="1"/>
    <xf numFmtId="0" fontId="59" fillId="0" borderId="73" xfId="0" applyFont="1" applyBorder="1" applyAlignment="1">
      <alignment horizontal="left" indent="1"/>
    </xf>
    <xf numFmtId="0" fontId="59" fillId="0" borderId="68" xfId="0" applyFont="1" applyBorder="1" applyAlignment="1">
      <alignment horizontal="left" indent="1"/>
    </xf>
    <xf numFmtId="0" fontId="60" fillId="0" borderId="0" xfId="0" applyFont="1" applyFill="1"/>
    <xf numFmtId="0" fontId="61" fillId="0" borderId="0" xfId="0" applyFont="1" applyFill="1"/>
    <xf numFmtId="0" fontId="31" fillId="2" borderId="17" xfId="26" applyNumberFormat="1" applyFont="1" applyFill="1" applyBorder="1"/>
    <xf numFmtId="3" fontId="32" fillId="0" borderId="28" xfId="0" applyNumberFormat="1" applyFont="1" applyFill="1" applyBorder="1"/>
    <xf numFmtId="169" fontId="32" fillId="0" borderId="28" xfId="0" applyNumberFormat="1" applyFont="1" applyFill="1" applyBorder="1"/>
    <xf numFmtId="169" fontId="32" fillId="0" borderId="21" xfId="0" applyNumberFormat="1" applyFont="1" applyFill="1" applyBorder="1"/>
    <xf numFmtId="0" fontId="39" fillId="0" borderId="20" xfId="0" applyFont="1" applyFill="1" applyBorder="1"/>
    <xf numFmtId="0" fontId="32" fillId="2" borderId="32" xfId="0" applyFont="1" applyFill="1" applyBorder="1" applyAlignment="1">
      <alignment horizontal="center" vertical="top" wrapText="1"/>
    </xf>
    <xf numFmtId="0" fontId="31" fillId="2" borderId="32" xfId="0" applyFont="1" applyFill="1" applyBorder="1" applyAlignment="1">
      <alignment horizontal="center" vertical="top" wrapText="1"/>
    </xf>
    <xf numFmtId="0" fontId="31" fillId="2" borderId="32" xfId="0" applyFont="1" applyFill="1" applyBorder="1" applyAlignment="1">
      <alignment horizontal="center" vertical="top"/>
    </xf>
    <xf numFmtId="0" fontId="0" fillId="0" borderId="32" xfId="0" applyNumberFormat="1" applyBorder="1" applyAlignment="1">
      <alignment horizontal="center" vertical="top"/>
    </xf>
    <xf numFmtId="0" fontId="31" fillId="2" borderId="32" xfId="0" applyFont="1" applyFill="1" applyBorder="1" applyAlignment="1">
      <alignment horizontal="center" vertical="center"/>
    </xf>
    <xf numFmtId="3" fontId="31" fillId="2" borderId="16" xfId="0" applyNumberFormat="1" applyFont="1" applyFill="1" applyBorder="1" applyAlignment="1">
      <alignment horizontal="left"/>
    </xf>
    <xf numFmtId="3" fontId="31" fillId="2" borderId="17" xfId="0" applyNumberFormat="1" applyFont="1" applyFill="1" applyBorder="1" applyAlignment="1">
      <alignment horizontal="center"/>
    </xf>
    <xf numFmtId="3" fontId="31" fillId="2" borderId="0" xfId="0" applyNumberFormat="1" applyFont="1" applyFill="1" applyBorder="1" applyAlignment="1">
      <alignment horizontal="center"/>
    </xf>
    <xf numFmtId="9" fontId="44" fillId="2" borderId="17" xfId="0" applyNumberFormat="1" applyFont="1" applyFill="1" applyBorder="1" applyAlignment="1">
      <alignment horizontal="center" vertical="top"/>
    </xf>
    <xf numFmtId="3" fontId="31" fillId="2" borderId="17" xfId="0" applyNumberFormat="1" applyFont="1" applyFill="1" applyBorder="1" applyAlignment="1">
      <alignment horizontal="center" vertical="top"/>
    </xf>
    <xf numFmtId="9" fontId="32" fillId="0" borderId="74" xfId="0" applyNumberFormat="1" applyFont="1" applyFill="1" applyBorder="1"/>
    <xf numFmtId="0" fontId="31" fillId="2" borderId="32" xfId="0" applyFont="1" applyFill="1" applyBorder="1" applyAlignment="1">
      <alignment horizontal="center" vertical="top" wrapText="1"/>
    </xf>
    <xf numFmtId="0" fontId="31" fillId="2" borderId="17" xfId="26" applyNumberFormat="1" applyFont="1" applyFill="1" applyBorder="1" applyAlignment="1">
      <alignment horizontal="right"/>
    </xf>
    <xf numFmtId="169" fontId="32" fillId="0" borderId="66" xfId="0" applyNumberFormat="1" applyFont="1" applyFill="1" applyBorder="1"/>
    <xf numFmtId="169" fontId="32" fillId="0" borderId="74" xfId="0" applyNumberFormat="1" applyFont="1" applyFill="1" applyBorder="1"/>
    <xf numFmtId="9" fontId="32" fillId="0" borderId="75" xfId="0" applyNumberFormat="1" applyFont="1" applyFill="1" applyBorder="1"/>
    <xf numFmtId="169" fontId="32" fillId="0" borderId="69" xfId="0" applyNumberFormat="1" applyFont="1" applyFill="1" applyBorder="1"/>
    <xf numFmtId="0" fontId="39" fillId="0" borderId="73" xfId="0" applyFont="1" applyFill="1" applyBorder="1"/>
    <xf numFmtId="0" fontId="39" fillId="0" borderId="68" xfId="0" applyFont="1" applyFill="1" applyBorder="1"/>
    <xf numFmtId="49" fontId="31" fillId="2" borderId="32" xfId="0" applyNumberFormat="1" applyFont="1" applyFill="1" applyBorder="1" applyAlignment="1">
      <alignment horizontal="center" vertical="top"/>
    </xf>
    <xf numFmtId="0" fontId="31" fillId="2" borderId="16" xfId="0" applyNumberFormat="1" applyFont="1" applyFill="1" applyBorder="1" applyAlignment="1">
      <alignment horizontal="left"/>
    </xf>
    <xf numFmtId="0" fontId="31" fillId="2" borderId="17" xfId="0" applyNumberFormat="1" applyFont="1" applyFill="1" applyBorder="1" applyAlignment="1">
      <alignment horizontal="left"/>
    </xf>
    <xf numFmtId="0" fontId="31" fillId="2" borderId="0" xfId="0" applyNumberFormat="1" applyFont="1" applyFill="1" applyBorder="1" applyAlignment="1">
      <alignment horizontal="left"/>
    </xf>
    <xf numFmtId="0" fontId="44" fillId="2" borderId="17" xfId="0" applyNumberFormat="1" applyFont="1" applyFill="1" applyBorder="1" applyAlignment="1">
      <alignment horizontal="center" vertical="top"/>
    </xf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88">
    <dxf>
      <font>
        <b/>
        <i val="0"/>
        <color rgb="FFFF0000"/>
      </font>
    </dxf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>
      <tableStyleElement type="wholeTable" dxfId="87"/>
      <tableStyleElement type="headerRow" dxfId="86"/>
      <tableStyleElement type="totalRow" dxfId="85"/>
      <tableStyleElement type="firstColumn" dxfId="84"/>
      <tableStyleElement type="lastColumn" dxfId="83"/>
      <tableStyleElement type="firstRowStripe" dxfId="82"/>
      <tableStyleElement type="firstColumnStripe" dxfId="81"/>
    </tableStyle>
    <tableStyle name="TableStyleMedium2 2" pivot="0" count="7">
      <tableStyleElement type="wholeTable" dxfId="80"/>
      <tableStyleElement type="headerRow" dxfId="79"/>
      <tableStyleElement type="totalRow" dxfId="78"/>
      <tableStyleElement type="firstColumn" dxfId="77"/>
      <tableStyleElement type="lastColumn" dxfId="76"/>
      <tableStyleElement type="firstRowStripe" dxfId="75"/>
      <tableStyleElement type="firstColumnStripe" dxfId="74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Graf'!$B$4:$E$4</c:f>
              <c:numCache>
                <c:formatCode>General</c:formatCode>
                <c:ptCount val="4"/>
                <c:pt idx="0">
                  <c:v>0.80940060530325497</c:v>
                </c:pt>
                <c:pt idx="1">
                  <c:v>0.85877505681842825</c:v>
                </c:pt>
                <c:pt idx="2">
                  <c:v>0.875013043781943</c:v>
                </c:pt>
                <c:pt idx="3">
                  <c:v>0.84943485659815954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94705920"/>
        <c:axId val="-694700480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0.87642637263038103</c:v>
                </c:pt>
                <c:pt idx="1">
                  <c:v>0.87642637263038103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694694496"/>
        <c:axId val="-694705376"/>
      </c:scatterChart>
      <c:catAx>
        <c:axId val="-6947059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6947004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69470048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694705920"/>
        <c:crosses val="autoZero"/>
        <c:crossBetween val="between"/>
      </c:valAx>
      <c:valAx>
        <c:axId val="-694694496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694705376"/>
        <c:crosses val="max"/>
        <c:crossBetween val="midCat"/>
      </c:valAx>
      <c:valAx>
        <c:axId val="-694705376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694694496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6" name="Tabulka" displayName="Tabulka" ref="A7:S24" totalsRowShown="0" headerRowDxfId="73" tableBorderDxfId="72">
  <autoFilter ref="A7:S2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name="kat" dataDxfId="71"/>
    <tableColumn id="2" name="popis" dataDxfId="70"/>
    <tableColumn id="3" name="01 uv_sk" dataDxfId="6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name="02 uv_pla" dataDxfId="6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name="03 uv_pln" dataDxfId="6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name="04 uv_rozd" dataDxfId="6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name="05 h_vram" dataDxfId="6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name="06 h_naduv" dataDxfId="6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name="07 h_nadzk" dataDxfId="6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name="08 h_oon" dataDxfId="6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name="09 m_kl" dataDxfId="6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name="10 m_gr" dataDxfId="6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name="11 m_jo" dataDxfId="5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name="12 m_oc" dataDxfId="5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name="13 m_sk" dataDxfId="5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name="14_vzsk" dataDxfId="5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name="15_vzpl" dataDxfId="5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name="16_vzpln" dataDxfId="54">
      <calculatedColumnFormula>IF(Tabulka[[#This Row],[15_vzpl]]=0,"",Tabulka[[#This Row],[14_vzsk]]/Tabulka[[#This Row],[15_vzpl]])</calculatedColumnFormula>
    </tableColumn>
    <tableColumn id="20" name="17_vzroz" dataDxfId="53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id="7" name="ONData" displayName="ONData" ref="C3:S68" totalsRowShown="0">
  <autoFilter ref="C3:S68"/>
  <tableColumns count="17">
    <tableColumn id="1" name="mesic"/>
    <tableColumn id="2" name="kat"/>
    <tableColumn id="3" name="01 uv_sk"/>
    <tableColumn id="4" name="02 uv_pla"/>
    <tableColumn id="5" name="03 uv_pln"/>
    <tableColumn id="6" name="04 uv_rozd"/>
    <tableColumn id="7" name="05 h_vram"/>
    <tableColumn id="8" name="06 h_naduv"/>
    <tableColumn id="9" name="07 h_nadzk"/>
    <tableColumn id="10" name="08 h_oon"/>
    <tableColumn id="11" name="09 m_kl"/>
    <tableColumn id="12" name="10 m_gr"/>
    <tableColumn id="13" name="11 m_jo"/>
    <tableColumn id="14" name="12 m_oc"/>
    <tableColumn id="15" name="13 m_sk"/>
    <tableColumn id="16" name="14_vzsk"/>
    <tableColumn id="17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2.bin"/><Relationship Id="rId4" Type="http://schemas.openxmlformats.org/officeDocument/2006/relationships/comments" Target="../comments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24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04" bestFit="1" customWidth="1"/>
    <col min="2" max="2" width="102.21875" style="104" bestFit="1" customWidth="1"/>
    <col min="3" max="3" width="16.109375" style="42" hidden="1" customWidth="1"/>
    <col min="4" max="16384" width="8.88671875" style="104"/>
  </cols>
  <sheetData>
    <row r="1" spans="1:3" ht="18.600000000000001" customHeight="1" thickBot="1" x14ac:dyDescent="0.4">
      <c r="A1" s="297" t="s">
        <v>93</v>
      </c>
      <c r="B1" s="297"/>
    </row>
    <row r="2" spans="1:3" ht="14.4" customHeight="1" thickBot="1" x14ac:dyDescent="0.35">
      <c r="A2" s="200" t="s">
        <v>235</v>
      </c>
      <c r="B2" s="41"/>
    </row>
    <row r="3" spans="1:3" ht="14.4" customHeight="1" thickBot="1" x14ac:dyDescent="0.35">
      <c r="A3" s="293" t="s">
        <v>116</v>
      </c>
      <c r="B3" s="294"/>
    </row>
    <row r="4" spans="1:3" ht="14.4" customHeight="1" x14ac:dyDescent="0.3">
      <c r="A4" s="117" t="str">
        <f t="shared" ref="A4:A8" si="0">HYPERLINK("#'"&amp;C4&amp;"'!A1",C4)</f>
        <v>Motivace</v>
      </c>
      <c r="B4" s="64" t="s">
        <v>104</v>
      </c>
      <c r="C4" s="42" t="s">
        <v>105</v>
      </c>
    </row>
    <row r="5" spans="1:3" ht="14.4" customHeight="1" x14ac:dyDescent="0.3">
      <c r="A5" s="118" t="str">
        <f t="shared" si="0"/>
        <v>HI</v>
      </c>
      <c r="B5" s="65" t="s">
        <v>113</v>
      </c>
      <c r="C5" s="42" t="s">
        <v>96</v>
      </c>
    </row>
    <row r="6" spans="1:3" ht="14.4" customHeight="1" x14ac:dyDescent="0.3">
      <c r="A6" s="119" t="str">
        <f t="shared" si="0"/>
        <v>HI Graf</v>
      </c>
      <c r="B6" s="66" t="s">
        <v>89</v>
      </c>
      <c r="C6" s="42" t="s">
        <v>97</v>
      </c>
    </row>
    <row r="7" spans="1:3" ht="14.4" customHeight="1" x14ac:dyDescent="0.3">
      <c r="A7" s="119" t="str">
        <f t="shared" si="0"/>
        <v>Man Tab</v>
      </c>
      <c r="B7" s="66" t="s">
        <v>237</v>
      </c>
      <c r="C7" s="42" t="s">
        <v>98</v>
      </c>
    </row>
    <row r="8" spans="1:3" ht="14.4" customHeight="1" thickBot="1" x14ac:dyDescent="0.35">
      <c r="A8" s="120" t="str">
        <f t="shared" si="0"/>
        <v>HV</v>
      </c>
      <c r="B8" s="67" t="s">
        <v>47</v>
      </c>
      <c r="C8" s="42" t="s">
        <v>52</v>
      </c>
    </row>
    <row r="9" spans="1:3" ht="14.4" customHeight="1" thickBot="1" x14ac:dyDescent="0.35">
      <c r="A9" s="68"/>
      <c r="B9" s="68"/>
    </row>
    <row r="10" spans="1:3" ht="14.4" customHeight="1" thickBot="1" x14ac:dyDescent="0.35">
      <c r="A10" s="295" t="s">
        <v>94</v>
      </c>
      <c r="B10" s="294"/>
    </row>
    <row r="11" spans="1:3" ht="14.4" customHeight="1" x14ac:dyDescent="0.3">
      <c r="A11" s="121" t="str">
        <f t="shared" ref="A11" si="1">HYPERLINK("#'"&amp;C11&amp;"'!A1",C11)</f>
        <v>Léky Žádanky</v>
      </c>
      <c r="B11" s="65" t="s">
        <v>114</v>
      </c>
      <c r="C11" s="42" t="s">
        <v>99</v>
      </c>
    </row>
    <row r="12" spans="1:3" ht="14.4" customHeight="1" x14ac:dyDescent="0.3">
      <c r="A12" s="119" t="str">
        <f t="shared" ref="A12:A16" si="2">HYPERLINK("#'"&amp;C12&amp;"'!A1",C12)</f>
        <v>LŽ Detail</v>
      </c>
      <c r="B12" s="66" t="s">
        <v>130</v>
      </c>
      <c r="C12" s="42" t="s">
        <v>100</v>
      </c>
    </row>
    <row r="13" spans="1:3" ht="14.4" customHeight="1" x14ac:dyDescent="0.3">
      <c r="A13" s="119" t="str">
        <f t="shared" si="2"/>
        <v>LŽ Statim</v>
      </c>
      <c r="B13" s="222" t="s">
        <v>161</v>
      </c>
      <c r="C13" s="42" t="s">
        <v>171</v>
      </c>
    </row>
    <row r="14" spans="1:3" ht="14.4" customHeight="1" x14ac:dyDescent="0.3">
      <c r="A14" s="121" t="str">
        <f t="shared" ref="A14" si="3">HYPERLINK("#'"&amp;C14&amp;"'!A1",C14)</f>
        <v>Materiál Žádanky</v>
      </c>
      <c r="B14" s="66" t="s">
        <v>115</v>
      </c>
      <c r="C14" s="42" t="s">
        <v>101</v>
      </c>
    </row>
    <row r="15" spans="1:3" ht="14.4" customHeight="1" x14ac:dyDescent="0.3">
      <c r="A15" s="119" t="str">
        <f t="shared" si="2"/>
        <v>MŽ Detail</v>
      </c>
      <c r="B15" s="66" t="s">
        <v>663</v>
      </c>
      <c r="C15" s="42" t="s">
        <v>102</v>
      </c>
    </row>
    <row r="16" spans="1:3" ht="14.4" customHeight="1" thickBot="1" x14ac:dyDescent="0.35">
      <c r="A16" s="121" t="str">
        <f t="shared" si="2"/>
        <v>Osobní náklady</v>
      </c>
      <c r="B16" s="66" t="s">
        <v>91</v>
      </c>
      <c r="C16" s="42" t="s">
        <v>103</v>
      </c>
    </row>
    <row r="17" spans="1:3" ht="14.4" customHeight="1" thickBot="1" x14ac:dyDescent="0.35">
      <c r="A17" s="69"/>
      <c r="B17" s="69"/>
    </row>
    <row r="18" spans="1:3" ht="14.4" customHeight="1" thickBot="1" x14ac:dyDescent="0.35">
      <c r="A18" s="296" t="s">
        <v>95</v>
      </c>
      <c r="B18" s="294"/>
    </row>
    <row r="19" spans="1:3" ht="14.4" customHeight="1" x14ac:dyDescent="0.3">
      <c r="A19" s="122" t="str">
        <f t="shared" ref="A19:A24" si="4">HYPERLINK("#'"&amp;C19&amp;"'!A1",C19)</f>
        <v>ZV Vykáz.-A</v>
      </c>
      <c r="B19" s="65" t="s">
        <v>689</v>
      </c>
      <c r="C19" s="42" t="s">
        <v>106</v>
      </c>
    </row>
    <row r="20" spans="1:3" ht="14.4" customHeight="1" x14ac:dyDescent="0.3">
      <c r="A20" s="119" t="str">
        <f t="shared" ref="A20" si="5">HYPERLINK("#'"&amp;C20&amp;"'!A1",C20)</f>
        <v>ZV Vykáz.-A Lékaři</v>
      </c>
      <c r="B20" s="66" t="s">
        <v>694</v>
      </c>
      <c r="C20" s="42" t="s">
        <v>174</v>
      </c>
    </row>
    <row r="21" spans="1:3" ht="14.4" customHeight="1" x14ac:dyDescent="0.3">
      <c r="A21" s="119" t="str">
        <f t="shared" si="4"/>
        <v>ZV Vykáz.-A Detail</v>
      </c>
      <c r="B21" s="66" t="s">
        <v>755</v>
      </c>
      <c r="C21" s="42" t="s">
        <v>107</v>
      </c>
    </row>
    <row r="22" spans="1:3" ht="14.4" customHeight="1" x14ac:dyDescent="0.3">
      <c r="A22" s="235" t="str">
        <f>HYPERLINK("#'"&amp;C22&amp;"'!A1",C22)</f>
        <v>ZV Vykáz.-A Det.Lék.</v>
      </c>
      <c r="B22" s="66" t="s">
        <v>756</v>
      </c>
      <c r="C22" s="42" t="s">
        <v>178</v>
      </c>
    </row>
    <row r="23" spans="1:3" ht="14.4" customHeight="1" x14ac:dyDescent="0.3">
      <c r="A23" s="119" t="str">
        <f t="shared" si="4"/>
        <v>ZV Vykáz.-H</v>
      </c>
      <c r="B23" s="66" t="s">
        <v>110</v>
      </c>
      <c r="C23" s="42" t="s">
        <v>108</v>
      </c>
    </row>
    <row r="24" spans="1:3" ht="14.4" customHeight="1" x14ac:dyDescent="0.3">
      <c r="A24" s="119" t="str">
        <f t="shared" si="4"/>
        <v>ZV Vykáz.-H Detail</v>
      </c>
      <c r="B24" s="66" t="s">
        <v>792</v>
      </c>
      <c r="C24" s="42" t="s">
        <v>109</v>
      </c>
    </row>
  </sheetData>
  <mergeCells count="4">
    <mergeCell ref="A3:B3"/>
    <mergeCell ref="A10:B10"/>
    <mergeCell ref="A18:B18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24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181" customWidth="1"/>
    <col min="2" max="2" width="61.109375" style="181" customWidth="1"/>
    <col min="3" max="3" width="9.5546875" style="104" hidden="1" customWidth="1" outlineLevel="1"/>
    <col min="4" max="4" width="9.5546875" style="182" customWidth="1" collapsed="1"/>
    <col min="5" max="5" width="2.21875" style="182" customWidth="1"/>
    <col min="6" max="6" width="9.5546875" style="183" customWidth="1"/>
    <col min="7" max="7" width="9.5546875" style="180" customWidth="1"/>
    <col min="8" max="9" width="9.5546875" style="104" customWidth="1"/>
    <col min="10" max="10" width="0" style="104" hidden="1" customWidth="1"/>
    <col min="11" max="16384" width="8.88671875" style="104"/>
  </cols>
  <sheetData>
    <row r="1" spans="1:10" ht="18.600000000000001" customHeight="1" thickBot="1" x14ac:dyDescent="0.4">
      <c r="A1" s="327" t="s">
        <v>115</v>
      </c>
      <c r="B1" s="328"/>
      <c r="C1" s="328"/>
      <c r="D1" s="328"/>
      <c r="E1" s="328"/>
      <c r="F1" s="328"/>
      <c r="G1" s="298"/>
      <c r="H1" s="329"/>
      <c r="I1" s="329"/>
    </row>
    <row r="2" spans="1:10" ht="14.4" customHeight="1" thickBot="1" x14ac:dyDescent="0.35">
      <c r="A2" s="200" t="s">
        <v>235</v>
      </c>
      <c r="B2" s="179"/>
      <c r="C2" s="179"/>
      <c r="D2" s="179"/>
      <c r="E2" s="179"/>
      <c r="F2" s="179"/>
    </row>
    <row r="3" spans="1:10" ht="14.4" customHeight="1" thickBot="1" x14ac:dyDescent="0.35">
      <c r="A3" s="200"/>
      <c r="B3" s="239"/>
      <c r="C3" s="206">
        <v>2015</v>
      </c>
      <c r="D3" s="207">
        <v>2017</v>
      </c>
      <c r="E3" s="7"/>
      <c r="F3" s="306">
        <v>2018</v>
      </c>
      <c r="G3" s="324"/>
      <c r="H3" s="324"/>
      <c r="I3" s="307"/>
    </row>
    <row r="4" spans="1:10" ht="14.4" customHeight="1" thickBot="1" x14ac:dyDescent="0.35">
      <c r="A4" s="211" t="s">
        <v>0</v>
      </c>
      <c r="B4" s="212" t="s">
        <v>160</v>
      </c>
      <c r="C4" s="325" t="s">
        <v>58</v>
      </c>
      <c r="D4" s="326"/>
      <c r="E4" s="213"/>
      <c r="F4" s="208" t="s">
        <v>58</v>
      </c>
      <c r="G4" s="209" t="s">
        <v>59</v>
      </c>
      <c r="H4" s="209" t="s">
        <v>53</v>
      </c>
      <c r="I4" s="210" t="s">
        <v>60</v>
      </c>
    </row>
    <row r="5" spans="1:10" ht="14.4" customHeight="1" x14ac:dyDescent="0.3">
      <c r="A5" s="430" t="s">
        <v>430</v>
      </c>
      <c r="B5" s="431" t="s">
        <v>431</v>
      </c>
      <c r="C5" s="432" t="s">
        <v>432</v>
      </c>
      <c r="D5" s="432" t="s">
        <v>432</v>
      </c>
      <c r="E5" s="432"/>
      <c r="F5" s="432" t="s">
        <v>432</v>
      </c>
      <c r="G5" s="432" t="s">
        <v>432</v>
      </c>
      <c r="H5" s="432" t="s">
        <v>432</v>
      </c>
      <c r="I5" s="433" t="s">
        <v>432</v>
      </c>
      <c r="J5" s="434" t="s">
        <v>54</v>
      </c>
    </row>
    <row r="6" spans="1:10" ht="14.4" customHeight="1" x14ac:dyDescent="0.3">
      <c r="A6" s="430" t="s">
        <v>430</v>
      </c>
      <c r="B6" s="431" t="s">
        <v>453</v>
      </c>
      <c r="C6" s="432">
        <v>240.50381000000002</v>
      </c>
      <c r="D6" s="432">
        <v>167.94754</v>
      </c>
      <c r="E6" s="432"/>
      <c r="F6" s="432">
        <v>181.51409999999998</v>
      </c>
      <c r="G6" s="432">
        <v>210.27867187499999</v>
      </c>
      <c r="H6" s="432">
        <v>-28.764571875000001</v>
      </c>
      <c r="I6" s="433">
        <v>0.86320737325134389</v>
      </c>
      <c r="J6" s="434" t="s">
        <v>1</v>
      </c>
    </row>
    <row r="7" spans="1:10" ht="14.4" customHeight="1" x14ac:dyDescent="0.3">
      <c r="A7" s="430" t="s">
        <v>430</v>
      </c>
      <c r="B7" s="431" t="s">
        <v>454</v>
      </c>
      <c r="C7" s="432">
        <v>50.607469999999999</v>
      </c>
      <c r="D7" s="432">
        <v>46.899149999999999</v>
      </c>
      <c r="E7" s="432"/>
      <c r="F7" s="432">
        <v>12.93224</v>
      </c>
      <c r="G7" s="432">
        <v>46.666667968749998</v>
      </c>
      <c r="H7" s="432">
        <v>-33.734427968749998</v>
      </c>
      <c r="I7" s="433">
        <v>0.27711942083930191</v>
      </c>
      <c r="J7" s="434" t="s">
        <v>1</v>
      </c>
    </row>
    <row r="8" spans="1:10" ht="14.4" customHeight="1" x14ac:dyDescent="0.3">
      <c r="A8" s="430" t="s">
        <v>430</v>
      </c>
      <c r="B8" s="431" t="s">
        <v>455</v>
      </c>
      <c r="C8" s="432">
        <v>9.301260000000001</v>
      </c>
      <c r="D8" s="432">
        <v>12.98108</v>
      </c>
      <c r="E8" s="432"/>
      <c r="F8" s="432">
        <v>11.64392</v>
      </c>
      <c r="G8" s="432">
        <v>15</v>
      </c>
      <c r="H8" s="432">
        <v>-3.3560800000000004</v>
      </c>
      <c r="I8" s="433">
        <v>0.77626133333333336</v>
      </c>
      <c r="J8" s="434" t="s">
        <v>1</v>
      </c>
    </row>
    <row r="9" spans="1:10" ht="14.4" customHeight="1" x14ac:dyDescent="0.3">
      <c r="A9" s="430" t="s">
        <v>430</v>
      </c>
      <c r="B9" s="431" t="s">
        <v>456</v>
      </c>
      <c r="C9" s="432">
        <v>36.81306</v>
      </c>
      <c r="D9" s="432">
        <v>42.354550000000003</v>
      </c>
      <c r="E9" s="432"/>
      <c r="F9" s="432">
        <v>71.537289999999999</v>
      </c>
      <c r="G9" s="432">
        <v>61.666667968749998</v>
      </c>
      <c r="H9" s="432">
        <v>9.8706220312500008</v>
      </c>
      <c r="I9" s="433">
        <v>1.1600641376675647</v>
      </c>
      <c r="J9" s="434" t="s">
        <v>1</v>
      </c>
    </row>
    <row r="10" spans="1:10" ht="14.4" customHeight="1" x14ac:dyDescent="0.3">
      <c r="A10" s="430" t="s">
        <v>430</v>
      </c>
      <c r="B10" s="431" t="s">
        <v>457</v>
      </c>
      <c r="C10" s="432">
        <v>17.945529999999998</v>
      </c>
      <c r="D10" s="432">
        <v>16.234580000000001</v>
      </c>
      <c r="E10" s="432"/>
      <c r="F10" s="432">
        <v>15.440020000000001</v>
      </c>
      <c r="G10" s="432">
        <v>20</v>
      </c>
      <c r="H10" s="432">
        <v>-4.5599799999999995</v>
      </c>
      <c r="I10" s="433">
        <v>0.77200100000000005</v>
      </c>
      <c r="J10" s="434" t="s">
        <v>1</v>
      </c>
    </row>
    <row r="11" spans="1:10" ht="14.4" customHeight="1" x14ac:dyDescent="0.3">
      <c r="A11" s="430" t="s">
        <v>430</v>
      </c>
      <c r="B11" s="431" t="s">
        <v>458</v>
      </c>
      <c r="C11" s="432">
        <v>0</v>
      </c>
      <c r="D11" s="432">
        <v>0</v>
      </c>
      <c r="E11" s="432"/>
      <c r="F11" s="432">
        <v>0.74051999999999996</v>
      </c>
      <c r="G11" s="432">
        <v>0</v>
      </c>
      <c r="H11" s="432">
        <v>0.74051999999999996</v>
      </c>
      <c r="I11" s="433" t="s">
        <v>432</v>
      </c>
      <c r="J11" s="434" t="s">
        <v>1</v>
      </c>
    </row>
    <row r="12" spans="1:10" ht="14.4" customHeight="1" x14ac:dyDescent="0.3">
      <c r="A12" s="430" t="s">
        <v>430</v>
      </c>
      <c r="B12" s="431" t="s">
        <v>435</v>
      </c>
      <c r="C12" s="432">
        <v>355.17113000000006</v>
      </c>
      <c r="D12" s="432">
        <v>286.4169</v>
      </c>
      <c r="E12" s="432"/>
      <c r="F12" s="432">
        <v>293.80808999999999</v>
      </c>
      <c r="G12" s="432">
        <v>353.6120078125</v>
      </c>
      <c r="H12" s="432">
        <v>-59.803917812500003</v>
      </c>
      <c r="I12" s="433">
        <v>0.83087701635909783</v>
      </c>
      <c r="J12" s="434" t="s">
        <v>436</v>
      </c>
    </row>
    <row r="14" spans="1:10" ht="14.4" customHeight="1" x14ac:dyDescent="0.3">
      <c r="A14" s="430" t="s">
        <v>430</v>
      </c>
      <c r="B14" s="431" t="s">
        <v>431</v>
      </c>
      <c r="C14" s="432" t="s">
        <v>432</v>
      </c>
      <c r="D14" s="432" t="s">
        <v>432</v>
      </c>
      <c r="E14" s="432"/>
      <c r="F14" s="432" t="s">
        <v>432</v>
      </c>
      <c r="G14" s="432" t="s">
        <v>432</v>
      </c>
      <c r="H14" s="432" t="s">
        <v>432</v>
      </c>
      <c r="I14" s="433" t="s">
        <v>432</v>
      </c>
      <c r="J14" s="434" t="s">
        <v>54</v>
      </c>
    </row>
    <row r="15" spans="1:10" ht="14.4" customHeight="1" x14ac:dyDescent="0.3">
      <c r="A15" s="430" t="s">
        <v>437</v>
      </c>
      <c r="B15" s="431" t="s">
        <v>438</v>
      </c>
      <c r="C15" s="432" t="s">
        <v>432</v>
      </c>
      <c r="D15" s="432" t="s">
        <v>432</v>
      </c>
      <c r="E15" s="432"/>
      <c r="F15" s="432" t="s">
        <v>432</v>
      </c>
      <c r="G15" s="432" t="s">
        <v>432</v>
      </c>
      <c r="H15" s="432" t="s">
        <v>432</v>
      </c>
      <c r="I15" s="433" t="s">
        <v>432</v>
      </c>
      <c r="J15" s="434" t="s">
        <v>0</v>
      </c>
    </row>
    <row r="16" spans="1:10" ht="14.4" customHeight="1" x14ac:dyDescent="0.3">
      <c r="A16" s="430" t="s">
        <v>437</v>
      </c>
      <c r="B16" s="431" t="s">
        <v>453</v>
      </c>
      <c r="C16" s="432">
        <v>240.50381000000002</v>
      </c>
      <c r="D16" s="432">
        <v>167.94754</v>
      </c>
      <c r="E16" s="432"/>
      <c r="F16" s="432">
        <v>181.51409999999998</v>
      </c>
      <c r="G16" s="432">
        <v>210</v>
      </c>
      <c r="H16" s="432">
        <v>-28.485900000000015</v>
      </c>
      <c r="I16" s="433">
        <v>0.86435285714285703</v>
      </c>
      <c r="J16" s="434" t="s">
        <v>1</v>
      </c>
    </row>
    <row r="17" spans="1:10" ht="14.4" customHeight="1" x14ac:dyDescent="0.3">
      <c r="A17" s="430" t="s">
        <v>437</v>
      </c>
      <c r="B17" s="431" t="s">
        <v>454</v>
      </c>
      <c r="C17" s="432">
        <v>50.607469999999999</v>
      </c>
      <c r="D17" s="432">
        <v>46.899149999999999</v>
      </c>
      <c r="E17" s="432"/>
      <c r="F17" s="432">
        <v>12.93224</v>
      </c>
      <c r="G17" s="432">
        <v>47</v>
      </c>
      <c r="H17" s="432">
        <v>-34.06776</v>
      </c>
      <c r="I17" s="433">
        <v>0.27515404255319148</v>
      </c>
      <c r="J17" s="434" t="s">
        <v>1</v>
      </c>
    </row>
    <row r="18" spans="1:10" ht="14.4" customHeight="1" x14ac:dyDescent="0.3">
      <c r="A18" s="430" t="s">
        <v>437</v>
      </c>
      <c r="B18" s="431" t="s">
        <v>455</v>
      </c>
      <c r="C18" s="432">
        <v>9.301260000000001</v>
      </c>
      <c r="D18" s="432">
        <v>12.98108</v>
      </c>
      <c r="E18" s="432"/>
      <c r="F18" s="432">
        <v>11.64392</v>
      </c>
      <c r="G18" s="432">
        <v>15</v>
      </c>
      <c r="H18" s="432">
        <v>-3.3560800000000004</v>
      </c>
      <c r="I18" s="433">
        <v>0.77626133333333336</v>
      </c>
      <c r="J18" s="434" t="s">
        <v>1</v>
      </c>
    </row>
    <row r="19" spans="1:10" ht="14.4" customHeight="1" x14ac:dyDescent="0.3">
      <c r="A19" s="430" t="s">
        <v>437</v>
      </c>
      <c r="B19" s="431" t="s">
        <v>456</v>
      </c>
      <c r="C19" s="432">
        <v>36.81306</v>
      </c>
      <c r="D19" s="432">
        <v>42.354550000000003</v>
      </c>
      <c r="E19" s="432"/>
      <c r="F19" s="432">
        <v>71.537289999999999</v>
      </c>
      <c r="G19" s="432">
        <v>62</v>
      </c>
      <c r="H19" s="432">
        <v>9.5372899999999987</v>
      </c>
      <c r="I19" s="433">
        <v>1.1538272580645161</v>
      </c>
      <c r="J19" s="434" t="s">
        <v>1</v>
      </c>
    </row>
    <row r="20" spans="1:10" ht="14.4" customHeight="1" x14ac:dyDescent="0.3">
      <c r="A20" s="430" t="s">
        <v>437</v>
      </c>
      <c r="B20" s="431" t="s">
        <v>457</v>
      </c>
      <c r="C20" s="432">
        <v>17.945529999999998</v>
      </c>
      <c r="D20" s="432">
        <v>16.234580000000001</v>
      </c>
      <c r="E20" s="432"/>
      <c r="F20" s="432">
        <v>15.440020000000001</v>
      </c>
      <c r="G20" s="432">
        <v>20</v>
      </c>
      <c r="H20" s="432">
        <v>-4.5599799999999995</v>
      </c>
      <c r="I20" s="433">
        <v>0.77200100000000005</v>
      </c>
      <c r="J20" s="434" t="s">
        <v>1</v>
      </c>
    </row>
    <row r="21" spans="1:10" ht="14.4" customHeight="1" x14ac:dyDescent="0.3">
      <c r="A21" s="430" t="s">
        <v>437</v>
      </c>
      <c r="B21" s="431" t="s">
        <v>458</v>
      </c>
      <c r="C21" s="432">
        <v>0</v>
      </c>
      <c r="D21" s="432">
        <v>0</v>
      </c>
      <c r="E21" s="432"/>
      <c r="F21" s="432">
        <v>0.74051999999999996</v>
      </c>
      <c r="G21" s="432">
        <v>0</v>
      </c>
      <c r="H21" s="432">
        <v>0.74051999999999996</v>
      </c>
      <c r="I21" s="433" t="s">
        <v>432</v>
      </c>
      <c r="J21" s="434" t="s">
        <v>1</v>
      </c>
    </row>
    <row r="22" spans="1:10" ht="14.4" customHeight="1" x14ac:dyDescent="0.3">
      <c r="A22" s="430" t="s">
        <v>437</v>
      </c>
      <c r="B22" s="431" t="s">
        <v>439</v>
      </c>
      <c r="C22" s="432">
        <v>355.17113000000006</v>
      </c>
      <c r="D22" s="432">
        <v>286.4169</v>
      </c>
      <c r="E22" s="432"/>
      <c r="F22" s="432">
        <v>293.80808999999999</v>
      </c>
      <c r="G22" s="432">
        <v>354</v>
      </c>
      <c r="H22" s="432">
        <v>-60.191910000000007</v>
      </c>
      <c r="I22" s="433">
        <v>0.82996635593220336</v>
      </c>
      <c r="J22" s="434" t="s">
        <v>440</v>
      </c>
    </row>
    <row r="23" spans="1:10" ht="14.4" customHeight="1" x14ac:dyDescent="0.3">
      <c r="A23" s="430" t="s">
        <v>432</v>
      </c>
      <c r="B23" s="431" t="s">
        <v>432</v>
      </c>
      <c r="C23" s="432" t="s">
        <v>432</v>
      </c>
      <c r="D23" s="432" t="s">
        <v>432</v>
      </c>
      <c r="E23" s="432"/>
      <c r="F23" s="432" t="s">
        <v>432</v>
      </c>
      <c r="G23" s="432" t="s">
        <v>432</v>
      </c>
      <c r="H23" s="432" t="s">
        <v>432</v>
      </c>
      <c r="I23" s="433" t="s">
        <v>432</v>
      </c>
      <c r="J23" s="434" t="s">
        <v>441</v>
      </c>
    </row>
    <row r="24" spans="1:10" ht="14.4" customHeight="1" x14ac:dyDescent="0.3">
      <c r="A24" s="430" t="s">
        <v>430</v>
      </c>
      <c r="B24" s="431" t="s">
        <v>435</v>
      </c>
      <c r="C24" s="432">
        <v>355.17113000000006</v>
      </c>
      <c r="D24" s="432">
        <v>286.4169</v>
      </c>
      <c r="E24" s="432"/>
      <c r="F24" s="432">
        <v>293.80808999999999</v>
      </c>
      <c r="G24" s="432">
        <v>354</v>
      </c>
      <c r="H24" s="432">
        <v>-60.191910000000007</v>
      </c>
      <c r="I24" s="433">
        <v>0.82996635593220336</v>
      </c>
      <c r="J24" s="434" t="s">
        <v>436</v>
      </c>
    </row>
  </sheetData>
  <mergeCells count="3">
    <mergeCell ref="A1:I1"/>
    <mergeCell ref="F3:I3"/>
    <mergeCell ref="C4:D4"/>
  </mergeCells>
  <conditionalFormatting sqref="F13 F25:F65537">
    <cfRule type="cellIs" dxfId="20" priority="18" stopIfTrue="1" operator="greaterThan">
      <formula>1</formula>
    </cfRule>
  </conditionalFormatting>
  <conditionalFormatting sqref="H5:H12">
    <cfRule type="expression" dxfId="19" priority="14">
      <formula>$H5&gt;0</formula>
    </cfRule>
  </conditionalFormatting>
  <conditionalFormatting sqref="I5:I12">
    <cfRule type="expression" dxfId="18" priority="15">
      <formula>$I5&gt;1</formula>
    </cfRule>
  </conditionalFormatting>
  <conditionalFormatting sqref="B5:B12">
    <cfRule type="expression" dxfId="17" priority="11">
      <formula>OR($J5="NS",$J5="SumaNS",$J5="Účet")</formula>
    </cfRule>
  </conditionalFormatting>
  <conditionalFormatting sqref="F5:I12 B5:D12">
    <cfRule type="expression" dxfId="16" priority="17">
      <formula>AND($J5&lt;&gt;"",$J5&lt;&gt;"mezeraKL")</formula>
    </cfRule>
  </conditionalFormatting>
  <conditionalFormatting sqref="B5:D12 F5:I12">
    <cfRule type="expression" dxfId="15" priority="12">
      <formula>OR($J5="KL",$J5="SumaKL")</formula>
    </cfRule>
    <cfRule type="expression" priority="16" stopIfTrue="1">
      <formula>OR($J5="mezeraNS",$J5="mezeraKL")</formula>
    </cfRule>
  </conditionalFormatting>
  <conditionalFormatting sqref="B5:D12 F5:I12">
    <cfRule type="expression" dxfId="14" priority="13">
      <formula>OR($J5="SumaNS",$J5="NS")</formula>
    </cfRule>
  </conditionalFormatting>
  <conditionalFormatting sqref="A5:A12">
    <cfRule type="expression" dxfId="13" priority="9">
      <formula>AND($J5&lt;&gt;"mezeraKL",$J5&lt;&gt;"")</formula>
    </cfRule>
  </conditionalFormatting>
  <conditionalFormatting sqref="A5:A12">
    <cfRule type="expression" dxfId="12" priority="10">
      <formula>AND($J5&lt;&gt;"",$J5&lt;&gt;"mezeraKL")</formula>
    </cfRule>
  </conditionalFormatting>
  <conditionalFormatting sqref="H14:H24">
    <cfRule type="expression" dxfId="11" priority="6">
      <formula>$H14&gt;0</formula>
    </cfRule>
  </conditionalFormatting>
  <conditionalFormatting sqref="A14:A24">
    <cfRule type="expression" dxfId="10" priority="5">
      <formula>AND($J14&lt;&gt;"mezeraKL",$J14&lt;&gt;"")</formula>
    </cfRule>
  </conditionalFormatting>
  <conditionalFormatting sqref="I14:I24">
    <cfRule type="expression" dxfId="9" priority="7">
      <formula>$I14&gt;1</formula>
    </cfRule>
  </conditionalFormatting>
  <conditionalFormatting sqref="B14:B24">
    <cfRule type="expression" dxfId="8" priority="4">
      <formula>OR($J14="NS",$J14="SumaNS",$J14="Účet")</formula>
    </cfRule>
  </conditionalFormatting>
  <conditionalFormatting sqref="A14:D24 F14:I24">
    <cfRule type="expression" dxfId="7" priority="8">
      <formula>AND($J14&lt;&gt;"",$J14&lt;&gt;"mezeraKL")</formula>
    </cfRule>
  </conditionalFormatting>
  <conditionalFormatting sqref="B14:D24 F14:I24">
    <cfRule type="expression" dxfId="6" priority="1">
      <formula>OR($J14="KL",$J14="SumaKL")</formula>
    </cfRule>
    <cfRule type="expression" priority="3" stopIfTrue="1">
      <formula>OR($J14="mezeraNS",$J14="mezeraKL")</formula>
    </cfRule>
  </conditionalFormatting>
  <conditionalFormatting sqref="B14:D24 F14:I24">
    <cfRule type="expression" dxfId="5" priority="2">
      <formula>OR($J14="SumaNS",$J14="NS")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100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104" hidden="1" customWidth="1" outlineLevel="1"/>
    <col min="2" max="2" width="28.33203125" style="104" hidden="1" customWidth="1" outlineLevel="1"/>
    <col min="3" max="3" width="5.33203125" style="182" bestFit="1" customWidth="1" collapsed="1"/>
    <col min="4" max="4" width="18.77734375" style="186" customWidth="1"/>
    <col min="5" max="5" width="9" style="182" bestFit="1" customWidth="1"/>
    <col min="6" max="6" width="18.77734375" style="186" customWidth="1"/>
    <col min="7" max="7" width="12.44140625" style="182" hidden="1" customWidth="1" outlineLevel="1"/>
    <col min="8" max="8" width="25.77734375" style="182" customWidth="1" collapsed="1"/>
    <col min="9" max="9" width="7.77734375" style="180" customWidth="1"/>
    <col min="10" max="10" width="10" style="180" customWidth="1"/>
    <col min="11" max="11" width="11.109375" style="180" customWidth="1"/>
    <col min="12" max="16384" width="8.88671875" style="104"/>
  </cols>
  <sheetData>
    <row r="1" spans="1:11" ht="18.600000000000001" customHeight="1" thickBot="1" x14ac:dyDescent="0.4">
      <c r="A1" s="334" t="s">
        <v>663</v>
      </c>
      <c r="B1" s="298"/>
      <c r="C1" s="298"/>
      <c r="D1" s="298"/>
      <c r="E1" s="298"/>
      <c r="F1" s="298"/>
      <c r="G1" s="298"/>
      <c r="H1" s="298"/>
      <c r="I1" s="298"/>
      <c r="J1" s="298"/>
      <c r="K1" s="298"/>
    </row>
    <row r="2" spans="1:11" ht="14.4" customHeight="1" thickBot="1" x14ac:dyDescent="0.35">
      <c r="A2" s="200" t="s">
        <v>235</v>
      </c>
      <c r="B2" s="57"/>
      <c r="C2" s="184"/>
      <c r="D2" s="184"/>
      <c r="E2" s="184"/>
      <c r="F2" s="184"/>
      <c r="G2" s="184"/>
      <c r="H2" s="184"/>
      <c r="I2" s="185"/>
      <c r="J2" s="185"/>
      <c r="K2" s="185"/>
    </row>
    <row r="3" spans="1:11" ht="14.4" customHeight="1" thickBot="1" x14ac:dyDescent="0.35">
      <c r="A3" s="57"/>
      <c r="B3" s="57"/>
      <c r="C3" s="330"/>
      <c r="D3" s="331"/>
      <c r="E3" s="331"/>
      <c r="F3" s="331"/>
      <c r="G3" s="331"/>
      <c r="H3" s="116" t="s">
        <v>111</v>
      </c>
      <c r="I3" s="74">
        <f>IF(J3&lt;&gt;0,K3/J3,0)</f>
        <v>7.5304513118392693</v>
      </c>
      <c r="J3" s="74">
        <f>SUBTOTAL(9,J5:J1048576)</f>
        <v>39016</v>
      </c>
      <c r="K3" s="75">
        <f>SUBTOTAL(9,K5:K1048576)</f>
        <v>293808.08838272095</v>
      </c>
    </row>
    <row r="4" spans="1:11" s="181" customFormat="1" ht="14.4" customHeight="1" thickBot="1" x14ac:dyDescent="0.35">
      <c r="A4" s="435" t="s">
        <v>4</v>
      </c>
      <c r="B4" s="436" t="s">
        <v>5</v>
      </c>
      <c r="C4" s="436" t="s">
        <v>0</v>
      </c>
      <c r="D4" s="436" t="s">
        <v>6</v>
      </c>
      <c r="E4" s="436" t="s">
        <v>7</v>
      </c>
      <c r="F4" s="436" t="s">
        <v>1</v>
      </c>
      <c r="G4" s="436" t="s">
        <v>56</v>
      </c>
      <c r="H4" s="438" t="s">
        <v>11</v>
      </c>
      <c r="I4" s="439" t="s">
        <v>118</v>
      </c>
      <c r="J4" s="439" t="s">
        <v>13</v>
      </c>
      <c r="K4" s="440" t="s">
        <v>126</v>
      </c>
    </row>
    <row r="5" spans="1:11" ht="14.4" customHeight="1" x14ac:dyDescent="0.3">
      <c r="A5" s="441" t="s">
        <v>430</v>
      </c>
      <c r="B5" s="442" t="s">
        <v>431</v>
      </c>
      <c r="C5" s="443" t="s">
        <v>437</v>
      </c>
      <c r="D5" s="444" t="s">
        <v>438</v>
      </c>
      <c r="E5" s="443" t="s">
        <v>459</v>
      </c>
      <c r="F5" s="444" t="s">
        <v>460</v>
      </c>
      <c r="G5" s="443" t="s">
        <v>461</v>
      </c>
      <c r="H5" s="443" t="s">
        <v>462</v>
      </c>
      <c r="I5" s="446">
        <v>1866.7900390625</v>
      </c>
      <c r="J5" s="446">
        <v>1</v>
      </c>
      <c r="K5" s="447">
        <v>1866.7900390625</v>
      </c>
    </row>
    <row r="6" spans="1:11" ht="14.4" customHeight="1" x14ac:dyDescent="0.3">
      <c r="A6" s="448" t="s">
        <v>430</v>
      </c>
      <c r="B6" s="449" t="s">
        <v>431</v>
      </c>
      <c r="C6" s="450" t="s">
        <v>437</v>
      </c>
      <c r="D6" s="451" t="s">
        <v>438</v>
      </c>
      <c r="E6" s="450" t="s">
        <v>459</v>
      </c>
      <c r="F6" s="451" t="s">
        <v>460</v>
      </c>
      <c r="G6" s="450" t="s">
        <v>463</v>
      </c>
      <c r="H6" s="450" t="s">
        <v>464</v>
      </c>
      <c r="I6" s="453">
        <v>1558.199951171875</v>
      </c>
      <c r="J6" s="453">
        <v>1</v>
      </c>
      <c r="K6" s="454">
        <v>1558.199951171875</v>
      </c>
    </row>
    <row r="7" spans="1:11" ht="14.4" customHeight="1" x14ac:dyDescent="0.3">
      <c r="A7" s="448" t="s">
        <v>430</v>
      </c>
      <c r="B7" s="449" t="s">
        <v>431</v>
      </c>
      <c r="C7" s="450" t="s">
        <v>437</v>
      </c>
      <c r="D7" s="451" t="s">
        <v>438</v>
      </c>
      <c r="E7" s="450" t="s">
        <v>459</v>
      </c>
      <c r="F7" s="451" t="s">
        <v>460</v>
      </c>
      <c r="G7" s="450" t="s">
        <v>465</v>
      </c>
      <c r="H7" s="450" t="s">
        <v>466</v>
      </c>
      <c r="I7" s="453">
        <v>579</v>
      </c>
      <c r="J7" s="453">
        <v>1</v>
      </c>
      <c r="K7" s="454">
        <v>579</v>
      </c>
    </row>
    <row r="8" spans="1:11" ht="14.4" customHeight="1" x14ac:dyDescent="0.3">
      <c r="A8" s="448" t="s">
        <v>430</v>
      </c>
      <c r="B8" s="449" t="s">
        <v>431</v>
      </c>
      <c r="C8" s="450" t="s">
        <v>437</v>
      </c>
      <c r="D8" s="451" t="s">
        <v>438</v>
      </c>
      <c r="E8" s="450" t="s">
        <v>459</v>
      </c>
      <c r="F8" s="451" t="s">
        <v>460</v>
      </c>
      <c r="G8" s="450" t="s">
        <v>467</v>
      </c>
      <c r="H8" s="450" t="s">
        <v>468</v>
      </c>
      <c r="I8" s="453">
        <v>835.1500244140625</v>
      </c>
      <c r="J8" s="453">
        <v>1</v>
      </c>
      <c r="K8" s="454">
        <v>835.1500244140625</v>
      </c>
    </row>
    <row r="9" spans="1:11" ht="14.4" customHeight="1" x14ac:dyDescent="0.3">
      <c r="A9" s="448" t="s">
        <v>430</v>
      </c>
      <c r="B9" s="449" t="s">
        <v>431</v>
      </c>
      <c r="C9" s="450" t="s">
        <v>437</v>
      </c>
      <c r="D9" s="451" t="s">
        <v>438</v>
      </c>
      <c r="E9" s="450" t="s">
        <v>459</v>
      </c>
      <c r="F9" s="451" t="s">
        <v>460</v>
      </c>
      <c r="G9" s="450" t="s">
        <v>469</v>
      </c>
      <c r="H9" s="450" t="s">
        <v>470</v>
      </c>
      <c r="I9" s="453">
        <v>675.5</v>
      </c>
      <c r="J9" s="453">
        <v>1</v>
      </c>
      <c r="K9" s="454">
        <v>675.5</v>
      </c>
    </row>
    <row r="10" spans="1:11" ht="14.4" customHeight="1" x14ac:dyDescent="0.3">
      <c r="A10" s="448" t="s">
        <v>430</v>
      </c>
      <c r="B10" s="449" t="s">
        <v>431</v>
      </c>
      <c r="C10" s="450" t="s">
        <v>437</v>
      </c>
      <c r="D10" s="451" t="s">
        <v>438</v>
      </c>
      <c r="E10" s="450" t="s">
        <v>459</v>
      </c>
      <c r="F10" s="451" t="s">
        <v>460</v>
      </c>
      <c r="G10" s="450" t="s">
        <v>471</v>
      </c>
      <c r="H10" s="450" t="s">
        <v>472</v>
      </c>
      <c r="I10" s="453">
        <v>109.87000274658203</v>
      </c>
      <c r="J10" s="453">
        <v>4</v>
      </c>
      <c r="K10" s="454">
        <v>439.47000122070312</v>
      </c>
    </row>
    <row r="11" spans="1:11" ht="14.4" customHeight="1" x14ac:dyDescent="0.3">
      <c r="A11" s="448" t="s">
        <v>430</v>
      </c>
      <c r="B11" s="449" t="s">
        <v>431</v>
      </c>
      <c r="C11" s="450" t="s">
        <v>437</v>
      </c>
      <c r="D11" s="451" t="s">
        <v>438</v>
      </c>
      <c r="E11" s="450" t="s">
        <v>459</v>
      </c>
      <c r="F11" s="451" t="s">
        <v>460</v>
      </c>
      <c r="G11" s="450" t="s">
        <v>473</v>
      </c>
      <c r="H11" s="450" t="s">
        <v>474</v>
      </c>
      <c r="I11" s="453">
        <v>3606</v>
      </c>
      <c r="J11" s="453">
        <v>1</v>
      </c>
      <c r="K11" s="454">
        <v>3606</v>
      </c>
    </row>
    <row r="12" spans="1:11" ht="14.4" customHeight="1" x14ac:dyDescent="0.3">
      <c r="A12" s="448" t="s">
        <v>430</v>
      </c>
      <c r="B12" s="449" t="s">
        <v>431</v>
      </c>
      <c r="C12" s="450" t="s">
        <v>437</v>
      </c>
      <c r="D12" s="451" t="s">
        <v>438</v>
      </c>
      <c r="E12" s="450" t="s">
        <v>459</v>
      </c>
      <c r="F12" s="451" t="s">
        <v>460</v>
      </c>
      <c r="G12" s="450" t="s">
        <v>475</v>
      </c>
      <c r="H12" s="450" t="s">
        <v>476</v>
      </c>
      <c r="I12" s="453">
        <v>71.875</v>
      </c>
      <c r="J12" s="453">
        <v>2</v>
      </c>
      <c r="K12" s="454">
        <v>143.75</v>
      </c>
    </row>
    <row r="13" spans="1:11" ht="14.4" customHeight="1" x14ac:dyDescent="0.3">
      <c r="A13" s="448" t="s">
        <v>430</v>
      </c>
      <c r="B13" s="449" t="s">
        <v>431</v>
      </c>
      <c r="C13" s="450" t="s">
        <v>437</v>
      </c>
      <c r="D13" s="451" t="s">
        <v>438</v>
      </c>
      <c r="E13" s="450" t="s">
        <v>459</v>
      </c>
      <c r="F13" s="451" t="s">
        <v>460</v>
      </c>
      <c r="G13" s="450" t="s">
        <v>477</v>
      </c>
      <c r="H13" s="450" t="s">
        <v>478</v>
      </c>
      <c r="I13" s="453">
        <v>147.17999267578125</v>
      </c>
      <c r="J13" s="453">
        <v>2</v>
      </c>
      <c r="K13" s="454">
        <v>294.3599853515625</v>
      </c>
    </row>
    <row r="14" spans="1:11" ht="14.4" customHeight="1" x14ac:dyDescent="0.3">
      <c r="A14" s="448" t="s">
        <v>430</v>
      </c>
      <c r="B14" s="449" t="s">
        <v>431</v>
      </c>
      <c r="C14" s="450" t="s">
        <v>437</v>
      </c>
      <c r="D14" s="451" t="s">
        <v>438</v>
      </c>
      <c r="E14" s="450" t="s">
        <v>459</v>
      </c>
      <c r="F14" s="451" t="s">
        <v>460</v>
      </c>
      <c r="G14" s="450" t="s">
        <v>479</v>
      </c>
      <c r="H14" s="450" t="s">
        <v>480</v>
      </c>
      <c r="I14" s="453">
        <v>5260.7900390625</v>
      </c>
      <c r="J14" s="453">
        <v>1</v>
      </c>
      <c r="K14" s="454">
        <v>5260.7900390625</v>
      </c>
    </row>
    <row r="15" spans="1:11" ht="14.4" customHeight="1" x14ac:dyDescent="0.3">
      <c r="A15" s="448" t="s">
        <v>430</v>
      </c>
      <c r="B15" s="449" t="s">
        <v>431</v>
      </c>
      <c r="C15" s="450" t="s">
        <v>437</v>
      </c>
      <c r="D15" s="451" t="s">
        <v>438</v>
      </c>
      <c r="E15" s="450" t="s">
        <v>459</v>
      </c>
      <c r="F15" s="451" t="s">
        <v>460</v>
      </c>
      <c r="G15" s="450" t="s">
        <v>481</v>
      </c>
      <c r="H15" s="450" t="s">
        <v>482</v>
      </c>
      <c r="I15" s="453">
        <v>1866.739990234375</v>
      </c>
      <c r="J15" s="453">
        <v>1</v>
      </c>
      <c r="K15" s="454">
        <v>1866.739990234375</v>
      </c>
    </row>
    <row r="16" spans="1:11" ht="14.4" customHeight="1" x14ac:dyDescent="0.3">
      <c r="A16" s="448" t="s">
        <v>430</v>
      </c>
      <c r="B16" s="449" t="s">
        <v>431</v>
      </c>
      <c r="C16" s="450" t="s">
        <v>437</v>
      </c>
      <c r="D16" s="451" t="s">
        <v>438</v>
      </c>
      <c r="E16" s="450" t="s">
        <v>459</v>
      </c>
      <c r="F16" s="451" t="s">
        <v>460</v>
      </c>
      <c r="G16" s="450" t="s">
        <v>483</v>
      </c>
      <c r="H16" s="450" t="s">
        <v>484</v>
      </c>
      <c r="I16" s="453">
        <v>4329</v>
      </c>
      <c r="J16" s="453">
        <v>1</v>
      </c>
      <c r="K16" s="454">
        <v>4329</v>
      </c>
    </row>
    <row r="17" spans="1:11" ht="14.4" customHeight="1" x14ac:dyDescent="0.3">
      <c r="A17" s="448" t="s">
        <v>430</v>
      </c>
      <c r="B17" s="449" t="s">
        <v>431</v>
      </c>
      <c r="C17" s="450" t="s">
        <v>437</v>
      </c>
      <c r="D17" s="451" t="s">
        <v>438</v>
      </c>
      <c r="E17" s="450" t="s">
        <v>459</v>
      </c>
      <c r="F17" s="451" t="s">
        <v>460</v>
      </c>
      <c r="G17" s="450" t="s">
        <v>485</v>
      </c>
      <c r="H17" s="450" t="s">
        <v>486</v>
      </c>
      <c r="I17" s="453">
        <v>11646.259765625</v>
      </c>
      <c r="J17" s="453">
        <v>1</v>
      </c>
      <c r="K17" s="454">
        <v>11646.259765625</v>
      </c>
    </row>
    <row r="18" spans="1:11" ht="14.4" customHeight="1" x14ac:dyDescent="0.3">
      <c r="A18" s="448" t="s">
        <v>430</v>
      </c>
      <c r="B18" s="449" t="s">
        <v>431</v>
      </c>
      <c r="C18" s="450" t="s">
        <v>437</v>
      </c>
      <c r="D18" s="451" t="s">
        <v>438</v>
      </c>
      <c r="E18" s="450" t="s">
        <v>459</v>
      </c>
      <c r="F18" s="451" t="s">
        <v>460</v>
      </c>
      <c r="G18" s="450" t="s">
        <v>487</v>
      </c>
      <c r="H18" s="450" t="s">
        <v>488</v>
      </c>
      <c r="I18" s="453">
        <v>263.39500427246094</v>
      </c>
      <c r="J18" s="453">
        <v>48</v>
      </c>
      <c r="K18" s="454">
        <v>12643.0498046875</v>
      </c>
    </row>
    <row r="19" spans="1:11" ht="14.4" customHeight="1" x14ac:dyDescent="0.3">
      <c r="A19" s="448" t="s">
        <v>430</v>
      </c>
      <c r="B19" s="449" t="s">
        <v>431</v>
      </c>
      <c r="C19" s="450" t="s">
        <v>437</v>
      </c>
      <c r="D19" s="451" t="s">
        <v>438</v>
      </c>
      <c r="E19" s="450" t="s">
        <v>459</v>
      </c>
      <c r="F19" s="451" t="s">
        <v>460</v>
      </c>
      <c r="G19" s="450" t="s">
        <v>489</v>
      </c>
      <c r="H19" s="450" t="s">
        <v>490</v>
      </c>
      <c r="I19" s="453">
        <v>347.88249969482422</v>
      </c>
      <c r="J19" s="453">
        <v>4</v>
      </c>
      <c r="K19" s="454">
        <v>1391.5299987792969</v>
      </c>
    </row>
    <row r="20" spans="1:11" ht="14.4" customHeight="1" x14ac:dyDescent="0.3">
      <c r="A20" s="448" t="s">
        <v>430</v>
      </c>
      <c r="B20" s="449" t="s">
        <v>431</v>
      </c>
      <c r="C20" s="450" t="s">
        <v>437</v>
      </c>
      <c r="D20" s="451" t="s">
        <v>438</v>
      </c>
      <c r="E20" s="450" t="s">
        <v>459</v>
      </c>
      <c r="F20" s="451" t="s">
        <v>460</v>
      </c>
      <c r="G20" s="450" t="s">
        <v>491</v>
      </c>
      <c r="H20" s="450" t="s">
        <v>492</v>
      </c>
      <c r="I20" s="453">
        <v>7336.240234375</v>
      </c>
      <c r="J20" s="453">
        <v>1</v>
      </c>
      <c r="K20" s="454">
        <v>7336.240234375</v>
      </c>
    </row>
    <row r="21" spans="1:11" ht="14.4" customHeight="1" x14ac:dyDescent="0.3">
      <c r="A21" s="448" t="s">
        <v>430</v>
      </c>
      <c r="B21" s="449" t="s">
        <v>431</v>
      </c>
      <c r="C21" s="450" t="s">
        <v>437</v>
      </c>
      <c r="D21" s="451" t="s">
        <v>438</v>
      </c>
      <c r="E21" s="450" t="s">
        <v>459</v>
      </c>
      <c r="F21" s="451" t="s">
        <v>460</v>
      </c>
      <c r="G21" s="450" t="s">
        <v>493</v>
      </c>
      <c r="H21" s="450" t="s">
        <v>494</v>
      </c>
      <c r="I21" s="453">
        <v>15277.4501953125</v>
      </c>
      <c r="J21" s="453">
        <v>1</v>
      </c>
      <c r="K21" s="454">
        <v>15277.4501953125</v>
      </c>
    </row>
    <row r="22" spans="1:11" ht="14.4" customHeight="1" x14ac:dyDescent="0.3">
      <c r="A22" s="448" t="s">
        <v>430</v>
      </c>
      <c r="B22" s="449" t="s">
        <v>431</v>
      </c>
      <c r="C22" s="450" t="s">
        <v>437</v>
      </c>
      <c r="D22" s="451" t="s">
        <v>438</v>
      </c>
      <c r="E22" s="450" t="s">
        <v>459</v>
      </c>
      <c r="F22" s="451" t="s">
        <v>460</v>
      </c>
      <c r="G22" s="450" t="s">
        <v>495</v>
      </c>
      <c r="H22" s="450" t="s">
        <v>496</v>
      </c>
      <c r="I22" s="453">
        <v>15276.26953125</v>
      </c>
      <c r="J22" s="453">
        <v>1</v>
      </c>
      <c r="K22" s="454">
        <v>15276.26953125</v>
      </c>
    </row>
    <row r="23" spans="1:11" ht="14.4" customHeight="1" x14ac:dyDescent="0.3">
      <c r="A23" s="448" t="s">
        <v>430</v>
      </c>
      <c r="B23" s="449" t="s">
        <v>431</v>
      </c>
      <c r="C23" s="450" t="s">
        <v>437</v>
      </c>
      <c r="D23" s="451" t="s">
        <v>438</v>
      </c>
      <c r="E23" s="450" t="s">
        <v>459</v>
      </c>
      <c r="F23" s="451" t="s">
        <v>460</v>
      </c>
      <c r="G23" s="450" t="s">
        <v>497</v>
      </c>
      <c r="H23" s="450" t="s">
        <v>498</v>
      </c>
      <c r="I23" s="453">
        <v>15578.76953125</v>
      </c>
      <c r="J23" s="453">
        <v>1</v>
      </c>
      <c r="K23" s="454">
        <v>15578.76953125</v>
      </c>
    </row>
    <row r="24" spans="1:11" ht="14.4" customHeight="1" x14ac:dyDescent="0.3">
      <c r="A24" s="448" t="s">
        <v>430</v>
      </c>
      <c r="B24" s="449" t="s">
        <v>431</v>
      </c>
      <c r="C24" s="450" t="s">
        <v>437</v>
      </c>
      <c r="D24" s="451" t="s">
        <v>438</v>
      </c>
      <c r="E24" s="450" t="s">
        <v>459</v>
      </c>
      <c r="F24" s="451" t="s">
        <v>460</v>
      </c>
      <c r="G24" s="450" t="s">
        <v>499</v>
      </c>
      <c r="H24" s="450" t="s">
        <v>500</v>
      </c>
      <c r="I24" s="453">
        <v>2662.010009765625</v>
      </c>
      <c r="J24" s="453">
        <v>1</v>
      </c>
      <c r="K24" s="454">
        <v>2662.010009765625</v>
      </c>
    </row>
    <row r="25" spans="1:11" ht="14.4" customHeight="1" x14ac:dyDescent="0.3">
      <c r="A25" s="448" t="s">
        <v>430</v>
      </c>
      <c r="B25" s="449" t="s">
        <v>431</v>
      </c>
      <c r="C25" s="450" t="s">
        <v>437</v>
      </c>
      <c r="D25" s="451" t="s">
        <v>438</v>
      </c>
      <c r="E25" s="450" t="s">
        <v>459</v>
      </c>
      <c r="F25" s="451" t="s">
        <v>460</v>
      </c>
      <c r="G25" s="450" t="s">
        <v>501</v>
      </c>
      <c r="H25" s="450" t="s">
        <v>502</v>
      </c>
      <c r="I25" s="453">
        <v>2662.010009765625</v>
      </c>
      <c r="J25" s="453">
        <v>1</v>
      </c>
      <c r="K25" s="454">
        <v>2662.010009765625</v>
      </c>
    </row>
    <row r="26" spans="1:11" ht="14.4" customHeight="1" x14ac:dyDescent="0.3">
      <c r="A26" s="448" t="s">
        <v>430</v>
      </c>
      <c r="B26" s="449" t="s">
        <v>431</v>
      </c>
      <c r="C26" s="450" t="s">
        <v>437</v>
      </c>
      <c r="D26" s="451" t="s">
        <v>438</v>
      </c>
      <c r="E26" s="450" t="s">
        <v>459</v>
      </c>
      <c r="F26" s="451" t="s">
        <v>460</v>
      </c>
      <c r="G26" s="450" t="s">
        <v>503</v>
      </c>
      <c r="H26" s="450" t="s">
        <v>504</v>
      </c>
      <c r="I26" s="453">
        <v>2662</v>
      </c>
      <c r="J26" s="453">
        <v>1</v>
      </c>
      <c r="K26" s="454">
        <v>2662</v>
      </c>
    </row>
    <row r="27" spans="1:11" ht="14.4" customHeight="1" x14ac:dyDescent="0.3">
      <c r="A27" s="448" t="s">
        <v>430</v>
      </c>
      <c r="B27" s="449" t="s">
        <v>431</v>
      </c>
      <c r="C27" s="450" t="s">
        <v>437</v>
      </c>
      <c r="D27" s="451" t="s">
        <v>438</v>
      </c>
      <c r="E27" s="450" t="s">
        <v>459</v>
      </c>
      <c r="F27" s="451" t="s">
        <v>460</v>
      </c>
      <c r="G27" s="450" t="s">
        <v>505</v>
      </c>
      <c r="H27" s="450" t="s">
        <v>506</v>
      </c>
      <c r="I27" s="453">
        <v>2662.010009765625</v>
      </c>
      <c r="J27" s="453">
        <v>1</v>
      </c>
      <c r="K27" s="454">
        <v>2662.010009765625</v>
      </c>
    </row>
    <row r="28" spans="1:11" ht="14.4" customHeight="1" x14ac:dyDescent="0.3">
      <c r="A28" s="448" t="s">
        <v>430</v>
      </c>
      <c r="B28" s="449" t="s">
        <v>431</v>
      </c>
      <c r="C28" s="450" t="s">
        <v>437</v>
      </c>
      <c r="D28" s="451" t="s">
        <v>438</v>
      </c>
      <c r="E28" s="450" t="s">
        <v>459</v>
      </c>
      <c r="F28" s="451" t="s">
        <v>460</v>
      </c>
      <c r="G28" s="450" t="s">
        <v>507</v>
      </c>
      <c r="H28" s="450" t="s">
        <v>508</v>
      </c>
      <c r="I28" s="453">
        <v>15276.26953125</v>
      </c>
      <c r="J28" s="453">
        <v>1</v>
      </c>
      <c r="K28" s="454">
        <v>15276.26953125</v>
      </c>
    </row>
    <row r="29" spans="1:11" ht="14.4" customHeight="1" x14ac:dyDescent="0.3">
      <c r="A29" s="448" t="s">
        <v>430</v>
      </c>
      <c r="B29" s="449" t="s">
        <v>431</v>
      </c>
      <c r="C29" s="450" t="s">
        <v>437</v>
      </c>
      <c r="D29" s="451" t="s">
        <v>438</v>
      </c>
      <c r="E29" s="450" t="s">
        <v>459</v>
      </c>
      <c r="F29" s="451" t="s">
        <v>460</v>
      </c>
      <c r="G29" s="450" t="s">
        <v>509</v>
      </c>
      <c r="H29" s="450" t="s">
        <v>510</v>
      </c>
      <c r="I29" s="453">
        <v>2233.06005859375</v>
      </c>
      <c r="J29" s="453">
        <v>1</v>
      </c>
      <c r="K29" s="454">
        <v>2233.06005859375</v>
      </c>
    </row>
    <row r="30" spans="1:11" ht="14.4" customHeight="1" x14ac:dyDescent="0.3">
      <c r="A30" s="448" t="s">
        <v>430</v>
      </c>
      <c r="B30" s="449" t="s">
        <v>431</v>
      </c>
      <c r="C30" s="450" t="s">
        <v>437</v>
      </c>
      <c r="D30" s="451" t="s">
        <v>438</v>
      </c>
      <c r="E30" s="450" t="s">
        <v>459</v>
      </c>
      <c r="F30" s="451" t="s">
        <v>460</v>
      </c>
      <c r="G30" s="450" t="s">
        <v>511</v>
      </c>
      <c r="H30" s="450" t="s">
        <v>512</v>
      </c>
      <c r="I30" s="453">
        <v>2662</v>
      </c>
      <c r="J30" s="453">
        <v>1</v>
      </c>
      <c r="K30" s="454">
        <v>2662</v>
      </c>
    </row>
    <row r="31" spans="1:11" ht="14.4" customHeight="1" x14ac:dyDescent="0.3">
      <c r="A31" s="448" t="s">
        <v>430</v>
      </c>
      <c r="B31" s="449" t="s">
        <v>431</v>
      </c>
      <c r="C31" s="450" t="s">
        <v>437</v>
      </c>
      <c r="D31" s="451" t="s">
        <v>438</v>
      </c>
      <c r="E31" s="450" t="s">
        <v>459</v>
      </c>
      <c r="F31" s="451" t="s">
        <v>460</v>
      </c>
      <c r="G31" s="450" t="s">
        <v>513</v>
      </c>
      <c r="H31" s="450" t="s">
        <v>514</v>
      </c>
      <c r="I31" s="453">
        <v>2662</v>
      </c>
      <c r="J31" s="453">
        <v>1</v>
      </c>
      <c r="K31" s="454">
        <v>2662</v>
      </c>
    </row>
    <row r="32" spans="1:11" ht="14.4" customHeight="1" x14ac:dyDescent="0.3">
      <c r="A32" s="448" t="s">
        <v>430</v>
      </c>
      <c r="B32" s="449" t="s">
        <v>431</v>
      </c>
      <c r="C32" s="450" t="s">
        <v>437</v>
      </c>
      <c r="D32" s="451" t="s">
        <v>438</v>
      </c>
      <c r="E32" s="450" t="s">
        <v>459</v>
      </c>
      <c r="F32" s="451" t="s">
        <v>460</v>
      </c>
      <c r="G32" s="450" t="s">
        <v>515</v>
      </c>
      <c r="H32" s="450" t="s">
        <v>516</v>
      </c>
      <c r="I32" s="453">
        <v>2662</v>
      </c>
      <c r="J32" s="453">
        <v>1</v>
      </c>
      <c r="K32" s="454">
        <v>2662</v>
      </c>
    </row>
    <row r="33" spans="1:11" ht="14.4" customHeight="1" x14ac:dyDescent="0.3">
      <c r="A33" s="448" t="s">
        <v>430</v>
      </c>
      <c r="B33" s="449" t="s">
        <v>431</v>
      </c>
      <c r="C33" s="450" t="s">
        <v>437</v>
      </c>
      <c r="D33" s="451" t="s">
        <v>438</v>
      </c>
      <c r="E33" s="450" t="s">
        <v>459</v>
      </c>
      <c r="F33" s="451" t="s">
        <v>460</v>
      </c>
      <c r="G33" s="450" t="s">
        <v>517</v>
      </c>
      <c r="H33" s="450" t="s">
        <v>518</v>
      </c>
      <c r="I33" s="453">
        <v>1511.300048828125</v>
      </c>
      <c r="J33" s="453">
        <v>1</v>
      </c>
      <c r="K33" s="454">
        <v>1511.300048828125</v>
      </c>
    </row>
    <row r="34" spans="1:11" ht="14.4" customHeight="1" x14ac:dyDescent="0.3">
      <c r="A34" s="448" t="s">
        <v>430</v>
      </c>
      <c r="B34" s="449" t="s">
        <v>431</v>
      </c>
      <c r="C34" s="450" t="s">
        <v>437</v>
      </c>
      <c r="D34" s="451" t="s">
        <v>438</v>
      </c>
      <c r="E34" s="450" t="s">
        <v>459</v>
      </c>
      <c r="F34" s="451" t="s">
        <v>460</v>
      </c>
      <c r="G34" s="450" t="s">
        <v>519</v>
      </c>
      <c r="H34" s="450" t="s">
        <v>520</v>
      </c>
      <c r="I34" s="453">
        <v>1194.25</v>
      </c>
      <c r="J34" s="453">
        <v>1</v>
      </c>
      <c r="K34" s="454">
        <v>1194.25</v>
      </c>
    </row>
    <row r="35" spans="1:11" ht="14.4" customHeight="1" x14ac:dyDescent="0.3">
      <c r="A35" s="448" t="s">
        <v>430</v>
      </c>
      <c r="B35" s="449" t="s">
        <v>431</v>
      </c>
      <c r="C35" s="450" t="s">
        <v>437</v>
      </c>
      <c r="D35" s="451" t="s">
        <v>438</v>
      </c>
      <c r="E35" s="450" t="s">
        <v>459</v>
      </c>
      <c r="F35" s="451" t="s">
        <v>460</v>
      </c>
      <c r="G35" s="450" t="s">
        <v>521</v>
      </c>
      <c r="H35" s="450" t="s">
        <v>522</v>
      </c>
      <c r="I35" s="453">
        <v>4961</v>
      </c>
      <c r="J35" s="453">
        <v>1</v>
      </c>
      <c r="K35" s="454">
        <v>4961</v>
      </c>
    </row>
    <row r="36" spans="1:11" ht="14.4" customHeight="1" x14ac:dyDescent="0.3">
      <c r="A36" s="448" t="s">
        <v>430</v>
      </c>
      <c r="B36" s="449" t="s">
        <v>431</v>
      </c>
      <c r="C36" s="450" t="s">
        <v>437</v>
      </c>
      <c r="D36" s="451" t="s">
        <v>438</v>
      </c>
      <c r="E36" s="450" t="s">
        <v>459</v>
      </c>
      <c r="F36" s="451" t="s">
        <v>460</v>
      </c>
      <c r="G36" s="450" t="s">
        <v>523</v>
      </c>
      <c r="H36" s="450" t="s">
        <v>524</v>
      </c>
      <c r="I36" s="453">
        <v>112.93223317464192</v>
      </c>
      <c r="J36" s="453">
        <v>6</v>
      </c>
      <c r="K36" s="454">
        <v>677.60000610351562</v>
      </c>
    </row>
    <row r="37" spans="1:11" ht="14.4" customHeight="1" x14ac:dyDescent="0.3">
      <c r="A37" s="448" t="s">
        <v>430</v>
      </c>
      <c r="B37" s="449" t="s">
        <v>431</v>
      </c>
      <c r="C37" s="450" t="s">
        <v>437</v>
      </c>
      <c r="D37" s="451" t="s">
        <v>438</v>
      </c>
      <c r="E37" s="450" t="s">
        <v>459</v>
      </c>
      <c r="F37" s="451" t="s">
        <v>460</v>
      </c>
      <c r="G37" s="450" t="s">
        <v>525</v>
      </c>
      <c r="H37" s="450" t="s">
        <v>526</v>
      </c>
      <c r="I37" s="453">
        <v>81.069999694824219</v>
      </c>
      <c r="J37" s="453">
        <v>50</v>
      </c>
      <c r="K37" s="454">
        <v>4053.5</v>
      </c>
    </row>
    <row r="38" spans="1:11" ht="14.4" customHeight="1" x14ac:dyDescent="0.3">
      <c r="A38" s="448" t="s">
        <v>430</v>
      </c>
      <c r="B38" s="449" t="s">
        <v>431</v>
      </c>
      <c r="C38" s="450" t="s">
        <v>437</v>
      </c>
      <c r="D38" s="451" t="s">
        <v>438</v>
      </c>
      <c r="E38" s="450" t="s">
        <v>459</v>
      </c>
      <c r="F38" s="451" t="s">
        <v>460</v>
      </c>
      <c r="G38" s="450" t="s">
        <v>527</v>
      </c>
      <c r="H38" s="450" t="s">
        <v>528</v>
      </c>
      <c r="I38" s="453">
        <v>30.25</v>
      </c>
      <c r="J38" s="453">
        <v>10</v>
      </c>
      <c r="K38" s="454">
        <v>302.5</v>
      </c>
    </row>
    <row r="39" spans="1:11" ht="14.4" customHeight="1" x14ac:dyDescent="0.3">
      <c r="A39" s="448" t="s">
        <v>430</v>
      </c>
      <c r="B39" s="449" t="s">
        <v>431</v>
      </c>
      <c r="C39" s="450" t="s">
        <v>437</v>
      </c>
      <c r="D39" s="451" t="s">
        <v>438</v>
      </c>
      <c r="E39" s="450" t="s">
        <v>459</v>
      </c>
      <c r="F39" s="451" t="s">
        <v>460</v>
      </c>
      <c r="G39" s="450" t="s">
        <v>529</v>
      </c>
      <c r="H39" s="450" t="s">
        <v>530</v>
      </c>
      <c r="I39" s="453">
        <v>461</v>
      </c>
      <c r="J39" s="453">
        <v>10</v>
      </c>
      <c r="K39" s="454">
        <v>4610</v>
      </c>
    </row>
    <row r="40" spans="1:11" ht="14.4" customHeight="1" x14ac:dyDescent="0.3">
      <c r="A40" s="448" t="s">
        <v>430</v>
      </c>
      <c r="B40" s="449" t="s">
        <v>431</v>
      </c>
      <c r="C40" s="450" t="s">
        <v>437</v>
      </c>
      <c r="D40" s="451" t="s">
        <v>438</v>
      </c>
      <c r="E40" s="450" t="s">
        <v>459</v>
      </c>
      <c r="F40" s="451" t="s">
        <v>460</v>
      </c>
      <c r="G40" s="450" t="s">
        <v>531</v>
      </c>
      <c r="H40" s="450" t="s">
        <v>532</v>
      </c>
      <c r="I40" s="453">
        <v>227.27890014648437</v>
      </c>
      <c r="J40" s="453">
        <v>6</v>
      </c>
      <c r="K40" s="454">
        <v>1363.5000152587891</v>
      </c>
    </row>
    <row r="41" spans="1:11" ht="14.4" customHeight="1" x14ac:dyDescent="0.3">
      <c r="A41" s="448" t="s">
        <v>430</v>
      </c>
      <c r="B41" s="449" t="s">
        <v>431</v>
      </c>
      <c r="C41" s="450" t="s">
        <v>437</v>
      </c>
      <c r="D41" s="451" t="s">
        <v>438</v>
      </c>
      <c r="E41" s="450" t="s">
        <v>459</v>
      </c>
      <c r="F41" s="451" t="s">
        <v>460</v>
      </c>
      <c r="G41" s="450" t="s">
        <v>533</v>
      </c>
      <c r="H41" s="450" t="s">
        <v>534</v>
      </c>
      <c r="I41" s="453">
        <v>116</v>
      </c>
      <c r="J41" s="453">
        <v>2</v>
      </c>
      <c r="K41" s="454">
        <v>232</v>
      </c>
    </row>
    <row r="42" spans="1:11" ht="14.4" customHeight="1" x14ac:dyDescent="0.3">
      <c r="A42" s="448" t="s">
        <v>430</v>
      </c>
      <c r="B42" s="449" t="s">
        <v>431</v>
      </c>
      <c r="C42" s="450" t="s">
        <v>437</v>
      </c>
      <c r="D42" s="451" t="s">
        <v>438</v>
      </c>
      <c r="E42" s="450" t="s">
        <v>459</v>
      </c>
      <c r="F42" s="451" t="s">
        <v>460</v>
      </c>
      <c r="G42" s="450" t="s">
        <v>535</v>
      </c>
      <c r="H42" s="450" t="s">
        <v>536</v>
      </c>
      <c r="I42" s="453">
        <v>74.055000305175781</v>
      </c>
      <c r="J42" s="453">
        <v>5</v>
      </c>
      <c r="K42" s="454">
        <v>369.77000427246094</v>
      </c>
    </row>
    <row r="43" spans="1:11" ht="14.4" customHeight="1" x14ac:dyDescent="0.3">
      <c r="A43" s="448" t="s">
        <v>430</v>
      </c>
      <c r="B43" s="449" t="s">
        <v>431</v>
      </c>
      <c r="C43" s="450" t="s">
        <v>437</v>
      </c>
      <c r="D43" s="451" t="s">
        <v>438</v>
      </c>
      <c r="E43" s="450" t="s">
        <v>459</v>
      </c>
      <c r="F43" s="451" t="s">
        <v>460</v>
      </c>
      <c r="G43" s="450" t="s">
        <v>537</v>
      </c>
      <c r="H43" s="450" t="s">
        <v>538</v>
      </c>
      <c r="I43" s="453">
        <v>664.28997802734375</v>
      </c>
      <c r="J43" s="453">
        <v>1</v>
      </c>
      <c r="K43" s="454">
        <v>664.28997802734375</v>
      </c>
    </row>
    <row r="44" spans="1:11" ht="14.4" customHeight="1" x14ac:dyDescent="0.3">
      <c r="A44" s="448" t="s">
        <v>430</v>
      </c>
      <c r="B44" s="449" t="s">
        <v>431</v>
      </c>
      <c r="C44" s="450" t="s">
        <v>437</v>
      </c>
      <c r="D44" s="451" t="s">
        <v>438</v>
      </c>
      <c r="E44" s="450" t="s">
        <v>459</v>
      </c>
      <c r="F44" s="451" t="s">
        <v>460</v>
      </c>
      <c r="G44" s="450" t="s">
        <v>539</v>
      </c>
      <c r="H44" s="450" t="s">
        <v>540</v>
      </c>
      <c r="I44" s="453">
        <v>336.32998657226562</v>
      </c>
      <c r="J44" s="453">
        <v>1</v>
      </c>
      <c r="K44" s="454">
        <v>336.32998657226562</v>
      </c>
    </row>
    <row r="45" spans="1:11" ht="14.4" customHeight="1" x14ac:dyDescent="0.3">
      <c r="A45" s="448" t="s">
        <v>430</v>
      </c>
      <c r="B45" s="449" t="s">
        <v>431</v>
      </c>
      <c r="C45" s="450" t="s">
        <v>437</v>
      </c>
      <c r="D45" s="451" t="s">
        <v>438</v>
      </c>
      <c r="E45" s="450" t="s">
        <v>459</v>
      </c>
      <c r="F45" s="451" t="s">
        <v>460</v>
      </c>
      <c r="G45" s="450" t="s">
        <v>541</v>
      </c>
      <c r="H45" s="450" t="s">
        <v>542</v>
      </c>
      <c r="I45" s="453">
        <v>91.110000610351563</v>
      </c>
      <c r="J45" s="453">
        <v>5</v>
      </c>
      <c r="K45" s="454">
        <v>455.55999755859375</v>
      </c>
    </row>
    <row r="46" spans="1:11" ht="14.4" customHeight="1" x14ac:dyDescent="0.3">
      <c r="A46" s="448" t="s">
        <v>430</v>
      </c>
      <c r="B46" s="449" t="s">
        <v>431</v>
      </c>
      <c r="C46" s="450" t="s">
        <v>437</v>
      </c>
      <c r="D46" s="451" t="s">
        <v>438</v>
      </c>
      <c r="E46" s="450" t="s">
        <v>459</v>
      </c>
      <c r="F46" s="451" t="s">
        <v>460</v>
      </c>
      <c r="G46" s="450" t="s">
        <v>543</v>
      </c>
      <c r="H46" s="450" t="s">
        <v>544</v>
      </c>
      <c r="I46" s="453">
        <v>27.829999923706055</v>
      </c>
      <c r="J46" s="453">
        <v>100</v>
      </c>
      <c r="K46" s="454">
        <v>2783</v>
      </c>
    </row>
    <row r="47" spans="1:11" ht="14.4" customHeight="1" x14ac:dyDescent="0.3">
      <c r="A47" s="448" t="s">
        <v>430</v>
      </c>
      <c r="B47" s="449" t="s">
        <v>431</v>
      </c>
      <c r="C47" s="450" t="s">
        <v>437</v>
      </c>
      <c r="D47" s="451" t="s">
        <v>438</v>
      </c>
      <c r="E47" s="450" t="s">
        <v>459</v>
      </c>
      <c r="F47" s="451" t="s">
        <v>460</v>
      </c>
      <c r="G47" s="450" t="s">
        <v>545</v>
      </c>
      <c r="H47" s="450" t="s">
        <v>546</v>
      </c>
      <c r="I47" s="453">
        <v>1004.3200378417969</v>
      </c>
      <c r="J47" s="453">
        <v>2</v>
      </c>
      <c r="K47" s="454">
        <v>2008.6400756835937</v>
      </c>
    </row>
    <row r="48" spans="1:11" ht="14.4" customHeight="1" x14ac:dyDescent="0.3">
      <c r="A48" s="448" t="s">
        <v>430</v>
      </c>
      <c r="B48" s="449" t="s">
        <v>431</v>
      </c>
      <c r="C48" s="450" t="s">
        <v>437</v>
      </c>
      <c r="D48" s="451" t="s">
        <v>438</v>
      </c>
      <c r="E48" s="450" t="s">
        <v>459</v>
      </c>
      <c r="F48" s="451" t="s">
        <v>460</v>
      </c>
      <c r="G48" s="450" t="s">
        <v>547</v>
      </c>
      <c r="H48" s="450" t="s">
        <v>548</v>
      </c>
      <c r="I48" s="453">
        <v>5.9999998658895493E-2</v>
      </c>
      <c r="J48" s="453">
        <v>6000</v>
      </c>
      <c r="K48" s="454">
        <v>384.760009765625</v>
      </c>
    </row>
    <row r="49" spans="1:11" ht="14.4" customHeight="1" x14ac:dyDescent="0.3">
      <c r="A49" s="448" t="s">
        <v>430</v>
      </c>
      <c r="B49" s="449" t="s">
        <v>431</v>
      </c>
      <c r="C49" s="450" t="s">
        <v>437</v>
      </c>
      <c r="D49" s="451" t="s">
        <v>438</v>
      </c>
      <c r="E49" s="450" t="s">
        <v>459</v>
      </c>
      <c r="F49" s="451" t="s">
        <v>460</v>
      </c>
      <c r="G49" s="450" t="s">
        <v>549</v>
      </c>
      <c r="H49" s="450" t="s">
        <v>550</v>
      </c>
      <c r="I49" s="453">
        <v>374.5</v>
      </c>
      <c r="J49" s="453">
        <v>2</v>
      </c>
      <c r="K49" s="454">
        <v>749</v>
      </c>
    </row>
    <row r="50" spans="1:11" ht="14.4" customHeight="1" x14ac:dyDescent="0.3">
      <c r="A50" s="448" t="s">
        <v>430</v>
      </c>
      <c r="B50" s="449" t="s">
        <v>431</v>
      </c>
      <c r="C50" s="450" t="s">
        <v>437</v>
      </c>
      <c r="D50" s="451" t="s">
        <v>438</v>
      </c>
      <c r="E50" s="450" t="s">
        <v>459</v>
      </c>
      <c r="F50" s="451" t="s">
        <v>460</v>
      </c>
      <c r="G50" s="450" t="s">
        <v>551</v>
      </c>
      <c r="H50" s="450" t="s">
        <v>552</v>
      </c>
      <c r="I50" s="453">
        <v>847</v>
      </c>
      <c r="J50" s="453">
        <v>20</v>
      </c>
      <c r="K50" s="454">
        <v>16940</v>
      </c>
    </row>
    <row r="51" spans="1:11" ht="14.4" customHeight="1" x14ac:dyDescent="0.3">
      <c r="A51" s="448" t="s">
        <v>430</v>
      </c>
      <c r="B51" s="449" t="s">
        <v>431</v>
      </c>
      <c r="C51" s="450" t="s">
        <v>437</v>
      </c>
      <c r="D51" s="451" t="s">
        <v>438</v>
      </c>
      <c r="E51" s="450" t="s">
        <v>459</v>
      </c>
      <c r="F51" s="451" t="s">
        <v>460</v>
      </c>
      <c r="G51" s="450" t="s">
        <v>553</v>
      </c>
      <c r="H51" s="450" t="s">
        <v>554</v>
      </c>
      <c r="I51" s="453">
        <v>1169.4200439453125</v>
      </c>
      <c r="J51" s="453">
        <v>1</v>
      </c>
      <c r="K51" s="454">
        <v>1169.4200439453125</v>
      </c>
    </row>
    <row r="52" spans="1:11" ht="14.4" customHeight="1" x14ac:dyDescent="0.3">
      <c r="A52" s="448" t="s">
        <v>430</v>
      </c>
      <c r="B52" s="449" t="s">
        <v>431</v>
      </c>
      <c r="C52" s="450" t="s">
        <v>437</v>
      </c>
      <c r="D52" s="451" t="s">
        <v>438</v>
      </c>
      <c r="E52" s="450" t="s">
        <v>555</v>
      </c>
      <c r="F52" s="451" t="s">
        <v>556</v>
      </c>
      <c r="G52" s="450" t="s">
        <v>557</v>
      </c>
      <c r="H52" s="450" t="s">
        <v>558</v>
      </c>
      <c r="I52" s="453">
        <v>223.25</v>
      </c>
      <c r="J52" s="453">
        <v>5</v>
      </c>
      <c r="K52" s="454">
        <v>1116.22998046875</v>
      </c>
    </row>
    <row r="53" spans="1:11" ht="14.4" customHeight="1" x14ac:dyDescent="0.3">
      <c r="A53" s="448" t="s">
        <v>430</v>
      </c>
      <c r="B53" s="449" t="s">
        <v>431</v>
      </c>
      <c r="C53" s="450" t="s">
        <v>437</v>
      </c>
      <c r="D53" s="451" t="s">
        <v>438</v>
      </c>
      <c r="E53" s="450" t="s">
        <v>555</v>
      </c>
      <c r="F53" s="451" t="s">
        <v>556</v>
      </c>
      <c r="G53" s="450" t="s">
        <v>559</v>
      </c>
      <c r="H53" s="450" t="s">
        <v>560</v>
      </c>
      <c r="I53" s="453">
        <v>306.6199951171875</v>
      </c>
      <c r="J53" s="453">
        <v>2</v>
      </c>
      <c r="K53" s="454">
        <v>613.22998046875</v>
      </c>
    </row>
    <row r="54" spans="1:11" ht="14.4" customHeight="1" x14ac:dyDescent="0.3">
      <c r="A54" s="448" t="s">
        <v>430</v>
      </c>
      <c r="B54" s="449" t="s">
        <v>431</v>
      </c>
      <c r="C54" s="450" t="s">
        <v>437</v>
      </c>
      <c r="D54" s="451" t="s">
        <v>438</v>
      </c>
      <c r="E54" s="450" t="s">
        <v>555</v>
      </c>
      <c r="F54" s="451" t="s">
        <v>556</v>
      </c>
      <c r="G54" s="450" t="s">
        <v>561</v>
      </c>
      <c r="H54" s="450" t="s">
        <v>562</v>
      </c>
      <c r="I54" s="453">
        <v>88.209999084472656</v>
      </c>
      <c r="J54" s="453">
        <v>4</v>
      </c>
      <c r="K54" s="454">
        <v>352.82998657226562</v>
      </c>
    </row>
    <row r="55" spans="1:11" ht="14.4" customHeight="1" x14ac:dyDescent="0.3">
      <c r="A55" s="448" t="s">
        <v>430</v>
      </c>
      <c r="B55" s="449" t="s">
        <v>431</v>
      </c>
      <c r="C55" s="450" t="s">
        <v>437</v>
      </c>
      <c r="D55" s="451" t="s">
        <v>438</v>
      </c>
      <c r="E55" s="450" t="s">
        <v>555</v>
      </c>
      <c r="F55" s="451" t="s">
        <v>556</v>
      </c>
      <c r="G55" s="450" t="s">
        <v>563</v>
      </c>
      <c r="H55" s="450" t="s">
        <v>564</v>
      </c>
      <c r="I55" s="453">
        <v>52.880001068115234</v>
      </c>
      <c r="J55" s="453">
        <v>4</v>
      </c>
      <c r="K55" s="454">
        <v>211.50999450683594</v>
      </c>
    </row>
    <row r="56" spans="1:11" ht="14.4" customHeight="1" x14ac:dyDescent="0.3">
      <c r="A56" s="448" t="s">
        <v>430</v>
      </c>
      <c r="B56" s="449" t="s">
        <v>431</v>
      </c>
      <c r="C56" s="450" t="s">
        <v>437</v>
      </c>
      <c r="D56" s="451" t="s">
        <v>438</v>
      </c>
      <c r="E56" s="450" t="s">
        <v>555</v>
      </c>
      <c r="F56" s="451" t="s">
        <v>556</v>
      </c>
      <c r="G56" s="450" t="s">
        <v>565</v>
      </c>
      <c r="H56" s="450" t="s">
        <v>566</v>
      </c>
      <c r="I56" s="453">
        <v>854.260009765625</v>
      </c>
      <c r="J56" s="453">
        <v>2</v>
      </c>
      <c r="K56" s="454">
        <v>1708.52001953125</v>
      </c>
    </row>
    <row r="57" spans="1:11" ht="14.4" customHeight="1" x14ac:dyDescent="0.3">
      <c r="A57" s="448" t="s">
        <v>430</v>
      </c>
      <c r="B57" s="449" t="s">
        <v>431</v>
      </c>
      <c r="C57" s="450" t="s">
        <v>437</v>
      </c>
      <c r="D57" s="451" t="s">
        <v>438</v>
      </c>
      <c r="E57" s="450" t="s">
        <v>555</v>
      </c>
      <c r="F57" s="451" t="s">
        <v>556</v>
      </c>
      <c r="G57" s="450" t="s">
        <v>567</v>
      </c>
      <c r="H57" s="450" t="s">
        <v>568</v>
      </c>
      <c r="I57" s="453">
        <v>0.15999999642372131</v>
      </c>
      <c r="J57" s="453">
        <v>5000</v>
      </c>
      <c r="K57" s="454">
        <v>821.4000244140625</v>
      </c>
    </row>
    <row r="58" spans="1:11" ht="14.4" customHeight="1" x14ac:dyDescent="0.3">
      <c r="A58" s="448" t="s">
        <v>430</v>
      </c>
      <c r="B58" s="449" t="s">
        <v>431</v>
      </c>
      <c r="C58" s="450" t="s">
        <v>437</v>
      </c>
      <c r="D58" s="451" t="s">
        <v>438</v>
      </c>
      <c r="E58" s="450" t="s">
        <v>555</v>
      </c>
      <c r="F58" s="451" t="s">
        <v>556</v>
      </c>
      <c r="G58" s="450" t="s">
        <v>569</v>
      </c>
      <c r="H58" s="450" t="s">
        <v>570</v>
      </c>
      <c r="I58" s="453">
        <v>0.27000001072883606</v>
      </c>
      <c r="J58" s="453">
        <v>6000</v>
      </c>
      <c r="K58" s="454">
        <v>1597.199951171875</v>
      </c>
    </row>
    <row r="59" spans="1:11" ht="14.4" customHeight="1" x14ac:dyDescent="0.3">
      <c r="A59" s="448" t="s">
        <v>430</v>
      </c>
      <c r="B59" s="449" t="s">
        <v>431</v>
      </c>
      <c r="C59" s="450" t="s">
        <v>437</v>
      </c>
      <c r="D59" s="451" t="s">
        <v>438</v>
      </c>
      <c r="E59" s="450" t="s">
        <v>555</v>
      </c>
      <c r="F59" s="451" t="s">
        <v>556</v>
      </c>
      <c r="G59" s="450" t="s">
        <v>571</v>
      </c>
      <c r="H59" s="450" t="s">
        <v>572</v>
      </c>
      <c r="I59" s="453">
        <v>542.6099853515625</v>
      </c>
      <c r="J59" s="453">
        <v>12</v>
      </c>
      <c r="K59" s="454">
        <v>6511.31982421875</v>
      </c>
    </row>
    <row r="60" spans="1:11" ht="14.4" customHeight="1" x14ac:dyDescent="0.3">
      <c r="A60" s="448" t="s">
        <v>430</v>
      </c>
      <c r="B60" s="449" t="s">
        <v>431</v>
      </c>
      <c r="C60" s="450" t="s">
        <v>437</v>
      </c>
      <c r="D60" s="451" t="s">
        <v>438</v>
      </c>
      <c r="E60" s="450" t="s">
        <v>573</v>
      </c>
      <c r="F60" s="451" t="s">
        <v>574</v>
      </c>
      <c r="G60" s="450" t="s">
        <v>575</v>
      </c>
      <c r="H60" s="450" t="s">
        <v>576</v>
      </c>
      <c r="I60" s="453">
        <v>13.010000228881836</v>
      </c>
      <c r="J60" s="453">
        <v>2</v>
      </c>
      <c r="K60" s="454">
        <v>26.020000457763672</v>
      </c>
    </row>
    <row r="61" spans="1:11" ht="14.4" customHeight="1" x14ac:dyDescent="0.3">
      <c r="A61" s="448" t="s">
        <v>430</v>
      </c>
      <c r="B61" s="449" t="s">
        <v>431</v>
      </c>
      <c r="C61" s="450" t="s">
        <v>437</v>
      </c>
      <c r="D61" s="451" t="s">
        <v>438</v>
      </c>
      <c r="E61" s="450" t="s">
        <v>573</v>
      </c>
      <c r="F61" s="451" t="s">
        <v>574</v>
      </c>
      <c r="G61" s="450" t="s">
        <v>577</v>
      </c>
      <c r="H61" s="450" t="s">
        <v>578</v>
      </c>
      <c r="I61" s="453">
        <v>0.37999999523162842</v>
      </c>
      <c r="J61" s="453">
        <v>532</v>
      </c>
      <c r="K61" s="454">
        <v>200.00999450683594</v>
      </c>
    </row>
    <row r="62" spans="1:11" ht="14.4" customHeight="1" x14ac:dyDescent="0.3">
      <c r="A62" s="448" t="s">
        <v>430</v>
      </c>
      <c r="B62" s="449" t="s">
        <v>431</v>
      </c>
      <c r="C62" s="450" t="s">
        <v>437</v>
      </c>
      <c r="D62" s="451" t="s">
        <v>438</v>
      </c>
      <c r="E62" s="450" t="s">
        <v>573</v>
      </c>
      <c r="F62" s="451" t="s">
        <v>574</v>
      </c>
      <c r="G62" s="450" t="s">
        <v>579</v>
      </c>
      <c r="H62" s="450" t="s">
        <v>580</v>
      </c>
      <c r="I62" s="453">
        <v>28.739999771118164</v>
      </c>
      <c r="J62" s="453">
        <v>35</v>
      </c>
      <c r="K62" s="454">
        <v>1005.8999938964844</v>
      </c>
    </row>
    <row r="63" spans="1:11" ht="14.4" customHeight="1" x14ac:dyDescent="0.3">
      <c r="A63" s="448" t="s">
        <v>430</v>
      </c>
      <c r="B63" s="449" t="s">
        <v>431</v>
      </c>
      <c r="C63" s="450" t="s">
        <v>437</v>
      </c>
      <c r="D63" s="451" t="s">
        <v>438</v>
      </c>
      <c r="E63" s="450" t="s">
        <v>573</v>
      </c>
      <c r="F63" s="451" t="s">
        <v>574</v>
      </c>
      <c r="G63" s="450" t="s">
        <v>581</v>
      </c>
      <c r="H63" s="450" t="s">
        <v>582</v>
      </c>
      <c r="I63" s="453">
        <v>260.29998779296875</v>
      </c>
      <c r="J63" s="453">
        <v>40</v>
      </c>
      <c r="K63" s="454">
        <v>10411.989929199219</v>
      </c>
    </row>
    <row r="64" spans="1:11" ht="14.4" customHeight="1" x14ac:dyDescent="0.3">
      <c r="A64" s="448" t="s">
        <v>430</v>
      </c>
      <c r="B64" s="449" t="s">
        <v>431</v>
      </c>
      <c r="C64" s="450" t="s">
        <v>437</v>
      </c>
      <c r="D64" s="451" t="s">
        <v>438</v>
      </c>
      <c r="E64" s="450" t="s">
        <v>583</v>
      </c>
      <c r="F64" s="451" t="s">
        <v>584</v>
      </c>
      <c r="G64" s="450" t="s">
        <v>585</v>
      </c>
      <c r="H64" s="450" t="s">
        <v>586</v>
      </c>
      <c r="I64" s="453">
        <v>217.99000549316406</v>
      </c>
      <c r="J64" s="453">
        <v>75</v>
      </c>
      <c r="K64" s="454">
        <v>16349.51953125</v>
      </c>
    </row>
    <row r="65" spans="1:11" ht="14.4" customHeight="1" x14ac:dyDescent="0.3">
      <c r="A65" s="448" t="s">
        <v>430</v>
      </c>
      <c r="B65" s="449" t="s">
        <v>431</v>
      </c>
      <c r="C65" s="450" t="s">
        <v>437</v>
      </c>
      <c r="D65" s="451" t="s">
        <v>438</v>
      </c>
      <c r="E65" s="450" t="s">
        <v>583</v>
      </c>
      <c r="F65" s="451" t="s">
        <v>584</v>
      </c>
      <c r="G65" s="450" t="s">
        <v>587</v>
      </c>
      <c r="H65" s="450" t="s">
        <v>588</v>
      </c>
      <c r="I65" s="453">
        <v>151.14999389648437</v>
      </c>
      <c r="J65" s="453">
        <v>75</v>
      </c>
      <c r="K65" s="454">
        <v>11336.490234375</v>
      </c>
    </row>
    <row r="66" spans="1:11" ht="14.4" customHeight="1" x14ac:dyDescent="0.3">
      <c r="A66" s="448" t="s">
        <v>430</v>
      </c>
      <c r="B66" s="449" t="s">
        <v>431</v>
      </c>
      <c r="C66" s="450" t="s">
        <v>437</v>
      </c>
      <c r="D66" s="451" t="s">
        <v>438</v>
      </c>
      <c r="E66" s="450" t="s">
        <v>583</v>
      </c>
      <c r="F66" s="451" t="s">
        <v>584</v>
      </c>
      <c r="G66" s="450" t="s">
        <v>589</v>
      </c>
      <c r="H66" s="450" t="s">
        <v>590</v>
      </c>
      <c r="I66" s="453">
        <v>1193.1800537109375</v>
      </c>
      <c r="J66" s="453">
        <v>1</v>
      </c>
      <c r="K66" s="454">
        <v>1193.1800537109375</v>
      </c>
    </row>
    <row r="67" spans="1:11" ht="14.4" customHeight="1" x14ac:dyDescent="0.3">
      <c r="A67" s="448" t="s">
        <v>430</v>
      </c>
      <c r="B67" s="449" t="s">
        <v>431</v>
      </c>
      <c r="C67" s="450" t="s">
        <v>437</v>
      </c>
      <c r="D67" s="451" t="s">
        <v>438</v>
      </c>
      <c r="E67" s="450" t="s">
        <v>583</v>
      </c>
      <c r="F67" s="451" t="s">
        <v>584</v>
      </c>
      <c r="G67" s="450" t="s">
        <v>591</v>
      </c>
      <c r="H67" s="450" t="s">
        <v>592</v>
      </c>
      <c r="I67" s="453">
        <v>1186.1400146484375</v>
      </c>
      <c r="J67" s="453">
        <v>1</v>
      </c>
      <c r="K67" s="454">
        <v>1186.1400146484375</v>
      </c>
    </row>
    <row r="68" spans="1:11" ht="14.4" customHeight="1" x14ac:dyDescent="0.3">
      <c r="A68" s="448" t="s">
        <v>430</v>
      </c>
      <c r="B68" s="449" t="s">
        <v>431</v>
      </c>
      <c r="C68" s="450" t="s">
        <v>437</v>
      </c>
      <c r="D68" s="451" t="s">
        <v>438</v>
      </c>
      <c r="E68" s="450" t="s">
        <v>583</v>
      </c>
      <c r="F68" s="451" t="s">
        <v>584</v>
      </c>
      <c r="G68" s="450" t="s">
        <v>593</v>
      </c>
      <c r="H68" s="450" t="s">
        <v>594</v>
      </c>
      <c r="I68" s="453">
        <v>1422.8399658203125</v>
      </c>
      <c r="J68" s="453">
        <v>1</v>
      </c>
      <c r="K68" s="454">
        <v>1422.8399658203125</v>
      </c>
    </row>
    <row r="69" spans="1:11" ht="14.4" customHeight="1" x14ac:dyDescent="0.3">
      <c r="A69" s="448" t="s">
        <v>430</v>
      </c>
      <c r="B69" s="449" t="s">
        <v>431</v>
      </c>
      <c r="C69" s="450" t="s">
        <v>437</v>
      </c>
      <c r="D69" s="451" t="s">
        <v>438</v>
      </c>
      <c r="E69" s="450" t="s">
        <v>583</v>
      </c>
      <c r="F69" s="451" t="s">
        <v>584</v>
      </c>
      <c r="G69" s="450" t="s">
        <v>595</v>
      </c>
      <c r="H69" s="450" t="s">
        <v>596</v>
      </c>
      <c r="I69" s="453">
        <v>76.860000610351563</v>
      </c>
      <c r="J69" s="453">
        <v>100</v>
      </c>
      <c r="K69" s="454">
        <v>7686.22998046875</v>
      </c>
    </row>
    <row r="70" spans="1:11" ht="14.4" customHeight="1" x14ac:dyDescent="0.3">
      <c r="A70" s="448" t="s">
        <v>430</v>
      </c>
      <c r="B70" s="449" t="s">
        <v>431</v>
      </c>
      <c r="C70" s="450" t="s">
        <v>437</v>
      </c>
      <c r="D70" s="451" t="s">
        <v>438</v>
      </c>
      <c r="E70" s="450" t="s">
        <v>583</v>
      </c>
      <c r="F70" s="451" t="s">
        <v>584</v>
      </c>
      <c r="G70" s="450" t="s">
        <v>597</v>
      </c>
      <c r="H70" s="450" t="s">
        <v>598</v>
      </c>
      <c r="I70" s="453">
        <v>4.630000114440918</v>
      </c>
      <c r="J70" s="453">
        <v>200</v>
      </c>
      <c r="K70" s="454">
        <v>926</v>
      </c>
    </row>
    <row r="71" spans="1:11" ht="14.4" customHeight="1" x14ac:dyDescent="0.3">
      <c r="A71" s="448" t="s">
        <v>430</v>
      </c>
      <c r="B71" s="449" t="s">
        <v>431</v>
      </c>
      <c r="C71" s="450" t="s">
        <v>437</v>
      </c>
      <c r="D71" s="451" t="s">
        <v>438</v>
      </c>
      <c r="E71" s="450" t="s">
        <v>583</v>
      </c>
      <c r="F71" s="451" t="s">
        <v>584</v>
      </c>
      <c r="G71" s="450" t="s">
        <v>599</v>
      </c>
      <c r="H71" s="450" t="s">
        <v>600</v>
      </c>
      <c r="I71" s="453">
        <v>171.82000732421875</v>
      </c>
      <c r="J71" s="453">
        <v>4</v>
      </c>
      <c r="K71" s="454">
        <v>687.280029296875</v>
      </c>
    </row>
    <row r="72" spans="1:11" ht="14.4" customHeight="1" x14ac:dyDescent="0.3">
      <c r="A72" s="448" t="s">
        <v>430</v>
      </c>
      <c r="B72" s="449" t="s">
        <v>431</v>
      </c>
      <c r="C72" s="450" t="s">
        <v>437</v>
      </c>
      <c r="D72" s="451" t="s">
        <v>438</v>
      </c>
      <c r="E72" s="450" t="s">
        <v>583</v>
      </c>
      <c r="F72" s="451" t="s">
        <v>584</v>
      </c>
      <c r="G72" s="450" t="s">
        <v>601</v>
      </c>
      <c r="H72" s="450" t="s">
        <v>602</v>
      </c>
      <c r="I72" s="453">
        <v>11.739999771118164</v>
      </c>
      <c r="J72" s="453">
        <v>10</v>
      </c>
      <c r="K72" s="454">
        <v>117.40000152587891</v>
      </c>
    </row>
    <row r="73" spans="1:11" ht="14.4" customHeight="1" x14ac:dyDescent="0.3">
      <c r="A73" s="448" t="s">
        <v>430</v>
      </c>
      <c r="B73" s="449" t="s">
        <v>431</v>
      </c>
      <c r="C73" s="450" t="s">
        <v>437</v>
      </c>
      <c r="D73" s="451" t="s">
        <v>438</v>
      </c>
      <c r="E73" s="450" t="s">
        <v>583</v>
      </c>
      <c r="F73" s="451" t="s">
        <v>584</v>
      </c>
      <c r="G73" s="450" t="s">
        <v>603</v>
      </c>
      <c r="H73" s="450" t="s">
        <v>604</v>
      </c>
      <c r="I73" s="453">
        <v>13.310000419616699</v>
      </c>
      <c r="J73" s="453">
        <v>10</v>
      </c>
      <c r="K73" s="454">
        <v>133.10000610351562</v>
      </c>
    </row>
    <row r="74" spans="1:11" ht="14.4" customHeight="1" x14ac:dyDescent="0.3">
      <c r="A74" s="448" t="s">
        <v>430</v>
      </c>
      <c r="B74" s="449" t="s">
        <v>431</v>
      </c>
      <c r="C74" s="450" t="s">
        <v>437</v>
      </c>
      <c r="D74" s="451" t="s">
        <v>438</v>
      </c>
      <c r="E74" s="450" t="s">
        <v>583</v>
      </c>
      <c r="F74" s="451" t="s">
        <v>584</v>
      </c>
      <c r="G74" s="450" t="s">
        <v>605</v>
      </c>
      <c r="H74" s="450" t="s">
        <v>606</v>
      </c>
      <c r="I74" s="453">
        <v>252.89999389648437</v>
      </c>
      <c r="J74" s="453">
        <v>2</v>
      </c>
      <c r="K74" s="454">
        <v>505.79998779296875</v>
      </c>
    </row>
    <row r="75" spans="1:11" ht="14.4" customHeight="1" x14ac:dyDescent="0.3">
      <c r="A75" s="448" t="s">
        <v>430</v>
      </c>
      <c r="B75" s="449" t="s">
        <v>431</v>
      </c>
      <c r="C75" s="450" t="s">
        <v>437</v>
      </c>
      <c r="D75" s="451" t="s">
        <v>438</v>
      </c>
      <c r="E75" s="450" t="s">
        <v>583</v>
      </c>
      <c r="F75" s="451" t="s">
        <v>584</v>
      </c>
      <c r="G75" s="450" t="s">
        <v>607</v>
      </c>
      <c r="H75" s="450" t="s">
        <v>608</v>
      </c>
      <c r="I75" s="453">
        <v>25.530000686645508</v>
      </c>
      <c r="J75" s="453">
        <v>25</v>
      </c>
      <c r="K75" s="454">
        <v>638.25001525878906</v>
      </c>
    </row>
    <row r="76" spans="1:11" ht="14.4" customHeight="1" x14ac:dyDescent="0.3">
      <c r="A76" s="448" t="s">
        <v>430</v>
      </c>
      <c r="B76" s="449" t="s">
        <v>431</v>
      </c>
      <c r="C76" s="450" t="s">
        <v>437</v>
      </c>
      <c r="D76" s="451" t="s">
        <v>438</v>
      </c>
      <c r="E76" s="450" t="s">
        <v>583</v>
      </c>
      <c r="F76" s="451" t="s">
        <v>584</v>
      </c>
      <c r="G76" s="450" t="s">
        <v>609</v>
      </c>
      <c r="H76" s="450" t="s">
        <v>610</v>
      </c>
      <c r="I76" s="453">
        <v>1727.8800048828125</v>
      </c>
      <c r="J76" s="453">
        <v>1</v>
      </c>
      <c r="K76" s="454">
        <v>1727.8800048828125</v>
      </c>
    </row>
    <row r="77" spans="1:11" ht="14.4" customHeight="1" x14ac:dyDescent="0.3">
      <c r="A77" s="448" t="s">
        <v>430</v>
      </c>
      <c r="B77" s="449" t="s">
        <v>431</v>
      </c>
      <c r="C77" s="450" t="s">
        <v>437</v>
      </c>
      <c r="D77" s="451" t="s">
        <v>438</v>
      </c>
      <c r="E77" s="450" t="s">
        <v>583</v>
      </c>
      <c r="F77" s="451" t="s">
        <v>584</v>
      </c>
      <c r="G77" s="450" t="s">
        <v>611</v>
      </c>
      <c r="H77" s="450" t="s">
        <v>612</v>
      </c>
      <c r="I77" s="453">
        <v>920.80999755859375</v>
      </c>
      <c r="J77" s="453">
        <v>7</v>
      </c>
      <c r="K77" s="454">
        <v>6445.669921875</v>
      </c>
    </row>
    <row r="78" spans="1:11" ht="14.4" customHeight="1" x14ac:dyDescent="0.3">
      <c r="A78" s="448" t="s">
        <v>430</v>
      </c>
      <c r="B78" s="449" t="s">
        <v>431</v>
      </c>
      <c r="C78" s="450" t="s">
        <v>437</v>
      </c>
      <c r="D78" s="451" t="s">
        <v>438</v>
      </c>
      <c r="E78" s="450" t="s">
        <v>583</v>
      </c>
      <c r="F78" s="451" t="s">
        <v>584</v>
      </c>
      <c r="G78" s="450" t="s">
        <v>613</v>
      </c>
      <c r="H78" s="450" t="s">
        <v>614</v>
      </c>
      <c r="I78" s="453">
        <v>453.75</v>
      </c>
      <c r="J78" s="453">
        <v>4</v>
      </c>
      <c r="K78" s="454">
        <v>1815</v>
      </c>
    </row>
    <row r="79" spans="1:11" ht="14.4" customHeight="1" x14ac:dyDescent="0.3">
      <c r="A79" s="448" t="s">
        <v>430</v>
      </c>
      <c r="B79" s="449" t="s">
        <v>431</v>
      </c>
      <c r="C79" s="450" t="s">
        <v>437</v>
      </c>
      <c r="D79" s="451" t="s">
        <v>438</v>
      </c>
      <c r="E79" s="450" t="s">
        <v>583</v>
      </c>
      <c r="F79" s="451" t="s">
        <v>584</v>
      </c>
      <c r="G79" s="450" t="s">
        <v>615</v>
      </c>
      <c r="H79" s="450" t="s">
        <v>616</v>
      </c>
      <c r="I79" s="453">
        <v>1299.5400390625</v>
      </c>
      <c r="J79" s="453">
        <v>2</v>
      </c>
      <c r="K79" s="454">
        <v>2599.080078125</v>
      </c>
    </row>
    <row r="80" spans="1:11" ht="14.4" customHeight="1" x14ac:dyDescent="0.3">
      <c r="A80" s="448" t="s">
        <v>430</v>
      </c>
      <c r="B80" s="449" t="s">
        <v>431</v>
      </c>
      <c r="C80" s="450" t="s">
        <v>437</v>
      </c>
      <c r="D80" s="451" t="s">
        <v>438</v>
      </c>
      <c r="E80" s="450" t="s">
        <v>583</v>
      </c>
      <c r="F80" s="451" t="s">
        <v>584</v>
      </c>
      <c r="G80" s="450" t="s">
        <v>617</v>
      </c>
      <c r="H80" s="450" t="s">
        <v>618</v>
      </c>
      <c r="I80" s="453">
        <v>1652.8599853515625</v>
      </c>
      <c r="J80" s="453">
        <v>1</v>
      </c>
      <c r="K80" s="454">
        <v>1652.8599853515625</v>
      </c>
    </row>
    <row r="81" spans="1:11" ht="14.4" customHeight="1" x14ac:dyDescent="0.3">
      <c r="A81" s="448" t="s">
        <v>430</v>
      </c>
      <c r="B81" s="449" t="s">
        <v>431</v>
      </c>
      <c r="C81" s="450" t="s">
        <v>437</v>
      </c>
      <c r="D81" s="451" t="s">
        <v>438</v>
      </c>
      <c r="E81" s="450" t="s">
        <v>583</v>
      </c>
      <c r="F81" s="451" t="s">
        <v>584</v>
      </c>
      <c r="G81" s="450" t="s">
        <v>619</v>
      </c>
      <c r="H81" s="450" t="s">
        <v>620</v>
      </c>
      <c r="I81" s="453">
        <v>403.17001342773437</v>
      </c>
      <c r="J81" s="453">
        <v>2</v>
      </c>
      <c r="K81" s="454">
        <v>806.34002685546875</v>
      </c>
    </row>
    <row r="82" spans="1:11" ht="14.4" customHeight="1" x14ac:dyDescent="0.3">
      <c r="A82" s="448" t="s">
        <v>430</v>
      </c>
      <c r="B82" s="449" t="s">
        <v>431</v>
      </c>
      <c r="C82" s="450" t="s">
        <v>437</v>
      </c>
      <c r="D82" s="451" t="s">
        <v>438</v>
      </c>
      <c r="E82" s="450" t="s">
        <v>583</v>
      </c>
      <c r="F82" s="451" t="s">
        <v>584</v>
      </c>
      <c r="G82" s="450" t="s">
        <v>621</v>
      </c>
      <c r="H82" s="450" t="s">
        <v>622</v>
      </c>
      <c r="I82" s="453">
        <v>135.52000427246094</v>
      </c>
      <c r="J82" s="453">
        <v>6</v>
      </c>
      <c r="K82" s="454">
        <v>813.1199951171875</v>
      </c>
    </row>
    <row r="83" spans="1:11" ht="14.4" customHeight="1" x14ac:dyDescent="0.3">
      <c r="A83" s="448" t="s">
        <v>430</v>
      </c>
      <c r="B83" s="449" t="s">
        <v>431</v>
      </c>
      <c r="C83" s="450" t="s">
        <v>437</v>
      </c>
      <c r="D83" s="451" t="s">
        <v>438</v>
      </c>
      <c r="E83" s="450" t="s">
        <v>583</v>
      </c>
      <c r="F83" s="451" t="s">
        <v>584</v>
      </c>
      <c r="G83" s="450" t="s">
        <v>623</v>
      </c>
      <c r="H83" s="450" t="s">
        <v>624</v>
      </c>
      <c r="I83" s="453">
        <v>418.60000610351562</v>
      </c>
      <c r="J83" s="453">
        <v>2</v>
      </c>
      <c r="K83" s="454">
        <v>837.20001220703125</v>
      </c>
    </row>
    <row r="84" spans="1:11" ht="14.4" customHeight="1" x14ac:dyDescent="0.3">
      <c r="A84" s="448" t="s">
        <v>430</v>
      </c>
      <c r="B84" s="449" t="s">
        <v>431</v>
      </c>
      <c r="C84" s="450" t="s">
        <v>437</v>
      </c>
      <c r="D84" s="451" t="s">
        <v>438</v>
      </c>
      <c r="E84" s="450" t="s">
        <v>583</v>
      </c>
      <c r="F84" s="451" t="s">
        <v>584</v>
      </c>
      <c r="G84" s="450" t="s">
        <v>625</v>
      </c>
      <c r="H84" s="450" t="s">
        <v>626</v>
      </c>
      <c r="I84" s="453">
        <v>533.6099853515625</v>
      </c>
      <c r="J84" s="453">
        <v>4</v>
      </c>
      <c r="K84" s="454">
        <v>2134.43994140625</v>
      </c>
    </row>
    <row r="85" spans="1:11" ht="14.4" customHeight="1" x14ac:dyDescent="0.3">
      <c r="A85" s="448" t="s">
        <v>430</v>
      </c>
      <c r="B85" s="449" t="s">
        <v>431</v>
      </c>
      <c r="C85" s="450" t="s">
        <v>437</v>
      </c>
      <c r="D85" s="451" t="s">
        <v>438</v>
      </c>
      <c r="E85" s="450" t="s">
        <v>583</v>
      </c>
      <c r="F85" s="451" t="s">
        <v>584</v>
      </c>
      <c r="G85" s="450" t="s">
        <v>627</v>
      </c>
      <c r="H85" s="450" t="s">
        <v>628</v>
      </c>
      <c r="I85" s="453">
        <v>1.6699999570846558</v>
      </c>
      <c r="J85" s="453">
        <v>200</v>
      </c>
      <c r="K85" s="454">
        <v>334</v>
      </c>
    </row>
    <row r="86" spans="1:11" ht="14.4" customHeight="1" x14ac:dyDescent="0.3">
      <c r="A86" s="448" t="s">
        <v>430</v>
      </c>
      <c r="B86" s="449" t="s">
        <v>431</v>
      </c>
      <c r="C86" s="450" t="s">
        <v>437</v>
      </c>
      <c r="D86" s="451" t="s">
        <v>438</v>
      </c>
      <c r="E86" s="450" t="s">
        <v>583</v>
      </c>
      <c r="F86" s="451" t="s">
        <v>584</v>
      </c>
      <c r="G86" s="450" t="s">
        <v>629</v>
      </c>
      <c r="H86" s="450" t="s">
        <v>630</v>
      </c>
      <c r="I86" s="453">
        <v>1.4500000476837158</v>
      </c>
      <c r="J86" s="453">
        <v>1000</v>
      </c>
      <c r="K86" s="454">
        <v>1452</v>
      </c>
    </row>
    <row r="87" spans="1:11" ht="14.4" customHeight="1" x14ac:dyDescent="0.3">
      <c r="A87" s="448" t="s">
        <v>430</v>
      </c>
      <c r="B87" s="449" t="s">
        <v>431</v>
      </c>
      <c r="C87" s="450" t="s">
        <v>437</v>
      </c>
      <c r="D87" s="451" t="s">
        <v>438</v>
      </c>
      <c r="E87" s="450" t="s">
        <v>583</v>
      </c>
      <c r="F87" s="451" t="s">
        <v>584</v>
      </c>
      <c r="G87" s="450" t="s">
        <v>631</v>
      </c>
      <c r="H87" s="450" t="s">
        <v>632</v>
      </c>
      <c r="I87" s="453">
        <v>1.9199999570846558</v>
      </c>
      <c r="J87" s="453">
        <v>1000</v>
      </c>
      <c r="K87" s="454">
        <v>1923.9000244140625</v>
      </c>
    </row>
    <row r="88" spans="1:11" ht="14.4" customHeight="1" x14ac:dyDescent="0.3">
      <c r="A88" s="448" t="s">
        <v>430</v>
      </c>
      <c r="B88" s="449" t="s">
        <v>431</v>
      </c>
      <c r="C88" s="450" t="s">
        <v>437</v>
      </c>
      <c r="D88" s="451" t="s">
        <v>438</v>
      </c>
      <c r="E88" s="450" t="s">
        <v>583</v>
      </c>
      <c r="F88" s="451" t="s">
        <v>584</v>
      </c>
      <c r="G88" s="450" t="s">
        <v>633</v>
      </c>
      <c r="H88" s="450" t="s">
        <v>634</v>
      </c>
      <c r="I88" s="453">
        <v>1.9660000324249267</v>
      </c>
      <c r="J88" s="453">
        <v>1800</v>
      </c>
      <c r="K88" s="454">
        <v>3537.1099853515625</v>
      </c>
    </row>
    <row r="89" spans="1:11" ht="14.4" customHeight="1" x14ac:dyDescent="0.3">
      <c r="A89" s="448" t="s">
        <v>430</v>
      </c>
      <c r="B89" s="449" t="s">
        <v>431</v>
      </c>
      <c r="C89" s="450" t="s">
        <v>437</v>
      </c>
      <c r="D89" s="451" t="s">
        <v>438</v>
      </c>
      <c r="E89" s="450" t="s">
        <v>583</v>
      </c>
      <c r="F89" s="451" t="s">
        <v>584</v>
      </c>
      <c r="G89" s="450" t="s">
        <v>635</v>
      </c>
      <c r="H89" s="450" t="s">
        <v>636</v>
      </c>
      <c r="I89" s="453">
        <v>36.200000762939453</v>
      </c>
      <c r="J89" s="453">
        <v>12</v>
      </c>
      <c r="K89" s="454">
        <v>434.44000244140625</v>
      </c>
    </row>
    <row r="90" spans="1:11" ht="14.4" customHeight="1" x14ac:dyDescent="0.3">
      <c r="A90" s="448" t="s">
        <v>430</v>
      </c>
      <c r="B90" s="449" t="s">
        <v>431</v>
      </c>
      <c r="C90" s="450" t="s">
        <v>437</v>
      </c>
      <c r="D90" s="451" t="s">
        <v>438</v>
      </c>
      <c r="E90" s="450" t="s">
        <v>583</v>
      </c>
      <c r="F90" s="451" t="s">
        <v>584</v>
      </c>
      <c r="G90" s="450" t="s">
        <v>637</v>
      </c>
      <c r="H90" s="450" t="s">
        <v>638</v>
      </c>
      <c r="I90" s="453">
        <v>56.840000152587891</v>
      </c>
      <c r="J90" s="453">
        <v>50</v>
      </c>
      <c r="K90" s="454">
        <v>2842.02001953125</v>
      </c>
    </row>
    <row r="91" spans="1:11" ht="14.4" customHeight="1" x14ac:dyDescent="0.3">
      <c r="A91" s="448" t="s">
        <v>430</v>
      </c>
      <c r="B91" s="449" t="s">
        <v>431</v>
      </c>
      <c r="C91" s="450" t="s">
        <v>437</v>
      </c>
      <c r="D91" s="451" t="s">
        <v>438</v>
      </c>
      <c r="E91" s="450" t="s">
        <v>639</v>
      </c>
      <c r="F91" s="451" t="s">
        <v>640</v>
      </c>
      <c r="G91" s="450" t="s">
        <v>641</v>
      </c>
      <c r="H91" s="450" t="s">
        <v>642</v>
      </c>
      <c r="I91" s="453">
        <v>0.62999999523162842</v>
      </c>
      <c r="J91" s="453">
        <v>7600</v>
      </c>
      <c r="K91" s="454">
        <v>4788</v>
      </c>
    </row>
    <row r="92" spans="1:11" ht="14.4" customHeight="1" x14ac:dyDescent="0.3">
      <c r="A92" s="448" t="s">
        <v>430</v>
      </c>
      <c r="B92" s="449" t="s">
        <v>431</v>
      </c>
      <c r="C92" s="450" t="s">
        <v>437</v>
      </c>
      <c r="D92" s="451" t="s">
        <v>438</v>
      </c>
      <c r="E92" s="450" t="s">
        <v>639</v>
      </c>
      <c r="F92" s="451" t="s">
        <v>640</v>
      </c>
      <c r="G92" s="450" t="s">
        <v>643</v>
      </c>
      <c r="H92" s="450" t="s">
        <v>644</v>
      </c>
      <c r="I92" s="453">
        <v>0.63666665554046631</v>
      </c>
      <c r="J92" s="453">
        <v>4600</v>
      </c>
      <c r="K92" s="454">
        <v>2938</v>
      </c>
    </row>
    <row r="93" spans="1:11" ht="14.4" customHeight="1" x14ac:dyDescent="0.3">
      <c r="A93" s="448" t="s">
        <v>430</v>
      </c>
      <c r="B93" s="449" t="s">
        <v>431</v>
      </c>
      <c r="C93" s="450" t="s">
        <v>437</v>
      </c>
      <c r="D93" s="451" t="s">
        <v>438</v>
      </c>
      <c r="E93" s="450" t="s">
        <v>639</v>
      </c>
      <c r="F93" s="451" t="s">
        <v>640</v>
      </c>
      <c r="G93" s="450" t="s">
        <v>645</v>
      </c>
      <c r="H93" s="450" t="s">
        <v>646</v>
      </c>
      <c r="I93" s="453">
        <v>0.62999999523162842</v>
      </c>
      <c r="J93" s="453">
        <v>3000</v>
      </c>
      <c r="K93" s="454">
        <v>1896</v>
      </c>
    </row>
    <row r="94" spans="1:11" ht="14.4" customHeight="1" x14ac:dyDescent="0.3">
      <c r="A94" s="448" t="s">
        <v>430</v>
      </c>
      <c r="B94" s="449" t="s">
        <v>431</v>
      </c>
      <c r="C94" s="450" t="s">
        <v>437</v>
      </c>
      <c r="D94" s="451" t="s">
        <v>438</v>
      </c>
      <c r="E94" s="450" t="s">
        <v>639</v>
      </c>
      <c r="F94" s="451" t="s">
        <v>640</v>
      </c>
      <c r="G94" s="450" t="s">
        <v>647</v>
      </c>
      <c r="H94" s="450" t="s">
        <v>648</v>
      </c>
      <c r="I94" s="453">
        <v>1.8400000333786011</v>
      </c>
      <c r="J94" s="453">
        <v>200</v>
      </c>
      <c r="K94" s="454">
        <v>367.83999633789062</v>
      </c>
    </row>
    <row r="95" spans="1:11" ht="14.4" customHeight="1" x14ac:dyDescent="0.3">
      <c r="A95" s="448" t="s">
        <v>430</v>
      </c>
      <c r="B95" s="449" t="s">
        <v>431</v>
      </c>
      <c r="C95" s="450" t="s">
        <v>437</v>
      </c>
      <c r="D95" s="451" t="s">
        <v>438</v>
      </c>
      <c r="E95" s="450" t="s">
        <v>639</v>
      </c>
      <c r="F95" s="451" t="s">
        <v>640</v>
      </c>
      <c r="G95" s="450" t="s">
        <v>649</v>
      </c>
      <c r="H95" s="450" t="s">
        <v>650</v>
      </c>
      <c r="I95" s="453">
        <v>1.8400000333786011</v>
      </c>
      <c r="J95" s="453">
        <v>200</v>
      </c>
      <c r="K95" s="454">
        <v>367.83999633789062</v>
      </c>
    </row>
    <row r="96" spans="1:11" ht="14.4" customHeight="1" x14ac:dyDescent="0.3">
      <c r="A96" s="448" t="s">
        <v>430</v>
      </c>
      <c r="B96" s="449" t="s">
        <v>431</v>
      </c>
      <c r="C96" s="450" t="s">
        <v>437</v>
      </c>
      <c r="D96" s="451" t="s">
        <v>438</v>
      </c>
      <c r="E96" s="450" t="s">
        <v>639</v>
      </c>
      <c r="F96" s="451" t="s">
        <v>640</v>
      </c>
      <c r="G96" s="450" t="s">
        <v>651</v>
      </c>
      <c r="H96" s="450" t="s">
        <v>652</v>
      </c>
      <c r="I96" s="453">
        <v>7.5</v>
      </c>
      <c r="J96" s="453">
        <v>400</v>
      </c>
      <c r="K96" s="454">
        <v>3000</v>
      </c>
    </row>
    <row r="97" spans="1:11" ht="14.4" customHeight="1" x14ac:dyDescent="0.3">
      <c r="A97" s="448" t="s">
        <v>430</v>
      </c>
      <c r="B97" s="449" t="s">
        <v>431</v>
      </c>
      <c r="C97" s="450" t="s">
        <v>437</v>
      </c>
      <c r="D97" s="451" t="s">
        <v>438</v>
      </c>
      <c r="E97" s="450" t="s">
        <v>639</v>
      </c>
      <c r="F97" s="451" t="s">
        <v>640</v>
      </c>
      <c r="G97" s="450" t="s">
        <v>653</v>
      </c>
      <c r="H97" s="450" t="s">
        <v>654</v>
      </c>
      <c r="I97" s="453">
        <v>7.5</v>
      </c>
      <c r="J97" s="453">
        <v>200</v>
      </c>
      <c r="K97" s="454">
        <v>1500</v>
      </c>
    </row>
    <row r="98" spans="1:11" ht="14.4" customHeight="1" x14ac:dyDescent="0.3">
      <c r="A98" s="448" t="s">
        <v>430</v>
      </c>
      <c r="B98" s="449" t="s">
        <v>431</v>
      </c>
      <c r="C98" s="450" t="s">
        <v>437</v>
      </c>
      <c r="D98" s="451" t="s">
        <v>438</v>
      </c>
      <c r="E98" s="450" t="s">
        <v>639</v>
      </c>
      <c r="F98" s="451" t="s">
        <v>640</v>
      </c>
      <c r="G98" s="450" t="s">
        <v>655</v>
      </c>
      <c r="H98" s="450" t="s">
        <v>656</v>
      </c>
      <c r="I98" s="453">
        <v>6.2399997711181641</v>
      </c>
      <c r="J98" s="453">
        <v>70</v>
      </c>
      <c r="K98" s="454">
        <v>436.6199951171875</v>
      </c>
    </row>
    <row r="99" spans="1:11" ht="14.4" customHeight="1" x14ac:dyDescent="0.3">
      <c r="A99" s="448" t="s">
        <v>430</v>
      </c>
      <c r="B99" s="449" t="s">
        <v>431</v>
      </c>
      <c r="C99" s="450" t="s">
        <v>437</v>
      </c>
      <c r="D99" s="451" t="s">
        <v>438</v>
      </c>
      <c r="E99" s="450" t="s">
        <v>639</v>
      </c>
      <c r="F99" s="451" t="s">
        <v>640</v>
      </c>
      <c r="G99" s="450" t="s">
        <v>657</v>
      </c>
      <c r="H99" s="450" t="s">
        <v>658</v>
      </c>
      <c r="I99" s="453">
        <v>0.73000001907348633</v>
      </c>
      <c r="J99" s="453">
        <v>200</v>
      </c>
      <c r="K99" s="454">
        <v>145.72000122070312</v>
      </c>
    </row>
    <row r="100" spans="1:11" ht="14.4" customHeight="1" thickBot="1" x14ac:dyDescent="0.35">
      <c r="A100" s="455" t="s">
        <v>430</v>
      </c>
      <c r="B100" s="456" t="s">
        <v>431</v>
      </c>
      <c r="C100" s="457" t="s">
        <v>437</v>
      </c>
      <c r="D100" s="458" t="s">
        <v>438</v>
      </c>
      <c r="E100" s="457" t="s">
        <v>659</v>
      </c>
      <c r="F100" s="458" t="s">
        <v>660</v>
      </c>
      <c r="G100" s="457" t="s">
        <v>661</v>
      </c>
      <c r="H100" s="457" t="s">
        <v>662</v>
      </c>
      <c r="I100" s="460">
        <v>123.41999816894531</v>
      </c>
      <c r="J100" s="460">
        <v>6</v>
      </c>
      <c r="K100" s="461">
        <v>740.52001953125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pageSetUpPr fitToPage="1"/>
  </sheetPr>
  <dimension ref="A1:S30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33203125" defaultRowHeight="14.4" outlineLevelCol="1" x14ac:dyDescent="0.3"/>
  <cols>
    <col min="1" max="1" width="8.33203125" customWidth="1"/>
    <col min="2" max="2" width="27.44140625" bestFit="1" customWidth="1" outlineLevel="1"/>
    <col min="3" max="3" width="10.88671875" style="245" bestFit="1" customWidth="1"/>
    <col min="4" max="6" width="10.33203125" hidden="1" customWidth="1" outlineLevel="1"/>
    <col min="7" max="7" width="10" customWidth="1" collapsed="1"/>
    <col min="8" max="10" width="10" customWidth="1"/>
    <col min="11" max="14" width="10.6640625" customWidth="1"/>
    <col min="15" max="15" width="12.21875" customWidth="1"/>
    <col min="16" max="17" width="8.88671875" style="199" customWidth="1"/>
    <col min="18" max="18" width="7.33203125" style="244" customWidth="1"/>
    <col min="19" max="19" width="8" style="199" customWidth="1"/>
    <col min="21" max="21" width="11.21875" bestFit="1" customWidth="1"/>
  </cols>
  <sheetData>
    <row r="1" spans="1:19" ht="18.600000000000001" thickBot="1" x14ac:dyDescent="0.4">
      <c r="A1" s="342" t="s">
        <v>91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  <c r="R1" s="329"/>
      <c r="S1" s="329"/>
    </row>
    <row r="2" spans="1:19" ht="15" thickBot="1" x14ac:dyDescent="0.35">
      <c r="A2" s="200" t="s">
        <v>235</v>
      </c>
      <c r="B2" s="201"/>
    </row>
    <row r="3" spans="1:19" x14ac:dyDescent="0.3">
      <c r="A3" s="356" t="s">
        <v>156</v>
      </c>
      <c r="B3" s="357"/>
      <c r="C3" s="358" t="s">
        <v>145</v>
      </c>
      <c r="D3" s="359"/>
      <c r="E3" s="359"/>
      <c r="F3" s="360"/>
      <c r="G3" s="361" t="s">
        <v>146</v>
      </c>
      <c r="H3" s="362"/>
      <c r="I3" s="362"/>
      <c r="J3" s="363"/>
      <c r="K3" s="364" t="s">
        <v>155</v>
      </c>
      <c r="L3" s="365"/>
      <c r="M3" s="365"/>
      <c r="N3" s="365"/>
      <c r="O3" s="366"/>
      <c r="P3" s="362" t="s">
        <v>210</v>
      </c>
      <c r="Q3" s="362"/>
      <c r="R3" s="362"/>
      <c r="S3" s="363"/>
    </row>
    <row r="4" spans="1:19" ht="15" thickBot="1" x14ac:dyDescent="0.35">
      <c r="A4" s="375">
        <v>2018</v>
      </c>
      <c r="B4" s="376"/>
      <c r="C4" s="377" t="s">
        <v>209</v>
      </c>
      <c r="D4" s="379" t="s">
        <v>92</v>
      </c>
      <c r="E4" s="379" t="s">
        <v>60</v>
      </c>
      <c r="F4" s="354" t="s">
        <v>53</v>
      </c>
      <c r="G4" s="369" t="s">
        <v>147</v>
      </c>
      <c r="H4" s="371" t="s">
        <v>151</v>
      </c>
      <c r="I4" s="371" t="s">
        <v>208</v>
      </c>
      <c r="J4" s="373" t="s">
        <v>148</v>
      </c>
      <c r="K4" s="351" t="s">
        <v>207</v>
      </c>
      <c r="L4" s="352"/>
      <c r="M4" s="352"/>
      <c r="N4" s="353"/>
      <c r="O4" s="354" t="s">
        <v>206</v>
      </c>
      <c r="P4" s="343" t="s">
        <v>205</v>
      </c>
      <c r="Q4" s="343" t="s">
        <v>158</v>
      </c>
      <c r="R4" s="345" t="s">
        <v>60</v>
      </c>
      <c r="S4" s="347" t="s">
        <v>157</v>
      </c>
    </row>
    <row r="5" spans="1:19" s="279" customFormat="1" ht="19.2" customHeight="1" x14ac:dyDescent="0.3">
      <c r="A5" s="349" t="s">
        <v>204</v>
      </c>
      <c r="B5" s="350"/>
      <c r="C5" s="378"/>
      <c r="D5" s="380"/>
      <c r="E5" s="380"/>
      <c r="F5" s="355"/>
      <c r="G5" s="370"/>
      <c r="H5" s="372"/>
      <c r="I5" s="372"/>
      <c r="J5" s="374"/>
      <c r="K5" s="282" t="s">
        <v>149</v>
      </c>
      <c r="L5" s="281" t="s">
        <v>150</v>
      </c>
      <c r="M5" s="281" t="s">
        <v>203</v>
      </c>
      <c r="N5" s="280" t="s">
        <v>3</v>
      </c>
      <c r="O5" s="355"/>
      <c r="P5" s="344"/>
      <c r="Q5" s="344"/>
      <c r="R5" s="346"/>
      <c r="S5" s="348"/>
    </row>
    <row r="6" spans="1:19" ht="15" thickBot="1" x14ac:dyDescent="0.35">
      <c r="A6" s="367" t="s">
        <v>144</v>
      </c>
      <c r="B6" s="368"/>
      <c r="C6" s="278">
        <f ca="1">SUM(Tabulka[01 uv_sk])/2</f>
        <v>28.6</v>
      </c>
      <c r="D6" s="276"/>
      <c r="E6" s="276"/>
      <c r="F6" s="275"/>
      <c r="G6" s="277">
        <f ca="1">SUM(Tabulka[05 h_vram])/2</f>
        <v>17431.2</v>
      </c>
      <c r="H6" s="276">
        <f ca="1">SUM(Tabulka[06 h_naduv])/2</f>
        <v>595.95000000000005</v>
      </c>
      <c r="I6" s="276">
        <f ca="1">SUM(Tabulka[07 h_nadzk])/2</f>
        <v>136.80000000000001</v>
      </c>
      <c r="J6" s="275">
        <f ca="1">SUM(Tabulka[08 h_oon])/2</f>
        <v>3167</v>
      </c>
      <c r="K6" s="277">
        <f ca="1">SUM(Tabulka[09 m_kl])/2</f>
        <v>0</v>
      </c>
      <c r="L6" s="276">
        <f ca="1">SUM(Tabulka[10 m_gr])/2</f>
        <v>0</v>
      </c>
      <c r="M6" s="276">
        <f ca="1">SUM(Tabulka[11 m_jo])/2</f>
        <v>352741</v>
      </c>
      <c r="N6" s="276">
        <f ca="1">SUM(Tabulka[12 m_oc])/2</f>
        <v>352741</v>
      </c>
      <c r="O6" s="275">
        <f ca="1">SUM(Tabulka[13 m_sk])/2</f>
        <v>5492157</v>
      </c>
      <c r="P6" s="274">
        <f ca="1">SUM(Tabulka[14_vzsk])/2</f>
        <v>220</v>
      </c>
      <c r="Q6" s="274">
        <f ca="1">SUM(Tabulka[15_vzpl])/2</f>
        <v>23346.841628181726</v>
      </c>
      <c r="R6" s="273">
        <f ca="1">IF(Q6=0,0,P6/Q6)</f>
        <v>9.423116132952233E-3</v>
      </c>
      <c r="S6" s="272">
        <f ca="1">Q6-P6</f>
        <v>23126.841628181726</v>
      </c>
    </row>
    <row r="7" spans="1:19" hidden="1" x14ac:dyDescent="0.3">
      <c r="A7" s="271" t="s">
        <v>202</v>
      </c>
      <c r="B7" s="270" t="s">
        <v>201</v>
      </c>
      <c r="C7" s="269" t="s">
        <v>200</v>
      </c>
      <c r="D7" s="268" t="s">
        <v>199</v>
      </c>
      <c r="E7" s="267" t="s">
        <v>198</v>
      </c>
      <c r="F7" s="266" t="s">
        <v>197</v>
      </c>
      <c r="G7" s="265" t="s">
        <v>196</v>
      </c>
      <c r="H7" s="263" t="s">
        <v>195</v>
      </c>
      <c r="I7" s="263" t="s">
        <v>194</v>
      </c>
      <c r="J7" s="262" t="s">
        <v>193</v>
      </c>
      <c r="K7" s="264" t="s">
        <v>192</v>
      </c>
      <c r="L7" s="263" t="s">
        <v>191</v>
      </c>
      <c r="M7" s="263" t="s">
        <v>190</v>
      </c>
      <c r="N7" s="262" t="s">
        <v>189</v>
      </c>
      <c r="O7" s="261" t="s">
        <v>188</v>
      </c>
      <c r="P7" s="260" t="s">
        <v>187</v>
      </c>
      <c r="Q7" s="259" t="s">
        <v>186</v>
      </c>
      <c r="R7" s="258" t="s">
        <v>185</v>
      </c>
      <c r="S7" s="257" t="s">
        <v>184</v>
      </c>
    </row>
    <row r="8" spans="1:19" x14ac:dyDescent="0.3">
      <c r="A8" s="254" t="s">
        <v>183</v>
      </c>
      <c r="B8" s="253"/>
      <c r="C8" s="2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7.8000000000000007</v>
      </c>
      <c r="D8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4944</v>
      </c>
      <c r="H8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</v>
      </c>
      <c r="I8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8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8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8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234155</v>
      </c>
      <c r="N8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234155</v>
      </c>
      <c r="O8" s="24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1924802</v>
      </c>
      <c r="P8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110</v>
      </c>
      <c r="Q8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6039.8324182281949</v>
      </c>
      <c r="R8" s="256">
        <f ca="1">IF(Tabulka[[#This Row],[15_vzpl]]=0,"",Tabulka[[#This Row],[14_vzsk]]/Tabulka[[#This Row],[15_vzpl]])</f>
        <v>1.821242583950183E-2</v>
      </c>
      <c r="S8" s="255">
        <f ca="1">IF(Tabulka[[#This Row],[15_vzpl]]-Tabulka[[#This Row],[14_vzsk]]=0,"",Tabulka[[#This Row],[15_vzpl]]-Tabulka[[#This Row],[14_vzsk]])</f>
        <v>5929.8324182281949</v>
      </c>
    </row>
    <row r="9" spans="1:19" x14ac:dyDescent="0.3">
      <c r="A9" s="254">
        <v>99</v>
      </c>
      <c r="B9" s="253" t="s">
        <v>672</v>
      </c>
      <c r="C9" s="2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2.4000000000000004</v>
      </c>
      <c r="D9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1548.8</v>
      </c>
      <c r="H9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9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9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9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9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9" s="24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332307</v>
      </c>
      <c r="P9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110</v>
      </c>
      <c r="Q9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6039.8324182281949</v>
      </c>
      <c r="R9" s="256">
        <f ca="1">IF(Tabulka[[#This Row],[15_vzpl]]=0,"",Tabulka[[#This Row],[14_vzsk]]/Tabulka[[#This Row],[15_vzpl]])</f>
        <v>1.821242583950183E-2</v>
      </c>
      <c r="S9" s="255">
        <f ca="1">IF(Tabulka[[#This Row],[15_vzpl]]-Tabulka[[#This Row],[14_vzsk]]=0,"",Tabulka[[#This Row],[15_vzpl]]-Tabulka[[#This Row],[14_vzsk]])</f>
        <v>5929.8324182281949</v>
      </c>
    </row>
    <row r="10" spans="1:19" x14ac:dyDescent="0.3">
      <c r="A10" s="254">
        <v>100</v>
      </c>
      <c r="B10" s="253" t="s">
        <v>673</v>
      </c>
      <c r="C10" s="2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0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560</v>
      </c>
      <c r="H10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0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0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0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0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0" s="24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174080</v>
      </c>
      <c r="P10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0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0" s="256" t="str">
        <f ca="1">IF(Tabulka[[#This Row],[15_vzpl]]=0,"",Tabulka[[#This Row],[14_vzsk]]/Tabulka[[#This Row],[15_vzpl]])</f>
        <v/>
      </c>
      <c r="S10" s="255" t="str">
        <f ca="1">IF(Tabulka[[#This Row],[15_vzpl]]-Tabulka[[#This Row],[14_vzsk]]=0,"",Tabulka[[#This Row],[15_vzpl]]-Tabulka[[#This Row],[14_vzsk]])</f>
        <v/>
      </c>
    </row>
    <row r="11" spans="1:19" x14ac:dyDescent="0.3">
      <c r="A11" s="254">
        <v>101</v>
      </c>
      <c r="B11" s="253" t="s">
        <v>674</v>
      </c>
      <c r="C11" s="2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4.4000000000000004</v>
      </c>
      <c r="D11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2835.2</v>
      </c>
      <c r="H11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</v>
      </c>
      <c r="I11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1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1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1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234155</v>
      </c>
      <c r="N11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234155</v>
      </c>
      <c r="O11" s="24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1418415</v>
      </c>
      <c r="P11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1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1" s="256" t="str">
        <f ca="1">IF(Tabulka[[#This Row],[15_vzpl]]=0,"",Tabulka[[#This Row],[14_vzsk]]/Tabulka[[#This Row],[15_vzpl]])</f>
        <v/>
      </c>
      <c r="S11" s="255" t="str">
        <f ca="1">IF(Tabulka[[#This Row],[15_vzpl]]-Tabulka[[#This Row],[14_vzsk]]=0,"",Tabulka[[#This Row],[15_vzpl]]-Tabulka[[#This Row],[14_vzsk]])</f>
        <v/>
      </c>
    </row>
    <row r="12" spans="1:19" x14ac:dyDescent="0.3">
      <c r="A12" s="254" t="s">
        <v>664</v>
      </c>
      <c r="B12" s="253"/>
      <c r="C12" s="2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3.8</v>
      </c>
      <c r="D12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2399.1999999999998</v>
      </c>
      <c r="H12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502.20000000000005</v>
      </c>
      <c r="I12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124.8</v>
      </c>
      <c r="J12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1313</v>
      </c>
      <c r="K12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2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65177</v>
      </c>
      <c r="N12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65177</v>
      </c>
      <c r="O12" s="24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1443802</v>
      </c>
      <c r="P12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110</v>
      </c>
      <c r="Q12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15640.342543286866</v>
      </c>
      <c r="R12" s="256">
        <f ca="1">IF(Tabulka[[#This Row],[15_vzpl]]=0,"",Tabulka[[#This Row],[14_vzsk]]/Tabulka[[#This Row],[15_vzpl]])</f>
        <v>7.0330940448113206E-3</v>
      </c>
      <c r="S12" s="255">
        <f ca="1">IF(Tabulka[[#This Row],[15_vzpl]]-Tabulka[[#This Row],[14_vzsk]]=0,"",Tabulka[[#This Row],[15_vzpl]]-Tabulka[[#This Row],[14_vzsk]])</f>
        <v>15530.342543286866</v>
      </c>
    </row>
    <row r="13" spans="1:19" x14ac:dyDescent="0.3">
      <c r="A13" s="254">
        <v>520</v>
      </c>
      <c r="B13" s="253" t="s">
        <v>675</v>
      </c>
      <c r="C13" s="2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13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13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3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3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3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3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8106</v>
      </c>
      <c r="N13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8106</v>
      </c>
      <c r="O13" s="24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8801</v>
      </c>
      <c r="P13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3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3" s="256" t="str">
        <f ca="1">IF(Tabulka[[#This Row],[15_vzpl]]=0,"",Tabulka[[#This Row],[14_vzsk]]/Tabulka[[#This Row],[15_vzpl]])</f>
        <v/>
      </c>
      <c r="S13" s="255" t="str">
        <f ca="1">IF(Tabulka[[#This Row],[15_vzpl]]-Tabulka[[#This Row],[14_vzsk]]=0,"",Tabulka[[#This Row],[15_vzpl]]-Tabulka[[#This Row],[14_vzsk]])</f>
        <v/>
      </c>
    </row>
    <row r="14" spans="1:19" x14ac:dyDescent="0.3">
      <c r="A14" s="254">
        <v>521</v>
      </c>
      <c r="B14" s="253" t="s">
        <v>676</v>
      </c>
      <c r="C14" s="2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14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4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4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4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14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4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4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4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4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4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5327</v>
      </c>
      <c r="N14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5327</v>
      </c>
      <c r="O14" s="24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4632</v>
      </c>
      <c r="P14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4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4" s="256" t="str">
        <f ca="1">IF(Tabulka[[#This Row],[15_vzpl]]=0,"",Tabulka[[#This Row],[14_vzsk]]/Tabulka[[#This Row],[15_vzpl]])</f>
        <v/>
      </c>
      <c r="S14" s="255" t="str">
        <f ca="1">IF(Tabulka[[#This Row],[15_vzpl]]-Tabulka[[#This Row],[14_vzsk]]=0,"",Tabulka[[#This Row],[15_vzpl]]-Tabulka[[#This Row],[14_vzsk]])</f>
        <v/>
      </c>
    </row>
    <row r="15" spans="1:19" x14ac:dyDescent="0.3">
      <c r="A15" s="254">
        <v>526</v>
      </c>
      <c r="B15" s="253" t="s">
        <v>677</v>
      </c>
      <c r="C15" s="2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3.55</v>
      </c>
      <c r="D15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5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5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5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2255.1999999999998</v>
      </c>
      <c r="H15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468.20000000000005</v>
      </c>
      <c r="I15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124.8</v>
      </c>
      <c r="J15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313</v>
      </c>
      <c r="K15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5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5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51744</v>
      </c>
      <c r="N15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51744</v>
      </c>
      <c r="O15" s="24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1198030</v>
      </c>
      <c r="P15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110</v>
      </c>
      <c r="Q15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15640.342543286866</v>
      </c>
      <c r="R15" s="256">
        <f ca="1">IF(Tabulka[[#This Row],[15_vzpl]]=0,"",Tabulka[[#This Row],[14_vzsk]]/Tabulka[[#This Row],[15_vzpl]])</f>
        <v>7.0330940448113206E-3</v>
      </c>
      <c r="S15" s="255">
        <f ca="1">IF(Tabulka[[#This Row],[15_vzpl]]-Tabulka[[#This Row],[14_vzsk]]=0,"",Tabulka[[#This Row],[15_vzpl]]-Tabulka[[#This Row],[14_vzsk]])</f>
        <v>15530.342543286866</v>
      </c>
    </row>
    <row r="16" spans="1:19" x14ac:dyDescent="0.3">
      <c r="A16" s="254">
        <v>746</v>
      </c>
      <c r="B16" s="253" t="s">
        <v>678</v>
      </c>
      <c r="C16" s="2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0.25</v>
      </c>
      <c r="D16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6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6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6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144</v>
      </c>
      <c r="H16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34</v>
      </c>
      <c r="I16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6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1000</v>
      </c>
      <c r="K16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6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6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6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6" s="24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232339</v>
      </c>
      <c r="P16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6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6" s="256" t="str">
        <f ca="1">IF(Tabulka[[#This Row],[15_vzpl]]=0,"",Tabulka[[#This Row],[14_vzsk]]/Tabulka[[#This Row],[15_vzpl]])</f>
        <v/>
      </c>
      <c r="S16" s="255" t="str">
        <f ca="1">IF(Tabulka[[#This Row],[15_vzpl]]-Tabulka[[#This Row],[14_vzsk]]=0,"",Tabulka[[#This Row],[15_vzpl]]-Tabulka[[#This Row],[14_vzsk]])</f>
        <v/>
      </c>
    </row>
    <row r="17" spans="1:19" x14ac:dyDescent="0.3">
      <c r="A17" s="254" t="s">
        <v>665</v>
      </c>
      <c r="B17" s="253"/>
      <c r="C17" s="2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14</v>
      </c>
      <c r="D17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7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7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7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8288</v>
      </c>
      <c r="H17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74.75</v>
      </c>
      <c r="I17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7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1854</v>
      </c>
      <c r="K17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7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7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31202</v>
      </c>
      <c r="N17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31202</v>
      </c>
      <c r="O17" s="24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1794618</v>
      </c>
      <c r="P17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7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1666.6666666666667</v>
      </c>
      <c r="R17" s="256">
        <f ca="1">IF(Tabulka[[#This Row],[15_vzpl]]=0,"",Tabulka[[#This Row],[14_vzsk]]/Tabulka[[#This Row],[15_vzpl]])</f>
        <v>0</v>
      </c>
      <c r="S17" s="255">
        <f ca="1">IF(Tabulka[[#This Row],[15_vzpl]]-Tabulka[[#This Row],[14_vzsk]]=0,"",Tabulka[[#This Row],[15_vzpl]]-Tabulka[[#This Row],[14_vzsk]])</f>
        <v>1666.6666666666667</v>
      </c>
    </row>
    <row r="18" spans="1:19" x14ac:dyDescent="0.3">
      <c r="A18" s="254">
        <v>303</v>
      </c>
      <c r="B18" s="253" t="s">
        <v>679</v>
      </c>
      <c r="C18" s="2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18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8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8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8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18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8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8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8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8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8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8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8" s="24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P18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8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1666.6666666666667</v>
      </c>
      <c r="R18" s="256">
        <f ca="1">IF(Tabulka[[#This Row],[15_vzpl]]=0,"",Tabulka[[#This Row],[14_vzsk]]/Tabulka[[#This Row],[15_vzpl]])</f>
        <v>0</v>
      </c>
      <c r="S18" s="255">
        <f ca="1">IF(Tabulka[[#This Row],[15_vzpl]]-Tabulka[[#This Row],[14_vzsk]]=0,"",Tabulka[[#This Row],[15_vzpl]]-Tabulka[[#This Row],[14_vzsk]])</f>
        <v>1666.6666666666667</v>
      </c>
    </row>
    <row r="19" spans="1:19" x14ac:dyDescent="0.3">
      <c r="A19" s="254">
        <v>409</v>
      </c>
      <c r="B19" s="253" t="s">
        <v>680</v>
      </c>
      <c r="C19" s="2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9</v>
      </c>
      <c r="D19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9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9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9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5328</v>
      </c>
      <c r="H19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9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9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9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9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9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12654</v>
      </c>
      <c r="N19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12654</v>
      </c>
      <c r="O19" s="24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1129483</v>
      </c>
      <c r="P19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9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9" s="256" t="str">
        <f ca="1">IF(Tabulka[[#This Row],[15_vzpl]]=0,"",Tabulka[[#This Row],[14_vzsk]]/Tabulka[[#This Row],[15_vzpl]])</f>
        <v/>
      </c>
      <c r="S19" s="255" t="str">
        <f ca="1">IF(Tabulka[[#This Row],[15_vzpl]]-Tabulka[[#This Row],[14_vzsk]]=0,"",Tabulka[[#This Row],[15_vzpl]]-Tabulka[[#This Row],[14_vzsk]])</f>
        <v/>
      </c>
    </row>
    <row r="20" spans="1:19" x14ac:dyDescent="0.3">
      <c r="A20" s="254">
        <v>642</v>
      </c>
      <c r="B20" s="253" t="s">
        <v>681</v>
      </c>
      <c r="C20" s="2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5</v>
      </c>
      <c r="D20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0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0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0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2960</v>
      </c>
      <c r="H20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74.75</v>
      </c>
      <c r="I20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0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1854</v>
      </c>
      <c r="K20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0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0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18548</v>
      </c>
      <c r="N20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18548</v>
      </c>
      <c r="O20" s="24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665135</v>
      </c>
      <c r="P20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0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0" s="256" t="str">
        <f ca="1">IF(Tabulka[[#This Row],[15_vzpl]]=0,"",Tabulka[[#This Row],[14_vzsk]]/Tabulka[[#This Row],[15_vzpl]])</f>
        <v/>
      </c>
      <c r="S20" s="255" t="str">
        <f ca="1">IF(Tabulka[[#This Row],[15_vzpl]]-Tabulka[[#This Row],[14_vzsk]]=0,"",Tabulka[[#This Row],[15_vzpl]]-Tabulka[[#This Row],[14_vzsk]])</f>
        <v/>
      </c>
    </row>
    <row r="21" spans="1:19" x14ac:dyDescent="0.3">
      <c r="A21" s="254" t="s">
        <v>666</v>
      </c>
      <c r="B21" s="253"/>
      <c r="C21" s="2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</v>
      </c>
      <c r="D21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1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1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1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1800</v>
      </c>
      <c r="H21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</v>
      </c>
      <c r="I21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</v>
      </c>
      <c r="J21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1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1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1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22207</v>
      </c>
      <c r="N21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22207</v>
      </c>
      <c r="O21" s="24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328935</v>
      </c>
      <c r="P21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1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1" s="256" t="str">
        <f ca="1">IF(Tabulka[[#This Row],[15_vzpl]]=0,"",Tabulka[[#This Row],[14_vzsk]]/Tabulka[[#This Row],[15_vzpl]])</f>
        <v/>
      </c>
      <c r="S21" s="255" t="str">
        <f ca="1">IF(Tabulka[[#This Row],[15_vzpl]]-Tabulka[[#This Row],[14_vzsk]]=0,"",Tabulka[[#This Row],[15_vzpl]]-Tabulka[[#This Row],[14_vzsk]])</f>
        <v/>
      </c>
    </row>
    <row r="22" spans="1:19" x14ac:dyDescent="0.3">
      <c r="A22" s="254">
        <v>25</v>
      </c>
      <c r="B22" s="253" t="s">
        <v>682</v>
      </c>
      <c r="C22" s="2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0.5</v>
      </c>
      <c r="D22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2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2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2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344</v>
      </c>
      <c r="H22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2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</v>
      </c>
      <c r="J22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2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2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2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22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22" s="24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30322</v>
      </c>
      <c r="P22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2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2" s="256" t="str">
        <f ca="1">IF(Tabulka[[#This Row],[15_vzpl]]=0,"",Tabulka[[#This Row],[14_vzsk]]/Tabulka[[#This Row],[15_vzpl]])</f>
        <v/>
      </c>
      <c r="S22" s="255" t="str">
        <f ca="1">IF(Tabulka[[#This Row],[15_vzpl]]-Tabulka[[#This Row],[14_vzsk]]=0,"",Tabulka[[#This Row],[15_vzpl]]-Tabulka[[#This Row],[14_vzsk]])</f>
        <v/>
      </c>
    </row>
    <row r="23" spans="1:19" x14ac:dyDescent="0.3">
      <c r="A23" s="254">
        <v>30</v>
      </c>
      <c r="B23" s="253" t="s">
        <v>683</v>
      </c>
      <c r="C23" s="2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2.5</v>
      </c>
      <c r="D23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3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3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3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1456</v>
      </c>
      <c r="H23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3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</v>
      </c>
      <c r="J23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3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3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3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20954</v>
      </c>
      <c r="N23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20954</v>
      </c>
      <c r="O23" s="24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295760</v>
      </c>
      <c r="P23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3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3" s="256" t="str">
        <f ca="1">IF(Tabulka[[#This Row],[15_vzpl]]=0,"",Tabulka[[#This Row],[14_vzsk]]/Tabulka[[#This Row],[15_vzpl]])</f>
        <v/>
      </c>
      <c r="S23" s="255" t="str">
        <f ca="1">IF(Tabulka[[#This Row],[15_vzpl]]-Tabulka[[#This Row],[14_vzsk]]=0,"",Tabulka[[#This Row],[15_vzpl]]-Tabulka[[#This Row],[14_vzsk]])</f>
        <v/>
      </c>
    </row>
    <row r="24" spans="1:19" x14ac:dyDescent="0.3">
      <c r="A24" s="254">
        <v>640</v>
      </c>
      <c r="B24" s="253" t="s">
        <v>684</v>
      </c>
      <c r="C24" s="2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24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4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4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4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24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</v>
      </c>
      <c r="I24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4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4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4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4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1253</v>
      </c>
      <c r="N24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1253</v>
      </c>
      <c r="O24" s="24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2853</v>
      </c>
      <c r="P24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4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4" s="256" t="str">
        <f ca="1">IF(Tabulka[[#This Row],[15_vzpl]]=0,"",Tabulka[[#This Row],[14_vzsk]]/Tabulka[[#This Row],[15_vzpl]])</f>
        <v/>
      </c>
      <c r="S24" s="255" t="str">
        <f ca="1">IF(Tabulka[[#This Row],[15_vzpl]]-Tabulka[[#This Row],[14_vzsk]]=0,"",Tabulka[[#This Row],[15_vzpl]]-Tabulka[[#This Row],[14_vzsk]])</f>
        <v/>
      </c>
    </row>
    <row r="25" spans="1:19" x14ac:dyDescent="0.3">
      <c r="A25" t="s">
        <v>212</v>
      </c>
    </row>
    <row r="26" spans="1:19" x14ac:dyDescent="0.3">
      <c r="A26" s="88" t="s">
        <v>127</v>
      </c>
    </row>
    <row r="27" spans="1:19" x14ac:dyDescent="0.3">
      <c r="A27" s="89" t="s">
        <v>182</v>
      </c>
    </row>
    <row r="28" spans="1:19" x14ac:dyDescent="0.3">
      <c r="A28" s="246" t="s">
        <v>181</v>
      </c>
    </row>
    <row r="29" spans="1:19" x14ac:dyDescent="0.3">
      <c r="A29" s="203" t="s">
        <v>154</v>
      </c>
    </row>
    <row r="30" spans="1:19" x14ac:dyDescent="0.3">
      <c r="A30" s="205" t="s">
        <v>159</v>
      </c>
    </row>
  </sheetData>
  <mergeCells count="23"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</mergeCells>
  <conditionalFormatting sqref="S6:S24">
    <cfRule type="cellIs" dxfId="4" priority="3" operator="lessThan">
      <formula>0</formula>
    </cfRule>
  </conditionalFormatting>
  <conditionalFormatting sqref="R6:R24">
    <cfRule type="cellIs" dxfId="3" priority="4" operator="greaterThan">
      <formula>1</formula>
    </cfRule>
  </conditionalFormatting>
  <conditionalFormatting sqref="A8:S24">
    <cfRule type="expression" dxfId="2" priority="2">
      <formula>$B8=""</formula>
    </cfRule>
  </conditionalFormatting>
  <conditionalFormatting sqref="P8:S24">
    <cfRule type="expression" dxfId="1" priority="1">
      <formula>$B8&lt;&gt;""</formula>
    </cfRule>
  </conditionalFormatting>
  <dataValidations count="1">
    <dataValidation type="list" allowBlank="1" showInputMessage="1" showErrorMessage="1" sqref="A4:B4">
      <formula1>Obdobi</formula1>
    </dataValidation>
  </dataValidation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S68"/>
  <sheetViews>
    <sheetView workbookViewId="0"/>
  </sheetViews>
  <sheetFormatPr defaultRowHeight="14.4" x14ac:dyDescent="0.3"/>
  <cols>
    <col min="1" max="1" width="9.44140625" customWidth="1"/>
    <col min="5" max="5" width="10.21875" customWidth="1"/>
    <col min="6" max="6" width="11" customWidth="1"/>
    <col min="7" max="7" width="11.109375" customWidth="1"/>
    <col min="8" max="8" width="12.109375" customWidth="1"/>
    <col min="9" max="9" width="11.77734375" customWidth="1"/>
    <col min="10" max="10" width="12.77734375" customWidth="1"/>
    <col min="11" max="11" width="12.44140625" customWidth="1"/>
    <col min="12" max="12" width="10.77734375" customWidth="1"/>
    <col min="13" max="13" width="9.44140625" customWidth="1"/>
    <col min="14" max="15" width="9.6640625" customWidth="1"/>
    <col min="16" max="16" width="10" customWidth="1"/>
    <col min="17" max="17" width="9.77734375" customWidth="1"/>
    <col min="18" max="18" width="9.44140625" customWidth="1"/>
    <col min="19" max="19" width="9.21875" customWidth="1"/>
  </cols>
  <sheetData>
    <row r="1" spans="1:19" x14ac:dyDescent="0.3">
      <c r="A1" t="s">
        <v>671</v>
      </c>
    </row>
    <row r="2" spans="1:19" x14ac:dyDescent="0.3">
      <c r="A2" s="200" t="s">
        <v>235</v>
      </c>
    </row>
    <row r="3" spans="1:19" x14ac:dyDescent="0.3">
      <c r="A3" s="292" t="s">
        <v>131</v>
      </c>
      <c r="B3" s="291">
        <v>2018</v>
      </c>
      <c r="C3" t="s">
        <v>211</v>
      </c>
      <c r="D3" t="s">
        <v>202</v>
      </c>
      <c r="E3" t="s">
        <v>200</v>
      </c>
      <c r="F3" t="s">
        <v>199</v>
      </c>
      <c r="G3" t="s">
        <v>198</v>
      </c>
      <c r="H3" t="s">
        <v>197</v>
      </c>
      <c r="I3" t="s">
        <v>196</v>
      </c>
      <c r="J3" t="s">
        <v>195</v>
      </c>
      <c r="K3" t="s">
        <v>194</v>
      </c>
      <c r="L3" t="s">
        <v>193</v>
      </c>
      <c r="M3" t="s">
        <v>192</v>
      </c>
      <c r="N3" t="s">
        <v>191</v>
      </c>
      <c r="O3" t="s">
        <v>190</v>
      </c>
      <c r="P3" t="s">
        <v>189</v>
      </c>
      <c r="Q3" t="s">
        <v>188</v>
      </c>
      <c r="R3" t="s">
        <v>187</v>
      </c>
      <c r="S3" t="s">
        <v>186</v>
      </c>
    </row>
    <row r="4" spans="1:19" x14ac:dyDescent="0.3">
      <c r="A4" s="290" t="s">
        <v>132</v>
      </c>
      <c r="B4" s="289">
        <v>1</v>
      </c>
      <c r="C4" s="284">
        <v>1</v>
      </c>
      <c r="D4" s="284" t="s">
        <v>183</v>
      </c>
      <c r="E4" s="283">
        <v>7.8000000000000007</v>
      </c>
      <c r="F4" s="283"/>
      <c r="G4" s="283"/>
      <c r="H4" s="283"/>
      <c r="I4" s="283">
        <v>1390.4</v>
      </c>
      <c r="J4" s="283"/>
      <c r="K4" s="283"/>
      <c r="L4" s="283"/>
      <c r="M4" s="283"/>
      <c r="N4" s="283"/>
      <c r="O4" s="283">
        <v>62534</v>
      </c>
      <c r="P4" s="283">
        <v>62534</v>
      </c>
      <c r="Q4" s="283">
        <v>480281</v>
      </c>
      <c r="R4" s="283"/>
      <c r="S4" s="283">
        <v>1509.9581045570487</v>
      </c>
    </row>
    <row r="5" spans="1:19" x14ac:dyDescent="0.3">
      <c r="A5" s="288" t="s">
        <v>133</v>
      </c>
      <c r="B5" s="287">
        <v>2</v>
      </c>
      <c r="C5">
        <v>1</v>
      </c>
      <c r="D5">
        <v>99</v>
      </c>
      <c r="E5">
        <v>2.4000000000000004</v>
      </c>
      <c r="I5">
        <v>435.2</v>
      </c>
      <c r="Q5">
        <v>81623</v>
      </c>
      <c r="S5">
        <v>1509.9581045570487</v>
      </c>
    </row>
    <row r="6" spans="1:19" x14ac:dyDescent="0.3">
      <c r="A6" s="290" t="s">
        <v>134</v>
      </c>
      <c r="B6" s="289">
        <v>3</v>
      </c>
      <c r="C6">
        <v>1</v>
      </c>
      <c r="D6">
        <v>100</v>
      </c>
      <c r="E6">
        <v>1</v>
      </c>
      <c r="I6">
        <v>160</v>
      </c>
      <c r="Q6">
        <v>43763</v>
      </c>
    </row>
    <row r="7" spans="1:19" x14ac:dyDescent="0.3">
      <c r="A7" s="288" t="s">
        <v>135</v>
      </c>
      <c r="B7" s="287">
        <v>4</v>
      </c>
      <c r="C7">
        <v>1</v>
      </c>
      <c r="D7">
        <v>101</v>
      </c>
      <c r="E7">
        <v>4.4000000000000004</v>
      </c>
      <c r="I7">
        <v>795.2</v>
      </c>
      <c r="O7">
        <v>62534</v>
      </c>
      <c r="P7">
        <v>62534</v>
      </c>
      <c r="Q7">
        <v>354895</v>
      </c>
    </row>
    <row r="8" spans="1:19" x14ac:dyDescent="0.3">
      <c r="A8" s="290" t="s">
        <v>136</v>
      </c>
      <c r="B8" s="289">
        <v>5</v>
      </c>
      <c r="C8">
        <v>1</v>
      </c>
      <c r="D8" t="s">
        <v>664</v>
      </c>
      <c r="E8">
        <v>3.8</v>
      </c>
      <c r="I8">
        <v>614.4</v>
      </c>
      <c r="J8">
        <v>112.4</v>
      </c>
      <c r="K8">
        <v>33.6</v>
      </c>
      <c r="L8">
        <v>365</v>
      </c>
      <c r="O8">
        <v>16536</v>
      </c>
      <c r="P8">
        <v>16536</v>
      </c>
      <c r="Q8">
        <v>356986</v>
      </c>
      <c r="S8">
        <v>3910.0856358217166</v>
      </c>
    </row>
    <row r="9" spans="1:19" x14ac:dyDescent="0.3">
      <c r="A9" s="288" t="s">
        <v>137</v>
      </c>
      <c r="B9" s="287">
        <v>6</v>
      </c>
      <c r="C9">
        <v>1</v>
      </c>
      <c r="D9">
        <v>520</v>
      </c>
      <c r="O9">
        <v>4632</v>
      </c>
      <c r="P9">
        <v>4632</v>
      </c>
      <c r="Q9">
        <v>4632</v>
      </c>
    </row>
    <row r="10" spans="1:19" x14ac:dyDescent="0.3">
      <c r="A10" s="290" t="s">
        <v>138</v>
      </c>
      <c r="B10" s="289">
        <v>7</v>
      </c>
      <c r="C10">
        <v>1</v>
      </c>
      <c r="D10">
        <v>526</v>
      </c>
      <c r="E10">
        <v>2.8</v>
      </c>
      <c r="I10">
        <v>470.4</v>
      </c>
      <c r="J10">
        <v>78.400000000000006</v>
      </c>
      <c r="K10">
        <v>33.6</v>
      </c>
      <c r="L10">
        <v>98</v>
      </c>
      <c r="O10">
        <v>11904</v>
      </c>
      <c r="P10">
        <v>11904</v>
      </c>
      <c r="Q10">
        <v>244015</v>
      </c>
      <c r="S10">
        <v>3910.0856358217166</v>
      </c>
    </row>
    <row r="11" spans="1:19" x14ac:dyDescent="0.3">
      <c r="A11" s="288" t="s">
        <v>139</v>
      </c>
      <c r="B11" s="287">
        <v>8</v>
      </c>
      <c r="C11">
        <v>1</v>
      </c>
      <c r="D11">
        <v>746</v>
      </c>
      <c r="E11">
        <v>1</v>
      </c>
      <c r="I11">
        <v>144</v>
      </c>
      <c r="J11">
        <v>34</v>
      </c>
      <c r="L11">
        <v>267</v>
      </c>
      <c r="Q11">
        <v>108339</v>
      </c>
    </row>
    <row r="12" spans="1:19" x14ac:dyDescent="0.3">
      <c r="A12" s="290" t="s">
        <v>140</v>
      </c>
      <c r="B12" s="289">
        <v>9</v>
      </c>
      <c r="C12">
        <v>1</v>
      </c>
      <c r="D12" t="s">
        <v>665</v>
      </c>
      <c r="E12">
        <v>14</v>
      </c>
      <c r="I12">
        <v>2452</v>
      </c>
      <c r="J12">
        <v>3.75</v>
      </c>
      <c r="L12">
        <v>480</v>
      </c>
      <c r="O12">
        <v>2655</v>
      </c>
      <c r="P12">
        <v>2655</v>
      </c>
      <c r="Q12">
        <v>467077</v>
      </c>
      <c r="S12">
        <v>416.66666666666669</v>
      </c>
    </row>
    <row r="13" spans="1:19" x14ac:dyDescent="0.3">
      <c r="A13" s="288" t="s">
        <v>141</v>
      </c>
      <c r="B13" s="287">
        <v>10</v>
      </c>
      <c r="C13">
        <v>1</v>
      </c>
      <c r="D13">
        <v>303</v>
      </c>
      <c r="S13">
        <v>416.66666666666669</v>
      </c>
    </row>
    <row r="14" spans="1:19" x14ac:dyDescent="0.3">
      <c r="A14" s="290" t="s">
        <v>142</v>
      </c>
      <c r="B14" s="289">
        <v>11</v>
      </c>
      <c r="C14">
        <v>1</v>
      </c>
      <c r="D14">
        <v>409</v>
      </c>
      <c r="E14">
        <v>9</v>
      </c>
      <c r="I14">
        <v>1580</v>
      </c>
      <c r="Q14">
        <v>299670</v>
      </c>
    </row>
    <row r="15" spans="1:19" x14ac:dyDescent="0.3">
      <c r="A15" s="288" t="s">
        <v>143</v>
      </c>
      <c r="B15" s="287">
        <v>12</v>
      </c>
      <c r="C15">
        <v>1</v>
      </c>
      <c r="D15">
        <v>642</v>
      </c>
      <c r="E15">
        <v>5</v>
      </c>
      <c r="I15">
        <v>872</v>
      </c>
      <c r="J15">
        <v>3.75</v>
      </c>
      <c r="L15">
        <v>480</v>
      </c>
      <c r="O15">
        <v>2655</v>
      </c>
      <c r="P15">
        <v>2655</v>
      </c>
      <c r="Q15">
        <v>167407</v>
      </c>
    </row>
    <row r="16" spans="1:19" x14ac:dyDescent="0.3">
      <c r="A16" s="286" t="s">
        <v>131</v>
      </c>
      <c r="B16" s="285">
        <v>2018</v>
      </c>
      <c r="C16">
        <v>1</v>
      </c>
      <c r="D16" t="s">
        <v>666</v>
      </c>
      <c r="E16">
        <v>3</v>
      </c>
      <c r="I16">
        <v>536</v>
      </c>
      <c r="J16">
        <v>3</v>
      </c>
      <c r="O16">
        <v>7212</v>
      </c>
      <c r="P16">
        <v>7212</v>
      </c>
      <c r="Q16">
        <v>88818</v>
      </c>
    </row>
    <row r="17" spans="3:19" x14ac:dyDescent="0.3">
      <c r="C17">
        <v>1</v>
      </c>
      <c r="D17">
        <v>25</v>
      </c>
      <c r="E17">
        <v>0.5</v>
      </c>
      <c r="I17">
        <v>92</v>
      </c>
      <c r="Q17">
        <v>7470</v>
      </c>
    </row>
    <row r="18" spans="3:19" x14ac:dyDescent="0.3">
      <c r="C18">
        <v>1</v>
      </c>
      <c r="D18">
        <v>30</v>
      </c>
      <c r="E18">
        <v>2.5</v>
      </c>
      <c r="I18">
        <v>444</v>
      </c>
      <c r="O18">
        <v>5959</v>
      </c>
      <c r="P18">
        <v>5959</v>
      </c>
      <c r="Q18">
        <v>78495</v>
      </c>
    </row>
    <row r="19" spans="3:19" x14ac:dyDescent="0.3">
      <c r="C19">
        <v>1</v>
      </c>
      <c r="D19">
        <v>640</v>
      </c>
      <c r="J19">
        <v>3</v>
      </c>
      <c r="O19">
        <v>1253</v>
      </c>
      <c r="P19">
        <v>1253</v>
      </c>
      <c r="Q19">
        <v>2853</v>
      </c>
    </row>
    <row r="20" spans="3:19" x14ac:dyDescent="0.3">
      <c r="C20" t="s">
        <v>667</v>
      </c>
      <c r="E20">
        <v>28.6</v>
      </c>
      <c r="I20">
        <v>4992.8</v>
      </c>
      <c r="J20">
        <v>119.15</v>
      </c>
      <c r="K20">
        <v>33.6</v>
      </c>
      <c r="L20">
        <v>845</v>
      </c>
      <c r="O20">
        <v>88937</v>
      </c>
      <c r="P20">
        <v>88937</v>
      </c>
      <c r="Q20">
        <v>1393162</v>
      </c>
      <c r="S20">
        <v>5836.7104070454325</v>
      </c>
    </row>
    <row r="21" spans="3:19" x14ac:dyDescent="0.3">
      <c r="C21">
        <v>2</v>
      </c>
      <c r="D21" t="s">
        <v>183</v>
      </c>
      <c r="E21">
        <v>7.8000000000000007</v>
      </c>
      <c r="I21">
        <v>1155.2</v>
      </c>
      <c r="O21">
        <v>56050</v>
      </c>
      <c r="P21">
        <v>56050</v>
      </c>
      <c r="Q21">
        <v>476451</v>
      </c>
      <c r="R21">
        <v>110</v>
      </c>
      <c r="S21">
        <v>1509.9581045570487</v>
      </c>
    </row>
    <row r="22" spans="3:19" x14ac:dyDescent="0.3">
      <c r="C22">
        <v>2</v>
      </c>
      <c r="D22">
        <v>99</v>
      </c>
      <c r="E22">
        <v>2.4</v>
      </c>
      <c r="I22">
        <v>371.2</v>
      </c>
      <c r="Q22">
        <v>85230</v>
      </c>
      <c r="R22">
        <v>110</v>
      </c>
      <c r="S22">
        <v>1509.9581045570487</v>
      </c>
    </row>
    <row r="23" spans="3:19" x14ac:dyDescent="0.3">
      <c r="C23">
        <v>2</v>
      </c>
      <c r="D23">
        <v>100</v>
      </c>
      <c r="E23">
        <v>1</v>
      </c>
      <c r="I23">
        <v>136</v>
      </c>
      <c r="Q23">
        <v>42918</v>
      </c>
    </row>
    <row r="24" spans="3:19" x14ac:dyDescent="0.3">
      <c r="C24">
        <v>2</v>
      </c>
      <c r="D24">
        <v>101</v>
      </c>
      <c r="E24">
        <v>4.4000000000000004</v>
      </c>
      <c r="I24">
        <v>648</v>
      </c>
      <c r="O24">
        <v>56050</v>
      </c>
      <c r="P24">
        <v>56050</v>
      </c>
      <c r="Q24">
        <v>348303</v>
      </c>
    </row>
    <row r="25" spans="3:19" x14ac:dyDescent="0.3">
      <c r="C25">
        <v>2</v>
      </c>
      <c r="D25" t="s">
        <v>664</v>
      </c>
      <c r="E25">
        <v>3.8</v>
      </c>
      <c r="I25">
        <v>540</v>
      </c>
      <c r="J25">
        <v>134</v>
      </c>
      <c r="K25">
        <v>32</v>
      </c>
      <c r="L25">
        <v>282</v>
      </c>
      <c r="O25">
        <v>18456</v>
      </c>
      <c r="P25">
        <v>18456</v>
      </c>
      <c r="Q25">
        <v>360375</v>
      </c>
      <c r="R25">
        <v>110</v>
      </c>
      <c r="S25">
        <v>3910.0856358217166</v>
      </c>
    </row>
    <row r="26" spans="3:19" x14ac:dyDescent="0.3">
      <c r="C26">
        <v>2</v>
      </c>
      <c r="D26">
        <v>521</v>
      </c>
      <c r="O26">
        <v>4632</v>
      </c>
      <c r="P26">
        <v>4632</v>
      </c>
      <c r="Q26">
        <v>4632</v>
      </c>
    </row>
    <row r="27" spans="3:19" x14ac:dyDescent="0.3">
      <c r="C27">
        <v>2</v>
      </c>
      <c r="D27">
        <v>526</v>
      </c>
      <c r="E27">
        <v>3.8</v>
      </c>
      <c r="I27">
        <v>540</v>
      </c>
      <c r="J27">
        <v>134</v>
      </c>
      <c r="K27">
        <v>32</v>
      </c>
      <c r="L27">
        <v>94</v>
      </c>
      <c r="O27">
        <v>13824</v>
      </c>
      <c r="P27">
        <v>13824</v>
      </c>
      <c r="Q27">
        <v>325143</v>
      </c>
      <c r="R27">
        <v>110</v>
      </c>
      <c r="S27">
        <v>3910.0856358217166</v>
      </c>
    </row>
    <row r="28" spans="3:19" x14ac:dyDescent="0.3">
      <c r="C28">
        <v>2</v>
      </c>
      <c r="D28">
        <v>746</v>
      </c>
      <c r="L28">
        <v>188</v>
      </c>
      <c r="Q28">
        <v>30600</v>
      </c>
    </row>
    <row r="29" spans="3:19" x14ac:dyDescent="0.3">
      <c r="C29">
        <v>2</v>
      </c>
      <c r="D29" t="s">
        <v>665</v>
      </c>
      <c r="E29">
        <v>14</v>
      </c>
      <c r="I29">
        <v>1776</v>
      </c>
      <c r="J29">
        <v>26</v>
      </c>
      <c r="L29">
        <v>415</v>
      </c>
      <c r="O29">
        <v>2231</v>
      </c>
      <c r="P29">
        <v>2231</v>
      </c>
      <c r="Q29">
        <v>424807</v>
      </c>
      <c r="S29">
        <v>416.66666666666669</v>
      </c>
    </row>
    <row r="30" spans="3:19" x14ac:dyDescent="0.3">
      <c r="C30">
        <v>2</v>
      </c>
      <c r="D30">
        <v>303</v>
      </c>
      <c r="S30">
        <v>416.66666666666669</v>
      </c>
    </row>
    <row r="31" spans="3:19" x14ac:dyDescent="0.3">
      <c r="C31">
        <v>2</v>
      </c>
      <c r="D31">
        <v>409</v>
      </c>
      <c r="E31">
        <v>9</v>
      </c>
      <c r="I31">
        <v>1104</v>
      </c>
      <c r="Q31">
        <v>264492</v>
      </c>
    </row>
    <row r="32" spans="3:19" x14ac:dyDescent="0.3">
      <c r="C32">
        <v>2</v>
      </c>
      <c r="D32">
        <v>642</v>
      </c>
      <c r="E32">
        <v>5</v>
      </c>
      <c r="I32">
        <v>672</v>
      </c>
      <c r="J32">
        <v>26</v>
      </c>
      <c r="L32">
        <v>415</v>
      </c>
      <c r="O32">
        <v>2231</v>
      </c>
      <c r="P32">
        <v>2231</v>
      </c>
      <c r="Q32">
        <v>160315</v>
      </c>
    </row>
    <row r="33" spans="3:19" x14ac:dyDescent="0.3">
      <c r="C33">
        <v>2</v>
      </c>
      <c r="D33" t="s">
        <v>666</v>
      </c>
      <c r="E33">
        <v>3</v>
      </c>
      <c r="I33">
        <v>392</v>
      </c>
      <c r="O33">
        <v>4270</v>
      </c>
      <c r="P33">
        <v>4270</v>
      </c>
      <c r="Q33">
        <v>83041</v>
      </c>
    </row>
    <row r="34" spans="3:19" x14ac:dyDescent="0.3">
      <c r="C34">
        <v>2</v>
      </c>
      <c r="D34">
        <v>25</v>
      </c>
      <c r="E34">
        <v>0.5</v>
      </c>
      <c r="I34">
        <v>80</v>
      </c>
      <c r="Q34">
        <v>7470</v>
      </c>
    </row>
    <row r="35" spans="3:19" x14ac:dyDescent="0.3">
      <c r="C35">
        <v>2</v>
      </c>
      <c r="D35">
        <v>30</v>
      </c>
      <c r="E35">
        <v>2.5</v>
      </c>
      <c r="I35">
        <v>312</v>
      </c>
      <c r="O35">
        <v>4270</v>
      </c>
      <c r="P35">
        <v>4270</v>
      </c>
      <c r="Q35">
        <v>75571</v>
      </c>
    </row>
    <row r="36" spans="3:19" x14ac:dyDescent="0.3">
      <c r="C36" t="s">
        <v>668</v>
      </c>
      <c r="E36">
        <v>28.6</v>
      </c>
      <c r="I36">
        <v>3863.2</v>
      </c>
      <c r="J36">
        <v>160</v>
      </c>
      <c r="K36">
        <v>32</v>
      </c>
      <c r="L36">
        <v>697</v>
      </c>
      <c r="O36">
        <v>81007</v>
      </c>
      <c r="P36">
        <v>81007</v>
      </c>
      <c r="Q36">
        <v>1344674</v>
      </c>
      <c r="R36">
        <v>220</v>
      </c>
      <c r="S36">
        <v>5836.7104070454325</v>
      </c>
    </row>
    <row r="37" spans="3:19" x14ac:dyDescent="0.3">
      <c r="C37">
        <v>3</v>
      </c>
      <c r="D37" t="s">
        <v>183</v>
      </c>
      <c r="E37">
        <v>7.8000000000000007</v>
      </c>
      <c r="I37">
        <v>1151.2</v>
      </c>
      <c r="O37">
        <v>47712</v>
      </c>
      <c r="P37">
        <v>47712</v>
      </c>
      <c r="Q37">
        <v>465218</v>
      </c>
      <c r="S37">
        <v>1509.9581045570487</v>
      </c>
    </row>
    <row r="38" spans="3:19" x14ac:dyDescent="0.3">
      <c r="C38">
        <v>3</v>
      </c>
      <c r="D38">
        <v>99</v>
      </c>
      <c r="E38">
        <v>2.4</v>
      </c>
      <c r="I38">
        <v>371.2</v>
      </c>
      <c r="Q38">
        <v>79740</v>
      </c>
      <c r="S38">
        <v>1509.9581045570487</v>
      </c>
    </row>
    <row r="39" spans="3:19" x14ac:dyDescent="0.3">
      <c r="C39">
        <v>3</v>
      </c>
      <c r="D39">
        <v>100</v>
      </c>
      <c r="E39">
        <v>1</v>
      </c>
      <c r="I39">
        <v>96</v>
      </c>
      <c r="Q39">
        <v>44179</v>
      </c>
    </row>
    <row r="40" spans="3:19" x14ac:dyDescent="0.3">
      <c r="C40">
        <v>3</v>
      </c>
      <c r="D40">
        <v>101</v>
      </c>
      <c r="E40">
        <v>4.4000000000000004</v>
      </c>
      <c r="I40">
        <v>684</v>
      </c>
      <c r="O40">
        <v>47712</v>
      </c>
      <c r="P40">
        <v>47712</v>
      </c>
      <c r="Q40">
        <v>341299</v>
      </c>
    </row>
    <row r="41" spans="3:19" x14ac:dyDescent="0.3">
      <c r="C41">
        <v>3</v>
      </c>
      <c r="D41" t="s">
        <v>664</v>
      </c>
      <c r="E41">
        <v>3.8</v>
      </c>
      <c r="I41">
        <v>636.79999999999995</v>
      </c>
      <c r="J41">
        <v>145.80000000000001</v>
      </c>
      <c r="K41">
        <v>27.2</v>
      </c>
      <c r="L41">
        <v>342</v>
      </c>
      <c r="O41">
        <v>13568</v>
      </c>
      <c r="P41">
        <v>13568</v>
      </c>
      <c r="Q41">
        <v>372819</v>
      </c>
      <c r="S41">
        <v>3910.0856358217166</v>
      </c>
    </row>
    <row r="42" spans="3:19" x14ac:dyDescent="0.3">
      <c r="C42">
        <v>3</v>
      </c>
      <c r="D42">
        <v>526</v>
      </c>
      <c r="E42">
        <v>3.8</v>
      </c>
      <c r="I42">
        <v>636.79999999999995</v>
      </c>
      <c r="J42">
        <v>145.80000000000001</v>
      </c>
      <c r="K42">
        <v>27.2</v>
      </c>
      <c r="L42">
        <v>121</v>
      </c>
      <c r="O42">
        <v>13568</v>
      </c>
      <c r="P42">
        <v>13568</v>
      </c>
      <c r="Q42">
        <v>334869</v>
      </c>
      <c r="S42">
        <v>3910.0856358217166</v>
      </c>
    </row>
    <row r="43" spans="3:19" x14ac:dyDescent="0.3">
      <c r="C43">
        <v>3</v>
      </c>
      <c r="D43">
        <v>746</v>
      </c>
      <c r="L43">
        <v>221</v>
      </c>
      <c r="Q43">
        <v>37950</v>
      </c>
    </row>
    <row r="44" spans="3:19" x14ac:dyDescent="0.3">
      <c r="C44">
        <v>3</v>
      </c>
      <c r="D44" t="s">
        <v>665</v>
      </c>
      <c r="E44">
        <v>14</v>
      </c>
      <c r="I44">
        <v>2056</v>
      </c>
      <c r="J44">
        <v>16</v>
      </c>
      <c r="L44">
        <v>482</v>
      </c>
      <c r="O44">
        <v>11689</v>
      </c>
      <c r="P44">
        <v>11689</v>
      </c>
      <c r="Q44">
        <v>450269</v>
      </c>
      <c r="S44">
        <v>416.66666666666669</v>
      </c>
    </row>
    <row r="45" spans="3:19" x14ac:dyDescent="0.3">
      <c r="C45">
        <v>3</v>
      </c>
      <c r="D45">
        <v>303</v>
      </c>
      <c r="S45">
        <v>416.66666666666669</v>
      </c>
    </row>
    <row r="46" spans="3:19" x14ac:dyDescent="0.3">
      <c r="C46">
        <v>3</v>
      </c>
      <c r="D46">
        <v>409</v>
      </c>
      <c r="E46">
        <v>9</v>
      </c>
      <c r="I46">
        <v>1360</v>
      </c>
      <c r="O46">
        <v>750</v>
      </c>
      <c r="P46">
        <v>750</v>
      </c>
      <c r="Q46">
        <v>287293</v>
      </c>
    </row>
    <row r="47" spans="3:19" x14ac:dyDescent="0.3">
      <c r="C47">
        <v>3</v>
      </c>
      <c r="D47">
        <v>642</v>
      </c>
      <c r="E47">
        <v>5</v>
      </c>
      <c r="I47">
        <v>696</v>
      </c>
      <c r="J47">
        <v>16</v>
      </c>
      <c r="L47">
        <v>482</v>
      </c>
      <c r="O47">
        <v>10939</v>
      </c>
      <c r="P47">
        <v>10939</v>
      </c>
      <c r="Q47">
        <v>162976</v>
      </c>
    </row>
    <row r="48" spans="3:19" x14ac:dyDescent="0.3">
      <c r="C48">
        <v>3</v>
      </c>
      <c r="D48" t="s">
        <v>666</v>
      </c>
      <c r="E48">
        <v>3</v>
      </c>
      <c r="I48">
        <v>384</v>
      </c>
      <c r="O48">
        <v>3476</v>
      </c>
      <c r="P48">
        <v>3476</v>
      </c>
      <c r="Q48">
        <v>67243</v>
      </c>
    </row>
    <row r="49" spans="3:19" x14ac:dyDescent="0.3">
      <c r="C49">
        <v>3</v>
      </c>
      <c r="D49">
        <v>25</v>
      </c>
      <c r="E49">
        <v>0.5</v>
      </c>
      <c r="I49">
        <v>88</v>
      </c>
      <c r="Q49">
        <v>7470</v>
      </c>
    </row>
    <row r="50" spans="3:19" x14ac:dyDescent="0.3">
      <c r="C50">
        <v>3</v>
      </c>
      <c r="D50">
        <v>30</v>
      </c>
      <c r="E50">
        <v>2.5</v>
      </c>
      <c r="I50">
        <v>296</v>
      </c>
      <c r="O50">
        <v>3476</v>
      </c>
      <c r="P50">
        <v>3476</v>
      </c>
      <c r="Q50">
        <v>59773</v>
      </c>
    </row>
    <row r="51" spans="3:19" x14ac:dyDescent="0.3">
      <c r="C51" t="s">
        <v>669</v>
      </c>
      <c r="E51">
        <v>28.6</v>
      </c>
      <c r="I51">
        <v>4228</v>
      </c>
      <c r="J51">
        <v>161.80000000000001</v>
      </c>
      <c r="K51">
        <v>27.2</v>
      </c>
      <c r="L51">
        <v>824</v>
      </c>
      <c r="O51">
        <v>76445</v>
      </c>
      <c r="P51">
        <v>76445</v>
      </c>
      <c r="Q51">
        <v>1355549</v>
      </c>
      <c r="S51">
        <v>5836.7104070454325</v>
      </c>
    </row>
    <row r="52" spans="3:19" x14ac:dyDescent="0.3">
      <c r="C52">
        <v>4</v>
      </c>
      <c r="D52" t="s">
        <v>183</v>
      </c>
      <c r="E52">
        <v>7.8000000000000007</v>
      </c>
      <c r="I52">
        <v>1247.2</v>
      </c>
      <c r="J52">
        <v>16</v>
      </c>
      <c r="O52">
        <v>67859</v>
      </c>
      <c r="P52">
        <v>67859</v>
      </c>
      <c r="Q52">
        <v>502852</v>
      </c>
      <c r="S52">
        <v>1509.9581045570487</v>
      </c>
    </row>
    <row r="53" spans="3:19" x14ac:dyDescent="0.3">
      <c r="C53">
        <v>4</v>
      </c>
      <c r="D53">
        <v>99</v>
      </c>
      <c r="E53">
        <v>2.4</v>
      </c>
      <c r="I53">
        <v>371.2</v>
      </c>
      <c r="Q53">
        <v>85714</v>
      </c>
      <c r="S53">
        <v>1509.9581045570487</v>
      </c>
    </row>
    <row r="54" spans="3:19" x14ac:dyDescent="0.3">
      <c r="C54">
        <v>4</v>
      </c>
      <c r="D54">
        <v>100</v>
      </c>
      <c r="E54">
        <v>1</v>
      </c>
      <c r="I54">
        <v>168</v>
      </c>
      <c r="Q54">
        <v>43220</v>
      </c>
    </row>
    <row r="55" spans="3:19" x14ac:dyDescent="0.3">
      <c r="C55">
        <v>4</v>
      </c>
      <c r="D55">
        <v>101</v>
      </c>
      <c r="E55">
        <v>4.4000000000000004</v>
      </c>
      <c r="I55">
        <v>708</v>
      </c>
      <c r="J55">
        <v>16</v>
      </c>
      <c r="O55">
        <v>67859</v>
      </c>
      <c r="P55">
        <v>67859</v>
      </c>
      <c r="Q55">
        <v>373918</v>
      </c>
    </row>
    <row r="56" spans="3:19" x14ac:dyDescent="0.3">
      <c r="C56">
        <v>4</v>
      </c>
      <c r="D56" t="s">
        <v>664</v>
      </c>
      <c r="E56">
        <v>3.8</v>
      </c>
      <c r="I56">
        <v>608</v>
      </c>
      <c r="J56">
        <v>110</v>
      </c>
      <c r="K56">
        <v>32</v>
      </c>
      <c r="L56">
        <v>324</v>
      </c>
      <c r="O56">
        <v>16617</v>
      </c>
      <c r="P56">
        <v>16617</v>
      </c>
      <c r="Q56">
        <v>353622</v>
      </c>
      <c r="S56">
        <v>3910.0856358217166</v>
      </c>
    </row>
    <row r="57" spans="3:19" x14ac:dyDescent="0.3">
      <c r="C57">
        <v>4</v>
      </c>
      <c r="D57">
        <v>520</v>
      </c>
      <c r="O57">
        <v>3474</v>
      </c>
      <c r="P57">
        <v>3474</v>
      </c>
      <c r="Q57">
        <v>4169</v>
      </c>
    </row>
    <row r="58" spans="3:19" x14ac:dyDescent="0.3">
      <c r="C58">
        <v>4</v>
      </c>
      <c r="D58">
        <v>521</v>
      </c>
      <c r="O58">
        <v>695</v>
      </c>
      <c r="P58">
        <v>695</v>
      </c>
    </row>
    <row r="59" spans="3:19" x14ac:dyDescent="0.3">
      <c r="C59">
        <v>4</v>
      </c>
      <c r="D59">
        <v>526</v>
      </c>
      <c r="E59">
        <v>3.8</v>
      </c>
      <c r="I59">
        <v>608</v>
      </c>
      <c r="J59">
        <v>110</v>
      </c>
      <c r="K59">
        <v>32</v>
      </c>
      <c r="O59">
        <v>12448</v>
      </c>
      <c r="P59">
        <v>12448</v>
      </c>
      <c r="Q59">
        <v>294003</v>
      </c>
      <c r="S59">
        <v>3910.0856358217166</v>
      </c>
    </row>
    <row r="60" spans="3:19" x14ac:dyDescent="0.3">
      <c r="C60">
        <v>4</v>
      </c>
      <c r="D60">
        <v>746</v>
      </c>
      <c r="L60">
        <v>324</v>
      </c>
      <c r="Q60">
        <v>55450</v>
      </c>
    </row>
    <row r="61" spans="3:19" x14ac:dyDescent="0.3">
      <c r="C61">
        <v>4</v>
      </c>
      <c r="D61" t="s">
        <v>665</v>
      </c>
      <c r="E61">
        <v>14</v>
      </c>
      <c r="I61">
        <v>2004</v>
      </c>
      <c r="J61">
        <v>29</v>
      </c>
      <c r="L61">
        <v>477</v>
      </c>
      <c r="O61">
        <v>14627</v>
      </c>
      <c r="P61">
        <v>14627</v>
      </c>
      <c r="Q61">
        <v>452465</v>
      </c>
      <c r="S61">
        <v>416.66666666666669</v>
      </c>
    </row>
    <row r="62" spans="3:19" x14ac:dyDescent="0.3">
      <c r="C62">
        <v>4</v>
      </c>
      <c r="D62">
        <v>303</v>
      </c>
      <c r="S62">
        <v>416.66666666666669</v>
      </c>
    </row>
    <row r="63" spans="3:19" x14ac:dyDescent="0.3">
      <c r="C63">
        <v>4</v>
      </c>
      <c r="D63">
        <v>409</v>
      </c>
      <c r="E63">
        <v>9</v>
      </c>
      <c r="I63">
        <v>1284</v>
      </c>
      <c r="O63">
        <v>11904</v>
      </c>
      <c r="P63">
        <v>11904</v>
      </c>
      <c r="Q63">
        <v>278028</v>
      </c>
    </row>
    <row r="64" spans="3:19" x14ac:dyDescent="0.3">
      <c r="C64">
        <v>4</v>
      </c>
      <c r="D64">
        <v>642</v>
      </c>
      <c r="E64">
        <v>5</v>
      </c>
      <c r="I64">
        <v>720</v>
      </c>
      <c r="J64">
        <v>29</v>
      </c>
      <c r="L64">
        <v>477</v>
      </c>
      <c r="O64">
        <v>2723</v>
      </c>
      <c r="P64">
        <v>2723</v>
      </c>
      <c r="Q64">
        <v>174437</v>
      </c>
    </row>
    <row r="65" spans="3:19" x14ac:dyDescent="0.3">
      <c r="C65">
        <v>4</v>
      </c>
      <c r="D65" t="s">
        <v>666</v>
      </c>
      <c r="E65">
        <v>3</v>
      </c>
      <c r="I65">
        <v>488</v>
      </c>
      <c r="K65">
        <v>12</v>
      </c>
      <c r="O65">
        <v>7249</v>
      </c>
      <c r="P65">
        <v>7249</v>
      </c>
      <c r="Q65">
        <v>89833</v>
      </c>
    </row>
    <row r="66" spans="3:19" x14ac:dyDescent="0.3">
      <c r="C66">
        <v>4</v>
      </c>
      <c r="D66">
        <v>25</v>
      </c>
      <c r="E66">
        <v>0.5</v>
      </c>
      <c r="I66">
        <v>84</v>
      </c>
      <c r="K66">
        <v>4</v>
      </c>
      <c r="Q66">
        <v>7912</v>
      </c>
    </row>
    <row r="67" spans="3:19" x14ac:dyDescent="0.3">
      <c r="C67">
        <v>4</v>
      </c>
      <c r="D67">
        <v>30</v>
      </c>
      <c r="E67">
        <v>2.5</v>
      </c>
      <c r="I67">
        <v>404</v>
      </c>
      <c r="K67">
        <v>8</v>
      </c>
      <c r="O67">
        <v>7249</v>
      </c>
      <c r="P67">
        <v>7249</v>
      </c>
      <c r="Q67">
        <v>81921</v>
      </c>
    </row>
    <row r="68" spans="3:19" x14ac:dyDescent="0.3">
      <c r="C68" t="s">
        <v>670</v>
      </c>
      <c r="E68">
        <v>28.6</v>
      </c>
      <c r="I68">
        <v>4347.2</v>
      </c>
      <c r="J68">
        <v>155</v>
      </c>
      <c r="K68">
        <v>44</v>
      </c>
      <c r="L68">
        <v>801</v>
      </c>
      <c r="O68">
        <v>106352</v>
      </c>
      <c r="P68">
        <v>106352</v>
      </c>
      <c r="Q68">
        <v>1398772</v>
      </c>
      <c r="S68">
        <v>5836.7104070454325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  <tableParts count="1">
    <tablePart r:id="rId1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outlinePr summaryRight="0"/>
    <pageSetUpPr fitToPage="1"/>
  </sheetPr>
  <dimension ref="A1:AB16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RowHeight="14.4" customHeight="1" outlineLevelCol="1" x14ac:dyDescent="0.3"/>
  <cols>
    <col min="1" max="1" width="50" style="104" customWidth="1" collapsed="1"/>
    <col min="2" max="2" width="7.77734375" style="81" hidden="1" customWidth="1" outlineLevel="1"/>
    <col min="3" max="4" width="5.44140625" style="104" hidden="1" customWidth="1"/>
    <col min="5" max="5" width="7.77734375" style="81" customWidth="1"/>
    <col min="6" max="6" width="7.77734375" style="81" hidden="1" customWidth="1"/>
    <col min="7" max="7" width="5.44140625" style="104" hidden="1" customWidth="1"/>
    <col min="8" max="8" width="7.77734375" style="81" customWidth="1" collapsed="1"/>
    <col min="9" max="9" width="7.77734375" style="183" hidden="1" customWidth="1" outlineLevel="1"/>
    <col min="10" max="10" width="7.77734375" style="183" customWidth="1" collapsed="1"/>
    <col min="11" max="12" width="7.77734375" style="81" hidden="1" customWidth="1"/>
    <col min="13" max="13" width="5.44140625" style="104" hidden="1" customWidth="1"/>
    <col min="14" max="14" width="7.77734375" style="81" customWidth="1"/>
    <col min="15" max="15" width="7.77734375" style="81" hidden="1" customWidth="1"/>
    <col min="16" max="16" width="5.44140625" style="104" hidden="1" customWidth="1"/>
    <col min="17" max="17" width="7.77734375" style="81" customWidth="1" collapsed="1"/>
    <col min="18" max="18" width="7.77734375" style="183" hidden="1" customWidth="1" outlineLevel="1"/>
    <col min="19" max="19" width="7.77734375" style="183" customWidth="1" collapsed="1"/>
    <col min="20" max="21" width="7.77734375" style="81" hidden="1" customWidth="1"/>
    <col min="22" max="22" width="5" style="104" hidden="1" customWidth="1"/>
    <col min="23" max="23" width="7.77734375" style="81" customWidth="1"/>
    <col min="24" max="24" width="7.77734375" style="81" hidden="1" customWidth="1"/>
    <col min="25" max="25" width="5" style="104" hidden="1" customWidth="1"/>
    <col min="26" max="26" width="7.77734375" style="81" customWidth="1" collapsed="1"/>
    <col min="27" max="27" width="7.77734375" style="183" hidden="1" customWidth="1" outlineLevel="1"/>
    <col min="28" max="28" width="7.77734375" style="183" customWidth="1" collapsed="1"/>
    <col min="29" max="16384" width="8.88671875" style="104"/>
  </cols>
  <sheetData>
    <row r="1" spans="1:28" ht="18.600000000000001" customHeight="1" thickBot="1" x14ac:dyDescent="0.4">
      <c r="A1" s="381" t="s">
        <v>689</v>
      </c>
      <c r="B1" s="297"/>
      <c r="C1" s="297"/>
      <c r="D1" s="297"/>
      <c r="E1" s="297"/>
      <c r="F1" s="297"/>
      <c r="G1" s="297"/>
      <c r="H1" s="297"/>
      <c r="I1" s="297"/>
      <c r="J1" s="297"/>
      <c r="K1" s="297"/>
      <c r="L1" s="297"/>
      <c r="M1" s="297"/>
      <c r="N1" s="297"/>
      <c r="O1" s="297"/>
      <c r="P1" s="297"/>
      <c r="Q1" s="297"/>
      <c r="R1" s="297"/>
      <c r="S1" s="297"/>
      <c r="T1" s="297"/>
      <c r="U1" s="297"/>
      <c r="V1" s="297"/>
      <c r="W1" s="297"/>
      <c r="X1" s="297"/>
      <c r="Y1" s="297"/>
      <c r="Z1" s="297"/>
      <c r="AA1" s="297"/>
      <c r="AB1" s="297"/>
    </row>
    <row r="2" spans="1:28" ht="14.4" customHeight="1" thickBot="1" x14ac:dyDescent="0.35">
      <c r="A2" s="200" t="s">
        <v>235</v>
      </c>
      <c r="B2" s="86"/>
      <c r="C2" s="86"/>
      <c r="D2" s="86"/>
      <c r="E2" s="86"/>
      <c r="F2" s="86"/>
      <c r="G2" s="86"/>
      <c r="H2" s="86"/>
      <c r="I2" s="195"/>
      <c r="J2" s="195"/>
      <c r="K2" s="86"/>
      <c r="L2" s="86"/>
      <c r="M2" s="86"/>
      <c r="N2" s="86"/>
      <c r="O2" s="86"/>
      <c r="P2" s="86"/>
      <c r="Q2" s="86"/>
      <c r="R2" s="195"/>
      <c r="S2" s="195"/>
      <c r="T2" s="86"/>
      <c r="U2" s="86"/>
      <c r="V2" s="86"/>
      <c r="W2" s="86"/>
      <c r="X2" s="86"/>
      <c r="Y2" s="86"/>
      <c r="Z2" s="86"/>
      <c r="AA2" s="195"/>
      <c r="AB2" s="195"/>
    </row>
    <row r="3" spans="1:28" ht="14.4" customHeight="1" thickBot="1" x14ac:dyDescent="0.35">
      <c r="A3" s="188" t="s">
        <v>111</v>
      </c>
      <c r="B3" s="189">
        <f>SUBTOTAL(9,B6:B1048576)/4</f>
        <v>6608387</v>
      </c>
      <c r="C3" s="190">
        <f t="shared" ref="C3:Z3" si="0">SUBTOTAL(9,C6:C1048576)</f>
        <v>6</v>
      </c>
      <c r="D3" s="190"/>
      <c r="E3" s="190">
        <f>SUBTOTAL(9,E6:E1048576)/4</f>
        <v>7124314</v>
      </c>
      <c r="F3" s="190"/>
      <c r="G3" s="190">
        <f t="shared" si="0"/>
        <v>6</v>
      </c>
      <c r="H3" s="190">
        <f>SUBTOTAL(9,H6:H1048576)/4</f>
        <v>7724913</v>
      </c>
      <c r="I3" s="193">
        <f>IF(B3&lt;&gt;0,H3/B3,"")</f>
        <v>1.1689559040655457</v>
      </c>
      <c r="J3" s="191">
        <f>IF(E3&lt;&gt;0,H3/E3,"")</f>
        <v>1.0843027132156162</v>
      </c>
      <c r="K3" s="192">
        <f t="shared" si="0"/>
        <v>0</v>
      </c>
      <c r="L3" s="192"/>
      <c r="M3" s="190">
        <f t="shared" si="0"/>
        <v>0</v>
      </c>
      <c r="N3" s="190">
        <f t="shared" si="0"/>
        <v>0</v>
      </c>
      <c r="O3" s="190"/>
      <c r="P3" s="190">
        <f t="shared" si="0"/>
        <v>0</v>
      </c>
      <c r="Q3" s="190">
        <f t="shared" si="0"/>
        <v>0</v>
      </c>
      <c r="R3" s="193" t="str">
        <f>IF(K3&lt;&gt;0,Q3/K3,"")</f>
        <v/>
      </c>
      <c r="S3" s="193" t="str">
        <f>IF(N3&lt;&gt;0,Q3/N3,"")</f>
        <v/>
      </c>
      <c r="T3" s="189">
        <f t="shared" si="0"/>
        <v>0</v>
      </c>
      <c r="U3" s="192"/>
      <c r="V3" s="190">
        <f t="shared" si="0"/>
        <v>0</v>
      </c>
      <c r="W3" s="190">
        <f t="shared" si="0"/>
        <v>0</v>
      </c>
      <c r="X3" s="190"/>
      <c r="Y3" s="190">
        <f t="shared" si="0"/>
        <v>0</v>
      </c>
      <c r="Z3" s="190">
        <f t="shared" si="0"/>
        <v>0</v>
      </c>
      <c r="AA3" s="193" t="str">
        <f>IF(T3&lt;&gt;0,Z3/T3,"")</f>
        <v/>
      </c>
      <c r="AB3" s="191" t="str">
        <f>IF(W3&lt;&gt;0,Z3/W3,"")</f>
        <v/>
      </c>
    </row>
    <row r="4" spans="1:28" ht="14.4" customHeight="1" x14ac:dyDescent="0.3">
      <c r="A4" s="382" t="s">
        <v>175</v>
      </c>
      <c r="B4" s="383" t="s">
        <v>84</v>
      </c>
      <c r="C4" s="384"/>
      <c r="D4" s="385"/>
      <c r="E4" s="384"/>
      <c r="F4" s="385"/>
      <c r="G4" s="384"/>
      <c r="H4" s="384"/>
      <c r="I4" s="385"/>
      <c r="J4" s="386"/>
      <c r="K4" s="383" t="s">
        <v>85</v>
      </c>
      <c r="L4" s="385"/>
      <c r="M4" s="384"/>
      <c r="N4" s="384"/>
      <c r="O4" s="385"/>
      <c r="P4" s="384"/>
      <c r="Q4" s="384"/>
      <c r="R4" s="385"/>
      <c r="S4" s="386"/>
      <c r="T4" s="383" t="s">
        <v>86</v>
      </c>
      <c r="U4" s="385"/>
      <c r="V4" s="384"/>
      <c r="W4" s="384"/>
      <c r="X4" s="385"/>
      <c r="Y4" s="384"/>
      <c r="Z4" s="384"/>
      <c r="AA4" s="385"/>
      <c r="AB4" s="386"/>
    </row>
    <row r="5" spans="1:28" ht="14.4" customHeight="1" thickBot="1" x14ac:dyDescent="0.35">
      <c r="A5" s="481"/>
      <c r="B5" s="482">
        <v>2015</v>
      </c>
      <c r="C5" s="483"/>
      <c r="D5" s="483"/>
      <c r="E5" s="483">
        <v>2017</v>
      </c>
      <c r="F5" s="483"/>
      <c r="G5" s="483"/>
      <c r="H5" s="483">
        <v>2018</v>
      </c>
      <c r="I5" s="484" t="s">
        <v>176</v>
      </c>
      <c r="J5" s="485" t="s">
        <v>2</v>
      </c>
      <c r="K5" s="482">
        <v>2015</v>
      </c>
      <c r="L5" s="483"/>
      <c r="M5" s="483"/>
      <c r="N5" s="483">
        <v>2017</v>
      </c>
      <c r="O5" s="483"/>
      <c r="P5" s="483"/>
      <c r="Q5" s="483">
        <v>2018</v>
      </c>
      <c r="R5" s="484" t="s">
        <v>176</v>
      </c>
      <c r="S5" s="485" t="s">
        <v>2</v>
      </c>
      <c r="T5" s="482">
        <v>2015</v>
      </c>
      <c r="U5" s="483"/>
      <c r="V5" s="483"/>
      <c r="W5" s="483">
        <v>2017</v>
      </c>
      <c r="X5" s="483"/>
      <c r="Y5" s="483"/>
      <c r="Z5" s="483">
        <v>2018</v>
      </c>
      <c r="AA5" s="484" t="s">
        <v>176</v>
      </c>
      <c r="AB5" s="485" t="s">
        <v>2</v>
      </c>
    </row>
    <row r="6" spans="1:28" ht="14.4" customHeight="1" x14ac:dyDescent="0.3">
      <c r="A6" s="486" t="s">
        <v>685</v>
      </c>
      <c r="B6" s="487">
        <v>4698036</v>
      </c>
      <c r="C6" s="488">
        <v>1</v>
      </c>
      <c r="D6" s="488">
        <v>0.93554320033773286</v>
      </c>
      <c r="E6" s="487">
        <v>5021720</v>
      </c>
      <c r="F6" s="488">
        <v>1.0688977266244872</v>
      </c>
      <c r="G6" s="488">
        <v>1</v>
      </c>
      <c r="H6" s="487">
        <v>4813293</v>
      </c>
      <c r="I6" s="488">
        <v>1.0245330176269403</v>
      </c>
      <c r="J6" s="488">
        <v>0.95849489816238265</v>
      </c>
      <c r="K6" s="487"/>
      <c r="L6" s="488"/>
      <c r="M6" s="488"/>
      <c r="N6" s="487"/>
      <c r="O6" s="488"/>
      <c r="P6" s="488"/>
      <c r="Q6" s="487"/>
      <c r="R6" s="488"/>
      <c r="S6" s="488"/>
      <c r="T6" s="487"/>
      <c r="U6" s="488"/>
      <c r="V6" s="488"/>
      <c r="W6" s="487"/>
      <c r="X6" s="488"/>
      <c r="Y6" s="488"/>
      <c r="Z6" s="487"/>
      <c r="AA6" s="488"/>
      <c r="AB6" s="489"/>
    </row>
    <row r="7" spans="1:28" ht="14.4" customHeight="1" x14ac:dyDescent="0.3">
      <c r="A7" s="500" t="s">
        <v>686</v>
      </c>
      <c r="B7" s="490">
        <v>4698036</v>
      </c>
      <c r="C7" s="491">
        <v>1</v>
      </c>
      <c r="D7" s="491">
        <v>0.93554320033773286</v>
      </c>
      <c r="E7" s="490">
        <v>5021720</v>
      </c>
      <c r="F7" s="491">
        <v>1.0688977266244872</v>
      </c>
      <c r="G7" s="491">
        <v>1</v>
      </c>
      <c r="H7" s="490">
        <v>4813293</v>
      </c>
      <c r="I7" s="491">
        <v>1.0245330176269403</v>
      </c>
      <c r="J7" s="491">
        <v>0.95849489816238265</v>
      </c>
      <c r="K7" s="490"/>
      <c r="L7" s="491"/>
      <c r="M7" s="491"/>
      <c r="N7" s="490"/>
      <c r="O7" s="491"/>
      <c r="P7" s="491"/>
      <c r="Q7" s="490"/>
      <c r="R7" s="491"/>
      <c r="S7" s="491"/>
      <c r="T7" s="490"/>
      <c r="U7" s="491"/>
      <c r="V7" s="491"/>
      <c r="W7" s="490"/>
      <c r="X7" s="491"/>
      <c r="Y7" s="491"/>
      <c r="Z7" s="490"/>
      <c r="AA7" s="491"/>
      <c r="AB7" s="492"/>
    </row>
    <row r="8" spans="1:28" ht="14.4" customHeight="1" x14ac:dyDescent="0.3">
      <c r="A8" s="493" t="s">
        <v>687</v>
      </c>
      <c r="B8" s="494">
        <v>1910351</v>
      </c>
      <c r="C8" s="495">
        <v>1</v>
      </c>
      <c r="D8" s="495">
        <v>0.90856865376767937</v>
      </c>
      <c r="E8" s="494">
        <v>2102594</v>
      </c>
      <c r="F8" s="495">
        <v>1.1006322921808609</v>
      </c>
      <c r="G8" s="495">
        <v>1</v>
      </c>
      <c r="H8" s="494">
        <v>2911620</v>
      </c>
      <c r="I8" s="495">
        <v>1.5241282884663603</v>
      </c>
      <c r="J8" s="495">
        <v>1.3847751872211183</v>
      </c>
      <c r="K8" s="494"/>
      <c r="L8" s="495"/>
      <c r="M8" s="495"/>
      <c r="N8" s="494"/>
      <c r="O8" s="495"/>
      <c r="P8" s="495"/>
      <c r="Q8" s="494"/>
      <c r="R8" s="495"/>
      <c r="S8" s="495"/>
      <c r="T8" s="494"/>
      <c r="U8" s="495"/>
      <c r="V8" s="495"/>
      <c r="W8" s="494"/>
      <c r="X8" s="495"/>
      <c r="Y8" s="495"/>
      <c r="Z8" s="494"/>
      <c r="AA8" s="495"/>
      <c r="AB8" s="496"/>
    </row>
    <row r="9" spans="1:28" ht="14.4" customHeight="1" thickBot="1" x14ac:dyDescent="0.35">
      <c r="A9" s="501" t="s">
        <v>688</v>
      </c>
      <c r="B9" s="497">
        <v>1910351</v>
      </c>
      <c r="C9" s="498">
        <v>1</v>
      </c>
      <c r="D9" s="498">
        <v>0.90856865376767937</v>
      </c>
      <c r="E9" s="497">
        <v>2102594</v>
      </c>
      <c r="F9" s="498">
        <v>1.1006322921808609</v>
      </c>
      <c r="G9" s="498">
        <v>1</v>
      </c>
      <c r="H9" s="497">
        <v>2911620</v>
      </c>
      <c r="I9" s="498">
        <v>1.5241282884663603</v>
      </c>
      <c r="J9" s="498">
        <v>1.3847751872211183</v>
      </c>
      <c r="K9" s="497"/>
      <c r="L9" s="498"/>
      <c r="M9" s="498"/>
      <c r="N9" s="497"/>
      <c r="O9" s="498"/>
      <c r="P9" s="498"/>
      <c r="Q9" s="497"/>
      <c r="R9" s="498"/>
      <c r="S9" s="498"/>
      <c r="T9" s="497"/>
      <c r="U9" s="498"/>
      <c r="V9" s="498"/>
      <c r="W9" s="497"/>
      <c r="X9" s="498"/>
      <c r="Y9" s="498"/>
      <c r="Z9" s="497"/>
      <c r="AA9" s="498"/>
      <c r="AB9" s="499"/>
    </row>
    <row r="10" spans="1:28" ht="14.4" customHeight="1" thickBot="1" x14ac:dyDescent="0.35"/>
    <row r="11" spans="1:28" ht="14.4" customHeight="1" x14ac:dyDescent="0.3">
      <c r="A11" s="486" t="s">
        <v>437</v>
      </c>
      <c r="B11" s="487">
        <v>6608387</v>
      </c>
      <c r="C11" s="488">
        <v>1</v>
      </c>
      <c r="D11" s="488">
        <v>0.92758222054783102</v>
      </c>
      <c r="E11" s="487">
        <v>7124314</v>
      </c>
      <c r="F11" s="488">
        <v>1.078071547565238</v>
      </c>
      <c r="G11" s="488">
        <v>1</v>
      </c>
      <c r="H11" s="487">
        <v>7724913</v>
      </c>
      <c r="I11" s="488">
        <v>1.1689559040655457</v>
      </c>
      <c r="J11" s="489">
        <v>1.0843027132156162</v>
      </c>
    </row>
    <row r="12" spans="1:28" ht="14.4" customHeight="1" thickBot="1" x14ac:dyDescent="0.35">
      <c r="A12" s="501" t="s">
        <v>690</v>
      </c>
      <c r="B12" s="497">
        <v>6608387</v>
      </c>
      <c r="C12" s="498">
        <v>1</v>
      </c>
      <c r="D12" s="498">
        <v>0.92758222054783102</v>
      </c>
      <c r="E12" s="497">
        <v>7124314</v>
      </c>
      <c r="F12" s="498">
        <v>1.078071547565238</v>
      </c>
      <c r="G12" s="498">
        <v>1</v>
      </c>
      <c r="H12" s="497">
        <v>7724913</v>
      </c>
      <c r="I12" s="498">
        <v>1.1689559040655457</v>
      </c>
      <c r="J12" s="499">
        <v>1.0843027132156162</v>
      </c>
    </row>
    <row r="13" spans="1:28" ht="14.4" customHeight="1" x14ac:dyDescent="0.3">
      <c r="A13" s="502" t="s">
        <v>212</v>
      </c>
    </row>
    <row r="14" spans="1:28" ht="14.4" customHeight="1" x14ac:dyDescent="0.3">
      <c r="A14" s="503" t="s">
        <v>691</v>
      </c>
    </row>
    <row r="15" spans="1:28" ht="14.4" customHeight="1" x14ac:dyDescent="0.3">
      <c r="A15" s="502" t="s">
        <v>692</v>
      </c>
    </row>
    <row r="16" spans="1:28" ht="14.4" customHeight="1" x14ac:dyDescent="0.3">
      <c r="A16" s="502" t="s">
        <v>693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0" priority="4" stopIfTrue="1" operator="lessThan">
      <formula>0.95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9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outlineLevelCol="1" x14ac:dyDescent="0.3"/>
  <cols>
    <col min="1" max="1" width="46.6640625" style="104" bestFit="1" customWidth="1"/>
    <col min="2" max="2" width="7.77734375" style="180" hidden="1" customWidth="1" outlineLevel="1"/>
    <col min="3" max="3" width="7.77734375" style="180" customWidth="1" collapsed="1"/>
    <col min="4" max="4" width="7.77734375" style="180" customWidth="1"/>
    <col min="5" max="5" width="7.77734375" style="81" hidden="1" customWidth="1" outlineLevel="1"/>
    <col min="6" max="6" width="7.77734375" style="81" customWidth="1" collapsed="1"/>
    <col min="7" max="7" width="7.77734375" style="81" customWidth="1"/>
    <col min="8" max="16384" width="8.88671875" style="104"/>
  </cols>
  <sheetData>
    <row r="1" spans="1:7" ht="18.600000000000001" customHeight="1" thickBot="1" x14ac:dyDescent="0.4">
      <c r="A1" s="381" t="s">
        <v>694</v>
      </c>
      <c r="B1" s="297"/>
      <c r="C1" s="297"/>
      <c r="D1" s="297"/>
      <c r="E1" s="297"/>
      <c r="F1" s="297"/>
      <c r="G1" s="297"/>
    </row>
    <row r="2" spans="1:7" ht="14.4" customHeight="1" thickBot="1" x14ac:dyDescent="0.35">
      <c r="A2" s="200" t="s">
        <v>235</v>
      </c>
      <c r="B2" s="86"/>
      <c r="C2" s="86"/>
      <c r="D2" s="86"/>
      <c r="E2" s="86"/>
      <c r="F2" s="86"/>
      <c r="G2" s="86"/>
    </row>
    <row r="3" spans="1:7" ht="14.4" customHeight="1" thickBot="1" x14ac:dyDescent="0.35">
      <c r="A3" s="241" t="s">
        <v>111</v>
      </c>
      <c r="B3" s="227">
        <f t="shared" ref="B3:G3" si="0">SUBTOTAL(9,B6:B1048576)</f>
        <v>3591</v>
      </c>
      <c r="C3" s="228">
        <f t="shared" si="0"/>
        <v>3921</v>
      </c>
      <c r="D3" s="240">
        <f t="shared" si="0"/>
        <v>4103</v>
      </c>
      <c r="E3" s="192">
        <f t="shared" si="0"/>
        <v>6608387</v>
      </c>
      <c r="F3" s="190">
        <f t="shared" si="0"/>
        <v>7124314</v>
      </c>
      <c r="G3" s="229">
        <f t="shared" si="0"/>
        <v>7724913</v>
      </c>
    </row>
    <row r="4" spans="1:7" ht="14.4" customHeight="1" x14ac:dyDescent="0.3">
      <c r="A4" s="382" t="s">
        <v>112</v>
      </c>
      <c r="B4" s="387" t="s">
        <v>173</v>
      </c>
      <c r="C4" s="385"/>
      <c r="D4" s="388"/>
      <c r="E4" s="387" t="s">
        <v>84</v>
      </c>
      <c r="F4" s="385"/>
      <c r="G4" s="388"/>
    </row>
    <row r="5" spans="1:7" ht="14.4" customHeight="1" thickBot="1" x14ac:dyDescent="0.35">
      <c r="A5" s="481"/>
      <c r="B5" s="482">
        <v>2015</v>
      </c>
      <c r="C5" s="483">
        <v>2017</v>
      </c>
      <c r="D5" s="504">
        <v>2018</v>
      </c>
      <c r="E5" s="482">
        <v>2015</v>
      </c>
      <c r="F5" s="483">
        <v>2017</v>
      </c>
      <c r="G5" s="504">
        <v>2018</v>
      </c>
    </row>
    <row r="6" spans="1:7" ht="14.4" customHeight="1" thickBot="1" x14ac:dyDescent="0.35">
      <c r="A6" s="508" t="s">
        <v>690</v>
      </c>
      <c r="B6" s="505">
        <v>3591</v>
      </c>
      <c r="C6" s="505">
        <v>3921</v>
      </c>
      <c r="D6" s="505">
        <v>4103</v>
      </c>
      <c r="E6" s="506">
        <v>6608387</v>
      </c>
      <c r="F6" s="506">
        <v>7124314</v>
      </c>
      <c r="G6" s="507">
        <v>7724913</v>
      </c>
    </row>
    <row r="7" spans="1:7" ht="14.4" customHeight="1" x14ac:dyDescent="0.3">
      <c r="A7" s="502" t="s">
        <v>212</v>
      </c>
    </row>
    <row r="8" spans="1:7" ht="14.4" customHeight="1" x14ac:dyDescent="0.3">
      <c r="A8" s="503" t="s">
        <v>691</v>
      </c>
    </row>
    <row r="9" spans="1:7" ht="14.4" customHeight="1" x14ac:dyDescent="0.3">
      <c r="A9" s="502" t="s">
        <v>692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outlinePr summaryRight="0"/>
    <pageSetUpPr fitToPage="1"/>
  </sheetPr>
  <dimension ref="A1:R35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RowHeight="14.4" customHeight="1" outlineLevelCol="1" x14ac:dyDescent="0.3"/>
  <cols>
    <col min="1" max="1" width="3.33203125" style="104" customWidth="1"/>
    <col min="2" max="2" width="8.6640625" style="104" bestFit="1" customWidth="1"/>
    <col min="3" max="3" width="6.109375" style="104" customWidth="1"/>
    <col min="4" max="4" width="2.109375" style="104" bestFit="1" customWidth="1"/>
    <col min="5" max="5" width="8" style="104" customWidth="1"/>
    <col min="6" max="6" width="50.88671875" style="104" bestFit="1" customWidth="1" collapsed="1"/>
    <col min="7" max="8" width="11.109375" style="180" hidden="1" customWidth="1" outlineLevel="1"/>
    <col min="9" max="10" width="9.33203125" style="104" hidden="1" customWidth="1"/>
    <col min="11" max="12" width="11.109375" style="180" customWidth="1"/>
    <col min="13" max="14" width="9.33203125" style="104" hidden="1" customWidth="1"/>
    <col min="15" max="16" width="11.109375" style="180" customWidth="1"/>
    <col min="17" max="17" width="11.109375" style="183" customWidth="1"/>
    <col min="18" max="18" width="11.109375" style="180" customWidth="1"/>
    <col min="19" max="16384" width="8.88671875" style="104"/>
  </cols>
  <sheetData>
    <row r="1" spans="1:18" ht="18.600000000000001" customHeight="1" thickBot="1" x14ac:dyDescent="0.4">
      <c r="A1" s="297" t="s">
        <v>755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  <c r="R1" s="329"/>
    </row>
    <row r="2" spans="1:18" ht="14.4" customHeight="1" thickBot="1" x14ac:dyDescent="0.35">
      <c r="A2" s="200" t="s">
        <v>235</v>
      </c>
      <c r="B2" s="170"/>
      <c r="C2" s="170"/>
      <c r="D2" s="86"/>
      <c r="E2" s="86"/>
      <c r="F2" s="86"/>
      <c r="G2" s="198"/>
      <c r="H2" s="198"/>
      <c r="I2" s="86"/>
      <c r="J2" s="86"/>
      <c r="K2" s="198"/>
      <c r="L2" s="198"/>
      <c r="M2" s="86"/>
      <c r="N2" s="86"/>
      <c r="O2" s="198"/>
      <c r="P2" s="198"/>
      <c r="Q2" s="195"/>
      <c r="R2" s="198"/>
    </row>
    <row r="3" spans="1:18" ht="14.4" customHeight="1" thickBot="1" x14ac:dyDescent="0.35">
      <c r="F3" s="63" t="s">
        <v>111</v>
      </c>
      <c r="G3" s="77">
        <f t="shared" ref="G3:P3" si="0">SUBTOTAL(9,G6:G1048576)</f>
        <v>3591</v>
      </c>
      <c r="H3" s="78">
        <f t="shared" si="0"/>
        <v>6608387</v>
      </c>
      <c r="I3" s="58"/>
      <c r="J3" s="58"/>
      <c r="K3" s="78">
        <f t="shared" si="0"/>
        <v>3921</v>
      </c>
      <c r="L3" s="78">
        <f t="shared" si="0"/>
        <v>7124314</v>
      </c>
      <c r="M3" s="58"/>
      <c r="N3" s="58"/>
      <c r="O3" s="78">
        <f t="shared" si="0"/>
        <v>4103</v>
      </c>
      <c r="P3" s="78">
        <f t="shared" si="0"/>
        <v>7724913</v>
      </c>
      <c r="Q3" s="59">
        <f>IF(L3=0,0,P3/L3)</f>
        <v>1.0843027132156162</v>
      </c>
      <c r="R3" s="79">
        <f>IF(O3=0,0,P3/O3)</f>
        <v>1882.7475018279308</v>
      </c>
    </row>
    <row r="4" spans="1:18" ht="14.4" customHeight="1" x14ac:dyDescent="0.3">
      <c r="A4" s="389" t="s">
        <v>177</v>
      </c>
      <c r="B4" s="389" t="s">
        <v>80</v>
      </c>
      <c r="C4" s="397" t="s">
        <v>0</v>
      </c>
      <c r="D4" s="391" t="s">
        <v>81</v>
      </c>
      <c r="E4" s="396" t="s">
        <v>56</v>
      </c>
      <c r="F4" s="392" t="s">
        <v>55</v>
      </c>
      <c r="G4" s="393">
        <v>2015</v>
      </c>
      <c r="H4" s="394"/>
      <c r="I4" s="76"/>
      <c r="J4" s="76"/>
      <c r="K4" s="393">
        <v>2017</v>
      </c>
      <c r="L4" s="394"/>
      <c r="M4" s="76"/>
      <c r="N4" s="76"/>
      <c r="O4" s="393">
        <v>2018</v>
      </c>
      <c r="P4" s="394"/>
      <c r="Q4" s="395" t="s">
        <v>2</v>
      </c>
      <c r="R4" s="390" t="s">
        <v>83</v>
      </c>
    </row>
    <row r="5" spans="1:18" ht="14.4" customHeight="1" thickBot="1" x14ac:dyDescent="0.35">
      <c r="A5" s="509"/>
      <c r="B5" s="509"/>
      <c r="C5" s="510"/>
      <c r="D5" s="511"/>
      <c r="E5" s="512"/>
      <c r="F5" s="513"/>
      <c r="G5" s="514" t="s">
        <v>57</v>
      </c>
      <c r="H5" s="515" t="s">
        <v>14</v>
      </c>
      <c r="I5" s="516"/>
      <c r="J5" s="516"/>
      <c r="K5" s="514" t="s">
        <v>57</v>
      </c>
      <c r="L5" s="515" t="s">
        <v>14</v>
      </c>
      <c r="M5" s="516"/>
      <c r="N5" s="516"/>
      <c r="O5" s="514" t="s">
        <v>57</v>
      </c>
      <c r="P5" s="515" t="s">
        <v>14</v>
      </c>
      <c r="Q5" s="517"/>
      <c r="R5" s="518"/>
    </row>
    <row r="6" spans="1:18" ht="14.4" customHeight="1" x14ac:dyDescent="0.3">
      <c r="A6" s="441" t="s">
        <v>695</v>
      </c>
      <c r="B6" s="442" t="s">
        <v>696</v>
      </c>
      <c r="C6" s="442" t="s">
        <v>437</v>
      </c>
      <c r="D6" s="442" t="s">
        <v>697</v>
      </c>
      <c r="E6" s="442" t="s">
        <v>698</v>
      </c>
      <c r="F6" s="442" t="s">
        <v>699</v>
      </c>
      <c r="G6" s="446">
        <v>412</v>
      </c>
      <c r="H6" s="446">
        <v>4698036</v>
      </c>
      <c r="I6" s="442">
        <v>0.93554320033773286</v>
      </c>
      <c r="J6" s="442">
        <v>11403</v>
      </c>
      <c r="K6" s="446">
        <v>440</v>
      </c>
      <c r="L6" s="446">
        <v>5021720</v>
      </c>
      <c r="M6" s="442">
        <v>1</v>
      </c>
      <c r="N6" s="442">
        <v>11413</v>
      </c>
      <c r="O6" s="446">
        <v>421</v>
      </c>
      <c r="P6" s="446">
        <v>4813293</v>
      </c>
      <c r="Q6" s="469">
        <v>0.95849489816238265</v>
      </c>
      <c r="R6" s="447">
        <v>11433</v>
      </c>
    </row>
    <row r="7" spans="1:18" ht="14.4" customHeight="1" x14ac:dyDescent="0.3">
      <c r="A7" s="448" t="s">
        <v>695</v>
      </c>
      <c r="B7" s="449" t="s">
        <v>700</v>
      </c>
      <c r="C7" s="449" t="s">
        <v>437</v>
      </c>
      <c r="D7" s="449" t="s">
        <v>697</v>
      </c>
      <c r="E7" s="449" t="s">
        <v>701</v>
      </c>
      <c r="F7" s="449" t="s">
        <v>702</v>
      </c>
      <c r="G7" s="453">
        <v>7</v>
      </c>
      <c r="H7" s="453">
        <v>952</v>
      </c>
      <c r="I7" s="449"/>
      <c r="J7" s="449">
        <v>136</v>
      </c>
      <c r="K7" s="453"/>
      <c r="L7" s="453"/>
      <c r="M7" s="449"/>
      <c r="N7" s="449"/>
      <c r="O7" s="453">
        <v>2</v>
      </c>
      <c r="P7" s="453">
        <v>274</v>
      </c>
      <c r="Q7" s="519"/>
      <c r="R7" s="454">
        <v>137</v>
      </c>
    </row>
    <row r="8" spans="1:18" ht="14.4" customHeight="1" x14ac:dyDescent="0.3">
      <c r="A8" s="448" t="s">
        <v>695</v>
      </c>
      <c r="B8" s="449" t="s">
        <v>700</v>
      </c>
      <c r="C8" s="449" t="s">
        <v>437</v>
      </c>
      <c r="D8" s="449" t="s">
        <v>697</v>
      </c>
      <c r="E8" s="449" t="s">
        <v>703</v>
      </c>
      <c r="F8" s="449" t="s">
        <v>704</v>
      </c>
      <c r="G8" s="453">
        <v>8</v>
      </c>
      <c r="H8" s="453">
        <v>10096</v>
      </c>
      <c r="I8" s="449">
        <v>1.1428571428571428</v>
      </c>
      <c r="J8" s="449">
        <v>1262</v>
      </c>
      <c r="K8" s="453">
        <v>7</v>
      </c>
      <c r="L8" s="453">
        <v>8834</v>
      </c>
      <c r="M8" s="449">
        <v>1</v>
      </c>
      <c r="N8" s="449">
        <v>1262</v>
      </c>
      <c r="O8" s="453">
        <v>6</v>
      </c>
      <c r="P8" s="453">
        <v>7578</v>
      </c>
      <c r="Q8" s="519">
        <v>0.85782205116594978</v>
      </c>
      <c r="R8" s="454">
        <v>1263</v>
      </c>
    </row>
    <row r="9" spans="1:18" ht="14.4" customHeight="1" x14ac:dyDescent="0.3">
      <c r="A9" s="448" t="s">
        <v>695</v>
      </c>
      <c r="B9" s="449" t="s">
        <v>700</v>
      </c>
      <c r="C9" s="449" t="s">
        <v>437</v>
      </c>
      <c r="D9" s="449" t="s">
        <v>697</v>
      </c>
      <c r="E9" s="449" t="s">
        <v>705</v>
      </c>
      <c r="F9" s="449" t="s">
        <v>706</v>
      </c>
      <c r="G9" s="453">
        <v>31</v>
      </c>
      <c r="H9" s="453">
        <v>72478</v>
      </c>
      <c r="I9" s="449">
        <v>3.0973504273504275</v>
      </c>
      <c r="J9" s="449">
        <v>2338</v>
      </c>
      <c r="K9" s="453">
        <v>10</v>
      </c>
      <c r="L9" s="453">
        <v>23400</v>
      </c>
      <c r="M9" s="449">
        <v>1</v>
      </c>
      <c r="N9" s="449">
        <v>2340</v>
      </c>
      <c r="O9" s="453">
        <v>6</v>
      </c>
      <c r="P9" s="453">
        <v>14058</v>
      </c>
      <c r="Q9" s="519">
        <v>0.60076923076923072</v>
      </c>
      <c r="R9" s="454">
        <v>2343</v>
      </c>
    </row>
    <row r="10" spans="1:18" ht="14.4" customHeight="1" x14ac:dyDescent="0.3">
      <c r="A10" s="448" t="s">
        <v>695</v>
      </c>
      <c r="B10" s="449" t="s">
        <v>700</v>
      </c>
      <c r="C10" s="449" t="s">
        <v>437</v>
      </c>
      <c r="D10" s="449" t="s">
        <v>697</v>
      </c>
      <c r="E10" s="449" t="s">
        <v>707</v>
      </c>
      <c r="F10" s="449" t="s">
        <v>708</v>
      </c>
      <c r="G10" s="453">
        <v>7</v>
      </c>
      <c r="H10" s="453">
        <v>7539</v>
      </c>
      <c r="I10" s="449">
        <v>1</v>
      </c>
      <c r="J10" s="449">
        <v>1077</v>
      </c>
      <c r="K10" s="453">
        <v>7</v>
      </c>
      <c r="L10" s="453">
        <v>7539</v>
      </c>
      <c r="M10" s="449">
        <v>1</v>
      </c>
      <c r="N10" s="449">
        <v>1077</v>
      </c>
      <c r="O10" s="453">
        <v>7</v>
      </c>
      <c r="P10" s="453">
        <v>7546</v>
      </c>
      <c r="Q10" s="519">
        <v>1.000928505106778</v>
      </c>
      <c r="R10" s="454">
        <v>1078</v>
      </c>
    </row>
    <row r="11" spans="1:18" ht="14.4" customHeight="1" x14ac:dyDescent="0.3">
      <c r="A11" s="448" t="s">
        <v>695</v>
      </c>
      <c r="B11" s="449" t="s">
        <v>700</v>
      </c>
      <c r="C11" s="449" t="s">
        <v>437</v>
      </c>
      <c r="D11" s="449" t="s">
        <v>697</v>
      </c>
      <c r="E11" s="449" t="s">
        <v>709</v>
      </c>
      <c r="F11" s="449" t="s">
        <v>710</v>
      </c>
      <c r="G11" s="453">
        <v>32</v>
      </c>
      <c r="H11" s="453">
        <v>122336</v>
      </c>
      <c r="I11" s="449">
        <v>1.3905768684285309</v>
      </c>
      <c r="J11" s="449">
        <v>3823</v>
      </c>
      <c r="K11" s="453">
        <v>23</v>
      </c>
      <c r="L11" s="453">
        <v>87975</v>
      </c>
      <c r="M11" s="449">
        <v>1</v>
      </c>
      <c r="N11" s="449">
        <v>3825</v>
      </c>
      <c r="O11" s="453">
        <v>31</v>
      </c>
      <c r="P11" s="453">
        <v>118668</v>
      </c>
      <c r="Q11" s="519">
        <v>1.3488832054560955</v>
      </c>
      <c r="R11" s="454">
        <v>3828</v>
      </c>
    </row>
    <row r="12" spans="1:18" ht="14.4" customHeight="1" x14ac:dyDescent="0.3">
      <c r="A12" s="448" t="s">
        <v>695</v>
      </c>
      <c r="B12" s="449" t="s">
        <v>700</v>
      </c>
      <c r="C12" s="449" t="s">
        <v>437</v>
      </c>
      <c r="D12" s="449" t="s">
        <v>697</v>
      </c>
      <c r="E12" s="449" t="s">
        <v>711</v>
      </c>
      <c r="F12" s="449" t="s">
        <v>712</v>
      </c>
      <c r="G12" s="453">
        <v>542</v>
      </c>
      <c r="H12" s="453">
        <v>241190</v>
      </c>
      <c r="I12" s="449">
        <v>0.93448275862068964</v>
      </c>
      <c r="J12" s="449">
        <v>445</v>
      </c>
      <c r="K12" s="453">
        <v>580</v>
      </c>
      <c r="L12" s="453">
        <v>258100</v>
      </c>
      <c r="M12" s="449">
        <v>1</v>
      </c>
      <c r="N12" s="449">
        <v>445</v>
      </c>
      <c r="O12" s="453">
        <v>579</v>
      </c>
      <c r="P12" s="453">
        <v>257655</v>
      </c>
      <c r="Q12" s="519">
        <v>0.99827586206896557</v>
      </c>
      <c r="R12" s="454">
        <v>445</v>
      </c>
    </row>
    <row r="13" spans="1:18" ht="14.4" customHeight="1" x14ac:dyDescent="0.3">
      <c r="A13" s="448" t="s">
        <v>695</v>
      </c>
      <c r="B13" s="449" t="s">
        <v>700</v>
      </c>
      <c r="C13" s="449" t="s">
        <v>437</v>
      </c>
      <c r="D13" s="449" t="s">
        <v>697</v>
      </c>
      <c r="E13" s="449" t="s">
        <v>713</v>
      </c>
      <c r="F13" s="449" t="s">
        <v>714</v>
      </c>
      <c r="G13" s="453">
        <v>69</v>
      </c>
      <c r="H13" s="453">
        <v>58857</v>
      </c>
      <c r="I13" s="449">
        <v>0.56031872965099672</v>
      </c>
      <c r="J13" s="449">
        <v>853</v>
      </c>
      <c r="K13" s="453">
        <v>123</v>
      </c>
      <c r="L13" s="453">
        <v>105042</v>
      </c>
      <c r="M13" s="449">
        <v>1</v>
      </c>
      <c r="N13" s="449">
        <v>854</v>
      </c>
      <c r="O13" s="453">
        <v>19</v>
      </c>
      <c r="P13" s="453">
        <v>16226</v>
      </c>
      <c r="Q13" s="519">
        <v>0.15447154471544716</v>
      </c>
      <c r="R13" s="454">
        <v>854</v>
      </c>
    </row>
    <row r="14" spans="1:18" ht="14.4" customHeight="1" x14ac:dyDescent="0.3">
      <c r="A14" s="448" t="s">
        <v>695</v>
      </c>
      <c r="B14" s="449" t="s">
        <v>700</v>
      </c>
      <c r="C14" s="449" t="s">
        <v>437</v>
      </c>
      <c r="D14" s="449" t="s">
        <v>697</v>
      </c>
      <c r="E14" s="449" t="s">
        <v>715</v>
      </c>
      <c r="F14" s="449" t="s">
        <v>716</v>
      </c>
      <c r="G14" s="453">
        <v>58</v>
      </c>
      <c r="H14" s="453">
        <v>95990</v>
      </c>
      <c r="I14" s="449">
        <v>1.288888888888889</v>
      </c>
      <c r="J14" s="449">
        <v>1655</v>
      </c>
      <c r="K14" s="453">
        <v>45</v>
      </c>
      <c r="L14" s="453">
        <v>74475</v>
      </c>
      <c r="M14" s="449">
        <v>1</v>
      </c>
      <c r="N14" s="449">
        <v>1655</v>
      </c>
      <c r="O14" s="453">
        <v>1</v>
      </c>
      <c r="P14" s="453">
        <v>1656</v>
      </c>
      <c r="Q14" s="519">
        <v>2.2235649546827795E-2</v>
      </c>
      <c r="R14" s="454">
        <v>1656</v>
      </c>
    </row>
    <row r="15" spans="1:18" ht="14.4" customHeight="1" x14ac:dyDescent="0.3">
      <c r="A15" s="448" t="s">
        <v>695</v>
      </c>
      <c r="B15" s="449" t="s">
        <v>700</v>
      </c>
      <c r="C15" s="449" t="s">
        <v>437</v>
      </c>
      <c r="D15" s="449" t="s">
        <v>697</v>
      </c>
      <c r="E15" s="449" t="s">
        <v>717</v>
      </c>
      <c r="F15" s="449" t="s">
        <v>718</v>
      </c>
      <c r="G15" s="453">
        <v>11</v>
      </c>
      <c r="H15" s="453">
        <v>9240</v>
      </c>
      <c r="I15" s="449">
        <v>5.4934601664684903</v>
      </c>
      <c r="J15" s="449">
        <v>840</v>
      </c>
      <c r="K15" s="453">
        <v>2</v>
      </c>
      <c r="L15" s="453">
        <v>1682</v>
      </c>
      <c r="M15" s="449">
        <v>1</v>
      </c>
      <c r="N15" s="449">
        <v>841</v>
      </c>
      <c r="O15" s="453">
        <v>2</v>
      </c>
      <c r="P15" s="453">
        <v>1682</v>
      </c>
      <c r="Q15" s="519">
        <v>1</v>
      </c>
      <c r="R15" s="454">
        <v>841</v>
      </c>
    </row>
    <row r="16" spans="1:18" ht="14.4" customHeight="1" x14ac:dyDescent="0.3">
      <c r="A16" s="448" t="s">
        <v>695</v>
      </c>
      <c r="B16" s="449" t="s">
        <v>700</v>
      </c>
      <c r="C16" s="449" t="s">
        <v>437</v>
      </c>
      <c r="D16" s="449" t="s">
        <v>697</v>
      </c>
      <c r="E16" s="449" t="s">
        <v>719</v>
      </c>
      <c r="F16" s="449" t="s">
        <v>720</v>
      </c>
      <c r="G16" s="453">
        <v>17</v>
      </c>
      <c r="H16" s="453">
        <v>25891</v>
      </c>
      <c r="I16" s="449"/>
      <c r="J16" s="449">
        <v>1523</v>
      </c>
      <c r="K16" s="453"/>
      <c r="L16" s="453"/>
      <c r="M16" s="449"/>
      <c r="N16" s="449"/>
      <c r="O16" s="453"/>
      <c r="P16" s="453"/>
      <c r="Q16" s="519"/>
      <c r="R16" s="454"/>
    </row>
    <row r="17" spans="1:18" ht="14.4" customHeight="1" x14ac:dyDescent="0.3">
      <c r="A17" s="448" t="s">
        <v>695</v>
      </c>
      <c r="B17" s="449" t="s">
        <v>700</v>
      </c>
      <c r="C17" s="449" t="s">
        <v>437</v>
      </c>
      <c r="D17" s="449" t="s">
        <v>697</v>
      </c>
      <c r="E17" s="449" t="s">
        <v>721</v>
      </c>
      <c r="F17" s="449" t="s">
        <v>722</v>
      </c>
      <c r="G17" s="453">
        <v>1</v>
      </c>
      <c r="H17" s="453">
        <v>3252</v>
      </c>
      <c r="I17" s="449"/>
      <c r="J17" s="449">
        <v>3252</v>
      </c>
      <c r="K17" s="453"/>
      <c r="L17" s="453"/>
      <c r="M17" s="449"/>
      <c r="N17" s="449"/>
      <c r="O17" s="453"/>
      <c r="P17" s="453"/>
      <c r="Q17" s="519"/>
      <c r="R17" s="454"/>
    </row>
    <row r="18" spans="1:18" ht="14.4" customHeight="1" x14ac:dyDescent="0.3">
      <c r="A18" s="448" t="s">
        <v>695</v>
      </c>
      <c r="B18" s="449" t="s">
        <v>700</v>
      </c>
      <c r="C18" s="449" t="s">
        <v>437</v>
      </c>
      <c r="D18" s="449" t="s">
        <v>697</v>
      </c>
      <c r="E18" s="449" t="s">
        <v>723</v>
      </c>
      <c r="F18" s="449" t="s">
        <v>724</v>
      </c>
      <c r="G18" s="453">
        <v>70</v>
      </c>
      <c r="H18" s="453">
        <v>1190</v>
      </c>
      <c r="I18" s="449">
        <v>1.4893617021276595</v>
      </c>
      <c r="J18" s="449">
        <v>17</v>
      </c>
      <c r="K18" s="453">
        <v>47</v>
      </c>
      <c r="L18" s="453">
        <v>799</v>
      </c>
      <c r="M18" s="449">
        <v>1</v>
      </c>
      <c r="N18" s="449">
        <v>17</v>
      </c>
      <c r="O18" s="453">
        <v>53</v>
      </c>
      <c r="P18" s="453">
        <v>901</v>
      </c>
      <c r="Q18" s="519">
        <v>1.1276595744680851</v>
      </c>
      <c r="R18" s="454">
        <v>17</v>
      </c>
    </row>
    <row r="19" spans="1:18" ht="14.4" customHeight="1" x14ac:dyDescent="0.3">
      <c r="A19" s="448" t="s">
        <v>695</v>
      </c>
      <c r="B19" s="449" t="s">
        <v>700</v>
      </c>
      <c r="C19" s="449" t="s">
        <v>437</v>
      </c>
      <c r="D19" s="449" t="s">
        <v>697</v>
      </c>
      <c r="E19" s="449" t="s">
        <v>725</v>
      </c>
      <c r="F19" s="449" t="s">
        <v>712</v>
      </c>
      <c r="G19" s="453">
        <v>108</v>
      </c>
      <c r="H19" s="453">
        <v>76464</v>
      </c>
      <c r="I19" s="449">
        <v>1.3670886075949367</v>
      </c>
      <c r="J19" s="449">
        <v>708</v>
      </c>
      <c r="K19" s="453">
        <v>79</v>
      </c>
      <c r="L19" s="453">
        <v>55932</v>
      </c>
      <c r="M19" s="449">
        <v>1</v>
      </c>
      <c r="N19" s="449">
        <v>708</v>
      </c>
      <c r="O19" s="453">
        <v>100</v>
      </c>
      <c r="P19" s="453">
        <v>70900</v>
      </c>
      <c r="Q19" s="519">
        <v>1.2676106700994063</v>
      </c>
      <c r="R19" s="454">
        <v>709</v>
      </c>
    </row>
    <row r="20" spans="1:18" ht="14.4" customHeight="1" x14ac:dyDescent="0.3">
      <c r="A20" s="448" t="s">
        <v>695</v>
      </c>
      <c r="B20" s="449" t="s">
        <v>700</v>
      </c>
      <c r="C20" s="449" t="s">
        <v>437</v>
      </c>
      <c r="D20" s="449" t="s">
        <v>697</v>
      </c>
      <c r="E20" s="449" t="s">
        <v>726</v>
      </c>
      <c r="F20" s="449" t="s">
        <v>714</v>
      </c>
      <c r="G20" s="453">
        <v>101</v>
      </c>
      <c r="H20" s="453">
        <v>145238</v>
      </c>
      <c r="I20" s="449">
        <v>2.0597920891775749</v>
      </c>
      <c r="J20" s="449">
        <v>1438</v>
      </c>
      <c r="K20" s="453">
        <v>49</v>
      </c>
      <c r="L20" s="453">
        <v>70511</v>
      </c>
      <c r="M20" s="449">
        <v>1</v>
      </c>
      <c r="N20" s="449">
        <v>1439</v>
      </c>
      <c r="O20" s="453">
        <v>94</v>
      </c>
      <c r="P20" s="453">
        <v>135454</v>
      </c>
      <c r="Q20" s="519">
        <v>1.9210335975947015</v>
      </c>
      <c r="R20" s="454">
        <v>1441</v>
      </c>
    </row>
    <row r="21" spans="1:18" ht="14.4" customHeight="1" x14ac:dyDescent="0.3">
      <c r="A21" s="448" t="s">
        <v>695</v>
      </c>
      <c r="B21" s="449" t="s">
        <v>700</v>
      </c>
      <c r="C21" s="449" t="s">
        <v>437</v>
      </c>
      <c r="D21" s="449" t="s">
        <v>697</v>
      </c>
      <c r="E21" s="449" t="s">
        <v>727</v>
      </c>
      <c r="F21" s="449" t="s">
        <v>728</v>
      </c>
      <c r="G21" s="453">
        <v>54</v>
      </c>
      <c r="H21" s="453">
        <v>131598</v>
      </c>
      <c r="I21" s="449">
        <v>1.38404745377674</v>
      </c>
      <c r="J21" s="449">
        <v>2437</v>
      </c>
      <c r="K21" s="453">
        <v>39</v>
      </c>
      <c r="L21" s="453">
        <v>95082</v>
      </c>
      <c r="M21" s="449">
        <v>1</v>
      </c>
      <c r="N21" s="449">
        <v>2438</v>
      </c>
      <c r="O21" s="453">
        <v>78</v>
      </c>
      <c r="P21" s="453">
        <v>190476</v>
      </c>
      <c r="Q21" s="519">
        <v>2.0032813781788352</v>
      </c>
      <c r="R21" s="454">
        <v>2442</v>
      </c>
    </row>
    <row r="22" spans="1:18" ht="14.4" customHeight="1" x14ac:dyDescent="0.3">
      <c r="A22" s="448" t="s">
        <v>695</v>
      </c>
      <c r="B22" s="449" t="s">
        <v>700</v>
      </c>
      <c r="C22" s="449" t="s">
        <v>437</v>
      </c>
      <c r="D22" s="449" t="s">
        <v>697</v>
      </c>
      <c r="E22" s="449" t="s">
        <v>729</v>
      </c>
      <c r="F22" s="449" t="s">
        <v>730</v>
      </c>
      <c r="G22" s="453">
        <v>656</v>
      </c>
      <c r="H22" s="453">
        <v>45264</v>
      </c>
      <c r="I22" s="449">
        <v>0.99243570347957644</v>
      </c>
      <c r="J22" s="449">
        <v>69</v>
      </c>
      <c r="K22" s="453">
        <v>661</v>
      </c>
      <c r="L22" s="453">
        <v>45609</v>
      </c>
      <c r="M22" s="449">
        <v>1</v>
      </c>
      <c r="N22" s="449">
        <v>69</v>
      </c>
      <c r="O22" s="453">
        <v>678</v>
      </c>
      <c r="P22" s="453">
        <v>46782</v>
      </c>
      <c r="Q22" s="519">
        <v>1.0257186081694403</v>
      </c>
      <c r="R22" s="454">
        <v>69</v>
      </c>
    </row>
    <row r="23" spans="1:18" ht="14.4" customHeight="1" x14ac:dyDescent="0.3">
      <c r="A23" s="448" t="s">
        <v>695</v>
      </c>
      <c r="B23" s="449" t="s">
        <v>700</v>
      </c>
      <c r="C23" s="449" t="s">
        <v>437</v>
      </c>
      <c r="D23" s="449" t="s">
        <v>697</v>
      </c>
      <c r="E23" s="449" t="s">
        <v>731</v>
      </c>
      <c r="F23" s="449" t="s">
        <v>732</v>
      </c>
      <c r="G23" s="453">
        <v>17</v>
      </c>
      <c r="H23" s="453">
        <v>6919</v>
      </c>
      <c r="I23" s="449"/>
      <c r="J23" s="449">
        <v>407</v>
      </c>
      <c r="K23" s="453"/>
      <c r="L23" s="453"/>
      <c r="M23" s="449"/>
      <c r="N23" s="449"/>
      <c r="O23" s="453"/>
      <c r="P23" s="453"/>
      <c r="Q23" s="519"/>
      <c r="R23" s="454"/>
    </row>
    <row r="24" spans="1:18" ht="14.4" customHeight="1" x14ac:dyDescent="0.3">
      <c r="A24" s="448" t="s">
        <v>695</v>
      </c>
      <c r="B24" s="449" t="s">
        <v>700</v>
      </c>
      <c r="C24" s="449" t="s">
        <v>437</v>
      </c>
      <c r="D24" s="449" t="s">
        <v>697</v>
      </c>
      <c r="E24" s="449" t="s">
        <v>733</v>
      </c>
      <c r="F24" s="449" t="s">
        <v>734</v>
      </c>
      <c r="G24" s="453">
        <v>43</v>
      </c>
      <c r="H24" s="453">
        <v>71552</v>
      </c>
      <c r="I24" s="449">
        <v>0.62281411846629242</v>
      </c>
      <c r="J24" s="449">
        <v>1664</v>
      </c>
      <c r="K24" s="453">
        <v>69</v>
      </c>
      <c r="L24" s="453">
        <v>114885</v>
      </c>
      <c r="M24" s="449">
        <v>1</v>
      </c>
      <c r="N24" s="449">
        <v>1665</v>
      </c>
      <c r="O24" s="453">
        <v>42</v>
      </c>
      <c r="P24" s="453">
        <v>70014</v>
      </c>
      <c r="Q24" s="519">
        <v>0.60942681812247035</v>
      </c>
      <c r="R24" s="454">
        <v>1667</v>
      </c>
    </row>
    <row r="25" spans="1:18" ht="14.4" customHeight="1" x14ac:dyDescent="0.3">
      <c r="A25" s="448" t="s">
        <v>695</v>
      </c>
      <c r="B25" s="449" t="s">
        <v>700</v>
      </c>
      <c r="C25" s="449" t="s">
        <v>437</v>
      </c>
      <c r="D25" s="449" t="s">
        <v>697</v>
      </c>
      <c r="E25" s="449" t="s">
        <v>735</v>
      </c>
      <c r="F25" s="449" t="s">
        <v>736</v>
      </c>
      <c r="G25" s="453">
        <v>266</v>
      </c>
      <c r="H25" s="453">
        <v>148960</v>
      </c>
      <c r="I25" s="449">
        <v>0.98884758364312264</v>
      </c>
      <c r="J25" s="449">
        <v>560</v>
      </c>
      <c r="K25" s="453">
        <v>269</v>
      </c>
      <c r="L25" s="453">
        <v>150640</v>
      </c>
      <c r="M25" s="449">
        <v>1</v>
      </c>
      <c r="N25" s="449">
        <v>560</v>
      </c>
      <c r="O25" s="453">
        <v>299</v>
      </c>
      <c r="P25" s="453">
        <v>167739</v>
      </c>
      <c r="Q25" s="519">
        <v>1.1135090281465747</v>
      </c>
      <c r="R25" s="454">
        <v>561</v>
      </c>
    </row>
    <row r="26" spans="1:18" ht="14.4" customHeight="1" x14ac:dyDescent="0.3">
      <c r="A26" s="448" t="s">
        <v>695</v>
      </c>
      <c r="B26" s="449" t="s">
        <v>700</v>
      </c>
      <c r="C26" s="449" t="s">
        <v>437</v>
      </c>
      <c r="D26" s="449" t="s">
        <v>697</v>
      </c>
      <c r="E26" s="449" t="s">
        <v>737</v>
      </c>
      <c r="F26" s="449" t="s">
        <v>738</v>
      </c>
      <c r="G26" s="453">
        <v>1</v>
      </c>
      <c r="H26" s="453">
        <v>1266</v>
      </c>
      <c r="I26" s="449"/>
      <c r="J26" s="449">
        <v>1266</v>
      </c>
      <c r="K26" s="453"/>
      <c r="L26" s="453"/>
      <c r="M26" s="449"/>
      <c r="N26" s="449"/>
      <c r="O26" s="453"/>
      <c r="P26" s="453"/>
      <c r="Q26" s="519"/>
      <c r="R26" s="454"/>
    </row>
    <row r="27" spans="1:18" ht="14.4" customHeight="1" x14ac:dyDescent="0.3">
      <c r="A27" s="448" t="s">
        <v>695</v>
      </c>
      <c r="B27" s="449" t="s">
        <v>700</v>
      </c>
      <c r="C27" s="449" t="s">
        <v>437</v>
      </c>
      <c r="D27" s="449" t="s">
        <v>697</v>
      </c>
      <c r="E27" s="449" t="s">
        <v>739</v>
      </c>
      <c r="F27" s="449" t="s">
        <v>740</v>
      </c>
      <c r="G27" s="453">
        <v>181</v>
      </c>
      <c r="H27" s="453">
        <v>6697</v>
      </c>
      <c r="I27" s="449">
        <v>1.0838323353293413</v>
      </c>
      <c r="J27" s="449">
        <v>37</v>
      </c>
      <c r="K27" s="453">
        <v>167</v>
      </c>
      <c r="L27" s="453">
        <v>6179</v>
      </c>
      <c r="M27" s="449">
        <v>1</v>
      </c>
      <c r="N27" s="449">
        <v>37</v>
      </c>
      <c r="O27" s="453">
        <v>174</v>
      </c>
      <c r="P27" s="453">
        <v>6438</v>
      </c>
      <c r="Q27" s="519">
        <v>1.0419161676646707</v>
      </c>
      <c r="R27" s="454">
        <v>37</v>
      </c>
    </row>
    <row r="28" spans="1:18" ht="14.4" customHeight="1" x14ac:dyDescent="0.3">
      <c r="A28" s="448" t="s">
        <v>695</v>
      </c>
      <c r="B28" s="449" t="s">
        <v>700</v>
      </c>
      <c r="C28" s="449" t="s">
        <v>437</v>
      </c>
      <c r="D28" s="449" t="s">
        <v>697</v>
      </c>
      <c r="E28" s="449" t="s">
        <v>741</v>
      </c>
      <c r="F28" s="449" t="s">
        <v>742</v>
      </c>
      <c r="G28" s="453">
        <v>7</v>
      </c>
      <c r="H28" s="453">
        <v>903</v>
      </c>
      <c r="I28" s="449">
        <v>1.4</v>
      </c>
      <c r="J28" s="449">
        <v>129</v>
      </c>
      <c r="K28" s="453">
        <v>5</v>
      </c>
      <c r="L28" s="453">
        <v>645</v>
      </c>
      <c r="M28" s="449">
        <v>1</v>
      </c>
      <c r="N28" s="449">
        <v>129</v>
      </c>
      <c r="O28" s="453">
        <v>8</v>
      </c>
      <c r="P28" s="453">
        <v>1032</v>
      </c>
      <c r="Q28" s="519">
        <v>1.6</v>
      </c>
      <c r="R28" s="454">
        <v>129</v>
      </c>
    </row>
    <row r="29" spans="1:18" ht="14.4" customHeight="1" x14ac:dyDescent="0.3">
      <c r="A29" s="448" t="s">
        <v>695</v>
      </c>
      <c r="B29" s="449" t="s">
        <v>700</v>
      </c>
      <c r="C29" s="449" t="s">
        <v>437</v>
      </c>
      <c r="D29" s="449" t="s">
        <v>697</v>
      </c>
      <c r="E29" s="449" t="s">
        <v>743</v>
      </c>
      <c r="F29" s="449" t="s">
        <v>744</v>
      </c>
      <c r="G29" s="453">
        <v>691</v>
      </c>
      <c r="H29" s="453">
        <v>296439</v>
      </c>
      <c r="I29" s="449">
        <v>0.72204806687565304</v>
      </c>
      <c r="J29" s="449">
        <v>429</v>
      </c>
      <c r="K29" s="453">
        <v>957</v>
      </c>
      <c r="L29" s="453">
        <v>410553</v>
      </c>
      <c r="M29" s="449">
        <v>1</v>
      </c>
      <c r="N29" s="449">
        <v>429</v>
      </c>
      <c r="O29" s="453">
        <v>816</v>
      </c>
      <c r="P29" s="453">
        <v>350064</v>
      </c>
      <c r="Q29" s="519">
        <v>0.85266457680250785</v>
      </c>
      <c r="R29" s="454">
        <v>429</v>
      </c>
    </row>
    <row r="30" spans="1:18" ht="14.4" customHeight="1" x14ac:dyDescent="0.3">
      <c r="A30" s="448" t="s">
        <v>695</v>
      </c>
      <c r="B30" s="449" t="s">
        <v>700</v>
      </c>
      <c r="C30" s="449" t="s">
        <v>437</v>
      </c>
      <c r="D30" s="449" t="s">
        <v>697</v>
      </c>
      <c r="E30" s="449" t="s">
        <v>745</v>
      </c>
      <c r="F30" s="449" t="s">
        <v>746</v>
      </c>
      <c r="G30" s="453"/>
      <c r="H30" s="453"/>
      <c r="I30" s="449"/>
      <c r="J30" s="449"/>
      <c r="K30" s="453">
        <v>1</v>
      </c>
      <c r="L30" s="453">
        <v>1245</v>
      </c>
      <c r="M30" s="449">
        <v>1</v>
      </c>
      <c r="N30" s="449">
        <v>1245</v>
      </c>
      <c r="O30" s="453"/>
      <c r="P30" s="453"/>
      <c r="Q30" s="519"/>
      <c r="R30" s="454"/>
    </row>
    <row r="31" spans="1:18" ht="14.4" customHeight="1" x14ac:dyDescent="0.3">
      <c r="A31" s="448" t="s">
        <v>695</v>
      </c>
      <c r="B31" s="449" t="s">
        <v>700</v>
      </c>
      <c r="C31" s="449" t="s">
        <v>437</v>
      </c>
      <c r="D31" s="449" t="s">
        <v>697</v>
      </c>
      <c r="E31" s="449" t="s">
        <v>747</v>
      </c>
      <c r="F31" s="449" t="s">
        <v>708</v>
      </c>
      <c r="G31" s="453"/>
      <c r="H31" s="453"/>
      <c r="I31" s="449"/>
      <c r="J31" s="449"/>
      <c r="K31" s="453"/>
      <c r="L31" s="453"/>
      <c r="M31" s="449"/>
      <c r="N31" s="449"/>
      <c r="O31" s="453">
        <v>2</v>
      </c>
      <c r="P31" s="453">
        <v>1916</v>
      </c>
      <c r="Q31" s="519"/>
      <c r="R31" s="454">
        <v>958</v>
      </c>
    </row>
    <row r="32" spans="1:18" ht="14.4" customHeight="1" x14ac:dyDescent="0.3">
      <c r="A32" s="448" t="s">
        <v>695</v>
      </c>
      <c r="B32" s="449" t="s">
        <v>700</v>
      </c>
      <c r="C32" s="449" t="s">
        <v>437</v>
      </c>
      <c r="D32" s="449" t="s">
        <v>697</v>
      </c>
      <c r="E32" s="449" t="s">
        <v>748</v>
      </c>
      <c r="F32" s="449" t="s">
        <v>749</v>
      </c>
      <c r="G32" s="453">
        <v>200</v>
      </c>
      <c r="H32" s="453">
        <v>329800</v>
      </c>
      <c r="I32" s="449">
        <v>0.68965517241379315</v>
      </c>
      <c r="J32" s="449">
        <v>1649</v>
      </c>
      <c r="K32" s="453">
        <v>290</v>
      </c>
      <c r="L32" s="453">
        <v>478210</v>
      </c>
      <c r="M32" s="449">
        <v>1</v>
      </c>
      <c r="N32" s="449">
        <v>1649</v>
      </c>
      <c r="O32" s="453"/>
      <c r="P32" s="453"/>
      <c r="Q32" s="519"/>
      <c r="R32" s="454"/>
    </row>
    <row r="33" spans="1:18" ht="14.4" customHeight="1" x14ac:dyDescent="0.3">
      <c r="A33" s="448" t="s">
        <v>695</v>
      </c>
      <c r="B33" s="449" t="s">
        <v>700</v>
      </c>
      <c r="C33" s="449" t="s">
        <v>437</v>
      </c>
      <c r="D33" s="449" t="s">
        <v>697</v>
      </c>
      <c r="E33" s="449" t="s">
        <v>750</v>
      </c>
      <c r="F33" s="449" t="s">
        <v>742</v>
      </c>
      <c r="G33" s="453">
        <v>1</v>
      </c>
      <c r="H33" s="453">
        <v>240</v>
      </c>
      <c r="I33" s="449"/>
      <c r="J33" s="449">
        <v>240</v>
      </c>
      <c r="K33" s="453"/>
      <c r="L33" s="453"/>
      <c r="M33" s="449"/>
      <c r="N33" s="449"/>
      <c r="O33" s="453">
        <v>1</v>
      </c>
      <c r="P33" s="453">
        <v>241</v>
      </c>
      <c r="Q33" s="519"/>
      <c r="R33" s="454">
        <v>241</v>
      </c>
    </row>
    <row r="34" spans="1:18" ht="14.4" customHeight="1" x14ac:dyDescent="0.3">
      <c r="A34" s="448" t="s">
        <v>695</v>
      </c>
      <c r="B34" s="449" t="s">
        <v>700</v>
      </c>
      <c r="C34" s="449" t="s">
        <v>437</v>
      </c>
      <c r="D34" s="449" t="s">
        <v>697</v>
      </c>
      <c r="E34" s="449" t="s">
        <v>751</v>
      </c>
      <c r="F34" s="449" t="s">
        <v>752</v>
      </c>
      <c r="G34" s="453"/>
      <c r="H34" s="453"/>
      <c r="I34" s="449"/>
      <c r="J34" s="449"/>
      <c r="K34" s="453">
        <v>47</v>
      </c>
      <c r="L34" s="453">
        <v>103541</v>
      </c>
      <c r="M34" s="449">
        <v>1</v>
      </c>
      <c r="N34" s="449">
        <v>2203</v>
      </c>
      <c r="O34" s="453">
        <v>648</v>
      </c>
      <c r="P34" s="453">
        <v>1428840</v>
      </c>
      <c r="Q34" s="519">
        <v>13.799750823345342</v>
      </c>
      <c r="R34" s="454">
        <v>2205</v>
      </c>
    </row>
    <row r="35" spans="1:18" ht="14.4" customHeight="1" thickBot="1" x14ac:dyDescent="0.35">
      <c r="A35" s="455" t="s">
        <v>695</v>
      </c>
      <c r="B35" s="456" t="s">
        <v>700</v>
      </c>
      <c r="C35" s="456" t="s">
        <v>437</v>
      </c>
      <c r="D35" s="456" t="s">
        <v>697</v>
      </c>
      <c r="E35" s="456" t="s">
        <v>753</v>
      </c>
      <c r="F35" s="456" t="s">
        <v>754</v>
      </c>
      <c r="G35" s="460"/>
      <c r="H35" s="460"/>
      <c r="I35" s="456"/>
      <c r="J35" s="456"/>
      <c r="K35" s="460">
        <v>4</v>
      </c>
      <c r="L35" s="460">
        <v>1716</v>
      </c>
      <c r="M35" s="456">
        <v>1</v>
      </c>
      <c r="N35" s="456">
        <v>429</v>
      </c>
      <c r="O35" s="460">
        <v>36</v>
      </c>
      <c r="P35" s="460">
        <v>15480</v>
      </c>
      <c r="Q35" s="471">
        <v>9.0209790209790217</v>
      </c>
      <c r="R35" s="461">
        <v>430</v>
      </c>
    </row>
  </sheetData>
  <autoFilter ref="A5:R5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8">
    <tabColor theme="0" tint="-0.249977111117893"/>
    <outlinePr summaryRight="0"/>
    <pageSetUpPr fitToPage="1"/>
  </sheetPr>
  <dimension ref="A1:S35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RowHeight="14.4" customHeight="1" outlineLevelCol="1" x14ac:dyDescent="0.3"/>
  <cols>
    <col min="1" max="1" width="3.33203125" style="104" customWidth="1"/>
    <col min="2" max="2" width="8.6640625" style="104" bestFit="1" customWidth="1"/>
    <col min="3" max="3" width="6.109375" style="104" customWidth="1"/>
    <col min="4" max="4" width="27.77734375" style="104" customWidth="1"/>
    <col min="5" max="5" width="2.109375" style="104" bestFit="1" customWidth="1"/>
    <col min="6" max="6" width="8" style="104" customWidth="1"/>
    <col min="7" max="7" width="50.88671875" style="104" bestFit="1" customWidth="1" collapsed="1"/>
    <col min="8" max="9" width="11.109375" style="180" hidden="1" customWidth="1" outlineLevel="1"/>
    <col min="10" max="11" width="9.33203125" style="104" hidden="1" customWidth="1"/>
    <col min="12" max="13" width="11.109375" style="180" customWidth="1"/>
    <col min="14" max="15" width="9.33203125" style="104" hidden="1" customWidth="1"/>
    <col min="16" max="17" width="11.109375" style="180" customWidth="1"/>
    <col min="18" max="18" width="11.109375" style="183" customWidth="1"/>
    <col min="19" max="19" width="11.109375" style="180" customWidth="1"/>
    <col min="20" max="16384" width="8.88671875" style="104"/>
  </cols>
  <sheetData>
    <row r="1" spans="1:19" ht="18.600000000000001" customHeight="1" thickBot="1" x14ac:dyDescent="0.4">
      <c r="A1" s="297" t="s">
        <v>756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  <c r="R1" s="329"/>
      <c r="S1" s="329"/>
    </row>
    <row r="2" spans="1:19" ht="14.4" customHeight="1" thickBot="1" x14ac:dyDescent="0.35">
      <c r="A2" s="200" t="s">
        <v>235</v>
      </c>
      <c r="B2" s="170"/>
      <c r="C2" s="170"/>
      <c r="D2" s="170"/>
      <c r="E2" s="86"/>
      <c r="F2" s="86"/>
      <c r="G2" s="86"/>
      <c r="H2" s="198"/>
      <c r="I2" s="198"/>
      <c r="J2" s="86"/>
      <c r="K2" s="86"/>
      <c r="L2" s="198"/>
      <c r="M2" s="198"/>
      <c r="N2" s="86"/>
      <c r="O2" s="86"/>
      <c r="P2" s="198"/>
      <c r="Q2" s="198"/>
      <c r="R2" s="195"/>
      <c r="S2" s="198"/>
    </row>
    <row r="3" spans="1:19" ht="14.4" customHeight="1" thickBot="1" x14ac:dyDescent="0.35">
      <c r="G3" s="63" t="s">
        <v>111</v>
      </c>
      <c r="H3" s="77">
        <f t="shared" ref="H3:Q3" si="0">SUBTOTAL(9,H6:H1048576)</f>
        <v>3591</v>
      </c>
      <c r="I3" s="78">
        <f t="shared" si="0"/>
        <v>6608387</v>
      </c>
      <c r="J3" s="58"/>
      <c r="K3" s="58"/>
      <c r="L3" s="78">
        <f t="shared" si="0"/>
        <v>3921</v>
      </c>
      <c r="M3" s="78">
        <f t="shared" si="0"/>
        <v>7124314</v>
      </c>
      <c r="N3" s="58"/>
      <c r="O3" s="58"/>
      <c r="P3" s="78">
        <f t="shared" si="0"/>
        <v>4103</v>
      </c>
      <c r="Q3" s="78">
        <f t="shared" si="0"/>
        <v>7724913</v>
      </c>
      <c r="R3" s="59">
        <f>IF(M3=0,0,Q3/M3)</f>
        <v>1.0843027132156162</v>
      </c>
      <c r="S3" s="79">
        <f>IF(P3=0,0,Q3/P3)</f>
        <v>1882.7475018279308</v>
      </c>
    </row>
    <row r="4" spans="1:19" ht="14.4" customHeight="1" x14ac:dyDescent="0.3">
      <c r="A4" s="389" t="s">
        <v>177</v>
      </c>
      <c r="B4" s="389" t="s">
        <v>80</v>
      </c>
      <c r="C4" s="397" t="s">
        <v>0</v>
      </c>
      <c r="D4" s="234" t="s">
        <v>112</v>
      </c>
      <c r="E4" s="391" t="s">
        <v>81</v>
      </c>
      <c r="F4" s="396" t="s">
        <v>56</v>
      </c>
      <c r="G4" s="392" t="s">
        <v>55</v>
      </c>
      <c r="H4" s="393">
        <v>2015</v>
      </c>
      <c r="I4" s="394"/>
      <c r="J4" s="76"/>
      <c r="K4" s="76"/>
      <c r="L4" s="393">
        <v>2017</v>
      </c>
      <c r="M4" s="394"/>
      <c r="N4" s="76"/>
      <c r="O4" s="76"/>
      <c r="P4" s="393">
        <v>2018</v>
      </c>
      <c r="Q4" s="394"/>
      <c r="R4" s="395" t="s">
        <v>2</v>
      </c>
      <c r="S4" s="390" t="s">
        <v>83</v>
      </c>
    </row>
    <row r="5" spans="1:19" ht="14.4" customHeight="1" thickBot="1" x14ac:dyDescent="0.35">
      <c r="A5" s="509"/>
      <c r="B5" s="509"/>
      <c r="C5" s="510"/>
      <c r="D5" s="520"/>
      <c r="E5" s="511"/>
      <c r="F5" s="512"/>
      <c r="G5" s="513"/>
      <c r="H5" s="514" t="s">
        <v>57</v>
      </c>
      <c r="I5" s="515" t="s">
        <v>14</v>
      </c>
      <c r="J5" s="516"/>
      <c r="K5" s="516"/>
      <c r="L5" s="514" t="s">
        <v>57</v>
      </c>
      <c r="M5" s="515" t="s">
        <v>14</v>
      </c>
      <c r="N5" s="516"/>
      <c r="O5" s="516"/>
      <c r="P5" s="514" t="s">
        <v>57</v>
      </c>
      <c r="Q5" s="515" t="s">
        <v>14</v>
      </c>
      <c r="R5" s="517"/>
      <c r="S5" s="518"/>
    </row>
    <row r="6" spans="1:19" ht="14.4" customHeight="1" x14ac:dyDescent="0.3">
      <c r="A6" s="441" t="s">
        <v>695</v>
      </c>
      <c r="B6" s="442" t="s">
        <v>696</v>
      </c>
      <c r="C6" s="442" t="s">
        <v>437</v>
      </c>
      <c r="D6" s="442" t="s">
        <v>690</v>
      </c>
      <c r="E6" s="442" t="s">
        <v>697</v>
      </c>
      <c r="F6" s="442" t="s">
        <v>698</v>
      </c>
      <c r="G6" s="442" t="s">
        <v>699</v>
      </c>
      <c r="H6" s="446">
        <v>412</v>
      </c>
      <c r="I6" s="446">
        <v>4698036</v>
      </c>
      <c r="J6" s="442">
        <v>0.93554320033773286</v>
      </c>
      <c r="K6" s="442">
        <v>11403</v>
      </c>
      <c r="L6" s="446">
        <v>440</v>
      </c>
      <c r="M6" s="446">
        <v>5021720</v>
      </c>
      <c r="N6" s="442">
        <v>1</v>
      </c>
      <c r="O6" s="442">
        <v>11413</v>
      </c>
      <c r="P6" s="446">
        <v>421</v>
      </c>
      <c r="Q6" s="446">
        <v>4813293</v>
      </c>
      <c r="R6" s="469">
        <v>0.95849489816238265</v>
      </c>
      <c r="S6" s="447">
        <v>11433</v>
      </c>
    </row>
    <row r="7" spans="1:19" ht="14.4" customHeight="1" x14ac:dyDescent="0.3">
      <c r="A7" s="448" t="s">
        <v>695</v>
      </c>
      <c r="B7" s="449" t="s">
        <v>700</v>
      </c>
      <c r="C7" s="449" t="s">
        <v>437</v>
      </c>
      <c r="D7" s="449" t="s">
        <v>690</v>
      </c>
      <c r="E7" s="449" t="s">
        <v>697</v>
      </c>
      <c r="F7" s="449" t="s">
        <v>701</v>
      </c>
      <c r="G7" s="449" t="s">
        <v>702</v>
      </c>
      <c r="H7" s="453">
        <v>7</v>
      </c>
      <c r="I7" s="453">
        <v>952</v>
      </c>
      <c r="J7" s="449"/>
      <c r="K7" s="449">
        <v>136</v>
      </c>
      <c r="L7" s="453"/>
      <c r="M7" s="453"/>
      <c r="N7" s="449"/>
      <c r="O7" s="449"/>
      <c r="P7" s="453">
        <v>2</v>
      </c>
      <c r="Q7" s="453">
        <v>274</v>
      </c>
      <c r="R7" s="519"/>
      <c r="S7" s="454">
        <v>137</v>
      </c>
    </row>
    <row r="8" spans="1:19" ht="14.4" customHeight="1" x14ac:dyDescent="0.3">
      <c r="A8" s="448" t="s">
        <v>695</v>
      </c>
      <c r="B8" s="449" t="s">
        <v>700</v>
      </c>
      <c r="C8" s="449" t="s">
        <v>437</v>
      </c>
      <c r="D8" s="449" t="s">
        <v>690</v>
      </c>
      <c r="E8" s="449" t="s">
        <v>697</v>
      </c>
      <c r="F8" s="449" t="s">
        <v>703</v>
      </c>
      <c r="G8" s="449" t="s">
        <v>704</v>
      </c>
      <c r="H8" s="453">
        <v>8</v>
      </c>
      <c r="I8" s="453">
        <v>10096</v>
      </c>
      <c r="J8" s="449">
        <v>1.1428571428571428</v>
      </c>
      <c r="K8" s="449">
        <v>1262</v>
      </c>
      <c r="L8" s="453">
        <v>7</v>
      </c>
      <c r="M8" s="453">
        <v>8834</v>
      </c>
      <c r="N8" s="449">
        <v>1</v>
      </c>
      <c r="O8" s="449">
        <v>1262</v>
      </c>
      <c r="P8" s="453">
        <v>6</v>
      </c>
      <c r="Q8" s="453">
        <v>7578</v>
      </c>
      <c r="R8" s="519">
        <v>0.85782205116594978</v>
      </c>
      <c r="S8" s="454">
        <v>1263</v>
      </c>
    </row>
    <row r="9" spans="1:19" ht="14.4" customHeight="1" x14ac:dyDescent="0.3">
      <c r="A9" s="448" t="s">
        <v>695</v>
      </c>
      <c r="B9" s="449" t="s">
        <v>700</v>
      </c>
      <c r="C9" s="449" t="s">
        <v>437</v>
      </c>
      <c r="D9" s="449" t="s">
        <v>690</v>
      </c>
      <c r="E9" s="449" t="s">
        <v>697</v>
      </c>
      <c r="F9" s="449" t="s">
        <v>705</v>
      </c>
      <c r="G9" s="449" t="s">
        <v>706</v>
      </c>
      <c r="H9" s="453">
        <v>31</v>
      </c>
      <c r="I9" s="453">
        <v>72478</v>
      </c>
      <c r="J9" s="449">
        <v>3.0973504273504275</v>
      </c>
      <c r="K9" s="449">
        <v>2338</v>
      </c>
      <c r="L9" s="453">
        <v>10</v>
      </c>
      <c r="M9" s="453">
        <v>23400</v>
      </c>
      <c r="N9" s="449">
        <v>1</v>
      </c>
      <c r="O9" s="449">
        <v>2340</v>
      </c>
      <c r="P9" s="453">
        <v>6</v>
      </c>
      <c r="Q9" s="453">
        <v>14058</v>
      </c>
      <c r="R9" s="519">
        <v>0.60076923076923072</v>
      </c>
      <c r="S9" s="454">
        <v>2343</v>
      </c>
    </row>
    <row r="10" spans="1:19" ht="14.4" customHeight="1" x14ac:dyDescent="0.3">
      <c r="A10" s="448" t="s">
        <v>695</v>
      </c>
      <c r="B10" s="449" t="s">
        <v>700</v>
      </c>
      <c r="C10" s="449" t="s">
        <v>437</v>
      </c>
      <c r="D10" s="449" t="s">
        <v>690</v>
      </c>
      <c r="E10" s="449" t="s">
        <v>697</v>
      </c>
      <c r="F10" s="449" t="s">
        <v>707</v>
      </c>
      <c r="G10" s="449" t="s">
        <v>708</v>
      </c>
      <c r="H10" s="453">
        <v>7</v>
      </c>
      <c r="I10" s="453">
        <v>7539</v>
      </c>
      <c r="J10" s="449">
        <v>1</v>
      </c>
      <c r="K10" s="449">
        <v>1077</v>
      </c>
      <c r="L10" s="453">
        <v>7</v>
      </c>
      <c r="M10" s="453">
        <v>7539</v>
      </c>
      <c r="N10" s="449">
        <v>1</v>
      </c>
      <c r="O10" s="449">
        <v>1077</v>
      </c>
      <c r="P10" s="453">
        <v>7</v>
      </c>
      <c r="Q10" s="453">
        <v>7546</v>
      </c>
      <c r="R10" s="519">
        <v>1.000928505106778</v>
      </c>
      <c r="S10" s="454">
        <v>1078</v>
      </c>
    </row>
    <row r="11" spans="1:19" ht="14.4" customHeight="1" x14ac:dyDescent="0.3">
      <c r="A11" s="448" t="s">
        <v>695</v>
      </c>
      <c r="B11" s="449" t="s">
        <v>700</v>
      </c>
      <c r="C11" s="449" t="s">
        <v>437</v>
      </c>
      <c r="D11" s="449" t="s">
        <v>690</v>
      </c>
      <c r="E11" s="449" t="s">
        <v>697</v>
      </c>
      <c r="F11" s="449" t="s">
        <v>709</v>
      </c>
      <c r="G11" s="449" t="s">
        <v>710</v>
      </c>
      <c r="H11" s="453">
        <v>32</v>
      </c>
      <c r="I11" s="453">
        <v>122336</v>
      </c>
      <c r="J11" s="449">
        <v>1.3905768684285309</v>
      </c>
      <c r="K11" s="449">
        <v>3823</v>
      </c>
      <c r="L11" s="453">
        <v>23</v>
      </c>
      <c r="M11" s="453">
        <v>87975</v>
      </c>
      <c r="N11" s="449">
        <v>1</v>
      </c>
      <c r="O11" s="449">
        <v>3825</v>
      </c>
      <c r="P11" s="453">
        <v>31</v>
      </c>
      <c r="Q11" s="453">
        <v>118668</v>
      </c>
      <c r="R11" s="519">
        <v>1.3488832054560955</v>
      </c>
      <c r="S11" s="454">
        <v>3828</v>
      </c>
    </row>
    <row r="12" spans="1:19" ht="14.4" customHeight="1" x14ac:dyDescent="0.3">
      <c r="A12" s="448" t="s">
        <v>695</v>
      </c>
      <c r="B12" s="449" t="s">
        <v>700</v>
      </c>
      <c r="C12" s="449" t="s">
        <v>437</v>
      </c>
      <c r="D12" s="449" t="s">
        <v>690</v>
      </c>
      <c r="E12" s="449" t="s">
        <v>697</v>
      </c>
      <c r="F12" s="449" t="s">
        <v>711</v>
      </c>
      <c r="G12" s="449" t="s">
        <v>712</v>
      </c>
      <c r="H12" s="453">
        <v>542</v>
      </c>
      <c r="I12" s="453">
        <v>241190</v>
      </c>
      <c r="J12" s="449">
        <v>0.93448275862068964</v>
      </c>
      <c r="K12" s="449">
        <v>445</v>
      </c>
      <c r="L12" s="453">
        <v>580</v>
      </c>
      <c r="M12" s="453">
        <v>258100</v>
      </c>
      <c r="N12" s="449">
        <v>1</v>
      </c>
      <c r="O12" s="449">
        <v>445</v>
      </c>
      <c r="P12" s="453">
        <v>579</v>
      </c>
      <c r="Q12" s="453">
        <v>257655</v>
      </c>
      <c r="R12" s="519">
        <v>0.99827586206896557</v>
      </c>
      <c r="S12" s="454">
        <v>445</v>
      </c>
    </row>
    <row r="13" spans="1:19" ht="14.4" customHeight="1" x14ac:dyDescent="0.3">
      <c r="A13" s="448" t="s">
        <v>695</v>
      </c>
      <c r="B13" s="449" t="s">
        <v>700</v>
      </c>
      <c r="C13" s="449" t="s">
        <v>437</v>
      </c>
      <c r="D13" s="449" t="s">
        <v>690</v>
      </c>
      <c r="E13" s="449" t="s">
        <v>697</v>
      </c>
      <c r="F13" s="449" t="s">
        <v>713</v>
      </c>
      <c r="G13" s="449" t="s">
        <v>714</v>
      </c>
      <c r="H13" s="453">
        <v>69</v>
      </c>
      <c r="I13" s="453">
        <v>58857</v>
      </c>
      <c r="J13" s="449">
        <v>0.56031872965099672</v>
      </c>
      <c r="K13" s="449">
        <v>853</v>
      </c>
      <c r="L13" s="453">
        <v>123</v>
      </c>
      <c r="M13" s="453">
        <v>105042</v>
      </c>
      <c r="N13" s="449">
        <v>1</v>
      </c>
      <c r="O13" s="449">
        <v>854</v>
      </c>
      <c r="P13" s="453">
        <v>19</v>
      </c>
      <c r="Q13" s="453">
        <v>16226</v>
      </c>
      <c r="R13" s="519">
        <v>0.15447154471544716</v>
      </c>
      <c r="S13" s="454">
        <v>854</v>
      </c>
    </row>
    <row r="14" spans="1:19" ht="14.4" customHeight="1" x14ac:dyDescent="0.3">
      <c r="A14" s="448" t="s">
        <v>695</v>
      </c>
      <c r="B14" s="449" t="s">
        <v>700</v>
      </c>
      <c r="C14" s="449" t="s">
        <v>437</v>
      </c>
      <c r="D14" s="449" t="s">
        <v>690</v>
      </c>
      <c r="E14" s="449" t="s">
        <v>697</v>
      </c>
      <c r="F14" s="449" t="s">
        <v>715</v>
      </c>
      <c r="G14" s="449" t="s">
        <v>716</v>
      </c>
      <c r="H14" s="453">
        <v>58</v>
      </c>
      <c r="I14" s="453">
        <v>95990</v>
      </c>
      <c r="J14" s="449">
        <v>1.288888888888889</v>
      </c>
      <c r="K14" s="449">
        <v>1655</v>
      </c>
      <c r="L14" s="453">
        <v>45</v>
      </c>
      <c r="M14" s="453">
        <v>74475</v>
      </c>
      <c r="N14" s="449">
        <v>1</v>
      </c>
      <c r="O14" s="449">
        <v>1655</v>
      </c>
      <c r="P14" s="453">
        <v>1</v>
      </c>
      <c r="Q14" s="453">
        <v>1656</v>
      </c>
      <c r="R14" s="519">
        <v>2.2235649546827795E-2</v>
      </c>
      <c r="S14" s="454">
        <v>1656</v>
      </c>
    </row>
    <row r="15" spans="1:19" ht="14.4" customHeight="1" x14ac:dyDescent="0.3">
      <c r="A15" s="448" t="s">
        <v>695</v>
      </c>
      <c r="B15" s="449" t="s">
        <v>700</v>
      </c>
      <c r="C15" s="449" t="s">
        <v>437</v>
      </c>
      <c r="D15" s="449" t="s">
        <v>690</v>
      </c>
      <c r="E15" s="449" t="s">
        <v>697</v>
      </c>
      <c r="F15" s="449" t="s">
        <v>717</v>
      </c>
      <c r="G15" s="449" t="s">
        <v>718</v>
      </c>
      <c r="H15" s="453">
        <v>11</v>
      </c>
      <c r="I15" s="453">
        <v>9240</v>
      </c>
      <c r="J15" s="449">
        <v>5.4934601664684903</v>
      </c>
      <c r="K15" s="449">
        <v>840</v>
      </c>
      <c r="L15" s="453">
        <v>2</v>
      </c>
      <c r="M15" s="453">
        <v>1682</v>
      </c>
      <c r="N15" s="449">
        <v>1</v>
      </c>
      <c r="O15" s="449">
        <v>841</v>
      </c>
      <c r="P15" s="453">
        <v>2</v>
      </c>
      <c r="Q15" s="453">
        <v>1682</v>
      </c>
      <c r="R15" s="519">
        <v>1</v>
      </c>
      <c r="S15" s="454">
        <v>841</v>
      </c>
    </row>
    <row r="16" spans="1:19" ht="14.4" customHeight="1" x14ac:dyDescent="0.3">
      <c r="A16" s="448" t="s">
        <v>695</v>
      </c>
      <c r="B16" s="449" t="s">
        <v>700</v>
      </c>
      <c r="C16" s="449" t="s">
        <v>437</v>
      </c>
      <c r="D16" s="449" t="s">
        <v>690</v>
      </c>
      <c r="E16" s="449" t="s">
        <v>697</v>
      </c>
      <c r="F16" s="449" t="s">
        <v>719</v>
      </c>
      <c r="G16" s="449" t="s">
        <v>720</v>
      </c>
      <c r="H16" s="453">
        <v>17</v>
      </c>
      <c r="I16" s="453">
        <v>25891</v>
      </c>
      <c r="J16" s="449"/>
      <c r="K16" s="449">
        <v>1523</v>
      </c>
      <c r="L16" s="453"/>
      <c r="M16" s="453"/>
      <c r="N16" s="449"/>
      <c r="O16" s="449"/>
      <c r="P16" s="453"/>
      <c r="Q16" s="453"/>
      <c r="R16" s="519"/>
      <c r="S16" s="454"/>
    </row>
    <row r="17" spans="1:19" ht="14.4" customHeight="1" x14ac:dyDescent="0.3">
      <c r="A17" s="448" t="s">
        <v>695</v>
      </c>
      <c r="B17" s="449" t="s">
        <v>700</v>
      </c>
      <c r="C17" s="449" t="s">
        <v>437</v>
      </c>
      <c r="D17" s="449" t="s">
        <v>690</v>
      </c>
      <c r="E17" s="449" t="s">
        <v>697</v>
      </c>
      <c r="F17" s="449" t="s">
        <v>721</v>
      </c>
      <c r="G17" s="449" t="s">
        <v>722</v>
      </c>
      <c r="H17" s="453">
        <v>1</v>
      </c>
      <c r="I17" s="453">
        <v>3252</v>
      </c>
      <c r="J17" s="449"/>
      <c r="K17" s="449">
        <v>3252</v>
      </c>
      <c r="L17" s="453"/>
      <c r="M17" s="453"/>
      <c r="N17" s="449"/>
      <c r="O17" s="449"/>
      <c r="P17" s="453"/>
      <c r="Q17" s="453"/>
      <c r="R17" s="519"/>
      <c r="S17" s="454"/>
    </row>
    <row r="18" spans="1:19" ht="14.4" customHeight="1" x14ac:dyDescent="0.3">
      <c r="A18" s="448" t="s">
        <v>695</v>
      </c>
      <c r="B18" s="449" t="s">
        <v>700</v>
      </c>
      <c r="C18" s="449" t="s">
        <v>437</v>
      </c>
      <c r="D18" s="449" t="s">
        <v>690</v>
      </c>
      <c r="E18" s="449" t="s">
        <v>697</v>
      </c>
      <c r="F18" s="449" t="s">
        <v>723</v>
      </c>
      <c r="G18" s="449" t="s">
        <v>724</v>
      </c>
      <c r="H18" s="453">
        <v>70</v>
      </c>
      <c r="I18" s="453">
        <v>1190</v>
      </c>
      <c r="J18" s="449">
        <v>1.4893617021276595</v>
      </c>
      <c r="K18" s="449">
        <v>17</v>
      </c>
      <c r="L18" s="453">
        <v>47</v>
      </c>
      <c r="M18" s="453">
        <v>799</v>
      </c>
      <c r="N18" s="449">
        <v>1</v>
      </c>
      <c r="O18" s="449">
        <v>17</v>
      </c>
      <c r="P18" s="453">
        <v>53</v>
      </c>
      <c r="Q18" s="453">
        <v>901</v>
      </c>
      <c r="R18" s="519">
        <v>1.1276595744680851</v>
      </c>
      <c r="S18" s="454">
        <v>17</v>
      </c>
    </row>
    <row r="19" spans="1:19" ht="14.4" customHeight="1" x14ac:dyDescent="0.3">
      <c r="A19" s="448" t="s">
        <v>695</v>
      </c>
      <c r="B19" s="449" t="s">
        <v>700</v>
      </c>
      <c r="C19" s="449" t="s">
        <v>437</v>
      </c>
      <c r="D19" s="449" t="s">
        <v>690</v>
      </c>
      <c r="E19" s="449" t="s">
        <v>697</v>
      </c>
      <c r="F19" s="449" t="s">
        <v>725</v>
      </c>
      <c r="G19" s="449" t="s">
        <v>712</v>
      </c>
      <c r="H19" s="453">
        <v>108</v>
      </c>
      <c r="I19" s="453">
        <v>76464</v>
      </c>
      <c r="J19" s="449">
        <v>1.3670886075949367</v>
      </c>
      <c r="K19" s="449">
        <v>708</v>
      </c>
      <c r="L19" s="453">
        <v>79</v>
      </c>
      <c r="M19" s="453">
        <v>55932</v>
      </c>
      <c r="N19" s="449">
        <v>1</v>
      </c>
      <c r="O19" s="449">
        <v>708</v>
      </c>
      <c r="P19" s="453">
        <v>100</v>
      </c>
      <c r="Q19" s="453">
        <v>70900</v>
      </c>
      <c r="R19" s="519">
        <v>1.2676106700994063</v>
      </c>
      <c r="S19" s="454">
        <v>709</v>
      </c>
    </row>
    <row r="20" spans="1:19" ht="14.4" customHeight="1" x14ac:dyDescent="0.3">
      <c r="A20" s="448" t="s">
        <v>695</v>
      </c>
      <c r="B20" s="449" t="s">
        <v>700</v>
      </c>
      <c r="C20" s="449" t="s">
        <v>437</v>
      </c>
      <c r="D20" s="449" t="s">
        <v>690</v>
      </c>
      <c r="E20" s="449" t="s">
        <v>697</v>
      </c>
      <c r="F20" s="449" t="s">
        <v>726</v>
      </c>
      <c r="G20" s="449" t="s">
        <v>714</v>
      </c>
      <c r="H20" s="453">
        <v>101</v>
      </c>
      <c r="I20" s="453">
        <v>145238</v>
      </c>
      <c r="J20" s="449">
        <v>2.0597920891775749</v>
      </c>
      <c r="K20" s="449">
        <v>1438</v>
      </c>
      <c r="L20" s="453">
        <v>49</v>
      </c>
      <c r="M20" s="453">
        <v>70511</v>
      </c>
      <c r="N20" s="449">
        <v>1</v>
      </c>
      <c r="O20" s="449">
        <v>1439</v>
      </c>
      <c r="P20" s="453">
        <v>94</v>
      </c>
      <c r="Q20" s="453">
        <v>135454</v>
      </c>
      <c r="R20" s="519">
        <v>1.9210335975947015</v>
      </c>
      <c r="S20" s="454">
        <v>1441</v>
      </c>
    </row>
    <row r="21" spans="1:19" ht="14.4" customHeight="1" x14ac:dyDescent="0.3">
      <c r="A21" s="448" t="s">
        <v>695</v>
      </c>
      <c r="B21" s="449" t="s">
        <v>700</v>
      </c>
      <c r="C21" s="449" t="s">
        <v>437</v>
      </c>
      <c r="D21" s="449" t="s">
        <v>690</v>
      </c>
      <c r="E21" s="449" t="s">
        <v>697</v>
      </c>
      <c r="F21" s="449" t="s">
        <v>727</v>
      </c>
      <c r="G21" s="449" t="s">
        <v>728</v>
      </c>
      <c r="H21" s="453">
        <v>54</v>
      </c>
      <c r="I21" s="453">
        <v>131598</v>
      </c>
      <c r="J21" s="449">
        <v>1.38404745377674</v>
      </c>
      <c r="K21" s="449">
        <v>2437</v>
      </c>
      <c r="L21" s="453">
        <v>39</v>
      </c>
      <c r="M21" s="453">
        <v>95082</v>
      </c>
      <c r="N21" s="449">
        <v>1</v>
      </c>
      <c r="O21" s="449">
        <v>2438</v>
      </c>
      <c r="P21" s="453">
        <v>78</v>
      </c>
      <c r="Q21" s="453">
        <v>190476</v>
      </c>
      <c r="R21" s="519">
        <v>2.0032813781788352</v>
      </c>
      <c r="S21" s="454">
        <v>2442</v>
      </c>
    </row>
    <row r="22" spans="1:19" ht="14.4" customHeight="1" x14ac:dyDescent="0.3">
      <c r="A22" s="448" t="s">
        <v>695</v>
      </c>
      <c r="B22" s="449" t="s">
        <v>700</v>
      </c>
      <c r="C22" s="449" t="s">
        <v>437</v>
      </c>
      <c r="D22" s="449" t="s">
        <v>690</v>
      </c>
      <c r="E22" s="449" t="s">
        <v>697</v>
      </c>
      <c r="F22" s="449" t="s">
        <v>729</v>
      </c>
      <c r="G22" s="449" t="s">
        <v>730</v>
      </c>
      <c r="H22" s="453">
        <v>656</v>
      </c>
      <c r="I22" s="453">
        <v>45264</v>
      </c>
      <c r="J22" s="449">
        <v>0.99243570347957644</v>
      </c>
      <c r="K22" s="449">
        <v>69</v>
      </c>
      <c r="L22" s="453">
        <v>661</v>
      </c>
      <c r="M22" s="453">
        <v>45609</v>
      </c>
      <c r="N22" s="449">
        <v>1</v>
      </c>
      <c r="O22" s="449">
        <v>69</v>
      </c>
      <c r="P22" s="453">
        <v>678</v>
      </c>
      <c r="Q22" s="453">
        <v>46782</v>
      </c>
      <c r="R22" s="519">
        <v>1.0257186081694403</v>
      </c>
      <c r="S22" s="454">
        <v>69</v>
      </c>
    </row>
    <row r="23" spans="1:19" ht="14.4" customHeight="1" x14ac:dyDescent="0.3">
      <c r="A23" s="448" t="s">
        <v>695</v>
      </c>
      <c r="B23" s="449" t="s">
        <v>700</v>
      </c>
      <c r="C23" s="449" t="s">
        <v>437</v>
      </c>
      <c r="D23" s="449" t="s">
        <v>690</v>
      </c>
      <c r="E23" s="449" t="s">
        <v>697</v>
      </c>
      <c r="F23" s="449" t="s">
        <v>731</v>
      </c>
      <c r="G23" s="449" t="s">
        <v>732</v>
      </c>
      <c r="H23" s="453">
        <v>17</v>
      </c>
      <c r="I23" s="453">
        <v>6919</v>
      </c>
      <c r="J23" s="449"/>
      <c r="K23" s="449">
        <v>407</v>
      </c>
      <c r="L23" s="453"/>
      <c r="M23" s="453"/>
      <c r="N23" s="449"/>
      <c r="O23" s="449"/>
      <c r="P23" s="453"/>
      <c r="Q23" s="453"/>
      <c r="R23" s="519"/>
      <c r="S23" s="454"/>
    </row>
    <row r="24" spans="1:19" ht="14.4" customHeight="1" x14ac:dyDescent="0.3">
      <c r="A24" s="448" t="s">
        <v>695</v>
      </c>
      <c r="B24" s="449" t="s">
        <v>700</v>
      </c>
      <c r="C24" s="449" t="s">
        <v>437</v>
      </c>
      <c r="D24" s="449" t="s">
        <v>690</v>
      </c>
      <c r="E24" s="449" t="s">
        <v>697</v>
      </c>
      <c r="F24" s="449" t="s">
        <v>733</v>
      </c>
      <c r="G24" s="449" t="s">
        <v>734</v>
      </c>
      <c r="H24" s="453">
        <v>43</v>
      </c>
      <c r="I24" s="453">
        <v>71552</v>
      </c>
      <c r="J24" s="449">
        <v>0.62281411846629242</v>
      </c>
      <c r="K24" s="449">
        <v>1664</v>
      </c>
      <c r="L24" s="453">
        <v>69</v>
      </c>
      <c r="M24" s="453">
        <v>114885</v>
      </c>
      <c r="N24" s="449">
        <v>1</v>
      </c>
      <c r="O24" s="449">
        <v>1665</v>
      </c>
      <c r="P24" s="453">
        <v>42</v>
      </c>
      <c r="Q24" s="453">
        <v>70014</v>
      </c>
      <c r="R24" s="519">
        <v>0.60942681812247035</v>
      </c>
      <c r="S24" s="454">
        <v>1667</v>
      </c>
    </row>
    <row r="25" spans="1:19" ht="14.4" customHeight="1" x14ac:dyDescent="0.3">
      <c r="A25" s="448" t="s">
        <v>695</v>
      </c>
      <c r="B25" s="449" t="s">
        <v>700</v>
      </c>
      <c r="C25" s="449" t="s">
        <v>437</v>
      </c>
      <c r="D25" s="449" t="s">
        <v>690</v>
      </c>
      <c r="E25" s="449" t="s">
        <v>697</v>
      </c>
      <c r="F25" s="449" t="s">
        <v>735</v>
      </c>
      <c r="G25" s="449" t="s">
        <v>736</v>
      </c>
      <c r="H25" s="453">
        <v>266</v>
      </c>
      <c r="I25" s="453">
        <v>148960</v>
      </c>
      <c r="J25" s="449">
        <v>0.98884758364312264</v>
      </c>
      <c r="K25" s="449">
        <v>560</v>
      </c>
      <c r="L25" s="453">
        <v>269</v>
      </c>
      <c r="M25" s="453">
        <v>150640</v>
      </c>
      <c r="N25" s="449">
        <v>1</v>
      </c>
      <c r="O25" s="449">
        <v>560</v>
      </c>
      <c r="P25" s="453">
        <v>299</v>
      </c>
      <c r="Q25" s="453">
        <v>167739</v>
      </c>
      <c r="R25" s="519">
        <v>1.1135090281465747</v>
      </c>
      <c r="S25" s="454">
        <v>561</v>
      </c>
    </row>
    <row r="26" spans="1:19" ht="14.4" customHeight="1" x14ac:dyDescent="0.3">
      <c r="A26" s="448" t="s">
        <v>695</v>
      </c>
      <c r="B26" s="449" t="s">
        <v>700</v>
      </c>
      <c r="C26" s="449" t="s">
        <v>437</v>
      </c>
      <c r="D26" s="449" t="s">
        <v>690</v>
      </c>
      <c r="E26" s="449" t="s">
        <v>697</v>
      </c>
      <c r="F26" s="449" t="s">
        <v>737</v>
      </c>
      <c r="G26" s="449" t="s">
        <v>738</v>
      </c>
      <c r="H26" s="453">
        <v>1</v>
      </c>
      <c r="I26" s="453">
        <v>1266</v>
      </c>
      <c r="J26" s="449"/>
      <c r="K26" s="449">
        <v>1266</v>
      </c>
      <c r="L26" s="453"/>
      <c r="M26" s="453"/>
      <c r="N26" s="449"/>
      <c r="O26" s="449"/>
      <c r="P26" s="453"/>
      <c r="Q26" s="453"/>
      <c r="R26" s="519"/>
      <c r="S26" s="454"/>
    </row>
    <row r="27" spans="1:19" ht="14.4" customHeight="1" x14ac:dyDescent="0.3">
      <c r="A27" s="448" t="s">
        <v>695</v>
      </c>
      <c r="B27" s="449" t="s">
        <v>700</v>
      </c>
      <c r="C27" s="449" t="s">
        <v>437</v>
      </c>
      <c r="D27" s="449" t="s">
        <v>690</v>
      </c>
      <c r="E27" s="449" t="s">
        <v>697</v>
      </c>
      <c r="F27" s="449" t="s">
        <v>739</v>
      </c>
      <c r="G27" s="449" t="s">
        <v>740</v>
      </c>
      <c r="H27" s="453">
        <v>181</v>
      </c>
      <c r="I27" s="453">
        <v>6697</v>
      </c>
      <c r="J27" s="449">
        <v>1.0838323353293413</v>
      </c>
      <c r="K27" s="449">
        <v>37</v>
      </c>
      <c r="L27" s="453">
        <v>167</v>
      </c>
      <c r="M27" s="453">
        <v>6179</v>
      </c>
      <c r="N27" s="449">
        <v>1</v>
      </c>
      <c r="O27" s="449">
        <v>37</v>
      </c>
      <c r="P27" s="453">
        <v>174</v>
      </c>
      <c r="Q27" s="453">
        <v>6438</v>
      </c>
      <c r="R27" s="519">
        <v>1.0419161676646707</v>
      </c>
      <c r="S27" s="454">
        <v>37</v>
      </c>
    </row>
    <row r="28" spans="1:19" ht="14.4" customHeight="1" x14ac:dyDescent="0.3">
      <c r="A28" s="448" t="s">
        <v>695</v>
      </c>
      <c r="B28" s="449" t="s">
        <v>700</v>
      </c>
      <c r="C28" s="449" t="s">
        <v>437</v>
      </c>
      <c r="D28" s="449" t="s">
        <v>690</v>
      </c>
      <c r="E28" s="449" t="s">
        <v>697</v>
      </c>
      <c r="F28" s="449" t="s">
        <v>741</v>
      </c>
      <c r="G28" s="449" t="s">
        <v>742</v>
      </c>
      <c r="H28" s="453">
        <v>7</v>
      </c>
      <c r="I28" s="453">
        <v>903</v>
      </c>
      <c r="J28" s="449">
        <v>1.4</v>
      </c>
      <c r="K28" s="449">
        <v>129</v>
      </c>
      <c r="L28" s="453">
        <v>5</v>
      </c>
      <c r="M28" s="453">
        <v>645</v>
      </c>
      <c r="N28" s="449">
        <v>1</v>
      </c>
      <c r="O28" s="449">
        <v>129</v>
      </c>
      <c r="P28" s="453">
        <v>8</v>
      </c>
      <c r="Q28" s="453">
        <v>1032</v>
      </c>
      <c r="R28" s="519">
        <v>1.6</v>
      </c>
      <c r="S28" s="454">
        <v>129</v>
      </c>
    </row>
    <row r="29" spans="1:19" ht="14.4" customHeight="1" x14ac:dyDescent="0.3">
      <c r="A29" s="448" t="s">
        <v>695</v>
      </c>
      <c r="B29" s="449" t="s">
        <v>700</v>
      </c>
      <c r="C29" s="449" t="s">
        <v>437</v>
      </c>
      <c r="D29" s="449" t="s">
        <v>690</v>
      </c>
      <c r="E29" s="449" t="s">
        <v>697</v>
      </c>
      <c r="F29" s="449" t="s">
        <v>743</v>
      </c>
      <c r="G29" s="449" t="s">
        <v>744</v>
      </c>
      <c r="H29" s="453">
        <v>691</v>
      </c>
      <c r="I29" s="453">
        <v>296439</v>
      </c>
      <c r="J29" s="449">
        <v>0.72204806687565304</v>
      </c>
      <c r="K29" s="449">
        <v>429</v>
      </c>
      <c r="L29" s="453">
        <v>957</v>
      </c>
      <c r="M29" s="453">
        <v>410553</v>
      </c>
      <c r="N29" s="449">
        <v>1</v>
      </c>
      <c r="O29" s="449">
        <v>429</v>
      </c>
      <c r="P29" s="453">
        <v>816</v>
      </c>
      <c r="Q29" s="453">
        <v>350064</v>
      </c>
      <c r="R29" s="519">
        <v>0.85266457680250785</v>
      </c>
      <c r="S29" s="454">
        <v>429</v>
      </c>
    </row>
    <row r="30" spans="1:19" ht="14.4" customHeight="1" x14ac:dyDescent="0.3">
      <c r="A30" s="448" t="s">
        <v>695</v>
      </c>
      <c r="B30" s="449" t="s">
        <v>700</v>
      </c>
      <c r="C30" s="449" t="s">
        <v>437</v>
      </c>
      <c r="D30" s="449" t="s">
        <v>690</v>
      </c>
      <c r="E30" s="449" t="s">
        <v>697</v>
      </c>
      <c r="F30" s="449" t="s">
        <v>745</v>
      </c>
      <c r="G30" s="449" t="s">
        <v>746</v>
      </c>
      <c r="H30" s="453"/>
      <c r="I30" s="453"/>
      <c r="J30" s="449"/>
      <c r="K30" s="449"/>
      <c r="L30" s="453">
        <v>1</v>
      </c>
      <c r="M30" s="453">
        <v>1245</v>
      </c>
      <c r="N30" s="449">
        <v>1</v>
      </c>
      <c r="O30" s="449">
        <v>1245</v>
      </c>
      <c r="P30" s="453"/>
      <c r="Q30" s="453"/>
      <c r="R30" s="519"/>
      <c r="S30" s="454"/>
    </row>
    <row r="31" spans="1:19" ht="14.4" customHeight="1" x14ac:dyDescent="0.3">
      <c r="A31" s="448" t="s">
        <v>695</v>
      </c>
      <c r="B31" s="449" t="s">
        <v>700</v>
      </c>
      <c r="C31" s="449" t="s">
        <v>437</v>
      </c>
      <c r="D31" s="449" t="s">
        <v>690</v>
      </c>
      <c r="E31" s="449" t="s">
        <v>697</v>
      </c>
      <c r="F31" s="449" t="s">
        <v>747</v>
      </c>
      <c r="G31" s="449" t="s">
        <v>708</v>
      </c>
      <c r="H31" s="453"/>
      <c r="I31" s="453"/>
      <c r="J31" s="449"/>
      <c r="K31" s="449"/>
      <c r="L31" s="453"/>
      <c r="M31" s="453"/>
      <c r="N31" s="449"/>
      <c r="O31" s="449"/>
      <c r="P31" s="453">
        <v>2</v>
      </c>
      <c r="Q31" s="453">
        <v>1916</v>
      </c>
      <c r="R31" s="519"/>
      <c r="S31" s="454">
        <v>958</v>
      </c>
    </row>
    <row r="32" spans="1:19" ht="14.4" customHeight="1" x14ac:dyDescent="0.3">
      <c r="A32" s="448" t="s">
        <v>695</v>
      </c>
      <c r="B32" s="449" t="s">
        <v>700</v>
      </c>
      <c r="C32" s="449" t="s">
        <v>437</v>
      </c>
      <c r="D32" s="449" t="s">
        <v>690</v>
      </c>
      <c r="E32" s="449" t="s">
        <v>697</v>
      </c>
      <c r="F32" s="449" t="s">
        <v>748</v>
      </c>
      <c r="G32" s="449" t="s">
        <v>749</v>
      </c>
      <c r="H32" s="453">
        <v>200</v>
      </c>
      <c r="I32" s="453">
        <v>329800</v>
      </c>
      <c r="J32" s="449">
        <v>0.68965517241379315</v>
      </c>
      <c r="K32" s="449">
        <v>1649</v>
      </c>
      <c r="L32" s="453">
        <v>290</v>
      </c>
      <c r="M32" s="453">
        <v>478210</v>
      </c>
      <c r="N32" s="449">
        <v>1</v>
      </c>
      <c r="O32" s="449">
        <v>1649</v>
      </c>
      <c r="P32" s="453"/>
      <c r="Q32" s="453"/>
      <c r="R32" s="519"/>
      <c r="S32" s="454"/>
    </row>
    <row r="33" spans="1:19" ht="14.4" customHeight="1" x14ac:dyDescent="0.3">
      <c r="A33" s="448" t="s">
        <v>695</v>
      </c>
      <c r="B33" s="449" t="s">
        <v>700</v>
      </c>
      <c r="C33" s="449" t="s">
        <v>437</v>
      </c>
      <c r="D33" s="449" t="s">
        <v>690</v>
      </c>
      <c r="E33" s="449" t="s">
        <v>697</v>
      </c>
      <c r="F33" s="449" t="s">
        <v>750</v>
      </c>
      <c r="G33" s="449" t="s">
        <v>742</v>
      </c>
      <c r="H33" s="453">
        <v>1</v>
      </c>
      <c r="I33" s="453">
        <v>240</v>
      </c>
      <c r="J33" s="449"/>
      <c r="K33" s="449">
        <v>240</v>
      </c>
      <c r="L33" s="453"/>
      <c r="M33" s="453"/>
      <c r="N33" s="449"/>
      <c r="O33" s="449"/>
      <c r="P33" s="453">
        <v>1</v>
      </c>
      <c r="Q33" s="453">
        <v>241</v>
      </c>
      <c r="R33" s="519"/>
      <c r="S33" s="454">
        <v>241</v>
      </c>
    </row>
    <row r="34" spans="1:19" ht="14.4" customHeight="1" x14ac:dyDescent="0.3">
      <c r="A34" s="448" t="s">
        <v>695</v>
      </c>
      <c r="B34" s="449" t="s">
        <v>700</v>
      </c>
      <c r="C34" s="449" t="s">
        <v>437</v>
      </c>
      <c r="D34" s="449" t="s">
        <v>690</v>
      </c>
      <c r="E34" s="449" t="s">
        <v>697</v>
      </c>
      <c r="F34" s="449" t="s">
        <v>751</v>
      </c>
      <c r="G34" s="449" t="s">
        <v>752</v>
      </c>
      <c r="H34" s="453"/>
      <c r="I34" s="453"/>
      <c r="J34" s="449"/>
      <c r="K34" s="449"/>
      <c r="L34" s="453">
        <v>47</v>
      </c>
      <c r="M34" s="453">
        <v>103541</v>
      </c>
      <c r="N34" s="449">
        <v>1</v>
      </c>
      <c r="O34" s="449">
        <v>2203</v>
      </c>
      <c r="P34" s="453">
        <v>648</v>
      </c>
      <c r="Q34" s="453">
        <v>1428840</v>
      </c>
      <c r="R34" s="519">
        <v>13.799750823345342</v>
      </c>
      <c r="S34" s="454">
        <v>2205</v>
      </c>
    </row>
    <row r="35" spans="1:19" ht="14.4" customHeight="1" thickBot="1" x14ac:dyDescent="0.35">
      <c r="A35" s="455" t="s">
        <v>695</v>
      </c>
      <c r="B35" s="456" t="s">
        <v>700</v>
      </c>
      <c r="C35" s="456" t="s">
        <v>437</v>
      </c>
      <c r="D35" s="456" t="s">
        <v>690</v>
      </c>
      <c r="E35" s="456" t="s">
        <v>697</v>
      </c>
      <c r="F35" s="456" t="s">
        <v>753</v>
      </c>
      <c r="G35" s="456" t="s">
        <v>754</v>
      </c>
      <c r="H35" s="460"/>
      <c r="I35" s="460"/>
      <c r="J35" s="456"/>
      <c r="K35" s="456"/>
      <c r="L35" s="460">
        <v>4</v>
      </c>
      <c r="M35" s="460">
        <v>1716</v>
      </c>
      <c r="N35" s="456">
        <v>1</v>
      </c>
      <c r="O35" s="456">
        <v>429</v>
      </c>
      <c r="P35" s="460">
        <v>36</v>
      </c>
      <c r="Q35" s="460">
        <v>15480</v>
      </c>
      <c r="R35" s="471">
        <v>9.0209790209790217</v>
      </c>
      <c r="S35" s="461">
        <v>430</v>
      </c>
    </row>
  </sheetData>
  <autoFilter ref="A5:S5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outlinePr summaryRight="0"/>
    <pageSetUpPr fitToPage="1"/>
  </sheetPr>
  <dimension ref="A1:S22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outlineLevelCol="1" x14ac:dyDescent="0.3"/>
  <cols>
    <col min="1" max="1" width="46.6640625" style="104" bestFit="1" customWidth="1" collapsed="1"/>
    <col min="2" max="2" width="7.77734375" style="81" hidden="1" customWidth="1" outlineLevel="1"/>
    <col min="3" max="3" width="0.109375" style="104" hidden="1" customWidth="1"/>
    <col min="4" max="4" width="7.77734375" style="81" customWidth="1"/>
    <col min="5" max="5" width="5.44140625" style="104" hidden="1" customWidth="1"/>
    <col min="6" max="6" width="7.77734375" style="81" customWidth="1"/>
    <col min="7" max="7" width="7.77734375" style="183" customWidth="1" collapsed="1"/>
    <col min="8" max="8" width="7.77734375" style="81" hidden="1" customWidth="1" outlineLevel="1"/>
    <col min="9" max="9" width="5.44140625" style="104" hidden="1" customWidth="1"/>
    <col min="10" max="10" width="7.77734375" style="81" customWidth="1"/>
    <col min="11" max="11" width="5.44140625" style="104" hidden="1" customWidth="1"/>
    <col min="12" max="12" width="7.77734375" style="81" customWidth="1"/>
    <col min="13" max="13" width="7.77734375" style="183" customWidth="1" collapsed="1"/>
    <col min="14" max="14" width="7.77734375" style="81" hidden="1" customWidth="1" outlineLevel="1"/>
    <col min="15" max="15" width="5" style="104" hidden="1" customWidth="1"/>
    <col min="16" max="16" width="7.77734375" style="81" customWidth="1"/>
    <col min="17" max="17" width="5" style="104" hidden="1" customWidth="1"/>
    <col min="18" max="18" width="7.77734375" style="81" customWidth="1"/>
    <col min="19" max="19" width="7.77734375" style="183" customWidth="1"/>
    <col min="20" max="16384" width="8.88671875" style="104"/>
  </cols>
  <sheetData>
    <row r="1" spans="1:19" ht="18.600000000000001" customHeight="1" thickBot="1" x14ac:dyDescent="0.4">
      <c r="A1" s="309" t="s">
        <v>110</v>
      </c>
      <c r="B1" s="297"/>
      <c r="C1" s="297"/>
      <c r="D1" s="297"/>
      <c r="E1" s="297"/>
      <c r="F1" s="297"/>
      <c r="G1" s="297"/>
      <c r="H1" s="297"/>
      <c r="I1" s="297"/>
      <c r="J1" s="297"/>
      <c r="K1" s="297"/>
      <c r="L1" s="297"/>
      <c r="M1" s="297"/>
      <c r="N1" s="297"/>
      <c r="O1" s="297"/>
      <c r="P1" s="297"/>
      <c r="Q1" s="297"/>
      <c r="R1" s="297"/>
      <c r="S1" s="297"/>
    </row>
    <row r="2" spans="1:19" ht="14.4" customHeight="1" thickBot="1" x14ac:dyDescent="0.35">
      <c r="A2" s="200" t="s">
        <v>235</v>
      </c>
      <c r="B2" s="194"/>
      <c r="C2" s="86"/>
      <c r="D2" s="194"/>
      <c r="E2" s="86"/>
      <c r="F2" s="194"/>
      <c r="G2" s="195"/>
      <c r="H2" s="194"/>
      <c r="I2" s="86"/>
      <c r="J2" s="194"/>
      <c r="K2" s="86"/>
      <c r="L2" s="194"/>
      <c r="M2" s="195"/>
      <c r="N2" s="194"/>
      <c r="O2" s="86"/>
      <c r="P2" s="194"/>
      <c r="Q2" s="86"/>
      <c r="R2" s="194"/>
      <c r="S2" s="195"/>
    </row>
    <row r="3" spans="1:19" ht="14.4" customHeight="1" thickBot="1" x14ac:dyDescent="0.35">
      <c r="A3" s="188" t="s">
        <v>111</v>
      </c>
      <c r="B3" s="189">
        <f>SUBTOTAL(9,B6:B1048576)</f>
        <v>644475</v>
      </c>
      <c r="C3" s="190">
        <f t="shared" ref="C3:R3" si="0">SUBTOTAL(9,C6:C1048576)</f>
        <v>19.651507153492485</v>
      </c>
      <c r="D3" s="190">
        <f t="shared" si="0"/>
        <v>1118432</v>
      </c>
      <c r="E3" s="190">
        <f t="shared" si="0"/>
        <v>15</v>
      </c>
      <c r="F3" s="190">
        <f t="shared" si="0"/>
        <v>1036311</v>
      </c>
      <c r="G3" s="193">
        <f>IF(D3&lt;&gt;0,F3/D3,"")</f>
        <v>0.92657488340820005</v>
      </c>
      <c r="H3" s="189">
        <f t="shared" si="0"/>
        <v>0</v>
      </c>
      <c r="I3" s="190">
        <f t="shared" si="0"/>
        <v>0</v>
      </c>
      <c r="J3" s="190">
        <f t="shared" si="0"/>
        <v>0</v>
      </c>
      <c r="K3" s="190">
        <f t="shared" si="0"/>
        <v>0</v>
      </c>
      <c r="L3" s="190">
        <f t="shared" si="0"/>
        <v>0</v>
      </c>
      <c r="M3" s="191" t="str">
        <f>IF(J3&lt;&gt;0,L3/J3,"")</f>
        <v/>
      </c>
      <c r="N3" s="192">
        <f t="shared" si="0"/>
        <v>0</v>
      </c>
      <c r="O3" s="190">
        <f t="shared" si="0"/>
        <v>0</v>
      </c>
      <c r="P3" s="190">
        <f t="shared" si="0"/>
        <v>0</v>
      </c>
      <c r="Q3" s="190">
        <f t="shared" si="0"/>
        <v>0</v>
      </c>
      <c r="R3" s="190">
        <f t="shared" si="0"/>
        <v>0</v>
      </c>
      <c r="S3" s="191" t="str">
        <f>IF(P3&lt;&gt;0,R3/P3,"")</f>
        <v/>
      </c>
    </row>
    <row r="4" spans="1:19" ht="14.4" customHeight="1" x14ac:dyDescent="0.3">
      <c r="A4" s="382" t="s">
        <v>90</v>
      </c>
      <c r="B4" s="383" t="s">
        <v>84</v>
      </c>
      <c r="C4" s="384"/>
      <c r="D4" s="384"/>
      <c r="E4" s="384"/>
      <c r="F4" s="384"/>
      <c r="G4" s="386"/>
      <c r="H4" s="383" t="s">
        <v>85</v>
      </c>
      <c r="I4" s="384"/>
      <c r="J4" s="384"/>
      <c r="K4" s="384"/>
      <c r="L4" s="384"/>
      <c r="M4" s="386"/>
      <c r="N4" s="383" t="s">
        <v>86</v>
      </c>
      <c r="O4" s="384"/>
      <c r="P4" s="384"/>
      <c r="Q4" s="384"/>
      <c r="R4" s="384"/>
      <c r="S4" s="386"/>
    </row>
    <row r="5" spans="1:19" ht="14.4" customHeight="1" thickBot="1" x14ac:dyDescent="0.35">
      <c r="A5" s="481"/>
      <c r="B5" s="482">
        <v>2015</v>
      </c>
      <c r="C5" s="483"/>
      <c r="D5" s="483">
        <v>2017</v>
      </c>
      <c r="E5" s="483"/>
      <c r="F5" s="483">
        <v>2018</v>
      </c>
      <c r="G5" s="521" t="s">
        <v>2</v>
      </c>
      <c r="H5" s="482">
        <v>2015</v>
      </c>
      <c r="I5" s="483"/>
      <c r="J5" s="483">
        <v>2017</v>
      </c>
      <c r="K5" s="483"/>
      <c r="L5" s="483">
        <v>2018</v>
      </c>
      <c r="M5" s="521" t="s">
        <v>2</v>
      </c>
      <c r="N5" s="482">
        <v>2015</v>
      </c>
      <c r="O5" s="483"/>
      <c r="P5" s="483">
        <v>2017</v>
      </c>
      <c r="Q5" s="483"/>
      <c r="R5" s="483">
        <v>2018</v>
      </c>
      <c r="S5" s="521" t="s">
        <v>2</v>
      </c>
    </row>
    <row r="6" spans="1:19" ht="14.4" customHeight="1" x14ac:dyDescent="0.3">
      <c r="A6" s="468" t="s">
        <v>757</v>
      </c>
      <c r="B6" s="522">
        <v>25096</v>
      </c>
      <c r="C6" s="442">
        <v>3.271968709256845</v>
      </c>
      <c r="D6" s="522">
        <v>7670</v>
      </c>
      <c r="E6" s="442">
        <v>1</v>
      </c>
      <c r="F6" s="522">
        <v>15266</v>
      </c>
      <c r="G6" s="469">
        <v>1.9903520208604955</v>
      </c>
      <c r="H6" s="522"/>
      <c r="I6" s="442"/>
      <c r="J6" s="522"/>
      <c r="K6" s="442"/>
      <c r="L6" s="522"/>
      <c r="M6" s="469"/>
      <c r="N6" s="522"/>
      <c r="O6" s="442"/>
      <c r="P6" s="522"/>
      <c r="Q6" s="442"/>
      <c r="R6" s="522"/>
      <c r="S6" s="470"/>
    </row>
    <row r="7" spans="1:19" ht="14.4" customHeight="1" x14ac:dyDescent="0.3">
      <c r="A7" s="526" t="s">
        <v>758</v>
      </c>
      <c r="B7" s="523">
        <v>16334</v>
      </c>
      <c r="C7" s="449">
        <v>0.13697734095902589</v>
      </c>
      <c r="D7" s="523">
        <v>119246</v>
      </c>
      <c r="E7" s="449">
        <v>1</v>
      </c>
      <c r="F7" s="523">
        <v>69165</v>
      </c>
      <c r="G7" s="519">
        <v>0.58001945557922274</v>
      </c>
      <c r="H7" s="523"/>
      <c r="I7" s="449"/>
      <c r="J7" s="523"/>
      <c r="K7" s="449"/>
      <c r="L7" s="523"/>
      <c r="M7" s="519"/>
      <c r="N7" s="523"/>
      <c r="O7" s="449"/>
      <c r="P7" s="523"/>
      <c r="Q7" s="449"/>
      <c r="R7" s="523"/>
      <c r="S7" s="524"/>
    </row>
    <row r="8" spans="1:19" ht="14.4" customHeight="1" x14ac:dyDescent="0.3">
      <c r="A8" s="526" t="s">
        <v>759</v>
      </c>
      <c r="B8" s="523">
        <v>131239</v>
      </c>
      <c r="C8" s="449">
        <v>0.64775795266651859</v>
      </c>
      <c r="D8" s="523">
        <v>202605</v>
      </c>
      <c r="E8" s="449">
        <v>1</v>
      </c>
      <c r="F8" s="523">
        <v>272398</v>
      </c>
      <c r="G8" s="519">
        <v>1.3444781718121468</v>
      </c>
      <c r="H8" s="523"/>
      <c r="I8" s="449"/>
      <c r="J8" s="523"/>
      <c r="K8" s="449"/>
      <c r="L8" s="523"/>
      <c r="M8" s="519"/>
      <c r="N8" s="523"/>
      <c r="O8" s="449"/>
      <c r="P8" s="523"/>
      <c r="Q8" s="449"/>
      <c r="R8" s="523"/>
      <c r="S8" s="524"/>
    </row>
    <row r="9" spans="1:19" ht="14.4" customHeight="1" x14ac:dyDescent="0.3">
      <c r="A9" s="526" t="s">
        <v>760</v>
      </c>
      <c r="B9" s="523"/>
      <c r="C9" s="449"/>
      <c r="D9" s="523">
        <v>11413</v>
      </c>
      <c r="E9" s="449">
        <v>1</v>
      </c>
      <c r="F9" s="523"/>
      <c r="G9" s="519"/>
      <c r="H9" s="523"/>
      <c r="I9" s="449"/>
      <c r="J9" s="523"/>
      <c r="K9" s="449"/>
      <c r="L9" s="523"/>
      <c r="M9" s="519"/>
      <c r="N9" s="523"/>
      <c r="O9" s="449"/>
      <c r="P9" s="523"/>
      <c r="Q9" s="449"/>
      <c r="R9" s="523"/>
      <c r="S9" s="524"/>
    </row>
    <row r="10" spans="1:19" ht="14.4" customHeight="1" x14ac:dyDescent="0.3">
      <c r="A10" s="526" t="s">
        <v>761</v>
      </c>
      <c r="B10" s="523">
        <v>41952</v>
      </c>
      <c r="C10" s="449">
        <v>0.80126821628435552</v>
      </c>
      <c r="D10" s="523">
        <v>52357</v>
      </c>
      <c r="E10" s="449">
        <v>1</v>
      </c>
      <c r="F10" s="523">
        <v>50157</v>
      </c>
      <c r="G10" s="519">
        <v>0.95798078575930634</v>
      </c>
      <c r="H10" s="523"/>
      <c r="I10" s="449"/>
      <c r="J10" s="523"/>
      <c r="K10" s="449"/>
      <c r="L10" s="523"/>
      <c r="M10" s="519"/>
      <c r="N10" s="523"/>
      <c r="O10" s="449"/>
      <c r="P10" s="523"/>
      <c r="Q10" s="449"/>
      <c r="R10" s="523"/>
      <c r="S10" s="524"/>
    </row>
    <row r="11" spans="1:19" ht="14.4" customHeight="1" x14ac:dyDescent="0.3">
      <c r="A11" s="526" t="s">
        <v>762</v>
      </c>
      <c r="B11" s="523">
        <v>73034</v>
      </c>
      <c r="C11" s="449">
        <v>1.3156197647397907</v>
      </c>
      <c r="D11" s="523">
        <v>55513</v>
      </c>
      <c r="E11" s="449">
        <v>1</v>
      </c>
      <c r="F11" s="523">
        <v>97280</v>
      </c>
      <c r="G11" s="519">
        <v>1.7523823248608434</v>
      </c>
      <c r="H11" s="523"/>
      <c r="I11" s="449"/>
      <c r="J11" s="523"/>
      <c r="K11" s="449"/>
      <c r="L11" s="523"/>
      <c r="M11" s="519"/>
      <c r="N11" s="523"/>
      <c r="O11" s="449"/>
      <c r="P11" s="523"/>
      <c r="Q11" s="449"/>
      <c r="R11" s="523"/>
      <c r="S11" s="524"/>
    </row>
    <row r="12" spans="1:19" ht="14.4" customHeight="1" x14ac:dyDescent="0.3">
      <c r="A12" s="526" t="s">
        <v>763</v>
      </c>
      <c r="B12" s="523">
        <v>3360</v>
      </c>
      <c r="C12" s="449">
        <v>0.18436213991769548</v>
      </c>
      <c r="D12" s="523">
        <v>18225</v>
      </c>
      <c r="E12" s="449">
        <v>1</v>
      </c>
      <c r="F12" s="523">
        <v>6369</v>
      </c>
      <c r="G12" s="519">
        <v>0.34946502057613171</v>
      </c>
      <c r="H12" s="523"/>
      <c r="I12" s="449"/>
      <c r="J12" s="523"/>
      <c r="K12" s="449"/>
      <c r="L12" s="523"/>
      <c r="M12" s="519"/>
      <c r="N12" s="523"/>
      <c r="O12" s="449"/>
      <c r="P12" s="523"/>
      <c r="Q12" s="449"/>
      <c r="R12" s="523"/>
      <c r="S12" s="524"/>
    </row>
    <row r="13" spans="1:19" ht="14.4" customHeight="1" x14ac:dyDescent="0.3">
      <c r="A13" s="526" t="s">
        <v>764</v>
      </c>
      <c r="B13" s="523">
        <v>2638</v>
      </c>
      <c r="C13" s="449">
        <v>6.1491841491841495</v>
      </c>
      <c r="D13" s="523">
        <v>429</v>
      </c>
      <c r="E13" s="449">
        <v>1</v>
      </c>
      <c r="F13" s="523"/>
      <c r="G13" s="519"/>
      <c r="H13" s="523"/>
      <c r="I13" s="449"/>
      <c r="J13" s="523"/>
      <c r="K13" s="449"/>
      <c r="L13" s="523"/>
      <c r="M13" s="519"/>
      <c r="N13" s="523"/>
      <c r="O13" s="449"/>
      <c r="P13" s="523"/>
      <c r="Q13" s="449"/>
      <c r="R13" s="523"/>
      <c r="S13" s="524"/>
    </row>
    <row r="14" spans="1:19" ht="14.4" customHeight="1" x14ac:dyDescent="0.3">
      <c r="A14" s="526" t="s">
        <v>765</v>
      </c>
      <c r="B14" s="523">
        <v>170206</v>
      </c>
      <c r="C14" s="449">
        <v>0.46946903875327539</v>
      </c>
      <c r="D14" s="523">
        <v>362550</v>
      </c>
      <c r="E14" s="449">
        <v>1</v>
      </c>
      <c r="F14" s="523">
        <v>245733</v>
      </c>
      <c r="G14" s="519">
        <v>0.67779064956557711</v>
      </c>
      <c r="H14" s="523"/>
      <c r="I14" s="449"/>
      <c r="J14" s="523"/>
      <c r="K14" s="449"/>
      <c r="L14" s="523"/>
      <c r="M14" s="519"/>
      <c r="N14" s="523"/>
      <c r="O14" s="449"/>
      <c r="P14" s="523"/>
      <c r="Q14" s="449"/>
      <c r="R14" s="523"/>
      <c r="S14" s="524"/>
    </row>
    <row r="15" spans="1:19" ht="14.4" customHeight="1" x14ac:dyDescent="0.3">
      <c r="A15" s="526" t="s">
        <v>766</v>
      </c>
      <c r="B15" s="523"/>
      <c r="C15" s="449"/>
      <c r="D15" s="523"/>
      <c r="E15" s="449"/>
      <c r="F15" s="523">
        <v>3063</v>
      </c>
      <c r="G15" s="519"/>
      <c r="H15" s="523"/>
      <c r="I15" s="449"/>
      <c r="J15" s="523"/>
      <c r="K15" s="449"/>
      <c r="L15" s="523"/>
      <c r="M15" s="519"/>
      <c r="N15" s="523"/>
      <c r="O15" s="449"/>
      <c r="P15" s="523"/>
      <c r="Q15" s="449"/>
      <c r="R15" s="523"/>
      <c r="S15" s="524"/>
    </row>
    <row r="16" spans="1:19" ht="14.4" customHeight="1" x14ac:dyDescent="0.3">
      <c r="A16" s="526" t="s">
        <v>767</v>
      </c>
      <c r="B16" s="523"/>
      <c r="C16" s="449"/>
      <c r="D16" s="523"/>
      <c r="E16" s="449"/>
      <c r="F16" s="523">
        <v>27007</v>
      </c>
      <c r="G16" s="519"/>
      <c r="H16" s="523"/>
      <c r="I16" s="449"/>
      <c r="J16" s="523"/>
      <c r="K16" s="449"/>
      <c r="L16" s="523"/>
      <c r="M16" s="519"/>
      <c r="N16" s="523"/>
      <c r="O16" s="449"/>
      <c r="P16" s="523"/>
      <c r="Q16" s="449"/>
      <c r="R16" s="523"/>
      <c r="S16" s="524"/>
    </row>
    <row r="17" spans="1:19" ht="14.4" customHeight="1" x14ac:dyDescent="0.3">
      <c r="A17" s="526" t="s">
        <v>768</v>
      </c>
      <c r="B17" s="523">
        <v>26849</v>
      </c>
      <c r="C17" s="449">
        <v>0.35002476990065967</v>
      </c>
      <c r="D17" s="523">
        <v>76706</v>
      </c>
      <c r="E17" s="449">
        <v>1</v>
      </c>
      <c r="F17" s="523">
        <v>45960</v>
      </c>
      <c r="G17" s="519">
        <v>0.59917086016739241</v>
      </c>
      <c r="H17" s="523"/>
      <c r="I17" s="449"/>
      <c r="J17" s="523"/>
      <c r="K17" s="449"/>
      <c r="L17" s="523"/>
      <c r="M17" s="519"/>
      <c r="N17" s="523"/>
      <c r="O17" s="449"/>
      <c r="P17" s="523"/>
      <c r="Q17" s="449"/>
      <c r="R17" s="523"/>
      <c r="S17" s="524"/>
    </row>
    <row r="18" spans="1:19" ht="14.4" customHeight="1" x14ac:dyDescent="0.3">
      <c r="A18" s="526" t="s">
        <v>769</v>
      </c>
      <c r="B18" s="523">
        <v>87812</v>
      </c>
      <c r="C18" s="449">
        <v>0.52176186430103566</v>
      </c>
      <c r="D18" s="523">
        <v>168299</v>
      </c>
      <c r="E18" s="449">
        <v>1</v>
      </c>
      <c r="F18" s="523">
        <v>179825</v>
      </c>
      <c r="G18" s="519">
        <v>1.0684852554085289</v>
      </c>
      <c r="H18" s="523"/>
      <c r="I18" s="449"/>
      <c r="J18" s="523"/>
      <c r="K18" s="449"/>
      <c r="L18" s="523"/>
      <c r="M18" s="519"/>
      <c r="N18" s="523"/>
      <c r="O18" s="449"/>
      <c r="P18" s="523"/>
      <c r="Q18" s="449"/>
      <c r="R18" s="523"/>
      <c r="S18" s="524"/>
    </row>
    <row r="19" spans="1:19" ht="14.4" customHeight="1" x14ac:dyDescent="0.3">
      <c r="A19" s="526" t="s">
        <v>770</v>
      </c>
      <c r="B19" s="523">
        <v>5009</v>
      </c>
      <c r="C19" s="449">
        <v>3.1884150222788032</v>
      </c>
      <c r="D19" s="523">
        <v>1571</v>
      </c>
      <c r="E19" s="449">
        <v>1</v>
      </c>
      <c r="F19" s="523"/>
      <c r="G19" s="519"/>
      <c r="H19" s="523"/>
      <c r="I19" s="449"/>
      <c r="J19" s="523"/>
      <c r="K19" s="449"/>
      <c r="L19" s="523"/>
      <c r="M19" s="519"/>
      <c r="N19" s="523"/>
      <c r="O19" s="449"/>
      <c r="P19" s="523"/>
      <c r="Q19" s="449"/>
      <c r="R19" s="523"/>
      <c r="S19" s="524"/>
    </row>
    <row r="20" spans="1:19" ht="14.4" customHeight="1" x14ac:dyDescent="0.3">
      <c r="A20" s="526" t="s">
        <v>771</v>
      </c>
      <c r="B20" s="523"/>
      <c r="C20" s="449"/>
      <c r="D20" s="523">
        <v>18110</v>
      </c>
      <c r="E20" s="449">
        <v>1</v>
      </c>
      <c r="F20" s="523">
        <v>9586</v>
      </c>
      <c r="G20" s="519">
        <v>0.5293208172280508</v>
      </c>
      <c r="H20" s="523"/>
      <c r="I20" s="449"/>
      <c r="J20" s="523"/>
      <c r="K20" s="449"/>
      <c r="L20" s="523"/>
      <c r="M20" s="519"/>
      <c r="N20" s="523"/>
      <c r="O20" s="449"/>
      <c r="P20" s="523"/>
      <c r="Q20" s="449"/>
      <c r="R20" s="523"/>
      <c r="S20" s="524"/>
    </row>
    <row r="21" spans="1:19" ht="14.4" customHeight="1" x14ac:dyDescent="0.3">
      <c r="A21" s="526" t="s">
        <v>772</v>
      </c>
      <c r="B21" s="523"/>
      <c r="C21" s="449"/>
      <c r="D21" s="523">
        <v>429</v>
      </c>
      <c r="E21" s="449">
        <v>1</v>
      </c>
      <c r="F21" s="523"/>
      <c r="G21" s="519"/>
      <c r="H21" s="523"/>
      <c r="I21" s="449"/>
      <c r="J21" s="523"/>
      <c r="K21" s="449"/>
      <c r="L21" s="523"/>
      <c r="M21" s="519"/>
      <c r="N21" s="523"/>
      <c r="O21" s="449"/>
      <c r="P21" s="523"/>
      <c r="Q21" s="449"/>
      <c r="R21" s="523"/>
      <c r="S21" s="524"/>
    </row>
    <row r="22" spans="1:19" ht="14.4" customHeight="1" thickBot="1" x14ac:dyDescent="0.35">
      <c r="A22" s="527" t="s">
        <v>773</v>
      </c>
      <c r="B22" s="525">
        <v>60946</v>
      </c>
      <c r="C22" s="456">
        <v>2.6146981852503326</v>
      </c>
      <c r="D22" s="525">
        <v>23309</v>
      </c>
      <c r="E22" s="456">
        <v>1</v>
      </c>
      <c r="F22" s="525">
        <v>14502</v>
      </c>
      <c r="G22" s="471">
        <v>0.62216311296065896</v>
      </c>
      <c r="H22" s="525"/>
      <c r="I22" s="456"/>
      <c r="J22" s="525"/>
      <c r="K22" s="456"/>
      <c r="L22" s="525"/>
      <c r="M22" s="471"/>
      <c r="N22" s="525"/>
      <c r="O22" s="456"/>
      <c r="P22" s="525"/>
      <c r="Q22" s="456"/>
      <c r="R22" s="525"/>
      <c r="S22" s="472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M3 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outlinePr summaryRight="0"/>
    <pageSetUpPr fitToPage="1"/>
  </sheetPr>
  <dimension ref="A1:Q168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outlineLevelCol="1" x14ac:dyDescent="0.3"/>
  <cols>
    <col min="1" max="1" width="3" style="104" bestFit="1" customWidth="1"/>
    <col min="2" max="2" width="8.6640625" style="104" bestFit="1" customWidth="1"/>
    <col min="3" max="3" width="2.109375" style="104" bestFit="1" customWidth="1"/>
    <col min="4" max="4" width="8" style="104" bestFit="1" customWidth="1"/>
    <col min="5" max="5" width="52.88671875" style="104" bestFit="1" customWidth="1" collapsed="1"/>
    <col min="6" max="7" width="11.109375" style="180" hidden="1" customWidth="1" outlineLevel="1"/>
    <col min="8" max="9" width="9.33203125" style="180" hidden="1" customWidth="1"/>
    <col min="10" max="11" width="11.109375" style="180" customWidth="1"/>
    <col min="12" max="13" width="9.33203125" style="180" hidden="1" customWidth="1"/>
    <col min="14" max="15" width="11.109375" style="180" customWidth="1"/>
    <col min="16" max="16" width="11.109375" style="183" customWidth="1"/>
    <col min="17" max="17" width="11.109375" style="180" customWidth="1"/>
    <col min="18" max="16384" width="8.88671875" style="104"/>
  </cols>
  <sheetData>
    <row r="1" spans="1:17" ht="18.600000000000001" customHeight="1" thickBot="1" x14ac:dyDescent="0.4">
      <c r="A1" s="297" t="s">
        <v>792</v>
      </c>
      <c r="B1" s="297"/>
      <c r="C1" s="297"/>
      <c r="D1" s="297"/>
      <c r="E1" s="297"/>
      <c r="F1" s="297"/>
      <c r="G1" s="297"/>
      <c r="H1" s="297"/>
      <c r="I1" s="297"/>
      <c r="J1" s="297"/>
      <c r="K1" s="297"/>
      <c r="L1" s="297"/>
      <c r="M1" s="297"/>
      <c r="N1" s="297"/>
      <c r="O1" s="297"/>
      <c r="P1" s="297"/>
      <c r="Q1" s="297"/>
    </row>
    <row r="2" spans="1:17" ht="14.4" customHeight="1" thickBot="1" x14ac:dyDescent="0.35">
      <c r="A2" s="200" t="s">
        <v>235</v>
      </c>
      <c r="B2" s="105"/>
      <c r="C2" s="105"/>
      <c r="D2" s="105"/>
      <c r="E2" s="105"/>
      <c r="F2" s="196"/>
      <c r="G2" s="196"/>
      <c r="H2" s="196"/>
      <c r="I2" s="196"/>
      <c r="J2" s="196"/>
      <c r="K2" s="196"/>
      <c r="L2" s="196"/>
      <c r="M2" s="196"/>
      <c r="N2" s="196"/>
      <c r="O2" s="196"/>
      <c r="P2" s="197"/>
      <c r="Q2" s="196"/>
    </row>
    <row r="3" spans="1:17" ht="14.4" customHeight="1" thickBot="1" x14ac:dyDescent="0.35">
      <c r="E3" s="63" t="s">
        <v>111</v>
      </c>
      <c r="F3" s="77">
        <f t="shared" ref="F3:O3" si="0">SUBTOTAL(9,F6:F1048576)</f>
        <v>568</v>
      </c>
      <c r="G3" s="78">
        <f t="shared" si="0"/>
        <v>644475</v>
      </c>
      <c r="H3" s="78"/>
      <c r="I3" s="78"/>
      <c r="J3" s="78">
        <f t="shared" si="0"/>
        <v>1152</v>
      </c>
      <c r="K3" s="78">
        <f t="shared" si="0"/>
        <v>1118432</v>
      </c>
      <c r="L3" s="78"/>
      <c r="M3" s="78"/>
      <c r="N3" s="78">
        <f t="shared" si="0"/>
        <v>1020</v>
      </c>
      <c r="O3" s="78">
        <f t="shared" si="0"/>
        <v>1036311</v>
      </c>
      <c r="P3" s="59">
        <f>IF(K3=0,0,O3/K3)</f>
        <v>0.92657488340820005</v>
      </c>
      <c r="Q3" s="79">
        <f>IF(N3=0,0,O3/N3)</f>
        <v>1015.9911764705882</v>
      </c>
    </row>
    <row r="4" spans="1:17" ht="14.4" customHeight="1" x14ac:dyDescent="0.3">
      <c r="A4" s="391" t="s">
        <v>54</v>
      </c>
      <c r="B4" s="389" t="s">
        <v>80</v>
      </c>
      <c r="C4" s="391" t="s">
        <v>81</v>
      </c>
      <c r="D4" s="400" t="s">
        <v>82</v>
      </c>
      <c r="E4" s="392" t="s">
        <v>55</v>
      </c>
      <c r="F4" s="398">
        <v>2015</v>
      </c>
      <c r="G4" s="399"/>
      <c r="H4" s="80"/>
      <c r="I4" s="80"/>
      <c r="J4" s="398">
        <v>2017</v>
      </c>
      <c r="K4" s="399"/>
      <c r="L4" s="80"/>
      <c r="M4" s="80"/>
      <c r="N4" s="398">
        <v>2018</v>
      </c>
      <c r="O4" s="399"/>
      <c r="P4" s="401" t="s">
        <v>2</v>
      </c>
      <c r="Q4" s="390" t="s">
        <v>83</v>
      </c>
    </row>
    <row r="5" spans="1:17" ht="14.4" customHeight="1" thickBot="1" x14ac:dyDescent="0.35">
      <c r="A5" s="511"/>
      <c r="B5" s="509"/>
      <c r="C5" s="511"/>
      <c r="D5" s="528"/>
      <c r="E5" s="513"/>
      <c r="F5" s="529" t="s">
        <v>57</v>
      </c>
      <c r="G5" s="530" t="s">
        <v>14</v>
      </c>
      <c r="H5" s="531"/>
      <c r="I5" s="531"/>
      <c r="J5" s="529" t="s">
        <v>57</v>
      </c>
      <c r="K5" s="530" t="s">
        <v>14</v>
      </c>
      <c r="L5" s="531"/>
      <c r="M5" s="531"/>
      <c r="N5" s="529" t="s">
        <v>57</v>
      </c>
      <c r="O5" s="530" t="s">
        <v>14</v>
      </c>
      <c r="P5" s="532"/>
      <c r="Q5" s="518"/>
    </row>
    <row r="6" spans="1:17" ht="14.4" customHeight="1" x14ac:dyDescent="0.3">
      <c r="A6" s="441" t="s">
        <v>774</v>
      </c>
      <c r="B6" s="442" t="s">
        <v>696</v>
      </c>
      <c r="C6" s="442" t="s">
        <v>697</v>
      </c>
      <c r="D6" s="442" t="s">
        <v>698</v>
      </c>
      <c r="E6" s="442" t="s">
        <v>699</v>
      </c>
      <c r="F6" s="446">
        <v>1</v>
      </c>
      <c r="G6" s="446">
        <v>11403</v>
      </c>
      <c r="H6" s="446"/>
      <c r="I6" s="446">
        <v>11403</v>
      </c>
      <c r="J6" s="446"/>
      <c r="K6" s="446"/>
      <c r="L6" s="446"/>
      <c r="M6" s="446"/>
      <c r="N6" s="446"/>
      <c r="O6" s="446"/>
      <c r="P6" s="469"/>
      <c r="Q6" s="447"/>
    </row>
    <row r="7" spans="1:17" ht="14.4" customHeight="1" x14ac:dyDescent="0.3">
      <c r="A7" s="448" t="s">
        <v>774</v>
      </c>
      <c r="B7" s="449" t="s">
        <v>700</v>
      </c>
      <c r="C7" s="449" t="s">
        <v>697</v>
      </c>
      <c r="D7" s="449" t="s">
        <v>709</v>
      </c>
      <c r="E7" s="449" t="s">
        <v>710</v>
      </c>
      <c r="F7" s="453">
        <v>1</v>
      </c>
      <c r="G7" s="453">
        <v>3823</v>
      </c>
      <c r="H7" s="453"/>
      <c r="I7" s="453">
        <v>3823</v>
      </c>
      <c r="J7" s="453"/>
      <c r="K7" s="453"/>
      <c r="L7" s="453"/>
      <c r="M7" s="453"/>
      <c r="N7" s="453"/>
      <c r="O7" s="453"/>
      <c r="P7" s="519"/>
      <c r="Q7" s="454"/>
    </row>
    <row r="8" spans="1:17" ht="14.4" customHeight="1" x14ac:dyDescent="0.3">
      <c r="A8" s="448" t="s">
        <v>774</v>
      </c>
      <c r="B8" s="449" t="s">
        <v>700</v>
      </c>
      <c r="C8" s="449" t="s">
        <v>697</v>
      </c>
      <c r="D8" s="449" t="s">
        <v>711</v>
      </c>
      <c r="E8" s="449" t="s">
        <v>712</v>
      </c>
      <c r="F8" s="453"/>
      <c r="G8" s="453"/>
      <c r="H8" s="453"/>
      <c r="I8" s="453"/>
      <c r="J8" s="453">
        <v>1</v>
      </c>
      <c r="K8" s="453">
        <v>445</v>
      </c>
      <c r="L8" s="453">
        <v>1</v>
      </c>
      <c r="M8" s="453">
        <v>445</v>
      </c>
      <c r="N8" s="453"/>
      <c r="O8" s="453"/>
      <c r="P8" s="519"/>
      <c r="Q8" s="454"/>
    </row>
    <row r="9" spans="1:17" ht="14.4" customHeight="1" x14ac:dyDescent="0.3">
      <c r="A9" s="448" t="s">
        <v>774</v>
      </c>
      <c r="B9" s="449" t="s">
        <v>700</v>
      </c>
      <c r="C9" s="449" t="s">
        <v>697</v>
      </c>
      <c r="D9" s="449" t="s">
        <v>715</v>
      </c>
      <c r="E9" s="449" t="s">
        <v>716</v>
      </c>
      <c r="F9" s="453">
        <v>1</v>
      </c>
      <c r="G9" s="453">
        <v>1655</v>
      </c>
      <c r="H9" s="453">
        <v>1</v>
      </c>
      <c r="I9" s="453">
        <v>1655</v>
      </c>
      <c r="J9" s="453">
        <v>1</v>
      </c>
      <c r="K9" s="453">
        <v>1655</v>
      </c>
      <c r="L9" s="453">
        <v>1</v>
      </c>
      <c r="M9" s="453">
        <v>1655</v>
      </c>
      <c r="N9" s="453"/>
      <c r="O9" s="453"/>
      <c r="P9" s="519"/>
      <c r="Q9" s="454"/>
    </row>
    <row r="10" spans="1:17" ht="14.4" customHeight="1" x14ac:dyDescent="0.3">
      <c r="A10" s="448" t="s">
        <v>774</v>
      </c>
      <c r="B10" s="449" t="s">
        <v>700</v>
      </c>
      <c r="C10" s="449" t="s">
        <v>697</v>
      </c>
      <c r="D10" s="449" t="s">
        <v>723</v>
      </c>
      <c r="E10" s="449" t="s">
        <v>724</v>
      </c>
      <c r="F10" s="453">
        <v>1</v>
      </c>
      <c r="G10" s="453">
        <v>17</v>
      </c>
      <c r="H10" s="453"/>
      <c r="I10" s="453">
        <v>17</v>
      </c>
      <c r="J10" s="453"/>
      <c r="K10" s="453"/>
      <c r="L10" s="453"/>
      <c r="M10" s="453"/>
      <c r="N10" s="453"/>
      <c r="O10" s="453"/>
      <c r="P10" s="519"/>
      <c r="Q10" s="454"/>
    </row>
    <row r="11" spans="1:17" ht="14.4" customHeight="1" x14ac:dyDescent="0.3">
      <c r="A11" s="448" t="s">
        <v>774</v>
      </c>
      <c r="B11" s="449" t="s">
        <v>700</v>
      </c>
      <c r="C11" s="449" t="s">
        <v>697</v>
      </c>
      <c r="D11" s="449" t="s">
        <v>725</v>
      </c>
      <c r="E11" s="449" t="s">
        <v>712</v>
      </c>
      <c r="F11" s="453">
        <v>2</v>
      </c>
      <c r="G11" s="453">
        <v>1416</v>
      </c>
      <c r="H11" s="453"/>
      <c r="I11" s="453">
        <v>708</v>
      </c>
      <c r="J11" s="453"/>
      <c r="K11" s="453"/>
      <c r="L11" s="453"/>
      <c r="M11" s="453"/>
      <c r="N11" s="453"/>
      <c r="O11" s="453"/>
      <c r="P11" s="519"/>
      <c r="Q11" s="454"/>
    </row>
    <row r="12" spans="1:17" ht="14.4" customHeight="1" x14ac:dyDescent="0.3">
      <c r="A12" s="448" t="s">
        <v>774</v>
      </c>
      <c r="B12" s="449" t="s">
        <v>700</v>
      </c>
      <c r="C12" s="449" t="s">
        <v>697</v>
      </c>
      <c r="D12" s="449" t="s">
        <v>726</v>
      </c>
      <c r="E12" s="449" t="s">
        <v>714</v>
      </c>
      <c r="F12" s="453">
        <v>1</v>
      </c>
      <c r="G12" s="453">
        <v>1438</v>
      </c>
      <c r="H12" s="453"/>
      <c r="I12" s="453">
        <v>1438</v>
      </c>
      <c r="J12" s="453"/>
      <c r="K12" s="453"/>
      <c r="L12" s="453"/>
      <c r="M12" s="453"/>
      <c r="N12" s="453"/>
      <c r="O12" s="453"/>
      <c r="P12" s="519"/>
      <c r="Q12" s="454"/>
    </row>
    <row r="13" spans="1:17" ht="14.4" customHeight="1" x14ac:dyDescent="0.3">
      <c r="A13" s="448" t="s">
        <v>774</v>
      </c>
      <c r="B13" s="449" t="s">
        <v>700</v>
      </c>
      <c r="C13" s="449" t="s">
        <v>697</v>
      </c>
      <c r="D13" s="449" t="s">
        <v>727</v>
      </c>
      <c r="E13" s="449" t="s">
        <v>728</v>
      </c>
      <c r="F13" s="453">
        <v>1</v>
      </c>
      <c r="G13" s="453">
        <v>2437</v>
      </c>
      <c r="H13" s="453"/>
      <c r="I13" s="453">
        <v>2437</v>
      </c>
      <c r="J13" s="453"/>
      <c r="K13" s="453"/>
      <c r="L13" s="453"/>
      <c r="M13" s="453"/>
      <c r="N13" s="453"/>
      <c r="O13" s="453"/>
      <c r="P13" s="519"/>
      <c r="Q13" s="454"/>
    </row>
    <row r="14" spans="1:17" ht="14.4" customHeight="1" x14ac:dyDescent="0.3">
      <c r="A14" s="448" t="s">
        <v>774</v>
      </c>
      <c r="B14" s="449" t="s">
        <v>700</v>
      </c>
      <c r="C14" s="449" t="s">
        <v>697</v>
      </c>
      <c r="D14" s="449" t="s">
        <v>729</v>
      </c>
      <c r="E14" s="449" t="s">
        <v>730</v>
      </c>
      <c r="F14" s="453">
        <v>2</v>
      </c>
      <c r="G14" s="453">
        <v>138</v>
      </c>
      <c r="H14" s="453">
        <v>2</v>
      </c>
      <c r="I14" s="453">
        <v>69</v>
      </c>
      <c r="J14" s="453">
        <v>1</v>
      </c>
      <c r="K14" s="453">
        <v>69</v>
      </c>
      <c r="L14" s="453">
        <v>1</v>
      </c>
      <c r="M14" s="453">
        <v>69</v>
      </c>
      <c r="N14" s="453"/>
      <c r="O14" s="453"/>
      <c r="P14" s="519"/>
      <c r="Q14" s="454"/>
    </row>
    <row r="15" spans="1:17" ht="14.4" customHeight="1" x14ac:dyDescent="0.3">
      <c r="A15" s="448" t="s">
        <v>774</v>
      </c>
      <c r="B15" s="449" t="s">
        <v>700</v>
      </c>
      <c r="C15" s="449" t="s">
        <v>697</v>
      </c>
      <c r="D15" s="449" t="s">
        <v>733</v>
      </c>
      <c r="E15" s="449" t="s">
        <v>734</v>
      </c>
      <c r="F15" s="453"/>
      <c r="G15" s="453"/>
      <c r="H15" s="453"/>
      <c r="I15" s="453"/>
      <c r="J15" s="453"/>
      <c r="K15" s="453"/>
      <c r="L15" s="453"/>
      <c r="M15" s="453"/>
      <c r="N15" s="453">
        <v>1</v>
      </c>
      <c r="O15" s="453">
        <v>1667</v>
      </c>
      <c r="P15" s="519"/>
      <c r="Q15" s="454">
        <v>1667</v>
      </c>
    </row>
    <row r="16" spans="1:17" ht="14.4" customHeight="1" x14ac:dyDescent="0.3">
      <c r="A16" s="448" t="s">
        <v>774</v>
      </c>
      <c r="B16" s="449" t="s">
        <v>700</v>
      </c>
      <c r="C16" s="449" t="s">
        <v>697</v>
      </c>
      <c r="D16" s="449" t="s">
        <v>735</v>
      </c>
      <c r="E16" s="449" t="s">
        <v>736</v>
      </c>
      <c r="F16" s="453">
        <v>2</v>
      </c>
      <c r="G16" s="453">
        <v>1120</v>
      </c>
      <c r="H16" s="453"/>
      <c r="I16" s="453">
        <v>560</v>
      </c>
      <c r="J16" s="453"/>
      <c r="K16" s="453"/>
      <c r="L16" s="453"/>
      <c r="M16" s="453"/>
      <c r="N16" s="453"/>
      <c r="O16" s="453"/>
      <c r="P16" s="519"/>
      <c r="Q16" s="454"/>
    </row>
    <row r="17" spans="1:17" ht="14.4" customHeight="1" x14ac:dyDescent="0.3">
      <c r="A17" s="448" t="s">
        <v>774</v>
      </c>
      <c r="B17" s="449" t="s">
        <v>700</v>
      </c>
      <c r="C17" s="449" t="s">
        <v>697</v>
      </c>
      <c r="D17" s="449" t="s">
        <v>743</v>
      </c>
      <c r="E17" s="449" t="s">
        <v>744</v>
      </c>
      <c r="F17" s="453"/>
      <c r="G17" s="453"/>
      <c r="H17" s="453"/>
      <c r="I17" s="453"/>
      <c r="J17" s="453"/>
      <c r="K17" s="453"/>
      <c r="L17" s="453"/>
      <c r="M17" s="453"/>
      <c r="N17" s="453">
        <v>6</v>
      </c>
      <c r="O17" s="453">
        <v>2574</v>
      </c>
      <c r="P17" s="519"/>
      <c r="Q17" s="454">
        <v>429</v>
      </c>
    </row>
    <row r="18" spans="1:17" ht="14.4" customHeight="1" x14ac:dyDescent="0.3">
      <c r="A18" s="448" t="s">
        <v>774</v>
      </c>
      <c r="B18" s="449" t="s">
        <v>700</v>
      </c>
      <c r="C18" s="449" t="s">
        <v>697</v>
      </c>
      <c r="D18" s="449" t="s">
        <v>748</v>
      </c>
      <c r="E18" s="449" t="s">
        <v>749</v>
      </c>
      <c r="F18" s="453">
        <v>1</v>
      </c>
      <c r="G18" s="453">
        <v>1649</v>
      </c>
      <c r="H18" s="453">
        <v>0.5</v>
      </c>
      <c r="I18" s="453">
        <v>1649</v>
      </c>
      <c r="J18" s="453">
        <v>2</v>
      </c>
      <c r="K18" s="453">
        <v>3298</v>
      </c>
      <c r="L18" s="453">
        <v>1</v>
      </c>
      <c r="M18" s="453">
        <v>1649</v>
      </c>
      <c r="N18" s="453"/>
      <c r="O18" s="453"/>
      <c r="P18" s="519"/>
      <c r="Q18" s="454"/>
    </row>
    <row r="19" spans="1:17" ht="14.4" customHeight="1" x14ac:dyDescent="0.3">
      <c r="A19" s="448" t="s">
        <v>774</v>
      </c>
      <c r="B19" s="449" t="s">
        <v>700</v>
      </c>
      <c r="C19" s="449" t="s">
        <v>697</v>
      </c>
      <c r="D19" s="449" t="s">
        <v>751</v>
      </c>
      <c r="E19" s="449" t="s">
        <v>752</v>
      </c>
      <c r="F19" s="453"/>
      <c r="G19" s="453"/>
      <c r="H19" s="453"/>
      <c r="I19" s="453"/>
      <c r="J19" s="453">
        <v>1</v>
      </c>
      <c r="K19" s="453">
        <v>2203</v>
      </c>
      <c r="L19" s="453">
        <v>1</v>
      </c>
      <c r="M19" s="453">
        <v>2203</v>
      </c>
      <c r="N19" s="453">
        <v>5</v>
      </c>
      <c r="O19" s="453">
        <v>11025</v>
      </c>
      <c r="P19" s="519">
        <v>5.0045392646391287</v>
      </c>
      <c r="Q19" s="454">
        <v>2205</v>
      </c>
    </row>
    <row r="20" spans="1:17" ht="14.4" customHeight="1" x14ac:dyDescent="0.3">
      <c r="A20" s="448" t="s">
        <v>775</v>
      </c>
      <c r="B20" s="449" t="s">
        <v>696</v>
      </c>
      <c r="C20" s="449" t="s">
        <v>697</v>
      </c>
      <c r="D20" s="449" t="s">
        <v>698</v>
      </c>
      <c r="E20" s="449" t="s">
        <v>699</v>
      </c>
      <c r="F20" s="453">
        <v>1</v>
      </c>
      <c r="G20" s="453">
        <v>11403</v>
      </c>
      <c r="H20" s="453"/>
      <c r="I20" s="453">
        <v>11403</v>
      </c>
      <c r="J20" s="453"/>
      <c r="K20" s="453"/>
      <c r="L20" s="453"/>
      <c r="M20" s="453"/>
      <c r="N20" s="453"/>
      <c r="O20" s="453"/>
      <c r="P20" s="519"/>
      <c r="Q20" s="454"/>
    </row>
    <row r="21" spans="1:17" ht="14.4" customHeight="1" x14ac:dyDescent="0.3">
      <c r="A21" s="448" t="s">
        <v>775</v>
      </c>
      <c r="B21" s="449" t="s">
        <v>700</v>
      </c>
      <c r="C21" s="449" t="s">
        <v>697</v>
      </c>
      <c r="D21" s="449" t="s">
        <v>709</v>
      </c>
      <c r="E21" s="449" t="s">
        <v>710</v>
      </c>
      <c r="F21" s="453"/>
      <c r="G21" s="453"/>
      <c r="H21" s="453"/>
      <c r="I21" s="453"/>
      <c r="J21" s="453">
        <v>8</v>
      </c>
      <c r="K21" s="453">
        <v>30600</v>
      </c>
      <c r="L21" s="453">
        <v>1</v>
      </c>
      <c r="M21" s="453">
        <v>3825</v>
      </c>
      <c r="N21" s="453">
        <v>3</v>
      </c>
      <c r="O21" s="453">
        <v>11484</v>
      </c>
      <c r="P21" s="519">
        <v>0.37529411764705883</v>
      </c>
      <c r="Q21" s="454">
        <v>3828</v>
      </c>
    </row>
    <row r="22" spans="1:17" ht="14.4" customHeight="1" x14ac:dyDescent="0.3">
      <c r="A22" s="448" t="s">
        <v>775</v>
      </c>
      <c r="B22" s="449" t="s">
        <v>700</v>
      </c>
      <c r="C22" s="449" t="s">
        <v>697</v>
      </c>
      <c r="D22" s="449" t="s">
        <v>715</v>
      </c>
      <c r="E22" s="449" t="s">
        <v>716</v>
      </c>
      <c r="F22" s="453"/>
      <c r="G22" s="453"/>
      <c r="H22" s="453"/>
      <c r="I22" s="453"/>
      <c r="J22" s="453">
        <v>1</v>
      </c>
      <c r="K22" s="453">
        <v>1655</v>
      </c>
      <c r="L22" s="453">
        <v>1</v>
      </c>
      <c r="M22" s="453">
        <v>1655</v>
      </c>
      <c r="N22" s="453"/>
      <c r="O22" s="453"/>
      <c r="P22" s="519"/>
      <c r="Q22" s="454"/>
    </row>
    <row r="23" spans="1:17" ht="14.4" customHeight="1" x14ac:dyDescent="0.3">
      <c r="A23" s="448" t="s">
        <v>775</v>
      </c>
      <c r="B23" s="449" t="s">
        <v>700</v>
      </c>
      <c r="C23" s="449" t="s">
        <v>697</v>
      </c>
      <c r="D23" s="449" t="s">
        <v>723</v>
      </c>
      <c r="E23" s="449" t="s">
        <v>724</v>
      </c>
      <c r="F23" s="453">
        <v>1</v>
      </c>
      <c r="G23" s="453">
        <v>17</v>
      </c>
      <c r="H23" s="453">
        <v>0.2</v>
      </c>
      <c r="I23" s="453">
        <v>17</v>
      </c>
      <c r="J23" s="453">
        <v>5</v>
      </c>
      <c r="K23" s="453">
        <v>85</v>
      </c>
      <c r="L23" s="453">
        <v>1</v>
      </c>
      <c r="M23" s="453">
        <v>17</v>
      </c>
      <c r="N23" s="453">
        <v>3</v>
      </c>
      <c r="O23" s="453">
        <v>51</v>
      </c>
      <c r="P23" s="519">
        <v>0.6</v>
      </c>
      <c r="Q23" s="454">
        <v>17</v>
      </c>
    </row>
    <row r="24" spans="1:17" ht="14.4" customHeight="1" x14ac:dyDescent="0.3">
      <c r="A24" s="448" t="s">
        <v>775</v>
      </c>
      <c r="B24" s="449" t="s">
        <v>700</v>
      </c>
      <c r="C24" s="449" t="s">
        <v>697</v>
      </c>
      <c r="D24" s="449" t="s">
        <v>725</v>
      </c>
      <c r="E24" s="449" t="s">
        <v>712</v>
      </c>
      <c r="F24" s="453">
        <v>2</v>
      </c>
      <c r="G24" s="453">
        <v>1416</v>
      </c>
      <c r="H24" s="453">
        <v>0.2</v>
      </c>
      <c r="I24" s="453">
        <v>708</v>
      </c>
      <c r="J24" s="453">
        <v>10</v>
      </c>
      <c r="K24" s="453">
        <v>7080</v>
      </c>
      <c r="L24" s="453">
        <v>1</v>
      </c>
      <c r="M24" s="453">
        <v>708</v>
      </c>
      <c r="N24" s="453">
        <v>4</v>
      </c>
      <c r="O24" s="453">
        <v>2836</v>
      </c>
      <c r="P24" s="519">
        <v>0.40056497175141242</v>
      </c>
      <c r="Q24" s="454">
        <v>709</v>
      </c>
    </row>
    <row r="25" spans="1:17" ht="14.4" customHeight="1" x14ac:dyDescent="0.3">
      <c r="A25" s="448" t="s">
        <v>775</v>
      </c>
      <c r="B25" s="449" t="s">
        <v>700</v>
      </c>
      <c r="C25" s="449" t="s">
        <v>697</v>
      </c>
      <c r="D25" s="449" t="s">
        <v>726</v>
      </c>
      <c r="E25" s="449" t="s">
        <v>714</v>
      </c>
      <c r="F25" s="453"/>
      <c r="G25" s="453"/>
      <c r="H25" s="453"/>
      <c r="I25" s="453"/>
      <c r="J25" s="453">
        <v>18</v>
      </c>
      <c r="K25" s="453">
        <v>25902</v>
      </c>
      <c r="L25" s="453">
        <v>1</v>
      </c>
      <c r="M25" s="453">
        <v>1439</v>
      </c>
      <c r="N25" s="453">
        <v>8</v>
      </c>
      <c r="O25" s="453">
        <v>11528</v>
      </c>
      <c r="P25" s="519">
        <v>0.44506215736236582</v>
      </c>
      <c r="Q25" s="454">
        <v>1441</v>
      </c>
    </row>
    <row r="26" spans="1:17" ht="14.4" customHeight="1" x14ac:dyDescent="0.3">
      <c r="A26" s="448" t="s">
        <v>775</v>
      </c>
      <c r="B26" s="449" t="s">
        <v>700</v>
      </c>
      <c r="C26" s="449" t="s">
        <v>697</v>
      </c>
      <c r="D26" s="449" t="s">
        <v>727</v>
      </c>
      <c r="E26" s="449" t="s">
        <v>728</v>
      </c>
      <c r="F26" s="453"/>
      <c r="G26" s="453"/>
      <c r="H26" s="453"/>
      <c r="I26" s="453"/>
      <c r="J26" s="453">
        <v>10</v>
      </c>
      <c r="K26" s="453">
        <v>24380</v>
      </c>
      <c r="L26" s="453">
        <v>1</v>
      </c>
      <c r="M26" s="453">
        <v>2438</v>
      </c>
      <c r="N26" s="453">
        <v>6</v>
      </c>
      <c r="O26" s="453">
        <v>14652</v>
      </c>
      <c r="P26" s="519">
        <v>0.6009844134536505</v>
      </c>
      <c r="Q26" s="454">
        <v>2442</v>
      </c>
    </row>
    <row r="27" spans="1:17" ht="14.4" customHeight="1" x14ac:dyDescent="0.3">
      <c r="A27" s="448" t="s">
        <v>775</v>
      </c>
      <c r="B27" s="449" t="s">
        <v>700</v>
      </c>
      <c r="C27" s="449" t="s">
        <v>697</v>
      </c>
      <c r="D27" s="449" t="s">
        <v>729</v>
      </c>
      <c r="E27" s="449" t="s">
        <v>730</v>
      </c>
      <c r="F27" s="453">
        <v>2</v>
      </c>
      <c r="G27" s="453">
        <v>138</v>
      </c>
      <c r="H27" s="453">
        <v>0.2</v>
      </c>
      <c r="I27" s="453">
        <v>69</v>
      </c>
      <c r="J27" s="453">
        <v>10</v>
      </c>
      <c r="K27" s="453">
        <v>690</v>
      </c>
      <c r="L27" s="453">
        <v>1</v>
      </c>
      <c r="M27" s="453">
        <v>69</v>
      </c>
      <c r="N27" s="453">
        <v>4</v>
      </c>
      <c r="O27" s="453">
        <v>276</v>
      </c>
      <c r="P27" s="519">
        <v>0.4</v>
      </c>
      <c r="Q27" s="454">
        <v>69</v>
      </c>
    </row>
    <row r="28" spans="1:17" ht="14.4" customHeight="1" x14ac:dyDescent="0.3">
      <c r="A28" s="448" t="s">
        <v>775</v>
      </c>
      <c r="B28" s="449" t="s">
        <v>700</v>
      </c>
      <c r="C28" s="449" t="s">
        <v>697</v>
      </c>
      <c r="D28" s="449" t="s">
        <v>735</v>
      </c>
      <c r="E28" s="449" t="s">
        <v>736</v>
      </c>
      <c r="F28" s="453">
        <v>6</v>
      </c>
      <c r="G28" s="453">
        <v>3360</v>
      </c>
      <c r="H28" s="453">
        <v>0.24</v>
      </c>
      <c r="I28" s="453">
        <v>560</v>
      </c>
      <c r="J28" s="453">
        <v>25</v>
      </c>
      <c r="K28" s="453">
        <v>14000</v>
      </c>
      <c r="L28" s="453">
        <v>1</v>
      </c>
      <c r="M28" s="453">
        <v>560</v>
      </c>
      <c r="N28" s="453">
        <v>23</v>
      </c>
      <c r="O28" s="453">
        <v>12903</v>
      </c>
      <c r="P28" s="519">
        <v>0.9216428571428571</v>
      </c>
      <c r="Q28" s="454">
        <v>561</v>
      </c>
    </row>
    <row r="29" spans="1:17" ht="14.4" customHeight="1" x14ac:dyDescent="0.3">
      <c r="A29" s="448" t="s">
        <v>775</v>
      </c>
      <c r="B29" s="449" t="s">
        <v>700</v>
      </c>
      <c r="C29" s="449" t="s">
        <v>697</v>
      </c>
      <c r="D29" s="449" t="s">
        <v>748</v>
      </c>
      <c r="E29" s="449" t="s">
        <v>749</v>
      </c>
      <c r="F29" s="453"/>
      <c r="G29" s="453"/>
      <c r="H29" s="453"/>
      <c r="I29" s="453"/>
      <c r="J29" s="453">
        <v>5</v>
      </c>
      <c r="K29" s="453">
        <v>8245</v>
      </c>
      <c r="L29" s="453">
        <v>1</v>
      </c>
      <c r="M29" s="453">
        <v>1649</v>
      </c>
      <c r="N29" s="453"/>
      <c r="O29" s="453"/>
      <c r="P29" s="519"/>
      <c r="Q29" s="454"/>
    </row>
    <row r="30" spans="1:17" ht="14.4" customHeight="1" x14ac:dyDescent="0.3">
      <c r="A30" s="448" t="s">
        <v>775</v>
      </c>
      <c r="B30" s="449" t="s">
        <v>700</v>
      </c>
      <c r="C30" s="449" t="s">
        <v>697</v>
      </c>
      <c r="D30" s="449" t="s">
        <v>751</v>
      </c>
      <c r="E30" s="449" t="s">
        <v>752</v>
      </c>
      <c r="F30" s="453"/>
      <c r="G30" s="453"/>
      <c r="H30" s="453"/>
      <c r="I30" s="453"/>
      <c r="J30" s="453">
        <v>3</v>
      </c>
      <c r="K30" s="453">
        <v>6609</v>
      </c>
      <c r="L30" s="453">
        <v>1</v>
      </c>
      <c r="M30" s="453">
        <v>2203</v>
      </c>
      <c r="N30" s="453">
        <v>7</v>
      </c>
      <c r="O30" s="453">
        <v>15435</v>
      </c>
      <c r="P30" s="519">
        <v>2.3354516568315935</v>
      </c>
      <c r="Q30" s="454">
        <v>2205</v>
      </c>
    </row>
    <row r="31" spans="1:17" ht="14.4" customHeight="1" x14ac:dyDescent="0.3">
      <c r="A31" s="448" t="s">
        <v>776</v>
      </c>
      <c r="B31" s="449" t="s">
        <v>700</v>
      </c>
      <c r="C31" s="449" t="s">
        <v>697</v>
      </c>
      <c r="D31" s="449" t="s">
        <v>701</v>
      </c>
      <c r="E31" s="449" t="s">
        <v>702</v>
      </c>
      <c r="F31" s="453">
        <v>1</v>
      </c>
      <c r="G31" s="453">
        <v>136</v>
      </c>
      <c r="H31" s="453"/>
      <c r="I31" s="453">
        <v>136</v>
      </c>
      <c r="J31" s="453"/>
      <c r="K31" s="453"/>
      <c r="L31" s="453"/>
      <c r="M31" s="453"/>
      <c r="N31" s="453"/>
      <c r="O31" s="453"/>
      <c r="P31" s="519"/>
      <c r="Q31" s="454"/>
    </row>
    <row r="32" spans="1:17" ht="14.4" customHeight="1" x14ac:dyDescent="0.3">
      <c r="A32" s="448" t="s">
        <v>776</v>
      </c>
      <c r="B32" s="449" t="s">
        <v>700</v>
      </c>
      <c r="C32" s="449" t="s">
        <v>697</v>
      </c>
      <c r="D32" s="449" t="s">
        <v>703</v>
      </c>
      <c r="E32" s="449" t="s">
        <v>704</v>
      </c>
      <c r="F32" s="453"/>
      <c r="G32" s="453"/>
      <c r="H32" s="453"/>
      <c r="I32" s="453"/>
      <c r="J32" s="453">
        <v>5</v>
      </c>
      <c r="K32" s="453">
        <v>6310</v>
      </c>
      <c r="L32" s="453">
        <v>1</v>
      </c>
      <c r="M32" s="453">
        <v>1262</v>
      </c>
      <c r="N32" s="453">
        <v>7</v>
      </c>
      <c r="O32" s="453">
        <v>8841</v>
      </c>
      <c r="P32" s="519">
        <v>1.4011093502377179</v>
      </c>
      <c r="Q32" s="454">
        <v>1263</v>
      </c>
    </row>
    <row r="33" spans="1:17" ht="14.4" customHeight="1" x14ac:dyDescent="0.3">
      <c r="A33" s="448" t="s">
        <v>776</v>
      </c>
      <c r="B33" s="449" t="s">
        <v>700</v>
      </c>
      <c r="C33" s="449" t="s">
        <v>697</v>
      </c>
      <c r="D33" s="449" t="s">
        <v>705</v>
      </c>
      <c r="E33" s="449" t="s">
        <v>706</v>
      </c>
      <c r="F33" s="453">
        <v>1</v>
      </c>
      <c r="G33" s="453">
        <v>2338</v>
      </c>
      <c r="H33" s="453"/>
      <c r="I33" s="453">
        <v>2338</v>
      </c>
      <c r="J33" s="453"/>
      <c r="K33" s="453"/>
      <c r="L33" s="453"/>
      <c r="M33" s="453"/>
      <c r="N33" s="453"/>
      <c r="O33" s="453"/>
      <c r="P33" s="519"/>
      <c r="Q33" s="454"/>
    </row>
    <row r="34" spans="1:17" ht="14.4" customHeight="1" x14ac:dyDescent="0.3">
      <c r="A34" s="448" t="s">
        <v>776</v>
      </c>
      <c r="B34" s="449" t="s">
        <v>700</v>
      </c>
      <c r="C34" s="449" t="s">
        <v>697</v>
      </c>
      <c r="D34" s="449" t="s">
        <v>707</v>
      </c>
      <c r="E34" s="449" t="s">
        <v>708</v>
      </c>
      <c r="F34" s="453">
        <v>1</v>
      </c>
      <c r="G34" s="453">
        <v>1077</v>
      </c>
      <c r="H34" s="453">
        <v>0.33333333333333331</v>
      </c>
      <c r="I34" s="453">
        <v>1077</v>
      </c>
      <c r="J34" s="453">
        <v>3</v>
      </c>
      <c r="K34" s="453">
        <v>3231</v>
      </c>
      <c r="L34" s="453">
        <v>1</v>
      </c>
      <c r="M34" s="453">
        <v>1077</v>
      </c>
      <c r="N34" s="453">
        <v>7</v>
      </c>
      <c r="O34" s="453">
        <v>7546</v>
      </c>
      <c r="P34" s="519">
        <v>2.3354998452491489</v>
      </c>
      <c r="Q34" s="454">
        <v>1078</v>
      </c>
    </row>
    <row r="35" spans="1:17" ht="14.4" customHeight="1" x14ac:dyDescent="0.3">
      <c r="A35" s="448" t="s">
        <v>776</v>
      </c>
      <c r="B35" s="449" t="s">
        <v>700</v>
      </c>
      <c r="C35" s="449" t="s">
        <v>697</v>
      </c>
      <c r="D35" s="449" t="s">
        <v>709</v>
      </c>
      <c r="E35" s="449" t="s">
        <v>710</v>
      </c>
      <c r="F35" s="453">
        <v>8</v>
      </c>
      <c r="G35" s="453">
        <v>30584</v>
      </c>
      <c r="H35" s="453">
        <v>1.1422595704948646</v>
      </c>
      <c r="I35" s="453">
        <v>3823</v>
      </c>
      <c r="J35" s="453">
        <v>7</v>
      </c>
      <c r="K35" s="453">
        <v>26775</v>
      </c>
      <c r="L35" s="453">
        <v>1</v>
      </c>
      <c r="M35" s="453">
        <v>3825</v>
      </c>
      <c r="N35" s="453">
        <v>6</v>
      </c>
      <c r="O35" s="453">
        <v>22968</v>
      </c>
      <c r="P35" s="519">
        <v>0.85781512605042021</v>
      </c>
      <c r="Q35" s="454">
        <v>3828</v>
      </c>
    </row>
    <row r="36" spans="1:17" ht="14.4" customHeight="1" x14ac:dyDescent="0.3">
      <c r="A36" s="448" t="s">
        <v>776</v>
      </c>
      <c r="B36" s="449" t="s">
        <v>700</v>
      </c>
      <c r="C36" s="449" t="s">
        <v>697</v>
      </c>
      <c r="D36" s="449" t="s">
        <v>715</v>
      </c>
      <c r="E36" s="449" t="s">
        <v>716</v>
      </c>
      <c r="F36" s="453">
        <v>2</v>
      </c>
      <c r="G36" s="453">
        <v>3310</v>
      </c>
      <c r="H36" s="453">
        <v>0.66666666666666663</v>
      </c>
      <c r="I36" s="453">
        <v>1655</v>
      </c>
      <c r="J36" s="453">
        <v>3</v>
      </c>
      <c r="K36" s="453">
        <v>4965</v>
      </c>
      <c r="L36" s="453">
        <v>1</v>
      </c>
      <c r="M36" s="453">
        <v>1655</v>
      </c>
      <c r="N36" s="453"/>
      <c r="O36" s="453"/>
      <c r="P36" s="519"/>
      <c r="Q36" s="454"/>
    </row>
    <row r="37" spans="1:17" ht="14.4" customHeight="1" x14ac:dyDescent="0.3">
      <c r="A37" s="448" t="s">
        <v>776</v>
      </c>
      <c r="B37" s="449" t="s">
        <v>700</v>
      </c>
      <c r="C37" s="449" t="s">
        <v>697</v>
      </c>
      <c r="D37" s="449" t="s">
        <v>777</v>
      </c>
      <c r="E37" s="449" t="s">
        <v>778</v>
      </c>
      <c r="F37" s="453">
        <v>2</v>
      </c>
      <c r="G37" s="453">
        <v>3240</v>
      </c>
      <c r="H37" s="453"/>
      <c r="I37" s="453">
        <v>1620</v>
      </c>
      <c r="J37" s="453"/>
      <c r="K37" s="453"/>
      <c r="L37" s="453"/>
      <c r="M37" s="453"/>
      <c r="N37" s="453"/>
      <c r="O37" s="453"/>
      <c r="P37" s="519"/>
      <c r="Q37" s="454"/>
    </row>
    <row r="38" spans="1:17" ht="14.4" customHeight="1" x14ac:dyDescent="0.3">
      <c r="A38" s="448" t="s">
        <v>776</v>
      </c>
      <c r="B38" s="449" t="s">
        <v>700</v>
      </c>
      <c r="C38" s="449" t="s">
        <v>697</v>
      </c>
      <c r="D38" s="449" t="s">
        <v>723</v>
      </c>
      <c r="E38" s="449" t="s">
        <v>724</v>
      </c>
      <c r="F38" s="453">
        <v>5</v>
      </c>
      <c r="G38" s="453">
        <v>85</v>
      </c>
      <c r="H38" s="453">
        <v>0.41666666666666669</v>
      </c>
      <c r="I38" s="453">
        <v>17</v>
      </c>
      <c r="J38" s="453">
        <v>12</v>
      </c>
      <c r="K38" s="453">
        <v>204</v>
      </c>
      <c r="L38" s="453">
        <v>1</v>
      </c>
      <c r="M38" s="453">
        <v>17</v>
      </c>
      <c r="N38" s="453">
        <v>18</v>
      </c>
      <c r="O38" s="453">
        <v>306</v>
      </c>
      <c r="P38" s="519">
        <v>1.5</v>
      </c>
      <c r="Q38" s="454">
        <v>17</v>
      </c>
    </row>
    <row r="39" spans="1:17" ht="14.4" customHeight="1" x14ac:dyDescent="0.3">
      <c r="A39" s="448" t="s">
        <v>776</v>
      </c>
      <c r="B39" s="449" t="s">
        <v>700</v>
      </c>
      <c r="C39" s="449" t="s">
        <v>697</v>
      </c>
      <c r="D39" s="449" t="s">
        <v>725</v>
      </c>
      <c r="E39" s="449" t="s">
        <v>712</v>
      </c>
      <c r="F39" s="453">
        <v>7</v>
      </c>
      <c r="G39" s="453">
        <v>4956</v>
      </c>
      <c r="H39" s="453">
        <v>0.31818181818181818</v>
      </c>
      <c r="I39" s="453">
        <v>708</v>
      </c>
      <c r="J39" s="453">
        <v>22</v>
      </c>
      <c r="K39" s="453">
        <v>15576</v>
      </c>
      <c r="L39" s="453">
        <v>1</v>
      </c>
      <c r="M39" s="453">
        <v>708</v>
      </c>
      <c r="N39" s="453">
        <v>31</v>
      </c>
      <c r="O39" s="453">
        <v>21979</v>
      </c>
      <c r="P39" s="519">
        <v>1.4110811504879301</v>
      </c>
      <c r="Q39" s="454">
        <v>709</v>
      </c>
    </row>
    <row r="40" spans="1:17" ht="14.4" customHeight="1" x14ac:dyDescent="0.3">
      <c r="A40" s="448" t="s">
        <v>776</v>
      </c>
      <c r="B40" s="449" t="s">
        <v>700</v>
      </c>
      <c r="C40" s="449" t="s">
        <v>697</v>
      </c>
      <c r="D40" s="449" t="s">
        <v>726</v>
      </c>
      <c r="E40" s="449" t="s">
        <v>714</v>
      </c>
      <c r="F40" s="453">
        <v>20</v>
      </c>
      <c r="G40" s="453">
        <v>28760</v>
      </c>
      <c r="H40" s="453">
        <v>0.86896093301507693</v>
      </c>
      <c r="I40" s="453">
        <v>1438</v>
      </c>
      <c r="J40" s="453">
        <v>23</v>
      </c>
      <c r="K40" s="453">
        <v>33097</v>
      </c>
      <c r="L40" s="453">
        <v>1</v>
      </c>
      <c r="M40" s="453">
        <v>1439</v>
      </c>
      <c r="N40" s="453">
        <v>33</v>
      </c>
      <c r="O40" s="453">
        <v>47553</v>
      </c>
      <c r="P40" s="519">
        <v>1.4367767471372028</v>
      </c>
      <c r="Q40" s="454">
        <v>1441</v>
      </c>
    </row>
    <row r="41" spans="1:17" ht="14.4" customHeight="1" x14ac:dyDescent="0.3">
      <c r="A41" s="448" t="s">
        <v>776</v>
      </c>
      <c r="B41" s="449" t="s">
        <v>700</v>
      </c>
      <c r="C41" s="449" t="s">
        <v>697</v>
      </c>
      <c r="D41" s="449" t="s">
        <v>727</v>
      </c>
      <c r="E41" s="449" t="s">
        <v>728</v>
      </c>
      <c r="F41" s="453">
        <v>11</v>
      </c>
      <c r="G41" s="453">
        <v>26807</v>
      </c>
      <c r="H41" s="453">
        <v>0.54977440525020504</v>
      </c>
      <c r="I41" s="453">
        <v>2437</v>
      </c>
      <c r="J41" s="453">
        <v>20</v>
      </c>
      <c r="K41" s="453">
        <v>48760</v>
      </c>
      <c r="L41" s="453">
        <v>1</v>
      </c>
      <c r="M41" s="453">
        <v>2438</v>
      </c>
      <c r="N41" s="453">
        <v>19</v>
      </c>
      <c r="O41" s="453">
        <v>46398</v>
      </c>
      <c r="P41" s="519">
        <v>0.95155865463494671</v>
      </c>
      <c r="Q41" s="454">
        <v>2442</v>
      </c>
    </row>
    <row r="42" spans="1:17" ht="14.4" customHeight="1" x14ac:dyDescent="0.3">
      <c r="A42" s="448" t="s">
        <v>776</v>
      </c>
      <c r="B42" s="449" t="s">
        <v>700</v>
      </c>
      <c r="C42" s="449" t="s">
        <v>697</v>
      </c>
      <c r="D42" s="449" t="s">
        <v>729</v>
      </c>
      <c r="E42" s="449" t="s">
        <v>730</v>
      </c>
      <c r="F42" s="453">
        <v>7</v>
      </c>
      <c r="G42" s="453">
        <v>483</v>
      </c>
      <c r="H42" s="453">
        <v>0.31818181818181818</v>
      </c>
      <c r="I42" s="453">
        <v>69</v>
      </c>
      <c r="J42" s="453">
        <v>22</v>
      </c>
      <c r="K42" s="453">
        <v>1518</v>
      </c>
      <c r="L42" s="453">
        <v>1</v>
      </c>
      <c r="M42" s="453">
        <v>69</v>
      </c>
      <c r="N42" s="453">
        <v>31</v>
      </c>
      <c r="O42" s="453">
        <v>2139</v>
      </c>
      <c r="P42" s="519">
        <v>1.4090909090909092</v>
      </c>
      <c r="Q42" s="454">
        <v>69</v>
      </c>
    </row>
    <row r="43" spans="1:17" ht="14.4" customHeight="1" x14ac:dyDescent="0.3">
      <c r="A43" s="448" t="s">
        <v>776</v>
      </c>
      <c r="B43" s="449" t="s">
        <v>700</v>
      </c>
      <c r="C43" s="449" t="s">
        <v>697</v>
      </c>
      <c r="D43" s="449" t="s">
        <v>735</v>
      </c>
      <c r="E43" s="449" t="s">
        <v>736</v>
      </c>
      <c r="F43" s="453">
        <v>32</v>
      </c>
      <c r="G43" s="453">
        <v>17920</v>
      </c>
      <c r="H43" s="453">
        <v>0.56140350877192979</v>
      </c>
      <c r="I43" s="453">
        <v>560</v>
      </c>
      <c r="J43" s="453">
        <v>57</v>
      </c>
      <c r="K43" s="453">
        <v>31920</v>
      </c>
      <c r="L43" s="453">
        <v>1</v>
      </c>
      <c r="M43" s="453">
        <v>560</v>
      </c>
      <c r="N43" s="453">
        <v>70</v>
      </c>
      <c r="O43" s="453">
        <v>39270</v>
      </c>
      <c r="P43" s="519">
        <v>1.2302631578947369</v>
      </c>
      <c r="Q43" s="454">
        <v>561</v>
      </c>
    </row>
    <row r="44" spans="1:17" ht="14.4" customHeight="1" x14ac:dyDescent="0.3">
      <c r="A44" s="448" t="s">
        <v>776</v>
      </c>
      <c r="B44" s="449" t="s">
        <v>700</v>
      </c>
      <c r="C44" s="449" t="s">
        <v>697</v>
      </c>
      <c r="D44" s="449" t="s">
        <v>743</v>
      </c>
      <c r="E44" s="449" t="s">
        <v>744</v>
      </c>
      <c r="F44" s="453"/>
      <c r="G44" s="453"/>
      <c r="H44" s="453"/>
      <c r="I44" s="453"/>
      <c r="J44" s="453"/>
      <c r="K44" s="453"/>
      <c r="L44" s="453"/>
      <c r="M44" s="453"/>
      <c r="N44" s="453">
        <v>1</v>
      </c>
      <c r="O44" s="453">
        <v>429</v>
      </c>
      <c r="P44" s="519"/>
      <c r="Q44" s="454">
        <v>429</v>
      </c>
    </row>
    <row r="45" spans="1:17" ht="14.4" customHeight="1" x14ac:dyDescent="0.3">
      <c r="A45" s="448" t="s">
        <v>776</v>
      </c>
      <c r="B45" s="449" t="s">
        <v>700</v>
      </c>
      <c r="C45" s="449" t="s">
        <v>697</v>
      </c>
      <c r="D45" s="449" t="s">
        <v>745</v>
      </c>
      <c r="E45" s="449" t="s">
        <v>746</v>
      </c>
      <c r="F45" s="453"/>
      <c r="G45" s="453"/>
      <c r="H45" s="453"/>
      <c r="I45" s="453"/>
      <c r="J45" s="453"/>
      <c r="K45" s="453"/>
      <c r="L45" s="453"/>
      <c r="M45" s="453"/>
      <c r="N45" s="453">
        <v>1</v>
      </c>
      <c r="O45" s="453">
        <v>1246</v>
      </c>
      <c r="P45" s="519"/>
      <c r="Q45" s="454">
        <v>1246</v>
      </c>
    </row>
    <row r="46" spans="1:17" ht="14.4" customHeight="1" x14ac:dyDescent="0.3">
      <c r="A46" s="448" t="s">
        <v>776</v>
      </c>
      <c r="B46" s="449" t="s">
        <v>700</v>
      </c>
      <c r="C46" s="449" t="s">
        <v>697</v>
      </c>
      <c r="D46" s="449" t="s">
        <v>747</v>
      </c>
      <c r="E46" s="449" t="s">
        <v>708</v>
      </c>
      <c r="F46" s="453"/>
      <c r="G46" s="453"/>
      <c r="H46" s="453"/>
      <c r="I46" s="453"/>
      <c r="J46" s="453"/>
      <c r="K46" s="453"/>
      <c r="L46" s="453"/>
      <c r="M46" s="453"/>
      <c r="N46" s="453">
        <v>1</v>
      </c>
      <c r="O46" s="453">
        <v>958</v>
      </c>
      <c r="P46" s="519"/>
      <c r="Q46" s="454">
        <v>958</v>
      </c>
    </row>
    <row r="47" spans="1:17" ht="14.4" customHeight="1" x14ac:dyDescent="0.3">
      <c r="A47" s="448" t="s">
        <v>776</v>
      </c>
      <c r="B47" s="449" t="s">
        <v>700</v>
      </c>
      <c r="C47" s="449" t="s">
        <v>697</v>
      </c>
      <c r="D47" s="449" t="s">
        <v>748</v>
      </c>
      <c r="E47" s="449" t="s">
        <v>749</v>
      </c>
      <c r="F47" s="453">
        <v>7</v>
      </c>
      <c r="G47" s="453">
        <v>11543</v>
      </c>
      <c r="H47" s="453">
        <v>0.53846153846153844</v>
      </c>
      <c r="I47" s="453">
        <v>1649</v>
      </c>
      <c r="J47" s="453">
        <v>13</v>
      </c>
      <c r="K47" s="453">
        <v>21437</v>
      </c>
      <c r="L47" s="453">
        <v>1</v>
      </c>
      <c r="M47" s="453">
        <v>1649</v>
      </c>
      <c r="N47" s="453"/>
      <c r="O47" s="453"/>
      <c r="P47" s="519"/>
      <c r="Q47" s="454"/>
    </row>
    <row r="48" spans="1:17" ht="14.4" customHeight="1" x14ac:dyDescent="0.3">
      <c r="A48" s="448" t="s">
        <v>776</v>
      </c>
      <c r="B48" s="449" t="s">
        <v>700</v>
      </c>
      <c r="C48" s="449" t="s">
        <v>697</v>
      </c>
      <c r="D48" s="449" t="s">
        <v>751</v>
      </c>
      <c r="E48" s="449" t="s">
        <v>752</v>
      </c>
      <c r="F48" s="453"/>
      <c r="G48" s="453"/>
      <c r="H48" s="453"/>
      <c r="I48" s="453"/>
      <c r="J48" s="453">
        <v>4</v>
      </c>
      <c r="K48" s="453">
        <v>8812</v>
      </c>
      <c r="L48" s="453">
        <v>1</v>
      </c>
      <c r="M48" s="453">
        <v>2203</v>
      </c>
      <c r="N48" s="453">
        <v>33</v>
      </c>
      <c r="O48" s="453">
        <v>72765</v>
      </c>
      <c r="P48" s="519">
        <v>8.2574897866545616</v>
      </c>
      <c r="Q48" s="454">
        <v>2205</v>
      </c>
    </row>
    <row r="49" spans="1:17" ht="14.4" customHeight="1" x14ac:dyDescent="0.3">
      <c r="A49" s="448" t="s">
        <v>779</v>
      </c>
      <c r="B49" s="449" t="s">
        <v>696</v>
      </c>
      <c r="C49" s="449" t="s">
        <v>697</v>
      </c>
      <c r="D49" s="449" t="s">
        <v>698</v>
      </c>
      <c r="E49" s="449" t="s">
        <v>699</v>
      </c>
      <c r="F49" s="453"/>
      <c r="G49" s="453"/>
      <c r="H49" s="453"/>
      <c r="I49" s="453"/>
      <c r="J49" s="453">
        <v>1</v>
      </c>
      <c r="K49" s="453">
        <v>11413</v>
      </c>
      <c r="L49" s="453">
        <v>1</v>
      </c>
      <c r="M49" s="453">
        <v>11413</v>
      </c>
      <c r="N49" s="453"/>
      <c r="O49" s="453"/>
      <c r="P49" s="519"/>
      <c r="Q49" s="454"/>
    </row>
    <row r="50" spans="1:17" ht="14.4" customHeight="1" x14ac:dyDescent="0.3">
      <c r="A50" s="448" t="s">
        <v>780</v>
      </c>
      <c r="B50" s="449" t="s">
        <v>696</v>
      </c>
      <c r="C50" s="449" t="s">
        <v>697</v>
      </c>
      <c r="D50" s="449" t="s">
        <v>698</v>
      </c>
      <c r="E50" s="449" t="s">
        <v>699</v>
      </c>
      <c r="F50" s="453">
        <v>3</v>
      </c>
      <c r="G50" s="453">
        <v>34209</v>
      </c>
      <c r="H50" s="453"/>
      <c r="I50" s="453">
        <v>11403</v>
      </c>
      <c r="J50" s="453"/>
      <c r="K50" s="453"/>
      <c r="L50" s="453"/>
      <c r="M50" s="453"/>
      <c r="N50" s="453">
        <v>1</v>
      </c>
      <c r="O50" s="453">
        <v>11433</v>
      </c>
      <c r="P50" s="519"/>
      <c r="Q50" s="454">
        <v>11433</v>
      </c>
    </row>
    <row r="51" spans="1:17" ht="14.4" customHeight="1" x14ac:dyDescent="0.3">
      <c r="A51" s="448" t="s">
        <v>780</v>
      </c>
      <c r="B51" s="449" t="s">
        <v>700</v>
      </c>
      <c r="C51" s="449" t="s">
        <v>697</v>
      </c>
      <c r="D51" s="449" t="s">
        <v>705</v>
      </c>
      <c r="E51" s="449" t="s">
        <v>706</v>
      </c>
      <c r="F51" s="453">
        <v>1</v>
      </c>
      <c r="G51" s="453">
        <v>2338</v>
      </c>
      <c r="H51" s="453"/>
      <c r="I51" s="453">
        <v>2338</v>
      </c>
      <c r="J51" s="453"/>
      <c r="K51" s="453"/>
      <c r="L51" s="453"/>
      <c r="M51" s="453"/>
      <c r="N51" s="453"/>
      <c r="O51" s="453"/>
      <c r="P51" s="519"/>
      <c r="Q51" s="454"/>
    </row>
    <row r="52" spans="1:17" ht="14.4" customHeight="1" x14ac:dyDescent="0.3">
      <c r="A52" s="448" t="s">
        <v>780</v>
      </c>
      <c r="B52" s="449" t="s">
        <v>700</v>
      </c>
      <c r="C52" s="449" t="s">
        <v>697</v>
      </c>
      <c r="D52" s="449" t="s">
        <v>707</v>
      </c>
      <c r="E52" s="449" t="s">
        <v>708</v>
      </c>
      <c r="F52" s="453">
        <v>2</v>
      </c>
      <c r="G52" s="453">
        <v>2154</v>
      </c>
      <c r="H52" s="453"/>
      <c r="I52" s="453">
        <v>1077</v>
      </c>
      <c r="J52" s="453"/>
      <c r="K52" s="453"/>
      <c r="L52" s="453"/>
      <c r="M52" s="453"/>
      <c r="N52" s="453"/>
      <c r="O52" s="453"/>
      <c r="P52" s="519"/>
      <c r="Q52" s="454"/>
    </row>
    <row r="53" spans="1:17" ht="14.4" customHeight="1" x14ac:dyDescent="0.3">
      <c r="A53" s="448" t="s">
        <v>780</v>
      </c>
      <c r="B53" s="449" t="s">
        <v>700</v>
      </c>
      <c r="C53" s="449" t="s">
        <v>697</v>
      </c>
      <c r="D53" s="449" t="s">
        <v>709</v>
      </c>
      <c r="E53" s="449" t="s">
        <v>710</v>
      </c>
      <c r="F53" s="453"/>
      <c r="G53" s="453"/>
      <c r="H53" s="453"/>
      <c r="I53" s="453"/>
      <c r="J53" s="453">
        <v>3</v>
      </c>
      <c r="K53" s="453">
        <v>11475</v>
      </c>
      <c r="L53" s="453">
        <v>1</v>
      </c>
      <c r="M53" s="453">
        <v>3825</v>
      </c>
      <c r="N53" s="453"/>
      <c r="O53" s="453"/>
      <c r="P53" s="519"/>
      <c r="Q53" s="454"/>
    </row>
    <row r="54" spans="1:17" ht="14.4" customHeight="1" x14ac:dyDescent="0.3">
      <c r="A54" s="448" t="s">
        <v>780</v>
      </c>
      <c r="B54" s="449" t="s">
        <v>700</v>
      </c>
      <c r="C54" s="449" t="s">
        <v>697</v>
      </c>
      <c r="D54" s="449" t="s">
        <v>715</v>
      </c>
      <c r="E54" s="449" t="s">
        <v>716</v>
      </c>
      <c r="F54" s="453"/>
      <c r="G54" s="453"/>
      <c r="H54" s="453"/>
      <c r="I54" s="453"/>
      <c r="J54" s="453">
        <v>1</v>
      </c>
      <c r="K54" s="453">
        <v>1655</v>
      </c>
      <c r="L54" s="453">
        <v>1</v>
      </c>
      <c r="M54" s="453">
        <v>1655</v>
      </c>
      <c r="N54" s="453"/>
      <c r="O54" s="453"/>
      <c r="P54" s="519"/>
      <c r="Q54" s="454"/>
    </row>
    <row r="55" spans="1:17" ht="14.4" customHeight="1" x14ac:dyDescent="0.3">
      <c r="A55" s="448" t="s">
        <v>780</v>
      </c>
      <c r="B55" s="449" t="s">
        <v>700</v>
      </c>
      <c r="C55" s="449" t="s">
        <v>697</v>
      </c>
      <c r="D55" s="449" t="s">
        <v>717</v>
      </c>
      <c r="E55" s="449" t="s">
        <v>718</v>
      </c>
      <c r="F55" s="453">
        <v>2</v>
      </c>
      <c r="G55" s="453">
        <v>1680</v>
      </c>
      <c r="H55" s="453"/>
      <c r="I55" s="453">
        <v>840</v>
      </c>
      <c r="J55" s="453"/>
      <c r="K55" s="453"/>
      <c r="L55" s="453"/>
      <c r="M55" s="453"/>
      <c r="N55" s="453"/>
      <c r="O55" s="453"/>
      <c r="P55" s="519"/>
      <c r="Q55" s="454"/>
    </row>
    <row r="56" spans="1:17" ht="14.4" customHeight="1" x14ac:dyDescent="0.3">
      <c r="A56" s="448" t="s">
        <v>780</v>
      </c>
      <c r="B56" s="449" t="s">
        <v>700</v>
      </c>
      <c r="C56" s="449" t="s">
        <v>697</v>
      </c>
      <c r="D56" s="449" t="s">
        <v>723</v>
      </c>
      <c r="E56" s="449" t="s">
        <v>724</v>
      </c>
      <c r="F56" s="453">
        <v>1</v>
      </c>
      <c r="G56" s="453">
        <v>17</v>
      </c>
      <c r="H56" s="453">
        <v>0.33333333333333331</v>
      </c>
      <c r="I56" s="453">
        <v>17</v>
      </c>
      <c r="J56" s="453">
        <v>3</v>
      </c>
      <c r="K56" s="453">
        <v>51</v>
      </c>
      <c r="L56" s="453">
        <v>1</v>
      </c>
      <c r="M56" s="453">
        <v>17</v>
      </c>
      <c r="N56" s="453">
        <v>3</v>
      </c>
      <c r="O56" s="453">
        <v>51</v>
      </c>
      <c r="P56" s="519">
        <v>1</v>
      </c>
      <c r="Q56" s="454">
        <v>17</v>
      </c>
    </row>
    <row r="57" spans="1:17" ht="14.4" customHeight="1" x14ac:dyDescent="0.3">
      <c r="A57" s="448" t="s">
        <v>780</v>
      </c>
      <c r="B57" s="449" t="s">
        <v>700</v>
      </c>
      <c r="C57" s="449" t="s">
        <v>697</v>
      </c>
      <c r="D57" s="449" t="s">
        <v>725</v>
      </c>
      <c r="E57" s="449" t="s">
        <v>712</v>
      </c>
      <c r="F57" s="453">
        <v>2</v>
      </c>
      <c r="G57" s="453">
        <v>1416</v>
      </c>
      <c r="H57" s="453">
        <v>0.33333333333333331</v>
      </c>
      <c r="I57" s="453">
        <v>708</v>
      </c>
      <c r="J57" s="453">
        <v>6</v>
      </c>
      <c r="K57" s="453">
        <v>4248</v>
      </c>
      <c r="L57" s="453">
        <v>1</v>
      </c>
      <c r="M57" s="453">
        <v>708</v>
      </c>
      <c r="N57" s="453">
        <v>5</v>
      </c>
      <c r="O57" s="453">
        <v>3545</v>
      </c>
      <c r="P57" s="519">
        <v>0.83451035781544258</v>
      </c>
      <c r="Q57" s="454">
        <v>709</v>
      </c>
    </row>
    <row r="58" spans="1:17" ht="14.4" customHeight="1" x14ac:dyDescent="0.3">
      <c r="A58" s="448" t="s">
        <v>780</v>
      </c>
      <c r="B58" s="449" t="s">
        <v>700</v>
      </c>
      <c r="C58" s="449" t="s">
        <v>697</v>
      </c>
      <c r="D58" s="449" t="s">
        <v>726</v>
      </c>
      <c r="E58" s="449" t="s">
        <v>714</v>
      </c>
      <c r="F58" s="453"/>
      <c r="G58" s="453"/>
      <c r="H58" s="453"/>
      <c r="I58" s="453"/>
      <c r="J58" s="453">
        <v>5</v>
      </c>
      <c r="K58" s="453">
        <v>7195</v>
      </c>
      <c r="L58" s="453">
        <v>1</v>
      </c>
      <c r="M58" s="453">
        <v>1439</v>
      </c>
      <c r="N58" s="453">
        <v>4</v>
      </c>
      <c r="O58" s="453">
        <v>5764</v>
      </c>
      <c r="P58" s="519">
        <v>0.80111188325225846</v>
      </c>
      <c r="Q58" s="454">
        <v>1441</v>
      </c>
    </row>
    <row r="59" spans="1:17" ht="14.4" customHeight="1" x14ac:dyDescent="0.3">
      <c r="A59" s="448" t="s">
        <v>780</v>
      </c>
      <c r="B59" s="449" t="s">
        <v>700</v>
      </c>
      <c r="C59" s="449" t="s">
        <v>697</v>
      </c>
      <c r="D59" s="449" t="s">
        <v>727</v>
      </c>
      <c r="E59" s="449" t="s">
        <v>728</v>
      </c>
      <c r="F59" s="453"/>
      <c r="G59" s="453"/>
      <c r="H59" s="453"/>
      <c r="I59" s="453"/>
      <c r="J59" s="453">
        <v>3</v>
      </c>
      <c r="K59" s="453">
        <v>7314</v>
      </c>
      <c r="L59" s="453">
        <v>1</v>
      </c>
      <c r="M59" s="453">
        <v>2438</v>
      </c>
      <c r="N59" s="453">
        <v>1</v>
      </c>
      <c r="O59" s="453">
        <v>2442</v>
      </c>
      <c r="P59" s="519">
        <v>0.33388022969647252</v>
      </c>
      <c r="Q59" s="454">
        <v>2442</v>
      </c>
    </row>
    <row r="60" spans="1:17" ht="14.4" customHeight="1" x14ac:dyDescent="0.3">
      <c r="A60" s="448" t="s">
        <v>780</v>
      </c>
      <c r="B60" s="449" t="s">
        <v>700</v>
      </c>
      <c r="C60" s="449" t="s">
        <v>697</v>
      </c>
      <c r="D60" s="449" t="s">
        <v>729</v>
      </c>
      <c r="E60" s="449" t="s">
        <v>730</v>
      </c>
      <c r="F60" s="453">
        <v>2</v>
      </c>
      <c r="G60" s="453">
        <v>138</v>
      </c>
      <c r="H60" s="453">
        <v>0.33333333333333331</v>
      </c>
      <c r="I60" s="453">
        <v>69</v>
      </c>
      <c r="J60" s="453">
        <v>6</v>
      </c>
      <c r="K60" s="453">
        <v>414</v>
      </c>
      <c r="L60" s="453">
        <v>1</v>
      </c>
      <c r="M60" s="453">
        <v>69</v>
      </c>
      <c r="N60" s="453">
        <v>5</v>
      </c>
      <c r="O60" s="453">
        <v>345</v>
      </c>
      <c r="P60" s="519">
        <v>0.83333333333333337</v>
      </c>
      <c r="Q60" s="454">
        <v>69</v>
      </c>
    </row>
    <row r="61" spans="1:17" ht="14.4" customHeight="1" x14ac:dyDescent="0.3">
      <c r="A61" s="448" t="s">
        <v>780</v>
      </c>
      <c r="B61" s="449" t="s">
        <v>700</v>
      </c>
      <c r="C61" s="449" t="s">
        <v>697</v>
      </c>
      <c r="D61" s="449" t="s">
        <v>735</v>
      </c>
      <c r="E61" s="449" t="s">
        <v>736</v>
      </c>
      <c r="F61" s="453"/>
      <c r="G61" s="453"/>
      <c r="H61" s="453"/>
      <c r="I61" s="453"/>
      <c r="J61" s="453">
        <v>21</v>
      </c>
      <c r="K61" s="453">
        <v>11760</v>
      </c>
      <c r="L61" s="453">
        <v>1</v>
      </c>
      <c r="M61" s="453">
        <v>560</v>
      </c>
      <c r="N61" s="453">
        <v>12</v>
      </c>
      <c r="O61" s="453">
        <v>6732</v>
      </c>
      <c r="P61" s="519">
        <v>0.57244897959183672</v>
      </c>
      <c r="Q61" s="454">
        <v>561</v>
      </c>
    </row>
    <row r="62" spans="1:17" ht="14.4" customHeight="1" x14ac:dyDescent="0.3">
      <c r="A62" s="448" t="s">
        <v>780</v>
      </c>
      <c r="B62" s="449" t="s">
        <v>700</v>
      </c>
      <c r="C62" s="449" t="s">
        <v>697</v>
      </c>
      <c r="D62" s="449" t="s">
        <v>748</v>
      </c>
      <c r="E62" s="449" t="s">
        <v>749</v>
      </c>
      <c r="F62" s="453"/>
      <c r="G62" s="453"/>
      <c r="H62" s="453"/>
      <c r="I62" s="453"/>
      <c r="J62" s="453">
        <v>5</v>
      </c>
      <c r="K62" s="453">
        <v>8245</v>
      </c>
      <c r="L62" s="453">
        <v>1</v>
      </c>
      <c r="M62" s="453">
        <v>1649</v>
      </c>
      <c r="N62" s="453"/>
      <c r="O62" s="453"/>
      <c r="P62" s="519"/>
      <c r="Q62" s="454"/>
    </row>
    <row r="63" spans="1:17" ht="14.4" customHeight="1" x14ac:dyDescent="0.3">
      <c r="A63" s="448" t="s">
        <v>780</v>
      </c>
      <c r="B63" s="449" t="s">
        <v>700</v>
      </c>
      <c r="C63" s="449" t="s">
        <v>697</v>
      </c>
      <c r="D63" s="449" t="s">
        <v>751</v>
      </c>
      <c r="E63" s="449" t="s">
        <v>752</v>
      </c>
      <c r="F63" s="453"/>
      <c r="G63" s="453"/>
      <c r="H63" s="453"/>
      <c r="I63" s="453"/>
      <c r="J63" s="453"/>
      <c r="K63" s="453"/>
      <c r="L63" s="453"/>
      <c r="M63" s="453"/>
      <c r="N63" s="453">
        <v>9</v>
      </c>
      <c r="O63" s="453">
        <v>19845</v>
      </c>
      <c r="P63" s="519"/>
      <c r="Q63" s="454">
        <v>2205</v>
      </c>
    </row>
    <row r="64" spans="1:17" ht="14.4" customHeight="1" x14ac:dyDescent="0.3">
      <c r="A64" s="448" t="s">
        <v>781</v>
      </c>
      <c r="B64" s="449" t="s">
        <v>696</v>
      </c>
      <c r="C64" s="449" t="s">
        <v>697</v>
      </c>
      <c r="D64" s="449" t="s">
        <v>698</v>
      </c>
      <c r="E64" s="449" t="s">
        <v>699</v>
      </c>
      <c r="F64" s="453">
        <v>3</v>
      </c>
      <c r="G64" s="453">
        <v>34209</v>
      </c>
      <c r="H64" s="453">
        <v>2.9973714185577851</v>
      </c>
      <c r="I64" s="453">
        <v>11403</v>
      </c>
      <c r="J64" s="453">
        <v>1</v>
      </c>
      <c r="K64" s="453">
        <v>11413</v>
      </c>
      <c r="L64" s="453">
        <v>1</v>
      </c>
      <c r="M64" s="453">
        <v>11413</v>
      </c>
      <c r="N64" s="453">
        <v>1</v>
      </c>
      <c r="O64" s="453">
        <v>11433</v>
      </c>
      <c r="P64" s="519">
        <v>1.0017523876281433</v>
      </c>
      <c r="Q64" s="454">
        <v>11433</v>
      </c>
    </row>
    <row r="65" spans="1:17" ht="14.4" customHeight="1" x14ac:dyDescent="0.3">
      <c r="A65" s="448" t="s">
        <v>781</v>
      </c>
      <c r="B65" s="449" t="s">
        <v>700</v>
      </c>
      <c r="C65" s="449" t="s">
        <v>697</v>
      </c>
      <c r="D65" s="449" t="s">
        <v>701</v>
      </c>
      <c r="E65" s="449" t="s">
        <v>702</v>
      </c>
      <c r="F65" s="453">
        <v>1</v>
      </c>
      <c r="G65" s="453">
        <v>136</v>
      </c>
      <c r="H65" s="453">
        <v>1</v>
      </c>
      <c r="I65" s="453">
        <v>136</v>
      </c>
      <c r="J65" s="453">
        <v>1</v>
      </c>
      <c r="K65" s="453">
        <v>136</v>
      </c>
      <c r="L65" s="453">
        <v>1</v>
      </c>
      <c r="M65" s="453">
        <v>136</v>
      </c>
      <c r="N65" s="453">
        <v>2</v>
      </c>
      <c r="O65" s="453">
        <v>274</v>
      </c>
      <c r="P65" s="519">
        <v>2.0147058823529411</v>
      </c>
      <c r="Q65" s="454">
        <v>137</v>
      </c>
    </row>
    <row r="66" spans="1:17" ht="14.4" customHeight="1" x14ac:dyDescent="0.3">
      <c r="A66" s="448" t="s">
        <v>781</v>
      </c>
      <c r="B66" s="449" t="s">
        <v>700</v>
      </c>
      <c r="C66" s="449" t="s">
        <v>697</v>
      </c>
      <c r="D66" s="449" t="s">
        <v>705</v>
      </c>
      <c r="E66" s="449" t="s">
        <v>706</v>
      </c>
      <c r="F66" s="453"/>
      <c r="G66" s="453"/>
      <c r="H66" s="453"/>
      <c r="I66" s="453"/>
      <c r="J66" s="453"/>
      <c r="K66" s="453"/>
      <c r="L66" s="453"/>
      <c r="M66" s="453"/>
      <c r="N66" s="453">
        <v>2</v>
      </c>
      <c r="O66" s="453">
        <v>4686</v>
      </c>
      <c r="P66" s="519"/>
      <c r="Q66" s="454">
        <v>2343</v>
      </c>
    </row>
    <row r="67" spans="1:17" ht="14.4" customHeight="1" x14ac:dyDescent="0.3">
      <c r="A67" s="448" t="s">
        <v>781</v>
      </c>
      <c r="B67" s="449" t="s">
        <v>700</v>
      </c>
      <c r="C67" s="449" t="s">
        <v>697</v>
      </c>
      <c r="D67" s="449" t="s">
        <v>709</v>
      </c>
      <c r="E67" s="449" t="s">
        <v>710</v>
      </c>
      <c r="F67" s="453">
        <v>2</v>
      </c>
      <c r="G67" s="453">
        <v>7646</v>
      </c>
      <c r="H67" s="453">
        <v>0.99947712418300649</v>
      </c>
      <c r="I67" s="453">
        <v>3823</v>
      </c>
      <c r="J67" s="453">
        <v>2</v>
      </c>
      <c r="K67" s="453">
        <v>7650</v>
      </c>
      <c r="L67" s="453">
        <v>1</v>
      </c>
      <c r="M67" s="453">
        <v>3825</v>
      </c>
      <c r="N67" s="453">
        <v>4</v>
      </c>
      <c r="O67" s="453">
        <v>15312</v>
      </c>
      <c r="P67" s="519">
        <v>2.0015686274509803</v>
      </c>
      <c r="Q67" s="454">
        <v>3828</v>
      </c>
    </row>
    <row r="68" spans="1:17" ht="14.4" customHeight="1" x14ac:dyDescent="0.3">
      <c r="A68" s="448" t="s">
        <v>781</v>
      </c>
      <c r="B68" s="449" t="s">
        <v>700</v>
      </c>
      <c r="C68" s="449" t="s">
        <v>697</v>
      </c>
      <c r="D68" s="449" t="s">
        <v>715</v>
      </c>
      <c r="E68" s="449" t="s">
        <v>716</v>
      </c>
      <c r="F68" s="453">
        <v>1</v>
      </c>
      <c r="G68" s="453">
        <v>1655</v>
      </c>
      <c r="H68" s="453"/>
      <c r="I68" s="453">
        <v>1655</v>
      </c>
      <c r="J68" s="453"/>
      <c r="K68" s="453"/>
      <c r="L68" s="453"/>
      <c r="M68" s="453"/>
      <c r="N68" s="453"/>
      <c r="O68" s="453"/>
      <c r="P68" s="519"/>
      <c r="Q68" s="454"/>
    </row>
    <row r="69" spans="1:17" ht="14.4" customHeight="1" x14ac:dyDescent="0.3">
      <c r="A69" s="448" t="s">
        <v>781</v>
      </c>
      <c r="B69" s="449" t="s">
        <v>700</v>
      </c>
      <c r="C69" s="449" t="s">
        <v>697</v>
      </c>
      <c r="D69" s="449" t="s">
        <v>717</v>
      </c>
      <c r="E69" s="449" t="s">
        <v>718</v>
      </c>
      <c r="F69" s="453"/>
      <c r="G69" s="453"/>
      <c r="H69" s="453"/>
      <c r="I69" s="453"/>
      <c r="J69" s="453"/>
      <c r="K69" s="453"/>
      <c r="L69" s="453"/>
      <c r="M69" s="453"/>
      <c r="N69" s="453">
        <v>1</v>
      </c>
      <c r="O69" s="453">
        <v>841</v>
      </c>
      <c r="P69" s="519"/>
      <c r="Q69" s="454">
        <v>841</v>
      </c>
    </row>
    <row r="70" spans="1:17" ht="14.4" customHeight="1" x14ac:dyDescent="0.3">
      <c r="A70" s="448" t="s">
        <v>781</v>
      </c>
      <c r="B70" s="449" t="s">
        <v>700</v>
      </c>
      <c r="C70" s="449" t="s">
        <v>697</v>
      </c>
      <c r="D70" s="449" t="s">
        <v>723</v>
      </c>
      <c r="E70" s="449" t="s">
        <v>724</v>
      </c>
      <c r="F70" s="453">
        <v>1</v>
      </c>
      <c r="G70" s="453">
        <v>17</v>
      </c>
      <c r="H70" s="453">
        <v>0.2</v>
      </c>
      <c r="I70" s="453">
        <v>17</v>
      </c>
      <c r="J70" s="453">
        <v>5</v>
      </c>
      <c r="K70" s="453">
        <v>85</v>
      </c>
      <c r="L70" s="453">
        <v>1</v>
      </c>
      <c r="M70" s="453">
        <v>17</v>
      </c>
      <c r="N70" s="453">
        <v>8</v>
      </c>
      <c r="O70" s="453">
        <v>136</v>
      </c>
      <c r="P70" s="519">
        <v>1.6</v>
      </c>
      <c r="Q70" s="454">
        <v>17</v>
      </c>
    </row>
    <row r="71" spans="1:17" ht="14.4" customHeight="1" x14ac:dyDescent="0.3">
      <c r="A71" s="448" t="s">
        <v>781</v>
      </c>
      <c r="B71" s="449" t="s">
        <v>700</v>
      </c>
      <c r="C71" s="449" t="s">
        <v>697</v>
      </c>
      <c r="D71" s="449" t="s">
        <v>725</v>
      </c>
      <c r="E71" s="449" t="s">
        <v>712</v>
      </c>
      <c r="F71" s="453">
        <v>2</v>
      </c>
      <c r="G71" s="453">
        <v>1416</v>
      </c>
      <c r="H71" s="453">
        <v>0.22222222222222221</v>
      </c>
      <c r="I71" s="453">
        <v>708</v>
      </c>
      <c r="J71" s="453">
        <v>9</v>
      </c>
      <c r="K71" s="453">
        <v>6372</v>
      </c>
      <c r="L71" s="453">
        <v>1</v>
      </c>
      <c r="M71" s="453">
        <v>708</v>
      </c>
      <c r="N71" s="453">
        <v>13</v>
      </c>
      <c r="O71" s="453">
        <v>9217</v>
      </c>
      <c r="P71" s="519">
        <v>1.4464846202134338</v>
      </c>
      <c r="Q71" s="454">
        <v>709</v>
      </c>
    </row>
    <row r="72" spans="1:17" ht="14.4" customHeight="1" x14ac:dyDescent="0.3">
      <c r="A72" s="448" t="s">
        <v>781</v>
      </c>
      <c r="B72" s="449" t="s">
        <v>700</v>
      </c>
      <c r="C72" s="449" t="s">
        <v>697</v>
      </c>
      <c r="D72" s="449" t="s">
        <v>726</v>
      </c>
      <c r="E72" s="449" t="s">
        <v>714</v>
      </c>
      <c r="F72" s="453">
        <v>5</v>
      </c>
      <c r="G72" s="453">
        <v>7190</v>
      </c>
      <c r="H72" s="453">
        <v>0.99930507296733839</v>
      </c>
      <c r="I72" s="453">
        <v>1438</v>
      </c>
      <c r="J72" s="453">
        <v>5</v>
      </c>
      <c r="K72" s="453">
        <v>7195</v>
      </c>
      <c r="L72" s="453">
        <v>1</v>
      </c>
      <c r="M72" s="453">
        <v>1439</v>
      </c>
      <c r="N72" s="453">
        <v>7</v>
      </c>
      <c r="O72" s="453">
        <v>10087</v>
      </c>
      <c r="P72" s="519">
        <v>1.4019457956914525</v>
      </c>
      <c r="Q72" s="454">
        <v>1441</v>
      </c>
    </row>
    <row r="73" spans="1:17" ht="14.4" customHeight="1" x14ac:dyDescent="0.3">
      <c r="A73" s="448" t="s">
        <v>781</v>
      </c>
      <c r="B73" s="449" t="s">
        <v>700</v>
      </c>
      <c r="C73" s="449" t="s">
        <v>697</v>
      </c>
      <c r="D73" s="449" t="s">
        <v>727</v>
      </c>
      <c r="E73" s="449" t="s">
        <v>728</v>
      </c>
      <c r="F73" s="453">
        <v>3</v>
      </c>
      <c r="G73" s="453">
        <v>7311</v>
      </c>
      <c r="H73" s="453">
        <v>0.74969237079573425</v>
      </c>
      <c r="I73" s="453">
        <v>2437</v>
      </c>
      <c r="J73" s="453">
        <v>4</v>
      </c>
      <c r="K73" s="453">
        <v>9752</v>
      </c>
      <c r="L73" s="453">
        <v>1</v>
      </c>
      <c r="M73" s="453">
        <v>2438</v>
      </c>
      <c r="N73" s="453">
        <v>5</v>
      </c>
      <c r="O73" s="453">
        <v>12210</v>
      </c>
      <c r="P73" s="519">
        <v>1.252050861361772</v>
      </c>
      <c r="Q73" s="454">
        <v>2442</v>
      </c>
    </row>
    <row r="74" spans="1:17" ht="14.4" customHeight="1" x14ac:dyDescent="0.3">
      <c r="A74" s="448" t="s">
        <v>781</v>
      </c>
      <c r="B74" s="449" t="s">
        <v>700</v>
      </c>
      <c r="C74" s="449" t="s">
        <v>697</v>
      </c>
      <c r="D74" s="449" t="s">
        <v>729</v>
      </c>
      <c r="E74" s="449" t="s">
        <v>730</v>
      </c>
      <c r="F74" s="453">
        <v>2</v>
      </c>
      <c r="G74" s="453">
        <v>138</v>
      </c>
      <c r="H74" s="453">
        <v>0.22222222222222221</v>
      </c>
      <c r="I74" s="453">
        <v>69</v>
      </c>
      <c r="J74" s="453">
        <v>9</v>
      </c>
      <c r="K74" s="453">
        <v>621</v>
      </c>
      <c r="L74" s="453">
        <v>1</v>
      </c>
      <c r="M74" s="453">
        <v>69</v>
      </c>
      <c r="N74" s="453">
        <v>13</v>
      </c>
      <c r="O74" s="453">
        <v>897</v>
      </c>
      <c r="P74" s="519">
        <v>1.4444444444444444</v>
      </c>
      <c r="Q74" s="454">
        <v>69</v>
      </c>
    </row>
    <row r="75" spans="1:17" ht="14.4" customHeight="1" x14ac:dyDescent="0.3">
      <c r="A75" s="448" t="s">
        <v>781</v>
      </c>
      <c r="B75" s="449" t="s">
        <v>700</v>
      </c>
      <c r="C75" s="449" t="s">
        <v>697</v>
      </c>
      <c r="D75" s="449" t="s">
        <v>735</v>
      </c>
      <c r="E75" s="449" t="s">
        <v>736</v>
      </c>
      <c r="F75" s="453">
        <v>12</v>
      </c>
      <c r="G75" s="453">
        <v>6720</v>
      </c>
      <c r="H75" s="453">
        <v>0.63157894736842102</v>
      </c>
      <c r="I75" s="453">
        <v>560</v>
      </c>
      <c r="J75" s="453">
        <v>19</v>
      </c>
      <c r="K75" s="453">
        <v>10640</v>
      </c>
      <c r="L75" s="453">
        <v>1</v>
      </c>
      <c r="M75" s="453">
        <v>560</v>
      </c>
      <c r="N75" s="453">
        <v>22</v>
      </c>
      <c r="O75" s="453">
        <v>12342</v>
      </c>
      <c r="P75" s="519">
        <v>1.1599624060150375</v>
      </c>
      <c r="Q75" s="454">
        <v>561</v>
      </c>
    </row>
    <row r="76" spans="1:17" ht="14.4" customHeight="1" x14ac:dyDescent="0.3">
      <c r="A76" s="448" t="s">
        <v>781</v>
      </c>
      <c r="B76" s="449" t="s">
        <v>700</v>
      </c>
      <c r="C76" s="449" t="s">
        <v>697</v>
      </c>
      <c r="D76" s="449" t="s">
        <v>748</v>
      </c>
      <c r="E76" s="449" t="s">
        <v>749</v>
      </c>
      <c r="F76" s="453">
        <v>4</v>
      </c>
      <c r="G76" s="453">
        <v>6596</v>
      </c>
      <c r="H76" s="453">
        <v>4</v>
      </c>
      <c r="I76" s="453">
        <v>1649</v>
      </c>
      <c r="J76" s="453">
        <v>1</v>
      </c>
      <c r="K76" s="453">
        <v>1649</v>
      </c>
      <c r="L76" s="453">
        <v>1</v>
      </c>
      <c r="M76" s="453">
        <v>1649</v>
      </c>
      <c r="N76" s="453"/>
      <c r="O76" s="453"/>
      <c r="P76" s="519"/>
      <c r="Q76" s="454"/>
    </row>
    <row r="77" spans="1:17" ht="14.4" customHeight="1" x14ac:dyDescent="0.3">
      <c r="A77" s="448" t="s">
        <v>781</v>
      </c>
      <c r="B77" s="449" t="s">
        <v>700</v>
      </c>
      <c r="C77" s="449" t="s">
        <v>697</v>
      </c>
      <c r="D77" s="449" t="s">
        <v>751</v>
      </c>
      <c r="E77" s="449" t="s">
        <v>752</v>
      </c>
      <c r="F77" s="453"/>
      <c r="G77" s="453"/>
      <c r="H77" s="453"/>
      <c r="I77" s="453"/>
      <c r="J77" s="453"/>
      <c r="K77" s="453"/>
      <c r="L77" s="453"/>
      <c r="M77" s="453"/>
      <c r="N77" s="453">
        <v>9</v>
      </c>
      <c r="O77" s="453">
        <v>19845</v>
      </c>
      <c r="P77" s="519"/>
      <c r="Q77" s="454">
        <v>2205</v>
      </c>
    </row>
    <row r="78" spans="1:17" ht="14.4" customHeight="1" x14ac:dyDescent="0.3">
      <c r="A78" s="448" t="s">
        <v>782</v>
      </c>
      <c r="B78" s="449" t="s">
        <v>700</v>
      </c>
      <c r="C78" s="449" t="s">
        <v>697</v>
      </c>
      <c r="D78" s="449" t="s">
        <v>735</v>
      </c>
      <c r="E78" s="449" t="s">
        <v>736</v>
      </c>
      <c r="F78" s="453">
        <v>6</v>
      </c>
      <c r="G78" s="453">
        <v>3360</v>
      </c>
      <c r="H78" s="453">
        <v>0.3</v>
      </c>
      <c r="I78" s="453">
        <v>560</v>
      </c>
      <c r="J78" s="453">
        <v>20</v>
      </c>
      <c r="K78" s="453">
        <v>11200</v>
      </c>
      <c r="L78" s="453">
        <v>1</v>
      </c>
      <c r="M78" s="453">
        <v>560</v>
      </c>
      <c r="N78" s="453">
        <v>6</v>
      </c>
      <c r="O78" s="453">
        <v>3366</v>
      </c>
      <c r="P78" s="519">
        <v>0.30053571428571429</v>
      </c>
      <c r="Q78" s="454">
        <v>561</v>
      </c>
    </row>
    <row r="79" spans="1:17" ht="14.4" customHeight="1" x14ac:dyDescent="0.3">
      <c r="A79" s="448" t="s">
        <v>782</v>
      </c>
      <c r="B79" s="449" t="s">
        <v>700</v>
      </c>
      <c r="C79" s="449" t="s">
        <v>697</v>
      </c>
      <c r="D79" s="449" t="s">
        <v>743</v>
      </c>
      <c r="E79" s="449" t="s">
        <v>744</v>
      </c>
      <c r="F79" s="453"/>
      <c r="G79" s="453"/>
      <c r="H79" s="453"/>
      <c r="I79" s="453"/>
      <c r="J79" s="453">
        <v>1</v>
      </c>
      <c r="K79" s="453">
        <v>429</v>
      </c>
      <c r="L79" s="453">
        <v>1</v>
      </c>
      <c r="M79" s="453">
        <v>429</v>
      </c>
      <c r="N79" s="453">
        <v>7</v>
      </c>
      <c r="O79" s="453">
        <v>3003</v>
      </c>
      <c r="P79" s="519">
        <v>7</v>
      </c>
      <c r="Q79" s="454">
        <v>429</v>
      </c>
    </row>
    <row r="80" spans="1:17" ht="14.4" customHeight="1" x14ac:dyDescent="0.3">
      <c r="A80" s="448" t="s">
        <v>782</v>
      </c>
      <c r="B80" s="449" t="s">
        <v>700</v>
      </c>
      <c r="C80" s="449" t="s">
        <v>697</v>
      </c>
      <c r="D80" s="449" t="s">
        <v>748</v>
      </c>
      <c r="E80" s="449" t="s">
        <v>749</v>
      </c>
      <c r="F80" s="453"/>
      <c r="G80" s="453"/>
      <c r="H80" s="453"/>
      <c r="I80" s="453"/>
      <c r="J80" s="453">
        <v>4</v>
      </c>
      <c r="K80" s="453">
        <v>6596</v>
      </c>
      <c r="L80" s="453">
        <v>1</v>
      </c>
      <c r="M80" s="453">
        <v>1649</v>
      </c>
      <c r="N80" s="453"/>
      <c r="O80" s="453"/>
      <c r="P80" s="519"/>
      <c r="Q80" s="454"/>
    </row>
    <row r="81" spans="1:17" ht="14.4" customHeight="1" x14ac:dyDescent="0.3">
      <c r="A81" s="448" t="s">
        <v>695</v>
      </c>
      <c r="B81" s="449" t="s">
        <v>700</v>
      </c>
      <c r="C81" s="449" t="s">
        <v>697</v>
      </c>
      <c r="D81" s="449" t="s">
        <v>735</v>
      </c>
      <c r="E81" s="449" t="s">
        <v>736</v>
      </c>
      <c r="F81" s="453">
        <v>1</v>
      </c>
      <c r="G81" s="453">
        <v>560</v>
      </c>
      <c r="H81" s="453"/>
      <c r="I81" s="453">
        <v>560</v>
      </c>
      <c r="J81" s="453"/>
      <c r="K81" s="453"/>
      <c r="L81" s="453"/>
      <c r="M81" s="453"/>
      <c r="N81" s="453"/>
      <c r="O81" s="453"/>
      <c r="P81" s="519"/>
      <c r="Q81" s="454"/>
    </row>
    <row r="82" spans="1:17" ht="14.4" customHeight="1" x14ac:dyDescent="0.3">
      <c r="A82" s="448" t="s">
        <v>695</v>
      </c>
      <c r="B82" s="449" t="s">
        <v>700</v>
      </c>
      <c r="C82" s="449" t="s">
        <v>697</v>
      </c>
      <c r="D82" s="449" t="s">
        <v>743</v>
      </c>
      <c r="E82" s="449" t="s">
        <v>744</v>
      </c>
      <c r="F82" s="453">
        <v>1</v>
      </c>
      <c r="G82" s="453">
        <v>429</v>
      </c>
      <c r="H82" s="453">
        <v>1</v>
      </c>
      <c r="I82" s="453">
        <v>429</v>
      </c>
      <c r="J82" s="453">
        <v>1</v>
      </c>
      <c r="K82" s="453">
        <v>429</v>
      </c>
      <c r="L82" s="453">
        <v>1</v>
      </c>
      <c r="M82" s="453">
        <v>429</v>
      </c>
      <c r="N82" s="453"/>
      <c r="O82" s="453"/>
      <c r="P82" s="519"/>
      <c r="Q82" s="454"/>
    </row>
    <row r="83" spans="1:17" ht="14.4" customHeight="1" x14ac:dyDescent="0.3">
      <c r="A83" s="448" t="s">
        <v>695</v>
      </c>
      <c r="B83" s="449" t="s">
        <v>700</v>
      </c>
      <c r="C83" s="449" t="s">
        <v>697</v>
      </c>
      <c r="D83" s="449" t="s">
        <v>748</v>
      </c>
      <c r="E83" s="449" t="s">
        <v>749</v>
      </c>
      <c r="F83" s="453">
        <v>1</v>
      </c>
      <c r="G83" s="453">
        <v>1649</v>
      </c>
      <c r="H83" s="453"/>
      <c r="I83" s="453">
        <v>1649</v>
      </c>
      <c r="J83" s="453"/>
      <c r="K83" s="453"/>
      <c r="L83" s="453"/>
      <c r="M83" s="453"/>
      <c r="N83" s="453"/>
      <c r="O83" s="453"/>
      <c r="P83" s="519"/>
      <c r="Q83" s="454"/>
    </row>
    <row r="84" spans="1:17" ht="14.4" customHeight="1" x14ac:dyDescent="0.3">
      <c r="A84" s="448" t="s">
        <v>783</v>
      </c>
      <c r="B84" s="449" t="s">
        <v>700</v>
      </c>
      <c r="C84" s="449" t="s">
        <v>697</v>
      </c>
      <c r="D84" s="449" t="s">
        <v>701</v>
      </c>
      <c r="E84" s="449" t="s">
        <v>702</v>
      </c>
      <c r="F84" s="453">
        <v>1</v>
      </c>
      <c r="G84" s="453">
        <v>136</v>
      </c>
      <c r="H84" s="453">
        <v>0.5</v>
      </c>
      <c r="I84" s="453">
        <v>136</v>
      </c>
      <c r="J84" s="453">
        <v>2</v>
      </c>
      <c r="K84" s="453">
        <v>272</v>
      </c>
      <c r="L84" s="453">
        <v>1</v>
      </c>
      <c r="M84" s="453">
        <v>136</v>
      </c>
      <c r="N84" s="453">
        <v>4</v>
      </c>
      <c r="O84" s="453">
        <v>548</v>
      </c>
      <c r="P84" s="519">
        <v>2.0147058823529411</v>
      </c>
      <c r="Q84" s="454">
        <v>137</v>
      </c>
    </row>
    <row r="85" spans="1:17" ht="14.4" customHeight="1" x14ac:dyDescent="0.3">
      <c r="A85" s="448" t="s">
        <v>783</v>
      </c>
      <c r="B85" s="449" t="s">
        <v>700</v>
      </c>
      <c r="C85" s="449" t="s">
        <v>697</v>
      </c>
      <c r="D85" s="449" t="s">
        <v>709</v>
      </c>
      <c r="E85" s="449" t="s">
        <v>710</v>
      </c>
      <c r="F85" s="453">
        <v>4</v>
      </c>
      <c r="G85" s="453">
        <v>15292</v>
      </c>
      <c r="H85" s="453">
        <v>0.39979084967320261</v>
      </c>
      <c r="I85" s="453">
        <v>3823</v>
      </c>
      <c r="J85" s="453">
        <v>10</v>
      </c>
      <c r="K85" s="453">
        <v>38250</v>
      </c>
      <c r="L85" s="453">
        <v>1</v>
      </c>
      <c r="M85" s="453">
        <v>3825</v>
      </c>
      <c r="N85" s="453">
        <v>7</v>
      </c>
      <c r="O85" s="453">
        <v>26796</v>
      </c>
      <c r="P85" s="519">
        <v>0.7005490196078431</v>
      </c>
      <c r="Q85" s="454">
        <v>3828</v>
      </c>
    </row>
    <row r="86" spans="1:17" ht="14.4" customHeight="1" x14ac:dyDescent="0.3">
      <c r="A86" s="448" t="s">
        <v>783</v>
      </c>
      <c r="B86" s="449" t="s">
        <v>700</v>
      </c>
      <c r="C86" s="449" t="s">
        <v>697</v>
      </c>
      <c r="D86" s="449" t="s">
        <v>711</v>
      </c>
      <c r="E86" s="449" t="s">
        <v>712</v>
      </c>
      <c r="F86" s="453">
        <v>11</v>
      </c>
      <c r="G86" s="453">
        <v>4895</v>
      </c>
      <c r="H86" s="453">
        <v>1.8333333333333333</v>
      </c>
      <c r="I86" s="453">
        <v>445</v>
      </c>
      <c r="J86" s="453">
        <v>6</v>
      </c>
      <c r="K86" s="453">
        <v>2670</v>
      </c>
      <c r="L86" s="453">
        <v>1</v>
      </c>
      <c r="M86" s="453">
        <v>445</v>
      </c>
      <c r="N86" s="453">
        <v>12</v>
      </c>
      <c r="O86" s="453">
        <v>5340</v>
      </c>
      <c r="P86" s="519">
        <v>2</v>
      </c>
      <c r="Q86" s="454">
        <v>445</v>
      </c>
    </row>
    <row r="87" spans="1:17" ht="14.4" customHeight="1" x14ac:dyDescent="0.3">
      <c r="A87" s="448" t="s">
        <v>783</v>
      </c>
      <c r="B87" s="449" t="s">
        <v>700</v>
      </c>
      <c r="C87" s="449" t="s">
        <v>697</v>
      </c>
      <c r="D87" s="449" t="s">
        <v>713</v>
      </c>
      <c r="E87" s="449" t="s">
        <v>714</v>
      </c>
      <c r="F87" s="453">
        <v>4</v>
      </c>
      <c r="G87" s="453">
        <v>3412</v>
      </c>
      <c r="H87" s="453">
        <v>0.66588602654176421</v>
      </c>
      <c r="I87" s="453">
        <v>853</v>
      </c>
      <c r="J87" s="453">
        <v>6</v>
      </c>
      <c r="K87" s="453">
        <v>5124</v>
      </c>
      <c r="L87" s="453">
        <v>1</v>
      </c>
      <c r="M87" s="453">
        <v>854</v>
      </c>
      <c r="N87" s="453">
        <v>2</v>
      </c>
      <c r="O87" s="453">
        <v>1708</v>
      </c>
      <c r="P87" s="519">
        <v>0.33333333333333331</v>
      </c>
      <c r="Q87" s="454">
        <v>854</v>
      </c>
    </row>
    <row r="88" spans="1:17" ht="14.4" customHeight="1" x14ac:dyDescent="0.3">
      <c r="A88" s="448" t="s">
        <v>783</v>
      </c>
      <c r="B88" s="449" t="s">
        <v>700</v>
      </c>
      <c r="C88" s="449" t="s">
        <v>697</v>
      </c>
      <c r="D88" s="449" t="s">
        <v>715</v>
      </c>
      <c r="E88" s="449" t="s">
        <v>716</v>
      </c>
      <c r="F88" s="453">
        <v>2</v>
      </c>
      <c r="G88" s="453">
        <v>3310</v>
      </c>
      <c r="H88" s="453">
        <v>1</v>
      </c>
      <c r="I88" s="453">
        <v>1655</v>
      </c>
      <c r="J88" s="453">
        <v>2</v>
      </c>
      <c r="K88" s="453">
        <v>3310</v>
      </c>
      <c r="L88" s="453">
        <v>1</v>
      </c>
      <c r="M88" s="453">
        <v>1655</v>
      </c>
      <c r="N88" s="453"/>
      <c r="O88" s="453"/>
      <c r="P88" s="519"/>
      <c r="Q88" s="454"/>
    </row>
    <row r="89" spans="1:17" ht="14.4" customHeight="1" x14ac:dyDescent="0.3">
      <c r="A89" s="448" t="s">
        <v>783</v>
      </c>
      <c r="B89" s="449" t="s">
        <v>700</v>
      </c>
      <c r="C89" s="449" t="s">
        <v>697</v>
      </c>
      <c r="D89" s="449" t="s">
        <v>719</v>
      </c>
      <c r="E89" s="449" t="s">
        <v>720</v>
      </c>
      <c r="F89" s="453">
        <v>1</v>
      </c>
      <c r="G89" s="453">
        <v>1523</v>
      </c>
      <c r="H89" s="453"/>
      <c r="I89" s="453">
        <v>1523</v>
      </c>
      <c r="J89" s="453"/>
      <c r="K89" s="453"/>
      <c r="L89" s="453"/>
      <c r="M89" s="453"/>
      <c r="N89" s="453"/>
      <c r="O89" s="453"/>
      <c r="P89" s="519"/>
      <c r="Q89" s="454"/>
    </row>
    <row r="90" spans="1:17" ht="14.4" customHeight="1" x14ac:dyDescent="0.3">
      <c r="A90" s="448" t="s">
        <v>783</v>
      </c>
      <c r="B90" s="449" t="s">
        <v>700</v>
      </c>
      <c r="C90" s="449" t="s">
        <v>697</v>
      </c>
      <c r="D90" s="449" t="s">
        <v>723</v>
      </c>
      <c r="E90" s="449" t="s">
        <v>724</v>
      </c>
      <c r="F90" s="453">
        <v>6</v>
      </c>
      <c r="G90" s="453">
        <v>102</v>
      </c>
      <c r="H90" s="453">
        <v>0.5</v>
      </c>
      <c r="I90" s="453">
        <v>17</v>
      </c>
      <c r="J90" s="453">
        <v>12</v>
      </c>
      <c r="K90" s="453">
        <v>204</v>
      </c>
      <c r="L90" s="453">
        <v>1</v>
      </c>
      <c r="M90" s="453">
        <v>17</v>
      </c>
      <c r="N90" s="453">
        <v>13</v>
      </c>
      <c r="O90" s="453">
        <v>221</v>
      </c>
      <c r="P90" s="519">
        <v>1.0833333333333333</v>
      </c>
      <c r="Q90" s="454">
        <v>17</v>
      </c>
    </row>
    <row r="91" spans="1:17" ht="14.4" customHeight="1" x14ac:dyDescent="0.3">
      <c r="A91" s="448" t="s">
        <v>783</v>
      </c>
      <c r="B91" s="449" t="s">
        <v>700</v>
      </c>
      <c r="C91" s="449" t="s">
        <v>697</v>
      </c>
      <c r="D91" s="449" t="s">
        <v>725</v>
      </c>
      <c r="E91" s="449" t="s">
        <v>712</v>
      </c>
      <c r="F91" s="453">
        <v>5</v>
      </c>
      <c r="G91" s="453">
        <v>3540</v>
      </c>
      <c r="H91" s="453">
        <v>0.2</v>
      </c>
      <c r="I91" s="453">
        <v>708</v>
      </c>
      <c r="J91" s="453">
        <v>25</v>
      </c>
      <c r="K91" s="453">
        <v>17700</v>
      </c>
      <c r="L91" s="453">
        <v>1</v>
      </c>
      <c r="M91" s="453">
        <v>708</v>
      </c>
      <c r="N91" s="453">
        <v>13</v>
      </c>
      <c r="O91" s="453">
        <v>9217</v>
      </c>
      <c r="P91" s="519">
        <v>0.52073446327683615</v>
      </c>
      <c r="Q91" s="454">
        <v>709</v>
      </c>
    </row>
    <row r="92" spans="1:17" ht="14.4" customHeight="1" x14ac:dyDescent="0.3">
      <c r="A92" s="448" t="s">
        <v>783</v>
      </c>
      <c r="B92" s="449" t="s">
        <v>700</v>
      </c>
      <c r="C92" s="449" t="s">
        <v>697</v>
      </c>
      <c r="D92" s="449" t="s">
        <v>726</v>
      </c>
      <c r="E92" s="449" t="s">
        <v>714</v>
      </c>
      <c r="F92" s="453">
        <v>15</v>
      </c>
      <c r="G92" s="453">
        <v>21570</v>
      </c>
      <c r="H92" s="453">
        <v>0.4408698851326493</v>
      </c>
      <c r="I92" s="453">
        <v>1438</v>
      </c>
      <c r="J92" s="453">
        <v>34</v>
      </c>
      <c r="K92" s="453">
        <v>48926</v>
      </c>
      <c r="L92" s="453">
        <v>1</v>
      </c>
      <c r="M92" s="453">
        <v>1439</v>
      </c>
      <c r="N92" s="453">
        <v>18</v>
      </c>
      <c r="O92" s="453">
        <v>25938</v>
      </c>
      <c r="P92" s="519">
        <v>0.53014756979928868</v>
      </c>
      <c r="Q92" s="454">
        <v>1441</v>
      </c>
    </row>
    <row r="93" spans="1:17" ht="14.4" customHeight="1" x14ac:dyDescent="0.3">
      <c r="A93" s="448" t="s">
        <v>783</v>
      </c>
      <c r="B93" s="449" t="s">
        <v>700</v>
      </c>
      <c r="C93" s="449" t="s">
        <v>697</v>
      </c>
      <c r="D93" s="449" t="s">
        <v>727</v>
      </c>
      <c r="E93" s="449" t="s">
        <v>728</v>
      </c>
      <c r="F93" s="453">
        <v>14</v>
      </c>
      <c r="G93" s="453">
        <v>34118</v>
      </c>
      <c r="H93" s="453">
        <v>0.46647525293956793</v>
      </c>
      <c r="I93" s="453">
        <v>2437</v>
      </c>
      <c r="J93" s="453">
        <v>30</v>
      </c>
      <c r="K93" s="453">
        <v>73140</v>
      </c>
      <c r="L93" s="453">
        <v>1</v>
      </c>
      <c r="M93" s="453">
        <v>2438</v>
      </c>
      <c r="N93" s="453">
        <v>11</v>
      </c>
      <c r="O93" s="453">
        <v>26862</v>
      </c>
      <c r="P93" s="519">
        <v>0.36726825266611979</v>
      </c>
      <c r="Q93" s="454">
        <v>2442</v>
      </c>
    </row>
    <row r="94" spans="1:17" ht="14.4" customHeight="1" x14ac:dyDescent="0.3">
      <c r="A94" s="448" t="s">
        <v>783</v>
      </c>
      <c r="B94" s="449" t="s">
        <v>700</v>
      </c>
      <c r="C94" s="449" t="s">
        <v>697</v>
      </c>
      <c r="D94" s="449" t="s">
        <v>729</v>
      </c>
      <c r="E94" s="449" t="s">
        <v>730</v>
      </c>
      <c r="F94" s="453">
        <v>11</v>
      </c>
      <c r="G94" s="453">
        <v>759</v>
      </c>
      <c r="H94" s="453">
        <v>0.42307692307692307</v>
      </c>
      <c r="I94" s="453">
        <v>69</v>
      </c>
      <c r="J94" s="453">
        <v>26</v>
      </c>
      <c r="K94" s="453">
        <v>1794</v>
      </c>
      <c r="L94" s="453">
        <v>1</v>
      </c>
      <c r="M94" s="453">
        <v>69</v>
      </c>
      <c r="N94" s="453">
        <v>25</v>
      </c>
      <c r="O94" s="453">
        <v>1725</v>
      </c>
      <c r="P94" s="519">
        <v>0.96153846153846156</v>
      </c>
      <c r="Q94" s="454">
        <v>69</v>
      </c>
    </row>
    <row r="95" spans="1:17" ht="14.4" customHeight="1" x14ac:dyDescent="0.3">
      <c r="A95" s="448" t="s">
        <v>783</v>
      </c>
      <c r="B95" s="449" t="s">
        <v>700</v>
      </c>
      <c r="C95" s="449" t="s">
        <v>697</v>
      </c>
      <c r="D95" s="449" t="s">
        <v>731</v>
      </c>
      <c r="E95" s="449" t="s">
        <v>732</v>
      </c>
      <c r="F95" s="453">
        <v>1</v>
      </c>
      <c r="G95" s="453">
        <v>407</v>
      </c>
      <c r="H95" s="453"/>
      <c r="I95" s="453">
        <v>407</v>
      </c>
      <c r="J95" s="453"/>
      <c r="K95" s="453"/>
      <c r="L95" s="453"/>
      <c r="M95" s="453"/>
      <c r="N95" s="453"/>
      <c r="O95" s="453"/>
      <c r="P95" s="519"/>
      <c r="Q95" s="454"/>
    </row>
    <row r="96" spans="1:17" ht="14.4" customHeight="1" x14ac:dyDescent="0.3">
      <c r="A96" s="448" t="s">
        <v>783</v>
      </c>
      <c r="B96" s="449" t="s">
        <v>700</v>
      </c>
      <c r="C96" s="449" t="s">
        <v>697</v>
      </c>
      <c r="D96" s="449" t="s">
        <v>733</v>
      </c>
      <c r="E96" s="449" t="s">
        <v>734</v>
      </c>
      <c r="F96" s="453">
        <v>3</v>
      </c>
      <c r="G96" s="453">
        <v>4992</v>
      </c>
      <c r="H96" s="453">
        <v>0.59963963963963962</v>
      </c>
      <c r="I96" s="453">
        <v>1664</v>
      </c>
      <c r="J96" s="453">
        <v>5</v>
      </c>
      <c r="K96" s="453">
        <v>8325</v>
      </c>
      <c r="L96" s="453">
        <v>1</v>
      </c>
      <c r="M96" s="453">
        <v>1665</v>
      </c>
      <c r="N96" s="453">
        <v>3</v>
      </c>
      <c r="O96" s="453">
        <v>5001</v>
      </c>
      <c r="P96" s="519">
        <v>0.60072072072072069</v>
      </c>
      <c r="Q96" s="454">
        <v>1667</v>
      </c>
    </row>
    <row r="97" spans="1:17" ht="14.4" customHeight="1" x14ac:dyDescent="0.3">
      <c r="A97" s="448" t="s">
        <v>783</v>
      </c>
      <c r="B97" s="449" t="s">
        <v>700</v>
      </c>
      <c r="C97" s="449" t="s">
        <v>697</v>
      </c>
      <c r="D97" s="449" t="s">
        <v>735</v>
      </c>
      <c r="E97" s="449" t="s">
        <v>736</v>
      </c>
      <c r="F97" s="453">
        <v>65</v>
      </c>
      <c r="G97" s="453">
        <v>36400</v>
      </c>
      <c r="H97" s="453">
        <v>0.46099290780141844</v>
      </c>
      <c r="I97" s="453">
        <v>560</v>
      </c>
      <c r="J97" s="453">
        <v>141</v>
      </c>
      <c r="K97" s="453">
        <v>78960</v>
      </c>
      <c r="L97" s="453">
        <v>1</v>
      </c>
      <c r="M97" s="453">
        <v>560</v>
      </c>
      <c r="N97" s="453">
        <v>58</v>
      </c>
      <c r="O97" s="453">
        <v>32538</v>
      </c>
      <c r="P97" s="519">
        <v>0.41208206686930093</v>
      </c>
      <c r="Q97" s="454">
        <v>561</v>
      </c>
    </row>
    <row r="98" spans="1:17" ht="14.4" customHeight="1" x14ac:dyDescent="0.3">
      <c r="A98" s="448" t="s">
        <v>783</v>
      </c>
      <c r="B98" s="449" t="s">
        <v>700</v>
      </c>
      <c r="C98" s="449" t="s">
        <v>697</v>
      </c>
      <c r="D98" s="449" t="s">
        <v>743</v>
      </c>
      <c r="E98" s="449" t="s">
        <v>744</v>
      </c>
      <c r="F98" s="453">
        <v>35</v>
      </c>
      <c r="G98" s="453">
        <v>15015</v>
      </c>
      <c r="H98" s="453">
        <v>0.67307692307692313</v>
      </c>
      <c r="I98" s="453">
        <v>429</v>
      </c>
      <c r="J98" s="453">
        <v>52</v>
      </c>
      <c r="K98" s="453">
        <v>22308</v>
      </c>
      <c r="L98" s="453">
        <v>1</v>
      </c>
      <c r="M98" s="453">
        <v>429</v>
      </c>
      <c r="N98" s="453">
        <v>71</v>
      </c>
      <c r="O98" s="453">
        <v>30459</v>
      </c>
      <c r="P98" s="519">
        <v>1.3653846153846154</v>
      </c>
      <c r="Q98" s="454">
        <v>429</v>
      </c>
    </row>
    <row r="99" spans="1:17" ht="14.4" customHeight="1" x14ac:dyDescent="0.3">
      <c r="A99" s="448" t="s">
        <v>783</v>
      </c>
      <c r="B99" s="449" t="s">
        <v>700</v>
      </c>
      <c r="C99" s="449" t="s">
        <v>697</v>
      </c>
      <c r="D99" s="449" t="s">
        <v>748</v>
      </c>
      <c r="E99" s="449" t="s">
        <v>749</v>
      </c>
      <c r="F99" s="453">
        <v>15</v>
      </c>
      <c r="G99" s="453">
        <v>24735</v>
      </c>
      <c r="H99" s="453">
        <v>0.41666666666666669</v>
      </c>
      <c r="I99" s="453">
        <v>1649</v>
      </c>
      <c r="J99" s="453">
        <v>36</v>
      </c>
      <c r="K99" s="453">
        <v>59364</v>
      </c>
      <c r="L99" s="453">
        <v>1</v>
      </c>
      <c r="M99" s="453">
        <v>1649</v>
      </c>
      <c r="N99" s="453"/>
      <c r="O99" s="453"/>
      <c r="P99" s="519"/>
      <c r="Q99" s="454"/>
    </row>
    <row r="100" spans="1:17" ht="14.4" customHeight="1" x14ac:dyDescent="0.3">
      <c r="A100" s="448" t="s">
        <v>783</v>
      </c>
      <c r="B100" s="449" t="s">
        <v>700</v>
      </c>
      <c r="C100" s="449" t="s">
        <v>697</v>
      </c>
      <c r="D100" s="449" t="s">
        <v>751</v>
      </c>
      <c r="E100" s="449" t="s">
        <v>752</v>
      </c>
      <c r="F100" s="453"/>
      <c r="G100" s="453"/>
      <c r="H100" s="453"/>
      <c r="I100" s="453"/>
      <c r="J100" s="453">
        <v>1</v>
      </c>
      <c r="K100" s="453">
        <v>2203</v>
      </c>
      <c r="L100" s="453">
        <v>1</v>
      </c>
      <c r="M100" s="453">
        <v>2203</v>
      </c>
      <c r="N100" s="453">
        <v>36</v>
      </c>
      <c r="O100" s="453">
        <v>79380</v>
      </c>
      <c r="P100" s="519">
        <v>36.032682705401726</v>
      </c>
      <c r="Q100" s="454">
        <v>2205</v>
      </c>
    </row>
    <row r="101" spans="1:17" ht="14.4" customHeight="1" x14ac:dyDescent="0.3">
      <c r="A101" s="448" t="s">
        <v>784</v>
      </c>
      <c r="B101" s="449" t="s">
        <v>700</v>
      </c>
      <c r="C101" s="449" t="s">
        <v>697</v>
      </c>
      <c r="D101" s="449" t="s">
        <v>743</v>
      </c>
      <c r="E101" s="449" t="s">
        <v>744</v>
      </c>
      <c r="F101" s="453"/>
      <c r="G101" s="453"/>
      <c r="H101" s="453"/>
      <c r="I101" s="453"/>
      <c r="J101" s="453"/>
      <c r="K101" s="453"/>
      <c r="L101" s="453"/>
      <c r="M101" s="453"/>
      <c r="N101" s="453">
        <v>2</v>
      </c>
      <c r="O101" s="453">
        <v>858</v>
      </c>
      <c r="P101" s="519"/>
      <c r="Q101" s="454">
        <v>429</v>
      </c>
    </row>
    <row r="102" spans="1:17" ht="14.4" customHeight="1" x14ac:dyDescent="0.3">
      <c r="A102" s="448" t="s">
        <v>784</v>
      </c>
      <c r="B102" s="449" t="s">
        <v>700</v>
      </c>
      <c r="C102" s="449" t="s">
        <v>697</v>
      </c>
      <c r="D102" s="449" t="s">
        <v>751</v>
      </c>
      <c r="E102" s="449" t="s">
        <v>752</v>
      </c>
      <c r="F102" s="453"/>
      <c r="G102" s="453"/>
      <c r="H102" s="453"/>
      <c r="I102" s="453"/>
      <c r="J102" s="453"/>
      <c r="K102" s="453"/>
      <c r="L102" s="453"/>
      <c r="M102" s="453"/>
      <c r="N102" s="453">
        <v>1</v>
      </c>
      <c r="O102" s="453">
        <v>2205</v>
      </c>
      <c r="P102" s="519"/>
      <c r="Q102" s="454">
        <v>2205</v>
      </c>
    </row>
    <row r="103" spans="1:17" ht="14.4" customHeight="1" x14ac:dyDescent="0.3">
      <c r="A103" s="448" t="s">
        <v>785</v>
      </c>
      <c r="B103" s="449" t="s">
        <v>700</v>
      </c>
      <c r="C103" s="449" t="s">
        <v>697</v>
      </c>
      <c r="D103" s="449" t="s">
        <v>713</v>
      </c>
      <c r="E103" s="449" t="s">
        <v>714</v>
      </c>
      <c r="F103" s="453"/>
      <c r="G103" s="453"/>
      <c r="H103" s="453"/>
      <c r="I103" s="453"/>
      <c r="J103" s="453"/>
      <c r="K103" s="453"/>
      <c r="L103" s="453"/>
      <c r="M103" s="453"/>
      <c r="N103" s="453">
        <v>6</v>
      </c>
      <c r="O103" s="453">
        <v>5124</v>
      </c>
      <c r="P103" s="519"/>
      <c r="Q103" s="454">
        <v>854</v>
      </c>
    </row>
    <row r="104" spans="1:17" ht="14.4" customHeight="1" x14ac:dyDescent="0.3">
      <c r="A104" s="448" t="s">
        <v>785</v>
      </c>
      <c r="B104" s="449" t="s">
        <v>700</v>
      </c>
      <c r="C104" s="449" t="s">
        <v>697</v>
      </c>
      <c r="D104" s="449" t="s">
        <v>723</v>
      </c>
      <c r="E104" s="449" t="s">
        <v>724</v>
      </c>
      <c r="F104" s="453"/>
      <c r="G104" s="453"/>
      <c r="H104" s="453"/>
      <c r="I104" s="453"/>
      <c r="J104" s="453"/>
      <c r="K104" s="453"/>
      <c r="L104" s="453"/>
      <c r="M104" s="453"/>
      <c r="N104" s="453">
        <v>1</v>
      </c>
      <c r="O104" s="453">
        <v>17</v>
      </c>
      <c r="P104" s="519"/>
      <c r="Q104" s="454">
        <v>17</v>
      </c>
    </row>
    <row r="105" spans="1:17" ht="14.4" customHeight="1" x14ac:dyDescent="0.3">
      <c r="A105" s="448" t="s">
        <v>785</v>
      </c>
      <c r="B105" s="449" t="s">
        <v>700</v>
      </c>
      <c r="C105" s="449" t="s">
        <v>697</v>
      </c>
      <c r="D105" s="449" t="s">
        <v>725</v>
      </c>
      <c r="E105" s="449" t="s">
        <v>712</v>
      </c>
      <c r="F105" s="453"/>
      <c r="G105" s="453"/>
      <c r="H105" s="453"/>
      <c r="I105" s="453"/>
      <c r="J105" s="453"/>
      <c r="K105" s="453"/>
      <c r="L105" s="453"/>
      <c r="M105" s="453"/>
      <c r="N105" s="453">
        <v>2</v>
      </c>
      <c r="O105" s="453">
        <v>1418</v>
      </c>
      <c r="P105" s="519"/>
      <c r="Q105" s="454">
        <v>709</v>
      </c>
    </row>
    <row r="106" spans="1:17" ht="14.4" customHeight="1" x14ac:dyDescent="0.3">
      <c r="A106" s="448" t="s">
        <v>785</v>
      </c>
      <c r="B106" s="449" t="s">
        <v>700</v>
      </c>
      <c r="C106" s="449" t="s">
        <v>697</v>
      </c>
      <c r="D106" s="449" t="s">
        <v>726</v>
      </c>
      <c r="E106" s="449" t="s">
        <v>714</v>
      </c>
      <c r="F106" s="453"/>
      <c r="G106" s="453"/>
      <c r="H106" s="453"/>
      <c r="I106" s="453"/>
      <c r="J106" s="453"/>
      <c r="K106" s="453"/>
      <c r="L106" s="453"/>
      <c r="M106" s="453"/>
      <c r="N106" s="453">
        <v>1</v>
      </c>
      <c r="O106" s="453">
        <v>1441</v>
      </c>
      <c r="P106" s="519"/>
      <c r="Q106" s="454">
        <v>1441</v>
      </c>
    </row>
    <row r="107" spans="1:17" ht="14.4" customHeight="1" x14ac:dyDescent="0.3">
      <c r="A107" s="448" t="s">
        <v>785</v>
      </c>
      <c r="B107" s="449" t="s">
        <v>700</v>
      </c>
      <c r="C107" s="449" t="s">
        <v>697</v>
      </c>
      <c r="D107" s="449" t="s">
        <v>727</v>
      </c>
      <c r="E107" s="449" t="s">
        <v>728</v>
      </c>
      <c r="F107" s="453"/>
      <c r="G107" s="453"/>
      <c r="H107" s="453"/>
      <c r="I107" s="453"/>
      <c r="J107" s="453"/>
      <c r="K107" s="453"/>
      <c r="L107" s="453"/>
      <c r="M107" s="453"/>
      <c r="N107" s="453">
        <v>1</v>
      </c>
      <c r="O107" s="453">
        <v>2442</v>
      </c>
      <c r="P107" s="519"/>
      <c r="Q107" s="454">
        <v>2442</v>
      </c>
    </row>
    <row r="108" spans="1:17" ht="14.4" customHeight="1" x14ac:dyDescent="0.3">
      <c r="A108" s="448" t="s">
        <v>785</v>
      </c>
      <c r="B108" s="449" t="s">
        <v>700</v>
      </c>
      <c r="C108" s="449" t="s">
        <v>697</v>
      </c>
      <c r="D108" s="449" t="s">
        <v>729</v>
      </c>
      <c r="E108" s="449" t="s">
        <v>730</v>
      </c>
      <c r="F108" s="453"/>
      <c r="G108" s="453"/>
      <c r="H108" s="453"/>
      <c r="I108" s="453"/>
      <c r="J108" s="453"/>
      <c r="K108" s="453"/>
      <c r="L108" s="453"/>
      <c r="M108" s="453"/>
      <c r="N108" s="453">
        <v>2</v>
      </c>
      <c r="O108" s="453">
        <v>138</v>
      </c>
      <c r="P108" s="519"/>
      <c r="Q108" s="454">
        <v>69</v>
      </c>
    </row>
    <row r="109" spans="1:17" ht="14.4" customHeight="1" x14ac:dyDescent="0.3">
      <c r="A109" s="448" t="s">
        <v>785</v>
      </c>
      <c r="B109" s="449" t="s">
        <v>700</v>
      </c>
      <c r="C109" s="449" t="s">
        <v>697</v>
      </c>
      <c r="D109" s="449" t="s">
        <v>733</v>
      </c>
      <c r="E109" s="449" t="s">
        <v>734</v>
      </c>
      <c r="F109" s="453"/>
      <c r="G109" s="453"/>
      <c r="H109" s="453"/>
      <c r="I109" s="453"/>
      <c r="J109" s="453"/>
      <c r="K109" s="453"/>
      <c r="L109" s="453"/>
      <c r="M109" s="453"/>
      <c r="N109" s="453">
        <v>1</v>
      </c>
      <c r="O109" s="453">
        <v>1667</v>
      </c>
      <c r="P109" s="519"/>
      <c r="Q109" s="454">
        <v>1667</v>
      </c>
    </row>
    <row r="110" spans="1:17" ht="14.4" customHeight="1" x14ac:dyDescent="0.3">
      <c r="A110" s="448" t="s">
        <v>785</v>
      </c>
      <c r="B110" s="449" t="s">
        <v>700</v>
      </c>
      <c r="C110" s="449" t="s">
        <v>697</v>
      </c>
      <c r="D110" s="449" t="s">
        <v>735</v>
      </c>
      <c r="E110" s="449" t="s">
        <v>736</v>
      </c>
      <c r="F110" s="453"/>
      <c r="G110" s="453"/>
      <c r="H110" s="453"/>
      <c r="I110" s="453"/>
      <c r="J110" s="453"/>
      <c r="K110" s="453"/>
      <c r="L110" s="453"/>
      <c r="M110" s="453"/>
      <c r="N110" s="453">
        <v>6</v>
      </c>
      <c r="O110" s="453">
        <v>3366</v>
      </c>
      <c r="P110" s="519"/>
      <c r="Q110" s="454">
        <v>561</v>
      </c>
    </row>
    <row r="111" spans="1:17" ht="14.4" customHeight="1" x14ac:dyDescent="0.3">
      <c r="A111" s="448" t="s">
        <v>785</v>
      </c>
      <c r="B111" s="449" t="s">
        <v>700</v>
      </c>
      <c r="C111" s="449" t="s">
        <v>697</v>
      </c>
      <c r="D111" s="449" t="s">
        <v>743</v>
      </c>
      <c r="E111" s="449" t="s">
        <v>744</v>
      </c>
      <c r="F111" s="453"/>
      <c r="G111" s="453"/>
      <c r="H111" s="453"/>
      <c r="I111" s="453"/>
      <c r="J111" s="453"/>
      <c r="K111" s="453"/>
      <c r="L111" s="453"/>
      <c r="M111" s="453"/>
      <c r="N111" s="453">
        <v>6</v>
      </c>
      <c r="O111" s="453">
        <v>2574</v>
      </c>
      <c r="P111" s="519"/>
      <c r="Q111" s="454">
        <v>429</v>
      </c>
    </row>
    <row r="112" spans="1:17" ht="14.4" customHeight="1" x14ac:dyDescent="0.3">
      <c r="A112" s="448" t="s">
        <v>785</v>
      </c>
      <c r="B112" s="449" t="s">
        <v>700</v>
      </c>
      <c r="C112" s="449" t="s">
        <v>697</v>
      </c>
      <c r="D112" s="449" t="s">
        <v>751</v>
      </c>
      <c r="E112" s="449" t="s">
        <v>752</v>
      </c>
      <c r="F112" s="453"/>
      <c r="G112" s="453"/>
      <c r="H112" s="453"/>
      <c r="I112" s="453"/>
      <c r="J112" s="453"/>
      <c r="K112" s="453"/>
      <c r="L112" s="453"/>
      <c r="M112" s="453"/>
      <c r="N112" s="453">
        <v>4</v>
      </c>
      <c r="O112" s="453">
        <v>8820</v>
      </c>
      <c r="P112" s="519"/>
      <c r="Q112" s="454">
        <v>2205</v>
      </c>
    </row>
    <row r="113" spans="1:17" ht="14.4" customHeight="1" x14ac:dyDescent="0.3">
      <c r="A113" s="448" t="s">
        <v>786</v>
      </c>
      <c r="B113" s="449" t="s">
        <v>700</v>
      </c>
      <c r="C113" s="449" t="s">
        <v>697</v>
      </c>
      <c r="D113" s="449" t="s">
        <v>705</v>
      </c>
      <c r="E113" s="449" t="s">
        <v>706</v>
      </c>
      <c r="F113" s="453">
        <v>2</v>
      </c>
      <c r="G113" s="453">
        <v>4676</v>
      </c>
      <c r="H113" s="453"/>
      <c r="I113" s="453">
        <v>2338</v>
      </c>
      <c r="J113" s="453"/>
      <c r="K113" s="453"/>
      <c r="L113" s="453"/>
      <c r="M113" s="453"/>
      <c r="N113" s="453"/>
      <c r="O113" s="453"/>
      <c r="P113" s="519"/>
      <c r="Q113" s="454"/>
    </row>
    <row r="114" spans="1:17" ht="14.4" customHeight="1" x14ac:dyDescent="0.3">
      <c r="A114" s="448" t="s">
        <v>786</v>
      </c>
      <c r="B114" s="449" t="s">
        <v>700</v>
      </c>
      <c r="C114" s="449" t="s">
        <v>697</v>
      </c>
      <c r="D114" s="449" t="s">
        <v>707</v>
      </c>
      <c r="E114" s="449" t="s">
        <v>708</v>
      </c>
      <c r="F114" s="453"/>
      <c r="G114" s="453"/>
      <c r="H114" s="453"/>
      <c r="I114" s="453"/>
      <c r="J114" s="453">
        <v>2</v>
      </c>
      <c r="K114" s="453">
        <v>2154</v>
      </c>
      <c r="L114" s="453">
        <v>1</v>
      </c>
      <c r="M114" s="453">
        <v>1077</v>
      </c>
      <c r="N114" s="453"/>
      <c r="O114" s="453"/>
      <c r="P114" s="519"/>
      <c r="Q114" s="454"/>
    </row>
    <row r="115" spans="1:17" ht="14.4" customHeight="1" x14ac:dyDescent="0.3">
      <c r="A115" s="448" t="s">
        <v>786</v>
      </c>
      <c r="B115" s="449" t="s">
        <v>700</v>
      </c>
      <c r="C115" s="449" t="s">
        <v>697</v>
      </c>
      <c r="D115" s="449" t="s">
        <v>709</v>
      </c>
      <c r="E115" s="449" t="s">
        <v>710</v>
      </c>
      <c r="F115" s="453">
        <v>2</v>
      </c>
      <c r="G115" s="453">
        <v>7646</v>
      </c>
      <c r="H115" s="453">
        <v>0.39979084967320261</v>
      </c>
      <c r="I115" s="453">
        <v>3823</v>
      </c>
      <c r="J115" s="453">
        <v>5</v>
      </c>
      <c r="K115" s="453">
        <v>19125</v>
      </c>
      <c r="L115" s="453">
        <v>1</v>
      </c>
      <c r="M115" s="453">
        <v>3825</v>
      </c>
      <c r="N115" s="453">
        <v>2</v>
      </c>
      <c r="O115" s="453">
        <v>7656</v>
      </c>
      <c r="P115" s="519">
        <v>0.40031372549019606</v>
      </c>
      <c r="Q115" s="454">
        <v>3828</v>
      </c>
    </row>
    <row r="116" spans="1:17" ht="14.4" customHeight="1" x14ac:dyDescent="0.3">
      <c r="A116" s="448" t="s">
        <v>786</v>
      </c>
      <c r="B116" s="449" t="s">
        <v>700</v>
      </c>
      <c r="C116" s="449" t="s">
        <v>697</v>
      </c>
      <c r="D116" s="449" t="s">
        <v>723</v>
      </c>
      <c r="E116" s="449" t="s">
        <v>724</v>
      </c>
      <c r="F116" s="453">
        <v>1</v>
      </c>
      <c r="G116" s="453">
        <v>17</v>
      </c>
      <c r="H116" s="453">
        <v>0.16666666666666666</v>
      </c>
      <c r="I116" s="453">
        <v>17</v>
      </c>
      <c r="J116" s="453">
        <v>6</v>
      </c>
      <c r="K116" s="453">
        <v>102</v>
      </c>
      <c r="L116" s="453">
        <v>1</v>
      </c>
      <c r="M116" s="453">
        <v>17</v>
      </c>
      <c r="N116" s="453"/>
      <c r="O116" s="453"/>
      <c r="P116" s="519"/>
      <c r="Q116" s="454"/>
    </row>
    <row r="117" spans="1:17" ht="14.4" customHeight="1" x14ac:dyDescent="0.3">
      <c r="A117" s="448" t="s">
        <v>786</v>
      </c>
      <c r="B117" s="449" t="s">
        <v>700</v>
      </c>
      <c r="C117" s="449" t="s">
        <v>697</v>
      </c>
      <c r="D117" s="449" t="s">
        <v>725</v>
      </c>
      <c r="E117" s="449" t="s">
        <v>712</v>
      </c>
      <c r="F117" s="453">
        <v>2</v>
      </c>
      <c r="G117" s="453">
        <v>1416</v>
      </c>
      <c r="H117" s="453">
        <v>0.18181818181818182</v>
      </c>
      <c r="I117" s="453">
        <v>708</v>
      </c>
      <c r="J117" s="453">
        <v>11</v>
      </c>
      <c r="K117" s="453">
        <v>7788</v>
      </c>
      <c r="L117" s="453">
        <v>1</v>
      </c>
      <c r="M117" s="453">
        <v>708</v>
      </c>
      <c r="N117" s="453"/>
      <c r="O117" s="453"/>
      <c r="P117" s="519"/>
      <c r="Q117" s="454"/>
    </row>
    <row r="118" spans="1:17" ht="14.4" customHeight="1" x14ac:dyDescent="0.3">
      <c r="A118" s="448" t="s">
        <v>786</v>
      </c>
      <c r="B118" s="449" t="s">
        <v>700</v>
      </c>
      <c r="C118" s="449" t="s">
        <v>697</v>
      </c>
      <c r="D118" s="449" t="s">
        <v>726</v>
      </c>
      <c r="E118" s="449" t="s">
        <v>714</v>
      </c>
      <c r="F118" s="453">
        <v>5</v>
      </c>
      <c r="G118" s="453">
        <v>7190</v>
      </c>
      <c r="H118" s="453">
        <v>1.2491313412091731</v>
      </c>
      <c r="I118" s="453">
        <v>1438</v>
      </c>
      <c r="J118" s="453">
        <v>4</v>
      </c>
      <c r="K118" s="453">
        <v>5756</v>
      </c>
      <c r="L118" s="453">
        <v>1</v>
      </c>
      <c r="M118" s="453">
        <v>1439</v>
      </c>
      <c r="N118" s="453">
        <v>3</v>
      </c>
      <c r="O118" s="453">
        <v>4323</v>
      </c>
      <c r="P118" s="519">
        <v>0.75104239054899236</v>
      </c>
      <c r="Q118" s="454">
        <v>1441</v>
      </c>
    </row>
    <row r="119" spans="1:17" ht="14.4" customHeight="1" x14ac:dyDescent="0.3">
      <c r="A119" s="448" t="s">
        <v>786</v>
      </c>
      <c r="B119" s="449" t="s">
        <v>700</v>
      </c>
      <c r="C119" s="449" t="s">
        <v>697</v>
      </c>
      <c r="D119" s="449" t="s">
        <v>727</v>
      </c>
      <c r="E119" s="449" t="s">
        <v>728</v>
      </c>
      <c r="F119" s="453">
        <v>1</v>
      </c>
      <c r="G119" s="453">
        <v>2437</v>
      </c>
      <c r="H119" s="453">
        <v>0.14279854681823509</v>
      </c>
      <c r="I119" s="453">
        <v>2437</v>
      </c>
      <c r="J119" s="453">
        <v>7</v>
      </c>
      <c r="K119" s="453">
        <v>17066</v>
      </c>
      <c r="L119" s="453">
        <v>1</v>
      </c>
      <c r="M119" s="453">
        <v>2438</v>
      </c>
      <c r="N119" s="453">
        <v>3</v>
      </c>
      <c r="O119" s="453">
        <v>7326</v>
      </c>
      <c r="P119" s="519">
        <v>0.42927458103832183</v>
      </c>
      <c r="Q119" s="454">
        <v>2442</v>
      </c>
    </row>
    <row r="120" spans="1:17" ht="14.4" customHeight="1" x14ac:dyDescent="0.3">
      <c r="A120" s="448" t="s">
        <v>786</v>
      </c>
      <c r="B120" s="449" t="s">
        <v>700</v>
      </c>
      <c r="C120" s="449" t="s">
        <v>697</v>
      </c>
      <c r="D120" s="449" t="s">
        <v>729</v>
      </c>
      <c r="E120" s="449" t="s">
        <v>730</v>
      </c>
      <c r="F120" s="453">
        <v>2</v>
      </c>
      <c r="G120" s="453">
        <v>138</v>
      </c>
      <c r="H120" s="453">
        <v>0.18181818181818182</v>
      </c>
      <c r="I120" s="453">
        <v>69</v>
      </c>
      <c r="J120" s="453">
        <v>11</v>
      </c>
      <c r="K120" s="453">
        <v>759</v>
      </c>
      <c r="L120" s="453">
        <v>1</v>
      </c>
      <c r="M120" s="453">
        <v>69</v>
      </c>
      <c r="N120" s="453"/>
      <c r="O120" s="453"/>
      <c r="P120" s="519"/>
      <c r="Q120" s="454"/>
    </row>
    <row r="121" spans="1:17" ht="14.4" customHeight="1" x14ac:dyDescent="0.3">
      <c r="A121" s="448" t="s">
        <v>786</v>
      </c>
      <c r="B121" s="449" t="s">
        <v>700</v>
      </c>
      <c r="C121" s="449" t="s">
        <v>697</v>
      </c>
      <c r="D121" s="449" t="s">
        <v>735</v>
      </c>
      <c r="E121" s="449" t="s">
        <v>736</v>
      </c>
      <c r="F121" s="453">
        <v>3</v>
      </c>
      <c r="G121" s="453">
        <v>1680</v>
      </c>
      <c r="H121" s="453">
        <v>9.6774193548387094E-2</v>
      </c>
      <c r="I121" s="453">
        <v>560</v>
      </c>
      <c r="J121" s="453">
        <v>31</v>
      </c>
      <c r="K121" s="453">
        <v>17360</v>
      </c>
      <c r="L121" s="453">
        <v>1</v>
      </c>
      <c r="M121" s="453">
        <v>560</v>
      </c>
      <c r="N121" s="453">
        <v>20</v>
      </c>
      <c r="O121" s="453">
        <v>11220</v>
      </c>
      <c r="P121" s="519">
        <v>0.64631336405529949</v>
      </c>
      <c r="Q121" s="454">
        <v>561</v>
      </c>
    </row>
    <row r="122" spans="1:17" ht="14.4" customHeight="1" x14ac:dyDescent="0.3">
      <c r="A122" s="448" t="s">
        <v>786</v>
      </c>
      <c r="B122" s="449" t="s">
        <v>700</v>
      </c>
      <c r="C122" s="449" t="s">
        <v>697</v>
      </c>
      <c r="D122" s="449" t="s">
        <v>748</v>
      </c>
      <c r="E122" s="449" t="s">
        <v>749</v>
      </c>
      <c r="F122" s="453">
        <v>1</v>
      </c>
      <c r="G122" s="453">
        <v>1649</v>
      </c>
      <c r="H122" s="453">
        <v>0.25</v>
      </c>
      <c r="I122" s="453">
        <v>1649</v>
      </c>
      <c r="J122" s="453">
        <v>4</v>
      </c>
      <c r="K122" s="453">
        <v>6596</v>
      </c>
      <c r="L122" s="453">
        <v>1</v>
      </c>
      <c r="M122" s="453">
        <v>1649</v>
      </c>
      <c r="N122" s="453"/>
      <c r="O122" s="453"/>
      <c r="P122" s="519"/>
      <c r="Q122" s="454"/>
    </row>
    <row r="123" spans="1:17" ht="14.4" customHeight="1" x14ac:dyDescent="0.3">
      <c r="A123" s="448" t="s">
        <v>786</v>
      </c>
      <c r="B123" s="449" t="s">
        <v>700</v>
      </c>
      <c r="C123" s="449" t="s">
        <v>697</v>
      </c>
      <c r="D123" s="449" t="s">
        <v>751</v>
      </c>
      <c r="E123" s="449" t="s">
        <v>752</v>
      </c>
      <c r="F123" s="453"/>
      <c r="G123" s="453"/>
      <c r="H123" s="453"/>
      <c r="I123" s="453"/>
      <c r="J123" s="453"/>
      <c r="K123" s="453"/>
      <c r="L123" s="453"/>
      <c r="M123" s="453"/>
      <c r="N123" s="453">
        <v>7</v>
      </c>
      <c r="O123" s="453">
        <v>15435</v>
      </c>
      <c r="P123" s="519"/>
      <c r="Q123" s="454">
        <v>2205</v>
      </c>
    </row>
    <row r="124" spans="1:17" ht="14.4" customHeight="1" x14ac:dyDescent="0.3">
      <c r="A124" s="448" t="s">
        <v>787</v>
      </c>
      <c r="B124" s="449" t="s">
        <v>696</v>
      </c>
      <c r="C124" s="449" t="s">
        <v>697</v>
      </c>
      <c r="D124" s="449" t="s">
        <v>698</v>
      </c>
      <c r="E124" s="449" t="s">
        <v>699</v>
      </c>
      <c r="F124" s="453"/>
      <c r="G124" s="453"/>
      <c r="H124" s="453"/>
      <c r="I124" s="453"/>
      <c r="J124" s="453"/>
      <c r="K124" s="453"/>
      <c r="L124" s="453"/>
      <c r="M124" s="453"/>
      <c r="N124" s="453">
        <v>1</v>
      </c>
      <c r="O124" s="453">
        <v>11433</v>
      </c>
      <c r="P124" s="519"/>
      <c r="Q124" s="454">
        <v>11433</v>
      </c>
    </row>
    <row r="125" spans="1:17" ht="14.4" customHeight="1" x14ac:dyDescent="0.3">
      <c r="A125" s="448" t="s">
        <v>787</v>
      </c>
      <c r="B125" s="449" t="s">
        <v>700</v>
      </c>
      <c r="C125" s="449" t="s">
        <v>697</v>
      </c>
      <c r="D125" s="449" t="s">
        <v>701</v>
      </c>
      <c r="E125" s="449" t="s">
        <v>702</v>
      </c>
      <c r="F125" s="453">
        <v>3</v>
      </c>
      <c r="G125" s="453">
        <v>408</v>
      </c>
      <c r="H125" s="453"/>
      <c r="I125" s="453">
        <v>136</v>
      </c>
      <c r="J125" s="453"/>
      <c r="K125" s="453"/>
      <c r="L125" s="453"/>
      <c r="M125" s="453"/>
      <c r="N125" s="453">
        <v>1</v>
      </c>
      <c r="O125" s="453">
        <v>137</v>
      </c>
      <c r="P125" s="519"/>
      <c r="Q125" s="454">
        <v>137</v>
      </c>
    </row>
    <row r="126" spans="1:17" ht="14.4" customHeight="1" x14ac:dyDescent="0.3">
      <c r="A126" s="448" t="s">
        <v>787</v>
      </c>
      <c r="B126" s="449" t="s">
        <v>700</v>
      </c>
      <c r="C126" s="449" t="s">
        <v>697</v>
      </c>
      <c r="D126" s="449" t="s">
        <v>705</v>
      </c>
      <c r="E126" s="449" t="s">
        <v>706</v>
      </c>
      <c r="F126" s="453"/>
      <c r="G126" s="453"/>
      <c r="H126" s="453"/>
      <c r="I126" s="453"/>
      <c r="J126" s="453">
        <v>1</v>
      </c>
      <c r="K126" s="453">
        <v>2340</v>
      </c>
      <c r="L126" s="453">
        <v>1</v>
      </c>
      <c r="M126" s="453">
        <v>2340</v>
      </c>
      <c r="N126" s="453"/>
      <c r="O126" s="453"/>
      <c r="P126" s="519"/>
      <c r="Q126" s="454"/>
    </row>
    <row r="127" spans="1:17" ht="14.4" customHeight="1" x14ac:dyDescent="0.3">
      <c r="A127" s="448" t="s">
        <v>787</v>
      </c>
      <c r="B127" s="449" t="s">
        <v>700</v>
      </c>
      <c r="C127" s="449" t="s">
        <v>697</v>
      </c>
      <c r="D127" s="449" t="s">
        <v>707</v>
      </c>
      <c r="E127" s="449" t="s">
        <v>708</v>
      </c>
      <c r="F127" s="453">
        <v>1</v>
      </c>
      <c r="G127" s="453">
        <v>1077</v>
      </c>
      <c r="H127" s="453"/>
      <c r="I127" s="453">
        <v>1077</v>
      </c>
      <c r="J127" s="453"/>
      <c r="K127" s="453"/>
      <c r="L127" s="453"/>
      <c r="M127" s="453"/>
      <c r="N127" s="453"/>
      <c r="O127" s="453"/>
      <c r="P127" s="519"/>
      <c r="Q127" s="454"/>
    </row>
    <row r="128" spans="1:17" ht="14.4" customHeight="1" x14ac:dyDescent="0.3">
      <c r="A128" s="448" t="s">
        <v>787</v>
      </c>
      <c r="B128" s="449" t="s">
        <v>700</v>
      </c>
      <c r="C128" s="449" t="s">
        <v>697</v>
      </c>
      <c r="D128" s="449" t="s">
        <v>709</v>
      </c>
      <c r="E128" s="449" t="s">
        <v>710</v>
      </c>
      <c r="F128" s="453">
        <v>3</v>
      </c>
      <c r="G128" s="453">
        <v>11469</v>
      </c>
      <c r="H128" s="453">
        <v>1.4992156862745099</v>
      </c>
      <c r="I128" s="453">
        <v>3823</v>
      </c>
      <c r="J128" s="453">
        <v>2</v>
      </c>
      <c r="K128" s="453">
        <v>7650</v>
      </c>
      <c r="L128" s="453">
        <v>1</v>
      </c>
      <c r="M128" s="453">
        <v>3825</v>
      </c>
      <c r="N128" s="453"/>
      <c r="O128" s="453"/>
      <c r="P128" s="519"/>
      <c r="Q128" s="454"/>
    </row>
    <row r="129" spans="1:17" ht="14.4" customHeight="1" x14ac:dyDescent="0.3">
      <c r="A129" s="448" t="s">
        <v>787</v>
      </c>
      <c r="B129" s="449" t="s">
        <v>700</v>
      </c>
      <c r="C129" s="449" t="s">
        <v>697</v>
      </c>
      <c r="D129" s="449" t="s">
        <v>711</v>
      </c>
      <c r="E129" s="449" t="s">
        <v>712</v>
      </c>
      <c r="F129" s="453">
        <v>4</v>
      </c>
      <c r="G129" s="453">
        <v>1780</v>
      </c>
      <c r="H129" s="453">
        <v>2</v>
      </c>
      <c r="I129" s="453">
        <v>445</v>
      </c>
      <c r="J129" s="453">
        <v>2</v>
      </c>
      <c r="K129" s="453">
        <v>890</v>
      </c>
      <c r="L129" s="453">
        <v>1</v>
      </c>
      <c r="M129" s="453">
        <v>445</v>
      </c>
      <c r="N129" s="453">
        <v>5</v>
      </c>
      <c r="O129" s="453">
        <v>2225</v>
      </c>
      <c r="P129" s="519">
        <v>2.5</v>
      </c>
      <c r="Q129" s="454">
        <v>445</v>
      </c>
    </row>
    <row r="130" spans="1:17" ht="14.4" customHeight="1" x14ac:dyDescent="0.3">
      <c r="A130" s="448" t="s">
        <v>787</v>
      </c>
      <c r="B130" s="449" t="s">
        <v>700</v>
      </c>
      <c r="C130" s="449" t="s">
        <v>697</v>
      </c>
      <c r="D130" s="449" t="s">
        <v>713</v>
      </c>
      <c r="E130" s="449" t="s">
        <v>714</v>
      </c>
      <c r="F130" s="453">
        <v>4</v>
      </c>
      <c r="G130" s="453">
        <v>3412</v>
      </c>
      <c r="H130" s="453">
        <v>1.3317720530835284</v>
      </c>
      <c r="I130" s="453">
        <v>853</v>
      </c>
      <c r="J130" s="453">
        <v>3</v>
      </c>
      <c r="K130" s="453">
        <v>2562</v>
      </c>
      <c r="L130" s="453">
        <v>1</v>
      </c>
      <c r="M130" s="453">
        <v>854</v>
      </c>
      <c r="N130" s="453">
        <v>4</v>
      </c>
      <c r="O130" s="453">
        <v>3416</v>
      </c>
      <c r="P130" s="519">
        <v>1.3333333333333333</v>
      </c>
      <c r="Q130" s="454">
        <v>854</v>
      </c>
    </row>
    <row r="131" spans="1:17" ht="14.4" customHeight="1" x14ac:dyDescent="0.3">
      <c r="A131" s="448" t="s">
        <v>787</v>
      </c>
      <c r="B131" s="449" t="s">
        <v>700</v>
      </c>
      <c r="C131" s="449" t="s">
        <v>697</v>
      </c>
      <c r="D131" s="449" t="s">
        <v>719</v>
      </c>
      <c r="E131" s="449" t="s">
        <v>720</v>
      </c>
      <c r="F131" s="453">
        <v>1</v>
      </c>
      <c r="G131" s="453">
        <v>1523</v>
      </c>
      <c r="H131" s="453">
        <v>0.49967191601049871</v>
      </c>
      <c r="I131" s="453">
        <v>1523</v>
      </c>
      <c r="J131" s="453">
        <v>2</v>
      </c>
      <c r="K131" s="453">
        <v>3048</v>
      </c>
      <c r="L131" s="453">
        <v>1</v>
      </c>
      <c r="M131" s="453">
        <v>1524</v>
      </c>
      <c r="N131" s="453"/>
      <c r="O131" s="453"/>
      <c r="P131" s="519"/>
      <c r="Q131" s="454"/>
    </row>
    <row r="132" spans="1:17" ht="14.4" customHeight="1" x14ac:dyDescent="0.3">
      <c r="A132" s="448" t="s">
        <v>787</v>
      </c>
      <c r="B132" s="449" t="s">
        <v>700</v>
      </c>
      <c r="C132" s="449" t="s">
        <v>697</v>
      </c>
      <c r="D132" s="449" t="s">
        <v>723</v>
      </c>
      <c r="E132" s="449" t="s">
        <v>724</v>
      </c>
      <c r="F132" s="453">
        <v>2</v>
      </c>
      <c r="G132" s="453">
        <v>34</v>
      </c>
      <c r="H132" s="453">
        <v>0.4</v>
      </c>
      <c r="I132" s="453">
        <v>17</v>
      </c>
      <c r="J132" s="453">
        <v>5</v>
      </c>
      <c r="K132" s="453">
        <v>85</v>
      </c>
      <c r="L132" s="453">
        <v>1</v>
      </c>
      <c r="M132" s="453">
        <v>17</v>
      </c>
      <c r="N132" s="453">
        <v>2</v>
      </c>
      <c r="O132" s="453">
        <v>34</v>
      </c>
      <c r="P132" s="519">
        <v>0.4</v>
      </c>
      <c r="Q132" s="454">
        <v>17</v>
      </c>
    </row>
    <row r="133" spans="1:17" ht="14.4" customHeight="1" x14ac:dyDescent="0.3">
      <c r="A133" s="448" t="s">
        <v>787</v>
      </c>
      <c r="B133" s="449" t="s">
        <v>700</v>
      </c>
      <c r="C133" s="449" t="s">
        <v>697</v>
      </c>
      <c r="D133" s="449" t="s">
        <v>725</v>
      </c>
      <c r="E133" s="449" t="s">
        <v>712</v>
      </c>
      <c r="F133" s="453">
        <v>4</v>
      </c>
      <c r="G133" s="453">
        <v>2832</v>
      </c>
      <c r="H133" s="453">
        <v>0.4</v>
      </c>
      <c r="I133" s="453">
        <v>708</v>
      </c>
      <c r="J133" s="453">
        <v>10</v>
      </c>
      <c r="K133" s="453">
        <v>7080</v>
      </c>
      <c r="L133" s="453">
        <v>1</v>
      </c>
      <c r="M133" s="453">
        <v>708</v>
      </c>
      <c r="N133" s="453">
        <v>6</v>
      </c>
      <c r="O133" s="453">
        <v>4254</v>
      </c>
      <c r="P133" s="519">
        <v>0.60084745762711866</v>
      </c>
      <c r="Q133" s="454">
        <v>709</v>
      </c>
    </row>
    <row r="134" spans="1:17" ht="14.4" customHeight="1" x14ac:dyDescent="0.3">
      <c r="A134" s="448" t="s">
        <v>787</v>
      </c>
      <c r="B134" s="449" t="s">
        <v>700</v>
      </c>
      <c r="C134" s="449" t="s">
        <v>697</v>
      </c>
      <c r="D134" s="449" t="s">
        <v>726</v>
      </c>
      <c r="E134" s="449" t="s">
        <v>714</v>
      </c>
      <c r="F134" s="453">
        <v>3</v>
      </c>
      <c r="G134" s="453">
        <v>4314</v>
      </c>
      <c r="H134" s="453">
        <v>0.74947880472550377</v>
      </c>
      <c r="I134" s="453">
        <v>1438</v>
      </c>
      <c r="J134" s="453">
        <v>4</v>
      </c>
      <c r="K134" s="453">
        <v>5756</v>
      </c>
      <c r="L134" s="453">
        <v>1</v>
      </c>
      <c r="M134" s="453">
        <v>1439</v>
      </c>
      <c r="N134" s="453">
        <v>2</v>
      </c>
      <c r="O134" s="453">
        <v>2882</v>
      </c>
      <c r="P134" s="519">
        <v>0.50069492703266161</v>
      </c>
      <c r="Q134" s="454">
        <v>1441</v>
      </c>
    </row>
    <row r="135" spans="1:17" ht="14.4" customHeight="1" x14ac:dyDescent="0.3">
      <c r="A135" s="448" t="s">
        <v>787</v>
      </c>
      <c r="B135" s="449" t="s">
        <v>700</v>
      </c>
      <c r="C135" s="449" t="s">
        <v>697</v>
      </c>
      <c r="D135" s="449" t="s">
        <v>727</v>
      </c>
      <c r="E135" s="449" t="s">
        <v>728</v>
      </c>
      <c r="F135" s="453">
        <v>3</v>
      </c>
      <c r="G135" s="453">
        <v>7311</v>
      </c>
      <c r="H135" s="453">
        <v>0.4997949138638228</v>
      </c>
      <c r="I135" s="453">
        <v>2437</v>
      </c>
      <c r="J135" s="453">
        <v>6</v>
      </c>
      <c r="K135" s="453">
        <v>14628</v>
      </c>
      <c r="L135" s="453">
        <v>1</v>
      </c>
      <c r="M135" s="453">
        <v>2438</v>
      </c>
      <c r="N135" s="453">
        <v>3</v>
      </c>
      <c r="O135" s="453">
        <v>7326</v>
      </c>
      <c r="P135" s="519">
        <v>0.50082034454470881</v>
      </c>
      <c r="Q135" s="454">
        <v>2442</v>
      </c>
    </row>
    <row r="136" spans="1:17" ht="14.4" customHeight="1" x14ac:dyDescent="0.3">
      <c r="A136" s="448" t="s">
        <v>787</v>
      </c>
      <c r="B136" s="449" t="s">
        <v>700</v>
      </c>
      <c r="C136" s="449" t="s">
        <v>697</v>
      </c>
      <c r="D136" s="449" t="s">
        <v>729</v>
      </c>
      <c r="E136" s="449" t="s">
        <v>730</v>
      </c>
      <c r="F136" s="453">
        <v>4</v>
      </c>
      <c r="G136" s="453">
        <v>276</v>
      </c>
      <c r="H136" s="453">
        <v>0.33333333333333331</v>
      </c>
      <c r="I136" s="453">
        <v>69</v>
      </c>
      <c r="J136" s="453">
        <v>12</v>
      </c>
      <c r="K136" s="453">
        <v>828</v>
      </c>
      <c r="L136" s="453">
        <v>1</v>
      </c>
      <c r="M136" s="453">
        <v>69</v>
      </c>
      <c r="N136" s="453">
        <v>11</v>
      </c>
      <c r="O136" s="453">
        <v>759</v>
      </c>
      <c r="P136" s="519">
        <v>0.91666666666666663</v>
      </c>
      <c r="Q136" s="454">
        <v>69</v>
      </c>
    </row>
    <row r="137" spans="1:17" ht="14.4" customHeight="1" x14ac:dyDescent="0.3">
      <c r="A137" s="448" t="s">
        <v>787</v>
      </c>
      <c r="B137" s="449" t="s">
        <v>700</v>
      </c>
      <c r="C137" s="449" t="s">
        <v>697</v>
      </c>
      <c r="D137" s="449" t="s">
        <v>731</v>
      </c>
      <c r="E137" s="449" t="s">
        <v>732</v>
      </c>
      <c r="F137" s="453">
        <v>1</v>
      </c>
      <c r="G137" s="453">
        <v>407</v>
      </c>
      <c r="H137" s="453">
        <v>0.49877450980392157</v>
      </c>
      <c r="I137" s="453">
        <v>407</v>
      </c>
      <c r="J137" s="453">
        <v>2</v>
      </c>
      <c r="K137" s="453">
        <v>816</v>
      </c>
      <c r="L137" s="453">
        <v>1</v>
      </c>
      <c r="M137" s="453">
        <v>408</v>
      </c>
      <c r="N137" s="453"/>
      <c r="O137" s="453"/>
      <c r="P137" s="519"/>
      <c r="Q137" s="454"/>
    </row>
    <row r="138" spans="1:17" ht="14.4" customHeight="1" x14ac:dyDescent="0.3">
      <c r="A138" s="448" t="s">
        <v>787</v>
      </c>
      <c r="B138" s="449" t="s">
        <v>700</v>
      </c>
      <c r="C138" s="449" t="s">
        <v>697</v>
      </c>
      <c r="D138" s="449" t="s">
        <v>733</v>
      </c>
      <c r="E138" s="449" t="s">
        <v>734</v>
      </c>
      <c r="F138" s="453">
        <v>1</v>
      </c>
      <c r="G138" s="453">
        <v>1664</v>
      </c>
      <c r="H138" s="453">
        <v>0.33313313313313314</v>
      </c>
      <c r="I138" s="453">
        <v>1664</v>
      </c>
      <c r="J138" s="453">
        <v>3</v>
      </c>
      <c r="K138" s="453">
        <v>4995</v>
      </c>
      <c r="L138" s="453">
        <v>1</v>
      </c>
      <c r="M138" s="453">
        <v>1665</v>
      </c>
      <c r="N138" s="453">
        <v>2</v>
      </c>
      <c r="O138" s="453">
        <v>3334</v>
      </c>
      <c r="P138" s="519">
        <v>0.66746746746746743</v>
      </c>
      <c r="Q138" s="454">
        <v>1667</v>
      </c>
    </row>
    <row r="139" spans="1:17" ht="14.4" customHeight="1" x14ac:dyDescent="0.3">
      <c r="A139" s="448" t="s">
        <v>787</v>
      </c>
      <c r="B139" s="449" t="s">
        <v>700</v>
      </c>
      <c r="C139" s="449" t="s">
        <v>697</v>
      </c>
      <c r="D139" s="449" t="s">
        <v>735</v>
      </c>
      <c r="E139" s="449" t="s">
        <v>736</v>
      </c>
      <c r="F139" s="453">
        <v>31</v>
      </c>
      <c r="G139" s="453">
        <v>17360</v>
      </c>
      <c r="H139" s="453">
        <v>0.58490566037735847</v>
      </c>
      <c r="I139" s="453">
        <v>560</v>
      </c>
      <c r="J139" s="453">
        <v>53</v>
      </c>
      <c r="K139" s="453">
        <v>29680</v>
      </c>
      <c r="L139" s="453">
        <v>1</v>
      </c>
      <c r="M139" s="453">
        <v>560</v>
      </c>
      <c r="N139" s="453">
        <v>32</v>
      </c>
      <c r="O139" s="453">
        <v>17952</v>
      </c>
      <c r="P139" s="519">
        <v>0.60485175202156338</v>
      </c>
      <c r="Q139" s="454">
        <v>561</v>
      </c>
    </row>
    <row r="140" spans="1:17" ht="14.4" customHeight="1" x14ac:dyDescent="0.3">
      <c r="A140" s="448" t="s">
        <v>787</v>
      </c>
      <c r="B140" s="449" t="s">
        <v>700</v>
      </c>
      <c r="C140" s="449" t="s">
        <v>697</v>
      </c>
      <c r="D140" s="449" t="s">
        <v>743</v>
      </c>
      <c r="E140" s="449" t="s">
        <v>744</v>
      </c>
      <c r="F140" s="453">
        <v>33</v>
      </c>
      <c r="G140" s="453">
        <v>14157</v>
      </c>
      <c r="H140" s="453">
        <v>0.515625</v>
      </c>
      <c r="I140" s="453">
        <v>429</v>
      </c>
      <c r="J140" s="453">
        <v>64</v>
      </c>
      <c r="K140" s="453">
        <v>27456</v>
      </c>
      <c r="L140" s="453">
        <v>1</v>
      </c>
      <c r="M140" s="453">
        <v>429</v>
      </c>
      <c r="N140" s="453">
        <v>77</v>
      </c>
      <c r="O140" s="453">
        <v>33033</v>
      </c>
      <c r="P140" s="519">
        <v>1.203125</v>
      </c>
      <c r="Q140" s="454">
        <v>429</v>
      </c>
    </row>
    <row r="141" spans="1:17" ht="14.4" customHeight="1" x14ac:dyDescent="0.3">
      <c r="A141" s="448" t="s">
        <v>787</v>
      </c>
      <c r="B141" s="449" t="s">
        <v>700</v>
      </c>
      <c r="C141" s="449" t="s">
        <v>697</v>
      </c>
      <c r="D141" s="449" t="s">
        <v>748</v>
      </c>
      <c r="E141" s="449" t="s">
        <v>749</v>
      </c>
      <c r="F141" s="453">
        <v>12</v>
      </c>
      <c r="G141" s="453">
        <v>19788</v>
      </c>
      <c r="H141" s="453">
        <v>0.4</v>
      </c>
      <c r="I141" s="453">
        <v>1649</v>
      </c>
      <c r="J141" s="453">
        <v>30</v>
      </c>
      <c r="K141" s="453">
        <v>49470</v>
      </c>
      <c r="L141" s="453">
        <v>1</v>
      </c>
      <c r="M141" s="453">
        <v>1649</v>
      </c>
      <c r="N141" s="453"/>
      <c r="O141" s="453"/>
      <c r="P141" s="519"/>
      <c r="Q141" s="454"/>
    </row>
    <row r="142" spans="1:17" ht="14.4" customHeight="1" x14ac:dyDescent="0.3">
      <c r="A142" s="448" t="s">
        <v>787</v>
      </c>
      <c r="B142" s="449" t="s">
        <v>700</v>
      </c>
      <c r="C142" s="449" t="s">
        <v>697</v>
      </c>
      <c r="D142" s="449" t="s">
        <v>751</v>
      </c>
      <c r="E142" s="449" t="s">
        <v>752</v>
      </c>
      <c r="F142" s="453"/>
      <c r="G142" s="453"/>
      <c r="H142" s="453"/>
      <c r="I142" s="453"/>
      <c r="J142" s="453">
        <v>5</v>
      </c>
      <c r="K142" s="453">
        <v>11015</v>
      </c>
      <c r="L142" s="453">
        <v>1</v>
      </c>
      <c r="M142" s="453">
        <v>2203</v>
      </c>
      <c r="N142" s="453">
        <v>42</v>
      </c>
      <c r="O142" s="453">
        <v>92610</v>
      </c>
      <c r="P142" s="519">
        <v>8.4076259645937359</v>
      </c>
      <c r="Q142" s="454">
        <v>2205</v>
      </c>
    </row>
    <row r="143" spans="1:17" ht="14.4" customHeight="1" x14ac:dyDescent="0.3">
      <c r="A143" s="448" t="s">
        <v>787</v>
      </c>
      <c r="B143" s="449" t="s">
        <v>700</v>
      </c>
      <c r="C143" s="449" t="s">
        <v>697</v>
      </c>
      <c r="D143" s="449" t="s">
        <v>753</v>
      </c>
      <c r="E143" s="449" t="s">
        <v>754</v>
      </c>
      <c r="F143" s="453"/>
      <c r="G143" s="453"/>
      <c r="H143" s="453"/>
      <c r="I143" s="453"/>
      <c r="J143" s="453"/>
      <c r="K143" s="453"/>
      <c r="L143" s="453"/>
      <c r="M143" s="453"/>
      <c r="N143" s="453">
        <v>1</v>
      </c>
      <c r="O143" s="453">
        <v>430</v>
      </c>
      <c r="P143" s="519"/>
      <c r="Q143" s="454">
        <v>430</v>
      </c>
    </row>
    <row r="144" spans="1:17" ht="14.4" customHeight="1" x14ac:dyDescent="0.3">
      <c r="A144" s="448" t="s">
        <v>788</v>
      </c>
      <c r="B144" s="449" t="s">
        <v>700</v>
      </c>
      <c r="C144" s="449" t="s">
        <v>697</v>
      </c>
      <c r="D144" s="449" t="s">
        <v>723</v>
      </c>
      <c r="E144" s="449" t="s">
        <v>724</v>
      </c>
      <c r="F144" s="453"/>
      <c r="G144" s="453"/>
      <c r="H144" s="453"/>
      <c r="I144" s="453"/>
      <c r="J144" s="453">
        <v>1</v>
      </c>
      <c r="K144" s="453">
        <v>17</v>
      </c>
      <c r="L144" s="453">
        <v>1</v>
      </c>
      <c r="M144" s="453">
        <v>17</v>
      </c>
      <c r="N144" s="453"/>
      <c r="O144" s="453"/>
      <c r="P144" s="519"/>
      <c r="Q144" s="454"/>
    </row>
    <row r="145" spans="1:17" ht="14.4" customHeight="1" x14ac:dyDescent="0.3">
      <c r="A145" s="448" t="s">
        <v>788</v>
      </c>
      <c r="B145" s="449" t="s">
        <v>700</v>
      </c>
      <c r="C145" s="449" t="s">
        <v>697</v>
      </c>
      <c r="D145" s="449" t="s">
        <v>725</v>
      </c>
      <c r="E145" s="449" t="s">
        <v>712</v>
      </c>
      <c r="F145" s="453"/>
      <c r="G145" s="453"/>
      <c r="H145" s="453"/>
      <c r="I145" s="453"/>
      <c r="J145" s="453">
        <v>2</v>
      </c>
      <c r="K145" s="453">
        <v>1416</v>
      </c>
      <c r="L145" s="453">
        <v>1</v>
      </c>
      <c r="M145" s="453">
        <v>708</v>
      </c>
      <c r="N145" s="453"/>
      <c r="O145" s="453"/>
      <c r="P145" s="519"/>
      <c r="Q145" s="454"/>
    </row>
    <row r="146" spans="1:17" ht="14.4" customHeight="1" x14ac:dyDescent="0.3">
      <c r="A146" s="448" t="s">
        <v>788</v>
      </c>
      <c r="B146" s="449" t="s">
        <v>700</v>
      </c>
      <c r="C146" s="449" t="s">
        <v>697</v>
      </c>
      <c r="D146" s="449" t="s">
        <v>729</v>
      </c>
      <c r="E146" s="449" t="s">
        <v>730</v>
      </c>
      <c r="F146" s="453"/>
      <c r="G146" s="453"/>
      <c r="H146" s="453"/>
      <c r="I146" s="453"/>
      <c r="J146" s="453">
        <v>2</v>
      </c>
      <c r="K146" s="453">
        <v>138</v>
      </c>
      <c r="L146" s="453">
        <v>1</v>
      </c>
      <c r="M146" s="453">
        <v>69</v>
      </c>
      <c r="N146" s="453"/>
      <c r="O146" s="453"/>
      <c r="P146" s="519"/>
      <c r="Q146" s="454"/>
    </row>
    <row r="147" spans="1:17" ht="14.4" customHeight="1" x14ac:dyDescent="0.3">
      <c r="A147" s="448" t="s">
        <v>788</v>
      </c>
      <c r="B147" s="449" t="s">
        <v>700</v>
      </c>
      <c r="C147" s="449" t="s">
        <v>697</v>
      </c>
      <c r="D147" s="449" t="s">
        <v>735</v>
      </c>
      <c r="E147" s="449" t="s">
        <v>736</v>
      </c>
      <c r="F147" s="453">
        <v>6</v>
      </c>
      <c r="G147" s="453">
        <v>3360</v>
      </c>
      <c r="H147" s="453"/>
      <c r="I147" s="453">
        <v>560</v>
      </c>
      <c r="J147" s="453"/>
      <c r="K147" s="453"/>
      <c r="L147" s="453"/>
      <c r="M147" s="453"/>
      <c r="N147" s="453"/>
      <c r="O147" s="453"/>
      <c r="P147" s="519"/>
      <c r="Q147" s="454"/>
    </row>
    <row r="148" spans="1:17" ht="14.4" customHeight="1" x14ac:dyDescent="0.3">
      <c r="A148" s="448" t="s">
        <v>788</v>
      </c>
      <c r="B148" s="449" t="s">
        <v>700</v>
      </c>
      <c r="C148" s="449" t="s">
        <v>697</v>
      </c>
      <c r="D148" s="449" t="s">
        <v>748</v>
      </c>
      <c r="E148" s="449" t="s">
        <v>749</v>
      </c>
      <c r="F148" s="453">
        <v>1</v>
      </c>
      <c r="G148" s="453">
        <v>1649</v>
      </c>
      <c r="H148" s="453"/>
      <c r="I148" s="453">
        <v>1649</v>
      </c>
      <c r="J148" s="453"/>
      <c r="K148" s="453"/>
      <c r="L148" s="453"/>
      <c r="M148" s="453"/>
      <c r="N148" s="453"/>
      <c r="O148" s="453"/>
      <c r="P148" s="519"/>
      <c r="Q148" s="454"/>
    </row>
    <row r="149" spans="1:17" ht="14.4" customHeight="1" x14ac:dyDescent="0.3">
      <c r="A149" s="448" t="s">
        <v>789</v>
      </c>
      <c r="B149" s="449" t="s">
        <v>700</v>
      </c>
      <c r="C149" s="449" t="s">
        <v>697</v>
      </c>
      <c r="D149" s="449" t="s">
        <v>709</v>
      </c>
      <c r="E149" s="449" t="s">
        <v>710</v>
      </c>
      <c r="F149" s="453"/>
      <c r="G149" s="453"/>
      <c r="H149" s="453"/>
      <c r="I149" s="453"/>
      <c r="J149" s="453">
        <v>1</v>
      </c>
      <c r="K149" s="453">
        <v>3825</v>
      </c>
      <c r="L149" s="453">
        <v>1</v>
      </c>
      <c r="M149" s="453">
        <v>3825</v>
      </c>
      <c r="N149" s="453"/>
      <c r="O149" s="453"/>
      <c r="P149" s="519"/>
      <c r="Q149" s="454"/>
    </row>
    <row r="150" spans="1:17" ht="14.4" customHeight="1" x14ac:dyDescent="0.3">
      <c r="A150" s="448" t="s">
        <v>789</v>
      </c>
      <c r="B150" s="449" t="s">
        <v>700</v>
      </c>
      <c r="C150" s="449" t="s">
        <v>697</v>
      </c>
      <c r="D150" s="449" t="s">
        <v>723</v>
      </c>
      <c r="E150" s="449" t="s">
        <v>724</v>
      </c>
      <c r="F150" s="453"/>
      <c r="G150" s="453"/>
      <c r="H150" s="453"/>
      <c r="I150" s="453"/>
      <c r="J150" s="453">
        <v>4</v>
      </c>
      <c r="K150" s="453">
        <v>68</v>
      </c>
      <c r="L150" s="453">
        <v>1</v>
      </c>
      <c r="M150" s="453">
        <v>17</v>
      </c>
      <c r="N150" s="453">
        <v>1</v>
      </c>
      <c r="O150" s="453">
        <v>17</v>
      </c>
      <c r="P150" s="519">
        <v>0.25</v>
      </c>
      <c r="Q150" s="454">
        <v>17</v>
      </c>
    </row>
    <row r="151" spans="1:17" ht="14.4" customHeight="1" x14ac:dyDescent="0.3">
      <c r="A151" s="448" t="s">
        <v>789</v>
      </c>
      <c r="B151" s="449" t="s">
        <v>700</v>
      </c>
      <c r="C151" s="449" t="s">
        <v>697</v>
      </c>
      <c r="D151" s="449" t="s">
        <v>725</v>
      </c>
      <c r="E151" s="449" t="s">
        <v>712</v>
      </c>
      <c r="F151" s="453"/>
      <c r="G151" s="453"/>
      <c r="H151" s="453"/>
      <c r="I151" s="453"/>
      <c r="J151" s="453">
        <v>8</v>
      </c>
      <c r="K151" s="453">
        <v>5664</v>
      </c>
      <c r="L151" s="453">
        <v>1</v>
      </c>
      <c r="M151" s="453">
        <v>708</v>
      </c>
      <c r="N151" s="453">
        <v>2</v>
      </c>
      <c r="O151" s="453">
        <v>1418</v>
      </c>
      <c r="P151" s="519">
        <v>0.25035310734463279</v>
      </c>
      <c r="Q151" s="454">
        <v>709</v>
      </c>
    </row>
    <row r="152" spans="1:17" ht="14.4" customHeight="1" x14ac:dyDescent="0.3">
      <c r="A152" s="448" t="s">
        <v>789</v>
      </c>
      <c r="B152" s="449" t="s">
        <v>700</v>
      </c>
      <c r="C152" s="449" t="s">
        <v>697</v>
      </c>
      <c r="D152" s="449" t="s">
        <v>727</v>
      </c>
      <c r="E152" s="449" t="s">
        <v>728</v>
      </c>
      <c r="F152" s="453"/>
      <c r="G152" s="453"/>
      <c r="H152" s="453"/>
      <c r="I152" s="453"/>
      <c r="J152" s="453">
        <v>1</v>
      </c>
      <c r="K152" s="453">
        <v>2438</v>
      </c>
      <c r="L152" s="453">
        <v>1</v>
      </c>
      <c r="M152" s="453">
        <v>2438</v>
      </c>
      <c r="N152" s="453">
        <v>1</v>
      </c>
      <c r="O152" s="453">
        <v>2442</v>
      </c>
      <c r="P152" s="519">
        <v>1.0016406890894176</v>
      </c>
      <c r="Q152" s="454">
        <v>2442</v>
      </c>
    </row>
    <row r="153" spans="1:17" ht="14.4" customHeight="1" x14ac:dyDescent="0.3">
      <c r="A153" s="448" t="s">
        <v>789</v>
      </c>
      <c r="B153" s="449" t="s">
        <v>700</v>
      </c>
      <c r="C153" s="449" t="s">
        <v>697</v>
      </c>
      <c r="D153" s="449" t="s">
        <v>729</v>
      </c>
      <c r="E153" s="449" t="s">
        <v>730</v>
      </c>
      <c r="F153" s="453"/>
      <c r="G153" s="453"/>
      <c r="H153" s="453"/>
      <c r="I153" s="453"/>
      <c r="J153" s="453">
        <v>8</v>
      </c>
      <c r="K153" s="453">
        <v>552</v>
      </c>
      <c r="L153" s="453">
        <v>1</v>
      </c>
      <c r="M153" s="453">
        <v>69</v>
      </c>
      <c r="N153" s="453">
        <v>2</v>
      </c>
      <c r="O153" s="453">
        <v>138</v>
      </c>
      <c r="P153" s="519">
        <v>0.25</v>
      </c>
      <c r="Q153" s="454">
        <v>69</v>
      </c>
    </row>
    <row r="154" spans="1:17" ht="14.4" customHeight="1" x14ac:dyDescent="0.3">
      <c r="A154" s="448" t="s">
        <v>789</v>
      </c>
      <c r="B154" s="449" t="s">
        <v>700</v>
      </c>
      <c r="C154" s="449" t="s">
        <v>697</v>
      </c>
      <c r="D154" s="449" t="s">
        <v>735</v>
      </c>
      <c r="E154" s="449" t="s">
        <v>736</v>
      </c>
      <c r="F154" s="453"/>
      <c r="G154" s="453"/>
      <c r="H154" s="453"/>
      <c r="I154" s="453"/>
      <c r="J154" s="453">
        <v>6</v>
      </c>
      <c r="K154" s="453">
        <v>3360</v>
      </c>
      <c r="L154" s="453">
        <v>1</v>
      </c>
      <c r="M154" s="453">
        <v>560</v>
      </c>
      <c r="N154" s="453">
        <v>6</v>
      </c>
      <c r="O154" s="453">
        <v>3366</v>
      </c>
      <c r="P154" s="519">
        <v>1.0017857142857143</v>
      </c>
      <c r="Q154" s="454">
        <v>561</v>
      </c>
    </row>
    <row r="155" spans="1:17" ht="14.4" customHeight="1" x14ac:dyDescent="0.3">
      <c r="A155" s="448" t="s">
        <v>789</v>
      </c>
      <c r="B155" s="449" t="s">
        <v>700</v>
      </c>
      <c r="C155" s="449" t="s">
        <v>697</v>
      </c>
      <c r="D155" s="449" t="s">
        <v>751</v>
      </c>
      <c r="E155" s="449" t="s">
        <v>752</v>
      </c>
      <c r="F155" s="453"/>
      <c r="G155" s="453"/>
      <c r="H155" s="453"/>
      <c r="I155" s="453"/>
      <c r="J155" s="453">
        <v>1</v>
      </c>
      <c r="K155" s="453">
        <v>2203</v>
      </c>
      <c r="L155" s="453">
        <v>1</v>
      </c>
      <c r="M155" s="453">
        <v>2203</v>
      </c>
      <c r="N155" s="453">
        <v>1</v>
      </c>
      <c r="O155" s="453">
        <v>2205</v>
      </c>
      <c r="P155" s="519">
        <v>1.0009078529278257</v>
      </c>
      <c r="Q155" s="454">
        <v>2205</v>
      </c>
    </row>
    <row r="156" spans="1:17" ht="14.4" customHeight="1" x14ac:dyDescent="0.3">
      <c r="A156" s="448" t="s">
        <v>790</v>
      </c>
      <c r="B156" s="449" t="s">
        <v>700</v>
      </c>
      <c r="C156" s="449" t="s">
        <v>697</v>
      </c>
      <c r="D156" s="449" t="s">
        <v>743</v>
      </c>
      <c r="E156" s="449" t="s">
        <v>744</v>
      </c>
      <c r="F156" s="453"/>
      <c r="G156" s="453"/>
      <c r="H156" s="453"/>
      <c r="I156" s="453"/>
      <c r="J156" s="453">
        <v>1</v>
      </c>
      <c r="K156" s="453">
        <v>429</v>
      </c>
      <c r="L156" s="453">
        <v>1</v>
      </c>
      <c r="M156" s="453">
        <v>429</v>
      </c>
      <c r="N156" s="453"/>
      <c r="O156" s="453"/>
      <c r="P156" s="519"/>
      <c r="Q156" s="454"/>
    </row>
    <row r="157" spans="1:17" ht="14.4" customHeight="1" x14ac:dyDescent="0.3">
      <c r="A157" s="448" t="s">
        <v>791</v>
      </c>
      <c r="B157" s="449" t="s">
        <v>696</v>
      </c>
      <c r="C157" s="449" t="s">
        <v>697</v>
      </c>
      <c r="D157" s="449" t="s">
        <v>698</v>
      </c>
      <c r="E157" s="449" t="s">
        <v>699</v>
      </c>
      <c r="F157" s="453"/>
      <c r="G157" s="453"/>
      <c r="H157" s="453"/>
      <c r="I157" s="453"/>
      <c r="J157" s="453">
        <v>1</v>
      </c>
      <c r="K157" s="453">
        <v>11413</v>
      </c>
      <c r="L157" s="453">
        <v>1</v>
      </c>
      <c r="M157" s="453">
        <v>11413</v>
      </c>
      <c r="N157" s="453"/>
      <c r="O157" s="453"/>
      <c r="P157" s="519"/>
      <c r="Q157" s="454"/>
    </row>
    <row r="158" spans="1:17" ht="14.4" customHeight="1" x14ac:dyDescent="0.3">
      <c r="A158" s="448" t="s">
        <v>791</v>
      </c>
      <c r="B158" s="449" t="s">
        <v>700</v>
      </c>
      <c r="C158" s="449" t="s">
        <v>697</v>
      </c>
      <c r="D158" s="449" t="s">
        <v>709</v>
      </c>
      <c r="E158" s="449" t="s">
        <v>710</v>
      </c>
      <c r="F158" s="453">
        <v>4</v>
      </c>
      <c r="G158" s="453">
        <v>15292</v>
      </c>
      <c r="H158" s="453"/>
      <c r="I158" s="453">
        <v>3823</v>
      </c>
      <c r="J158" s="453"/>
      <c r="K158" s="453"/>
      <c r="L158" s="453"/>
      <c r="M158" s="453"/>
      <c r="N158" s="453"/>
      <c r="O158" s="453"/>
      <c r="P158" s="519"/>
      <c r="Q158" s="454"/>
    </row>
    <row r="159" spans="1:17" ht="14.4" customHeight="1" x14ac:dyDescent="0.3">
      <c r="A159" s="448" t="s">
        <v>791</v>
      </c>
      <c r="B159" s="449" t="s">
        <v>700</v>
      </c>
      <c r="C159" s="449" t="s">
        <v>697</v>
      </c>
      <c r="D159" s="449" t="s">
        <v>715</v>
      </c>
      <c r="E159" s="449" t="s">
        <v>716</v>
      </c>
      <c r="F159" s="453">
        <v>3</v>
      </c>
      <c r="G159" s="453">
        <v>4965</v>
      </c>
      <c r="H159" s="453"/>
      <c r="I159" s="453">
        <v>1655</v>
      </c>
      <c r="J159" s="453"/>
      <c r="K159" s="453"/>
      <c r="L159" s="453"/>
      <c r="M159" s="453"/>
      <c r="N159" s="453"/>
      <c r="O159" s="453"/>
      <c r="P159" s="519"/>
      <c r="Q159" s="454"/>
    </row>
    <row r="160" spans="1:17" ht="14.4" customHeight="1" x14ac:dyDescent="0.3">
      <c r="A160" s="448" t="s">
        <v>791</v>
      </c>
      <c r="B160" s="449" t="s">
        <v>700</v>
      </c>
      <c r="C160" s="449" t="s">
        <v>697</v>
      </c>
      <c r="D160" s="449" t="s">
        <v>723</v>
      </c>
      <c r="E160" s="449" t="s">
        <v>724</v>
      </c>
      <c r="F160" s="453">
        <v>2</v>
      </c>
      <c r="G160" s="453">
        <v>34</v>
      </c>
      <c r="H160" s="453">
        <v>2</v>
      </c>
      <c r="I160" s="453">
        <v>17</v>
      </c>
      <c r="J160" s="453">
        <v>1</v>
      </c>
      <c r="K160" s="453">
        <v>17</v>
      </c>
      <c r="L160" s="453">
        <v>1</v>
      </c>
      <c r="M160" s="453">
        <v>17</v>
      </c>
      <c r="N160" s="453"/>
      <c r="O160" s="453"/>
      <c r="P160" s="519"/>
      <c r="Q160" s="454"/>
    </row>
    <row r="161" spans="1:17" ht="14.4" customHeight="1" x14ac:dyDescent="0.3">
      <c r="A161" s="448" t="s">
        <v>791</v>
      </c>
      <c r="B161" s="449" t="s">
        <v>700</v>
      </c>
      <c r="C161" s="449" t="s">
        <v>697</v>
      </c>
      <c r="D161" s="449" t="s">
        <v>725</v>
      </c>
      <c r="E161" s="449" t="s">
        <v>712</v>
      </c>
      <c r="F161" s="453">
        <v>4</v>
      </c>
      <c r="G161" s="453">
        <v>2832</v>
      </c>
      <c r="H161" s="453">
        <v>2</v>
      </c>
      <c r="I161" s="453">
        <v>708</v>
      </c>
      <c r="J161" s="453">
        <v>2</v>
      </c>
      <c r="K161" s="453">
        <v>1416</v>
      </c>
      <c r="L161" s="453">
        <v>1</v>
      </c>
      <c r="M161" s="453">
        <v>708</v>
      </c>
      <c r="N161" s="453"/>
      <c r="O161" s="453"/>
      <c r="P161" s="519"/>
      <c r="Q161" s="454"/>
    </row>
    <row r="162" spans="1:17" ht="14.4" customHeight="1" x14ac:dyDescent="0.3">
      <c r="A162" s="448" t="s">
        <v>791</v>
      </c>
      <c r="B162" s="449" t="s">
        <v>700</v>
      </c>
      <c r="C162" s="449" t="s">
        <v>697</v>
      </c>
      <c r="D162" s="449" t="s">
        <v>726</v>
      </c>
      <c r="E162" s="449" t="s">
        <v>714</v>
      </c>
      <c r="F162" s="453">
        <v>5</v>
      </c>
      <c r="G162" s="453">
        <v>7190</v>
      </c>
      <c r="H162" s="453">
        <v>2.4982626824183463</v>
      </c>
      <c r="I162" s="453">
        <v>1438</v>
      </c>
      <c r="J162" s="453">
        <v>2</v>
      </c>
      <c r="K162" s="453">
        <v>2878</v>
      </c>
      <c r="L162" s="453">
        <v>1</v>
      </c>
      <c r="M162" s="453">
        <v>1439</v>
      </c>
      <c r="N162" s="453">
        <v>3</v>
      </c>
      <c r="O162" s="453">
        <v>4323</v>
      </c>
      <c r="P162" s="519">
        <v>1.5020847810979847</v>
      </c>
      <c r="Q162" s="454">
        <v>1441</v>
      </c>
    </row>
    <row r="163" spans="1:17" ht="14.4" customHeight="1" x14ac:dyDescent="0.3">
      <c r="A163" s="448" t="s">
        <v>791</v>
      </c>
      <c r="B163" s="449" t="s">
        <v>700</v>
      </c>
      <c r="C163" s="449" t="s">
        <v>697</v>
      </c>
      <c r="D163" s="449" t="s">
        <v>727</v>
      </c>
      <c r="E163" s="449" t="s">
        <v>728</v>
      </c>
      <c r="F163" s="453">
        <v>3</v>
      </c>
      <c r="G163" s="453">
        <v>7311</v>
      </c>
      <c r="H163" s="453">
        <v>2.998769483182937</v>
      </c>
      <c r="I163" s="453">
        <v>2437</v>
      </c>
      <c r="J163" s="453">
        <v>1</v>
      </c>
      <c r="K163" s="453">
        <v>2438</v>
      </c>
      <c r="L163" s="453">
        <v>1</v>
      </c>
      <c r="M163" s="453">
        <v>2438</v>
      </c>
      <c r="N163" s="453">
        <v>1</v>
      </c>
      <c r="O163" s="453">
        <v>2442</v>
      </c>
      <c r="P163" s="519">
        <v>1.0016406890894176</v>
      </c>
      <c r="Q163" s="454">
        <v>2442</v>
      </c>
    </row>
    <row r="164" spans="1:17" ht="14.4" customHeight="1" x14ac:dyDescent="0.3">
      <c r="A164" s="448" t="s">
        <v>791</v>
      </c>
      <c r="B164" s="449" t="s">
        <v>700</v>
      </c>
      <c r="C164" s="449" t="s">
        <v>697</v>
      </c>
      <c r="D164" s="449" t="s">
        <v>729</v>
      </c>
      <c r="E164" s="449" t="s">
        <v>730</v>
      </c>
      <c r="F164" s="453">
        <v>4</v>
      </c>
      <c r="G164" s="453">
        <v>276</v>
      </c>
      <c r="H164" s="453">
        <v>2</v>
      </c>
      <c r="I164" s="453">
        <v>69</v>
      </c>
      <c r="J164" s="453">
        <v>2</v>
      </c>
      <c r="K164" s="453">
        <v>138</v>
      </c>
      <c r="L164" s="453">
        <v>1</v>
      </c>
      <c r="M164" s="453">
        <v>69</v>
      </c>
      <c r="N164" s="453"/>
      <c r="O164" s="453"/>
      <c r="P164" s="519"/>
      <c r="Q164" s="454"/>
    </row>
    <row r="165" spans="1:17" ht="14.4" customHeight="1" x14ac:dyDescent="0.3">
      <c r="A165" s="448" t="s">
        <v>791</v>
      </c>
      <c r="B165" s="449" t="s">
        <v>700</v>
      </c>
      <c r="C165" s="449" t="s">
        <v>697</v>
      </c>
      <c r="D165" s="449" t="s">
        <v>735</v>
      </c>
      <c r="E165" s="449" t="s">
        <v>736</v>
      </c>
      <c r="F165" s="453">
        <v>13</v>
      </c>
      <c r="G165" s="453">
        <v>7280</v>
      </c>
      <c r="H165" s="453">
        <v>2.1666666666666665</v>
      </c>
      <c r="I165" s="453">
        <v>560</v>
      </c>
      <c r="J165" s="453">
        <v>6</v>
      </c>
      <c r="K165" s="453">
        <v>3360</v>
      </c>
      <c r="L165" s="453">
        <v>1</v>
      </c>
      <c r="M165" s="453">
        <v>560</v>
      </c>
      <c r="N165" s="453">
        <v>2</v>
      </c>
      <c r="O165" s="453">
        <v>1122</v>
      </c>
      <c r="P165" s="519">
        <v>0.33392857142857141</v>
      </c>
      <c r="Q165" s="454">
        <v>561</v>
      </c>
    </row>
    <row r="166" spans="1:17" ht="14.4" customHeight="1" x14ac:dyDescent="0.3">
      <c r="A166" s="448" t="s">
        <v>791</v>
      </c>
      <c r="B166" s="449" t="s">
        <v>700</v>
      </c>
      <c r="C166" s="449" t="s">
        <v>697</v>
      </c>
      <c r="D166" s="449" t="s">
        <v>743</v>
      </c>
      <c r="E166" s="449" t="s">
        <v>744</v>
      </c>
      <c r="F166" s="453">
        <v>6</v>
      </c>
      <c r="G166" s="453">
        <v>2574</v>
      </c>
      <c r="H166" s="453"/>
      <c r="I166" s="453">
        <v>429</v>
      </c>
      <c r="J166" s="453"/>
      <c r="K166" s="453"/>
      <c r="L166" s="453"/>
      <c r="M166" s="453"/>
      <c r="N166" s="453"/>
      <c r="O166" s="453"/>
      <c r="P166" s="519"/>
      <c r="Q166" s="454"/>
    </row>
    <row r="167" spans="1:17" ht="14.4" customHeight="1" x14ac:dyDescent="0.3">
      <c r="A167" s="448" t="s">
        <v>791</v>
      </c>
      <c r="B167" s="449" t="s">
        <v>700</v>
      </c>
      <c r="C167" s="449" t="s">
        <v>697</v>
      </c>
      <c r="D167" s="449" t="s">
        <v>748</v>
      </c>
      <c r="E167" s="449" t="s">
        <v>749</v>
      </c>
      <c r="F167" s="453">
        <v>8</v>
      </c>
      <c r="G167" s="453">
        <v>13192</v>
      </c>
      <c r="H167" s="453">
        <v>8</v>
      </c>
      <c r="I167" s="453">
        <v>1649</v>
      </c>
      <c r="J167" s="453">
        <v>1</v>
      </c>
      <c r="K167" s="453">
        <v>1649</v>
      </c>
      <c r="L167" s="453">
        <v>1</v>
      </c>
      <c r="M167" s="453">
        <v>1649</v>
      </c>
      <c r="N167" s="453"/>
      <c r="O167" s="453"/>
      <c r="P167" s="519"/>
      <c r="Q167" s="454"/>
    </row>
    <row r="168" spans="1:17" ht="14.4" customHeight="1" thickBot="1" x14ac:dyDescent="0.35">
      <c r="A168" s="455" t="s">
        <v>791</v>
      </c>
      <c r="B168" s="456" t="s">
        <v>700</v>
      </c>
      <c r="C168" s="456" t="s">
        <v>697</v>
      </c>
      <c r="D168" s="456" t="s">
        <v>751</v>
      </c>
      <c r="E168" s="456" t="s">
        <v>752</v>
      </c>
      <c r="F168" s="460"/>
      <c r="G168" s="460"/>
      <c r="H168" s="460"/>
      <c r="I168" s="460"/>
      <c r="J168" s="460"/>
      <c r="K168" s="460"/>
      <c r="L168" s="460"/>
      <c r="M168" s="460"/>
      <c r="N168" s="460">
        <v>3</v>
      </c>
      <c r="O168" s="460">
        <v>6615</v>
      </c>
      <c r="P168" s="471"/>
      <c r="Q168" s="461">
        <v>2205</v>
      </c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4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23" bestFit="1" customWidth="1"/>
    <col min="2" max="2" width="11.6640625" style="123" hidden="1" customWidth="1"/>
    <col min="3" max="4" width="11" style="125" customWidth="1"/>
    <col min="5" max="5" width="11" style="126" customWidth="1"/>
    <col min="6" max="16384" width="8.88671875" style="123"/>
  </cols>
  <sheetData>
    <row r="1" spans="1:5" ht="18.600000000000001" thickBot="1" x14ac:dyDescent="0.4">
      <c r="A1" s="297" t="s">
        <v>104</v>
      </c>
      <c r="B1" s="297"/>
      <c r="C1" s="298"/>
      <c r="D1" s="298"/>
      <c r="E1" s="298"/>
    </row>
    <row r="2" spans="1:5" ht="14.4" customHeight="1" thickBot="1" x14ac:dyDescent="0.35">
      <c r="A2" s="200" t="s">
        <v>235</v>
      </c>
      <c r="B2" s="124"/>
    </row>
    <row r="3" spans="1:5" ht="14.4" customHeight="1" thickBot="1" x14ac:dyDescent="0.35">
      <c r="A3" s="127"/>
      <c r="C3" s="128" t="s">
        <v>92</v>
      </c>
      <c r="D3" s="129" t="s">
        <v>58</v>
      </c>
      <c r="E3" s="130" t="s">
        <v>60</v>
      </c>
    </row>
    <row r="4" spans="1:5" ht="14.4" customHeight="1" thickBot="1" x14ac:dyDescent="0.35">
      <c r="A4" s="131" t="str">
        <f>HYPERLINK("#HI!A1","NÁKLADY CELKEM (v tisících Kč)")</f>
        <v>NÁKLADY CELKEM (v tisících Kč)</v>
      </c>
      <c r="B4" s="132"/>
      <c r="C4" s="133">
        <f ca="1">IF(ISERROR(VLOOKUP("Náklady celkem",INDIRECT("HI!$A:$G"),6,0)),0,VLOOKUP("Náklady celkem",INDIRECT("HI!$A:$G"),6,0))</f>
        <v>8128.8220237121586</v>
      </c>
      <c r="D4" s="133">
        <f ca="1">IF(ISERROR(VLOOKUP("Náklady celkem",INDIRECT("HI!$A:$G"),5,0)),0,VLOOKUP("Náklady celkem",INDIRECT("HI!$A:$G"),5,0))</f>
        <v>9094.1794300000001</v>
      </c>
      <c r="E4" s="134">
        <f ca="1">IF(C4=0,0,D4/C4)</f>
        <v>1.1187573554288492</v>
      </c>
    </row>
    <row r="5" spans="1:5" ht="14.4" customHeight="1" x14ac:dyDescent="0.3">
      <c r="A5" s="135" t="s">
        <v>119</v>
      </c>
      <c r="B5" s="136"/>
      <c r="C5" s="137"/>
      <c r="D5" s="137"/>
      <c r="E5" s="138"/>
    </row>
    <row r="6" spans="1:5" ht="14.4" customHeight="1" x14ac:dyDescent="0.3">
      <c r="A6" s="139" t="s">
        <v>124</v>
      </c>
      <c r="B6" s="140"/>
      <c r="C6" s="141"/>
      <c r="D6" s="141"/>
      <c r="E6" s="138"/>
    </row>
    <row r="7" spans="1:5" ht="14.4" customHeight="1" x14ac:dyDescent="0.3">
      <c r="A7" s="225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40" t="s">
        <v>96</v>
      </c>
      <c r="C7" s="141">
        <f>IF(ISERROR(HI!F5),"",HI!F5)</f>
        <v>6.6666665039062503</v>
      </c>
      <c r="D7" s="141">
        <f>IF(ISERROR(HI!E5),"",HI!E5)</f>
        <v>0.49374000000000001</v>
      </c>
      <c r="E7" s="138">
        <f t="shared" ref="E7:E12" si="0">IF(C7=0,0,D7/C7)</f>
        <v>7.4061001808129925E-2</v>
      </c>
    </row>
    <row r="8" spans="1:5" ht="14.4" customHeight="1" x14ac:dyDescent="0.3">
      <c r="A8" s="225" t="str">
        <f>HYPERLINK("#'LŽ Statim'!A1","Podíl statimových žádanek (max. 30%)")</f>
        <v>Podíl statimových žádanek (max. 30%)</v>
      </c>
      <c r="B8" s="223" t="s">
        <v>171</v>
      </c>
      <c r="C8" s="224">
        <v>0.3</v>
      </c>
      <c r="D8" s="224">
        <f>IF('LŽ Statim'!G3="",0,'LŽ Statim'!G3)</f>
        <v>0.1</v>
      </c>
      <c r="E8" s="138">
        <f>IF(C8=0,0,D8/C8)</f>
        <v>0.33333333333333337</v>
      </c>
    </row>
    <row r="9" spans="1:5" ht="14.4" customHeight="1" x14ac:dyDescent="0.3">
      <c r="A9" s="143" t="s">
        <v>120</v>
      </c>
      <c r="B9" s="140"/>
      <c r="C9" s="141"/>
      <c r="D9" s="141"/>
      <c r="E9" s="138"/>
    </row>
    <row r="10" spans="1:5" ht="14.4" customHeight="1" x14ac:dyDescent="0.3">
      <c r="A10" s="143" t="s">
        <v>121</v>
      </c>
      <c r="B10" s="140"/>
      <c r="C10" s="141"/>
      <c r="D10" s="141"/>
      <c r="E10" s="138"/>
    </row>
    <row r="11" spans="1:5" ht="14.4" customHeight="1" x14ac:dyDescent="0.3">
      <c r="A11" s="144" t="s">
        <v>125</v>
      </c>
      <c r="B11" s="140"/>
      <c r="C11" s="137"/>
      <c r="D11" s="137"/>
      <c r="E11" s="138"/>
    </row>
    <row r="12" spans="1:5" ht="14.4" customHeight="1" x14ac:dyDescent="0.3">
      <c r="A12" s="145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2" s="140" t="s">
        <v>96</v>
      </c>
      <c r="C12" s="141">
        <f>IF(ISERROR(HI!F6),"",HI!F6)</f>
        <v>353.6120078125</v>
      </c>
      <c r="D12" s="141">
        <f>IF(ISERROR(HI!E6),"",HI!E6)</f>
        <v>293.80808999999999</v>
      </c>
      <c r="E12" s="138">
        <f t="shared" si="0"/>
        <v>0.83087701635909783</v>
      </c>
    </row>
    <row r="13" spans="1:5" ht="14.4" customHeight="1" thickBot="1" x14ac:dyDescent="0.35">
      <c r="A13" s="146" t="str">
        <f>HYPERLINK("#HI!A1","Osobní náklady")</f>
        <v>Osobní náklady</v>
      </c>
      <c r="B13" s="140"/>
      <c r="C13" s="137">
        <f ca="1">IF(ISERROR(VLOOKUP("Osobní náklady (Kč) *",INDIRECT("HI!$A:$G"),6,0)),0,VLOOKUP("Osobní náklady (Kč) *",INDIRECT("HI!$A:$G"),6,0))</f>
        <v>6651.0976640625004</v>
      </c>
      <c r="D13" s="137">
        <f ca="1">IF(ISERROR(VLOOKUP("Osobní náklady (Kč) *",INDIRECT("HI!$A:$G"),5,0)),0,VLOOKUP("Osobní náklady (Kč) *",INDIRECT("HI!$A:$G"),5,0))</f>
        <v>7440.5996499999983</v>
      </c>
      <c r="E13" s="138">
        <f ca="1">IF(C13=0,0,D13/C13)</f>
        <v>1.1187025098433556</v>
      </c>
    </row>
    <row r="14" spans="1:5" ht="14.4" customHeight="1" thickBot="1" x14ac:dyDescent="0.35">
      <c r="A14" s="150"/>
      <c r="B14" s="151"/>
      <c r="C14" s="152"/>
      <c r="D14" s="152"/>
      <c r="E14" s="153"/>
    </row>
    <row r="15" spans="1:5" ht="14.4" customHeight="1" thickBot="1" x14ac:dyDescent="0.35">
      <c r="A15" s="154" t="str">
        <f>HYPERLINK("#HI!A1","VÝNOSY CELKEM (v tisících)")</f>
        <v>VÝNOSY CELKEM (v tisících)</v>
      </c>
      <c r="B15" s="155"/>
      <c r="C15" s="156">
        <f ca="1">IF(ISERROR(VLOOKUP("Výnosy celkem",INDIRECT("HI!$A:$G"),6,0)),0,VLOOKUP("Výnosy celkem",INDIRECT("HI!$A:$G"),6,0))</f>
        <v>7124.3140000000003</v>
      </c>
      <c r="D15" s="156">
        <f ca="1">IF(ISERROR(VLOOKUP("Výnosy celkem",INDIRECT("HI!$A:$G"),5,0)),0,VLOOKUP("Výnosy celkem",INDIRECT("HI!$A:$G"),5,0))</f>
        <v>7724.9129999999996</v>
      </c>
      <c r="E15" s="157">
        <f t="shared" ref="E15:E20" ca="1" si="1">IF(C15=0,0,D15/C15)</f>
        <v>1.0843027132156162</v>
      </c>
    </row>
    <row r="16" spans="1:5" ht="14.4" customHeight="1" x14ac:dyDescent="0.3">
      <c r="A16" s="158" t="str">
        <f>HYPERLINK("#HI!A1","Ambulance (body za výkony + Kč za ZUM a ZULP)")</f>
        <v>Ambulance (body za výkony + Kč za ZUM a ZULP)</v>
      </c>
      <c r="B16" s="136"/>
      <c r="C16" s="137">
        <f ca="1">IF(ISERROR(VLOOKUP("Ambulance *",INDIRECT("HI!$A:$G"),6,0)),0,VLOOKUP("Ambulance *",INDIRECT("HI!$A:$G"),6,0))</f>
        <v>7124.3140000000003</v>
      </c>
      <c r="D16" s="137">
        <f ca="1">IF(ISERROR(VLOOKUP("Ambulance *",INDIRECT("HI!$A:$G"),5,0)),0,VLOOKUP("Ambulance *",INDIRECT("HI!$A:$G"),5,0))</f>
        <v>7724.9129999999996</v>
      </c>
      <c r="E16" s="138">
        <f t="shared" ca="1" si="1"/>
        <v>1.0843027132156162</v>
      </c>
    </row>
    <row r="17" spans="1:5" ht="14.4" customHeight="1" x14ac:dyDescent="0.3">
      <c r="A17" s="232" t="str">
        <f>HYPERLINK("#'ZV Vykáz.-A'!A1","Zdravotní výkony vykázané u ambulantních pacientů (min. 100 % 2016)")</f>
        <v>Zdravotní výkony vykázané u ambulantních pacientů (min. 100 % 2016)</v>
      </c>
      <c r="B17" s="233" t="s">
        <v>106</v>
      </c>
      <c r="C17" s="142">
        <v>1</v>
      </c>
      <c r="D17" s="142">
        <f>IF(ISERROR(VLOOKUP("Celkem:",'ZV Vykáz.-A'!$A:$AB,10,0)),"",VLOOKUP("Celkem:",'ZV Vykáz.-A'!$A:$AB,10,0))</f>
        <v>1.0843027132156162</v>
      </c>
      <c r="E17" s="138">
        <f t="shared" si="1"/>
        <v>1.0843027132156162</v>
      </c>
    </row>
    <row r="18" spans="1:5" ht="14.4" customHeight="1" x14ac:dyDescent="0.3">
      <c r="A18" s="231" t="str">
        <f>HYPERLINK("#'ZV Vykáz.-A'!A1","Specializovaná ambulantní péče")</f>
        <v>Specializovaná ambulantní péče</v>
      </c>
      <c r="B18" s="233" t="s">
        <v>106</v>
      </c>
      <c r="C18" s="142">
        <v>1</v>
      </c>
      <c r="D18" s="224">
        <f>IF(ISERROR(VLOOKUP("Specializovaná ambulantní péče",'ZV Vykáz.-A'!$A:$AB,10,0)),"",VLOOKUP("Specializovaná ambulantní péče",'ZV Vykáz.-A'!$A:$AB,10,0))</f>
        <v>0.95849489816238265</v>
      </c>
      <c r="E18" s="138">
        <f t="shared" si="1"/>
        <v>0.95849489816238265</v>
      </c>
    </row>
    <row r="19" spans="1:5" ht="14.4" customHeight="1" x14ac:dyDescent="0.3">
      <c r="A19" s="231" t="str">
        <f>HYPERLINK("#'ZV Vykáz.-A'!A1","Ambulantní péče ve vyjmenovaných odbornostech (§9)")</f>
        <v>Ambulantní péče ve vyjmenovaných odbornostech (§9)</v>
      </c>
      <c r="B19" s="233" t="s">
        <v>106</v>
      </c>
      <c r="C19" s="142">
        <v>1</v>
      </c>
      <c r="D19" s="224">
        <f>IF(ISERROR(VLOOKUP("Ambulantní péče ve vyjmenovaných odbornostech (§9) *",'ZV Vykáz.-A'!$A:$AB,10,0)),"",VLOOKUP("Ambulantní péče ve vyjmenovaných odbornostech (§9) *",'ZV Vykáz.-A'!$A:$AB,10,0))</f>
        <v>1.3847751872211183</v>
      </c>
      <c r="E19" s="138">
        <f>IF(OR(C19=0,D19=""),0,IF(C19="","",D19/C19))</f>
        <v>1.3847751872211183</v>
      </c>
    </row>
    <row r="20" spans="1:5" ht="14.4" customHeight="1" x14ac:dyDescent="0.3">
      <c r="A20" s="159" t="str">
        <f>HYPERLINK("#'ZV Vykáz.-H'!A1","Zdravotní výkony vykázané u hospitalizovaných pacientů (max. 85 %)")</f>
        <v>Zdravotní výkony vykázané u hospitalizovaných pacientů (max. 85 %)</v>
      </c>
      <c r="B20" s="233" t="s">
        <v>108</v>
      </c>
      <c r="C20" s="142">
        <v>0.85</v>
      </c>
      <c r="D20" s="142">
        <f>IF(ISERROR(VLOOKUP("Celkem:",'ZV Vykáz.-H'!$A:$S,7,0)),"",VLOOKUP("Celkem:",'ZV Vykáz.-H'!$A:$S,7,0))</f>
        <v>0.92657488340820005</v>
      </c>
      <c r="E20" s="138">
        <f t="shared" si="1"/>
        <v>1.0900880981272942</v>
      </c>
    </row>
    <row r="21" spans="1:5" ht="14.4" customHeight="1" x14ac:dyDescent="0.3">
      <c r="A21" s="160" t="str">
        <f>HYPERLINK("#HI!A1","Hospitalizace (casemix * 30000)")</f>
        <v>Hospitalizace (casemix * 30000)</v>
      </c>
      <c r="B21" s="140"/>
      <c r="C21" s="137">
        <f ca="1">IF(ISERROR(VLOOKUP("Hospitalizace *",INDIRECT("HI!$A:$G"),6,0)),0,VLOOKUP("Hospitalizace *",INDIRECT("HI!$A:$G"),6,0))</f>
        <v>0</v>
      </c>
      <c r="D21" s="137">
        <f ca="1">IF(ISERROR(VLOOKUP("Hospitalizace *",INDIRECT("HI!$A:$G"),5,0)),0,VLOOKUP("Hospitalizace *",INDIRECT("HI!$A:$G"),5,0))</f>
        <v>0</v>
      </c>
      <c r="E21" s="138">
        <f ca="1">IF(C21=0,0,D21/C21)</f>
        <v>0</v>
      </c>
    </row>
    <row r="22" spans="1:5" ht="14.4" customHeight="1" thickBot="1" x14ac:dyDescent="0.35">
      <c r="A22" s="161" t="s">
        <v>122</v>
      </c>
      <c r="B22" s="147"/>
      <c r="C22" s="148"/>
      <c r="D22" s="148"/>
      <c r="E22" s="149"/>
    </row>
    <row r="23" spans="1:5" ht="14.4" customHeight="1" thickBot="1" x14ac:dyDescent="0.35">
      <c r="A23" s="162"/>
      <c r="B23" s="163"/>
      <c r="C23" s="164"/>
      <c r="D23" s="164"/>
      <c r="E23" s="165"/>
    </row>
    <row r="24" spans="1:5" ht="14.4" customHeight="1" thickBot="1" x14ac:dyDescent="0.35">
      <c r="A24" s="166" t="s">
        <v>123</v>
      </c>
      <c r="B24" s="167"/>
      <c r="C24" s="168"/>
      <c r="D24" s="168"/>
      <c r="E24" s="169"/>
    </row>
  </sheetData>
  <mergeCells count="1">
    <mergeCell ref="A1:E1"/>
  </mergeCells>
  <conditionalFormatting sqref="E5">
    <cfRule type="cellIs" dxfId="52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1">
    <cfRule type="cellIs" dxfId="51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3">
    <cfRule type="cellIs" dxfId="50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49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21">
    <cfRule type="cellIs" dxfId="48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47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8">
    <cfRule type="cellIs" dxfId="46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15 E17:E18">
    <cfRule type="cellIs" dxfId="45" priority="48" operator="lessThan">
      <formula>1</formula>
    </cfRule>
    <cfRule type="iconSet" priority="49">
      <iconSet iconSet="3Symbols2">
        <cfvo type="percent" val="0"/>
        <cfvo type="num" val="1"/>
        <cfvo type="num" val="1"/>
      </iconSet>
    </cfRule>
  </conditionalFormatting>
  <conditionalFormatting sqref="E4 E7 E12 E19:E20">
    <cfRule type="cellIs" dxfId="44" priority="54" operator="greaterThan">
      <formula>1</formula>
    </cfRule>
    <cfRule type="iconSet" priority="5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E17:E18 E20" evalError="1"/>
    <ignoredError sqref="E19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RowHeight="14.4" customHeight="1" outlineLevelCol="1" x14ac:dyDescent="0.3"/>
  <cols>
    <col min="1" max="1" width="34.21875" style="104" bestFit="1" customWidth="1"/>
    <col min="2" max="2" width="9.5546875" style="104" hidden="1" customWidth="1" outlineLevel="1"/>
    <col min="3" max="3" width="9.5546875" style="104" customWidth="1" collapsed="1"/>
    <col min="4" max="4" width="2.21875" style="104" customWidth="1"/>
    <col min="5" max="8" width="9.5546875" style="104" customWidth="1"/>
    <col min="9" max="10" width="9.77734375" style="104" hidden="1" customWidth="1" outlineLevel="1"/>
    <col min="11" max="11" width="8.88671875" style="104" collapsed="1"/>
    <col min="12" max="16384" width="8.88671875" style="104"/>
  </cols>
  <sheetData>
    <row r="1" spans="1:10" ht="18.600000000000001" customHeight="1" thickBot="1" x14ac:dyDescent="0.4">
      <c r="A1" s="308" t="s">
        <v>113</v>
      </c>
      <c r="B1" s="308"/>
      <c r="C1" s="308"/>
      <c r="D1" s="308"/>
      <c r="E1" s="308"/>
      <c r="F1" s="308"/>
      <c r="G1" s="308"/>
      <c r="H1" s="308"/>
      <c r="I1" s="308"/>
      <c r="J1" s="308"/>
    </row>
    <row r="2" spans="1:10" ht="14.4" customHeight="1" thickBot="1" x14ac:dyDescent="0.35">
      <c r="A2" s="200" t="s">
        <v>235</v>
      </c>
      <c r="B2" s="86"/>
      <c r="C2" s="86"/>
      <c r="D2" s="86"/>
      <c r="E2" s="86"/>
      <c r="F2" s="86"/>
    </row>
    <row r="3" spans="1:10" ht="14.4" customHeight="1" x14ac:dyDescent="0.3">
      <c r="A3" s="299"/>
      <c r="B3" s="82">
        <v>2015</v>
      </c>
      <c r="C3" s="40">
        <v>2017</v>
      </c>
      <c r="D3" s="7"/>
      <c r="E3" s="303">
        <v>2018</v>
      </c>
      <c r="F3" s="304"/>
      <c r="G3" s="304"/>
      <c r="H3" s="305"/>
      <c r="I3" s="306">
        <v>2017</v>
      </c>
      <c r="J3" s="307"/>
    </row>
    <row r="4" spans="1:10" ht="14.4" customHeight="1" thickBot="1" x14ac:dyDescent="0.35">
      <c r="A4" s="300"/>
      <c r="B4" s="301" t="s">
        <v>58</v>
      </c>
      <c r="C4" s="302"/>
      <c r="D4" s="7"/>
      <c r="E4" s="103" t="s">
        <v>58</v>
      </c>
      <c r="F4" s="84" t="s">
        <v>59</v>
      </c>
      <c r="G4" s="84" t="s">
        <v>53</v>
      </c>
      <c r="H4" s="85" t="s">
        <v>60</v>
      </c>
      <c r="I4" s="236" t="s">
        <v>179</v>
      </c>
      <c r="J4" s="237" t="s">
        <v>180</v>
      </c>
    </row>
    <row r="5" spans="1:10" ht="14.4" customHeight="1" x14ac:dyDescent="0.3">
      <c r="A5" s="87" t="str">
        <f>HYPERLINK("#'Léky Žádanky'!A1","Léky (Kč)")</f>
        <v>Léky (Kč)</v>
      </c>
      <c r="B5" s="27">
        <v>0</v>
      </c>
      <c r="C5" s="29">
        <v>9.580779999999999</v>
      </c>
      <c r="D5" s="8"/>
      <c r="E5" s="92">
        <v>0.49374000000000001</v>
      </c>
      <c r="F5" s="28">
        <v>6.6666665039062503</v>
      </c>
      <c r="G5" s="91">
        <f>E5-F5</f>
        <v>-6.1729265039062504</v>
      </c>
      <c r="H5" s="97">
        <f>IF(F5&lt;0.00000001,"",E5/F5)</f>
        <v>7.4061001808129925E-2</v>
      </c>
    </row>
    <row r="6" spans="1:10" ht="14.4" customHeight="1" x14ac:dyDescent="0.3">
      <c r="A6" s="87" t="str">
        <f>HYPERLINK("#'Materiál Žádanky'!A1","Materiál - SZM (Kč)")</f>
        <v>Materiál - SZM (Kč)</v>
      </c>
      <c r="B6" s="10">
        <v>355.17113000000006</v>
      </c>
      <c r="C6" s="31">
        <v>286.41690000000006</v>
      </c>
      <c r="D6" s="8"/>
      <c r="E6" s="93">
        <v>293.80808999999999</v>
      </c>
      <c r="F6" s="30">
        <v>353.6120078125</v>
      </c>
      <c r="G6" s="94">
        <f>E6-F6</f>
        <v>-59.803917812500003</v>
      </c>
      <c r="H6" s="98">
        <f>IF(F6&lt;0.00000001,"",E6/F6)</f>
        <v>0.83087701635909783</v>
      </c>
    </row>
    <row r="7" spans="1:10" ht="14.4" customHeight="1" x14ac:dyDescent="0.3">
      <c r="A7" s="87" t="str">
        <f>HYPERLINK("#'Osobní náklady'!A1","Osobní náklady (Kč) *")</f>
        <v>Osobní náklady (Kč) *</v>
      </c>
      <c r="B7" s="10">
        <v>5787.8943900000004</v>
      </c>
      <c r="C7" s="31">
        <v>6271.9740299999994</v>
      </c>
      <c r="D7" s="8"/>
      <c r="E7" s="93">
        <v>7440.5996499999983</v>
      </c>
      <c r="F7" s="30">
        <v>6651.0976640625004</v>
      </c>
      <c r="G7" s="94">
        <f>E7-F7</f>
        <v>789.50198593749792</v>
      </c>
      <c r="H7" s="98">
        <f>IF(F7&lt;0.00000001,"",E7/F7)</f>
        <v>1.1187025098433556</v>
      </c>
    </row>
    <row r="8" spans="1:10" ht="14.4" customHeight="1" thickBot="1" x14ac:dyDescent="0.35">
      <c r="A8" s="1" t="s">
        <v>61</v>
      </c>
      <c r="B8" s="11">
        <v>925.79807999999923</v>
      </c>
      <c r="C8" s="33">
        <v>976.13390000000288</v>
      </c>
      <c r="D8" s="8"/>
      <c r="E8" s="95">
        <v>1359.277950000002</v>
      </c>
      <c r="F8" s="32">
        <v>1117.445685333252</v>
      </c>
      <c r="G8" s="96">
        <f>E8-F8</f>
        <v>241.83226466675001</v>
      </c>
      <c r="H8" s="99">
        <f>IF(F8&lt;0.00000001,"",E8/F8)</f>
        <v>1.2164152296982822</v>
      </c>
    </row>
    <row r="9" spans="1:10" ht="14.4" customHeight="1" thickBot="1" x14ac:dyDescent="0.35">
      <c r="A9" s="2" t="s">
        <v>62</v>
      </c>
      <c r="B9" s="3">
        <v>7068.8635999999997</v>
      </c>
      <c r="C9" s="35">
        <v>7544.1056100000023</v>
      </c>
      <c r="D9" s="8"/>
      <c r="E9" s="3">
        <v>9094.1794300000001</v>
      </c>
      <c r="F9" s="34">
        <v>8128.8220237121586</v>
      </c>
      <c r="G9" s="34">
        <f>E9-F9</f>
        <v>965.35740628784151</v>
      </c>
      <c r="H9" s="100">
        <f>IF(F9&lt;0.00000001,"",E9/F9)</f>
        <v>1.1187573554288492</v>
      </c>
    </row>
    <row r="10" spans="1:10" ht="14.4" customHeight="1" thickBot="1" x14ac:dyDescent="0.35">
      <c r="A10" s="12"/>
      <c r="B10" s="12"/>
      <c r="C10" s="83"/>
      <c r="D10" s="8"/>
      <c r="E10" s="12"/>
      <c r="F10" s="13"/>
    </row>
    <row r="11" spans="1:10" ht="14.4" customHeight="1" x14ac:dyDescent="0.3">
      <c r="A11" s="107" t="str">
        <f>HYPERLINK("#'ZV Vykáz.-A'!A1","Ambulance *")</f>
        <v>Ambulance *</v>
      </c>
      <c r="B11" s="9">
        <f>IF(ISERROR(VLOOKUP("Celkem:",'ZV Vykáz.-A'!A:H,2,0)),0,VLOOKUP("Celkem:",'ZV Vykáz.-A'!A:H,2,0)/1000)</f>
        <v>6608.3869999999997</v>
      </c>
      <c r="C11" s="29">
        <f>IF(ISERROR(VLOOKUP("Celkem:",'ZV Vykáz.-A'!A:H,5,0)),0,VLOOKUP("Celkem:",'ZV Vykáz.-A'!A:H,5,0)/1000)</f>
        <v>7124.3140000000003</v>
      </c>
      <c r="D11" s="8"/>
      <c r="E11" s="92">
        <f>IF(ISERROR(VLOOKUP("Celkem:",'ZV Vykáz.-A'!A:H,8,0)),0,VLOOKUP("Celkem:",'ZV Vykáz.-A'!A:H,8,0)/1000)</f>
        <v>7724.9129999999996</v>
      </c>
      <c r="F11" s="28">
        <f>C11</f>
        <v>7124.3140000000003</v>
      </c>
      <c r="G11" s="91">
        <f>E11-F11</f>
        <v>600.59899999999925</v>
      </c>
      <c r="H11" s="97">
        <f>IF(F11&lt;0.00000001,"",E11/F11)</f>
        <v>1.0843027132156162</v>
      </c>
      <c r="I11" s="91">
        <f>E11-B11</f>
        <v>1116.5259999999998</v>
      </c>
      <c r="J11" s="97">
        <f>IF(B11&lt;0.00000001,"",E11/B11)</f>
        <v>1.1689559040655457</v>
      </c>
    </row>
    <row r="12" spans="1:10" ht="14.4" customHeight="1" thickBot="1" x14ac:dyDescent="0.35">
      <c r="A12" s="108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95">
        <f>IF(ISERROR(VLOOKUP("Celkem",#REF!,4,0)),0,VLOOKUP("Celkem",#REF!,4,0)*30)</f>
        <v>0</v>
      </c>
      <c r="F12" s="32">
        <f>C12</f>
        <v>0</v>
      </c>
      <c r="G12" s="96">
        <f>E12-F12</f>
        <v>0</v>
      </c>
      <c r="H12" s="99" t="str">
        <f>IF(F12&lt;0.00000001,"",E12/F12)</f>
        <v/>
      </c>
      <c r="I12" s="96">
        <f>E12-B12</f>
        <v>0</v>
      </c>
      <c r="J12" s="99" t="str">
        <f>IF(B12&lt;0.00000001,"",E12/B12)</f>
        <v/>
      </c>
    </row>
    <row r="13" spans="1:10" ht="14.4" customHeight="1" thickBot="1" x14ac:dyDescent="0.35">
      <c r="A13" s="4" t="s">
        <v>65</v>
      </c>
      <c r="B13" s="5">
        <f>SUM(B11:B12)</f>
        <v>6608.3869999999997</v>
      </c>
      <c r="C13" s="37">
        <f>SUM(C11:C12)</f>
        <v>7124.3140000000003</v>
      </c>
      <c r="D13" s="8"/>
      <c r="E13" s="5">
        <f>SUM(E11:E12)</f>
        <v>7724.9129999999996</v>
      </c>
      <c r="F13" s="36">
        <f>SUM(F11:F12)</f>
        <v>7124.3140000000003</v>
      </c>
      <c r="G13" s="36">
        <f>E13-F13</f>
        <v>600.59899999999925</v>
      </c>
      <c r="H13" s="101">
        <f>IF(F13&lt;0.00000001,"",E13/F13)</f>
        <v>1.0843027132156162</v>
      </c>
      <c r="I13" s="36">
        <f>SUM(I11:I12)</f>
        <v>1116.5259999999998</v>
      </c>
      <c r="J13" s="101">
        <f>IF(B13&lt;0.00000001,"",E13/B13)</f>
        <v>1.1689559040655457</v>
      </c>
    </row>
    <row r="14" spans="1:10" ht="14.4" customHeight="1" thickBot="1" x14ac:dyDescent="0.35">
      <c r="A14" s="12"/>
      <c r="B14" s="12"/>
      <c r="C14" s="83"/>
      <c r="D14" s="8"/>
      <c r="E14" s="12"/>
      <c r="F14" s="13"/>
    </row>
    <row r="15" spans="1:10" ht="14.4" customHeight="1" thickBot="1" x14ac:dyDescent="0.35">
      <c r="A15" s="109" t="str">
        <f>HYPERLINK("#'HI Graf'!A1","Hospodářský index (Výnosy / Náklady) *")</f>
        <v>Hospodářský index (Výnosy / Náklady) *</v>
      </c>
      <c r="B15" s="6">
        <f>IF(B9=0,"",B13/B9)</f>
        <v>0.93485846862287736</v>
      </c>
      <c r="C15" s="39">
        <f>IF(C9=0,"",C13/C9)</f>
        <v>0.94435501944146272</v>
      </c>
      <c r="D15" s="8"/>
      <c r="E15" s="6">
        <f>IF(E9=0,"",E13/E9)</f>
        <v>0.84943485659816143</v>
      </c>
      <c r="F15" s="38">
        <f>IF(F9=0,"",F13/F9)</f>
        <v>0.87642637263038103</v>
      </c>
      <c r="G15" s="38">
        <f>IF(ISERROR(F15-E15),"",E15-F15)</f>
        <v>-2.6991516032219609E-2</v>
      </c>
      <c r="H15" s="102">
        <f>IF(ISERROR(F15-E15),"",IF(F15&lt;0.00000001,"",E15/F15))</f>
        <v>0.96920275692844438</v>
      </c>
    </row>
    <row r="17" spans="1:8" ht="14.4" customHeight="1" x14ac:dyDescent="0.3">
      <c r="A17" s="88" t="s">
        <v>127</v>
      </c>
    </row>
    <row r="18" spans="1:8" ht="14.4" customHeight="1" x14ac:dyDescent="0.3">
      <c r="A18" s="203" t="s">
        <v>153</v>
      </c>
      <c r="B18" s="204"/>
      <c r="C18" s="204"/>
      <c r="D18" s="204"/>
      <c r="E18" s="204"/>
      <c r="F18" s="204"/>
      <c r="G18" s="204"/>
      <c r="H18" s="204"/>
    </row>
    <row r="19" spans="1:8" x14ac:dyDescent="0.3">
      <c r="A19" s="202" t="s">
        <v>152</v>
      </c>
      <c r="B19" s="204"/>
      <c r="C19" s="204"/>
      <c r="D19" s="204"/>
      <c r="E19" s="204"/>
      <c r="F19" s="204"/>
      <c r="G19" s="204"/>
      <c r="H19" s="204"/>
    </row>
    <row r="20" spans="1:8" ht="14.4" customHeight="1" x14ac:dyDescent="0.3">
      <c r="A20" s="89" t="s">
        <v>172</v>
      </c>
    </row>
    <row r="21" spans="1:8" ht="14.4" customHeight="1" x14ac:dyDescent="0.3">
      <c r="A21" s="89" t="s">
        <v>128</v>
      </c>
    </row>
    <row r="22" spans="1:8" ht="14.4" customHeight="1" x14ac:dyDescent="0.3">
      <c r="A22" s="90" t="s">
        <v>213</v>
      </c>
    </row>
    <row r="23" spans="1:8" ht="14.4" customHeight="1" x14ac:dyDescent="0.3">
      <c r="A23" s="90" t="s">
        <v>129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43" priority="8" operator="greaterThan">
      <formula>0</formula>
    </cfRule>
  </conditionalFormatting>
  <conditionalFormatting sqref="G11:G13 G15">
    <cfRule type="cellIs" dxfId="42" priority="7" operator="lessThan">
      <formula>0</formula>
    </cfRule>
  </conditionalFormatting>
  <conditionalFormatting sqref="H5:H9">
    <cfRule type="cellIs" dxfId="41" priority="6" operator="greaterThan">
      <formula>1</formula>
    </cfRule>
  </conditionalFormatting>
  <conditionalFormatting sqref="H11:H13 H15">
    <cfRule type="cellIs" dxfId="40" priority="5" operator="lessThan">
      <formula>1</formula>
    </cfRule>
  </conditionalFormatting>
  <conditionalFormatting sqref="I11:I13">
    <cfRule type="cellIs" dxfId="39" priority="4" operator="lessThan">
      <formula>0</formula>
    </cfRule>
  </conditionalFormatting>
  <conditionalFormatting sqref="J11:J13">
    <cfRule type="cellIs" dxfId="38" priority="3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04"/>
    <col min="2" max="13" width="8.88671875" style="104" customWidth="1"/>
    <col min="14" max="16384" width="8.88671875" style="104"/>
  </cols>
  <sheetData>
    <row r="1" spans="1:13" ht="18.600000000000001" customHeight="1" thickBot="1" x14ac:dyDescent="0.4">
      <c r="A1" s="297" t="s">
        <v>89</v>
      </c>
      <c r="B1" s="297"/>
      <c r="C1" s="297"/>
      <c r="D1" s="297"/>
      <c r="E1" s="297"/>
      <c r="F1" s="297"/>
      <c r="G1" s="297"/>
      <c r="H1" s="297"/>
      <c r="I1" s="297"/>
      <c r="J1" s="297"/>
      <c r="K1" s="297"/>
      <c r="L1" s="297"/>
      <c r="M1" s="297"/>
    </row>
    <row r="2" spans="1:13" ht="14.4" customHeight="1" x14ac:dyDescent="0.3">
      <c r="A2" s="200" t="s">
        <v>235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</row>
    <row r="3" spans="1:13" ht="14.4" customHeight="1" x14ac:dyDescent="0.3">
      <c r="A3" s="171"/>
      <c r="B3" s="172" t="s">
        <v>67</v>
      </c>
      <c r="C3" s="173" t="s">
        <v>68</v>
      </c>
      <c r="D3" s="173" t="s">
        <v>69</v>
      </c>
      <c r="E3" s="172" t="s">
        <v>70</v>
      </c>
      <c r="F3" s="173" t="s">
        <v>71</v>
      </c>
      <c r="G3" s="173" t="s">
        <v>72</v>
      </c>
      <c r="H3" s="173" t="s">
        <v>73</v>
      </c>
      <c r="I3" s="173" t="s">
        <v>74</v>
      </c>
      <c r="J3" s="173" t="s">
        <v>75</v>
      </c>
      <c r="K3" s="173" t="s">
        <v>76</v>
      </c>
      <c r="L3" s="173" t="s">
        <v>77</v>
      </c>
      <c r="M3" s="173" t="s">
        <v>78</v>
      </c>
    </row>
    <row r="4" spans="1:13" ht="14.4" customHeight="1" x14ac:dyDescent="0.3">
      <c r="A4" s="171" t="s">
        <v>66</v>
      </c>
      <c r="B4" s="174">
        <f>(B10+B8)/B6</f>
        <v>0.80940060530325497</v>
      </c>
      <c r="C4" s="174">
        <f t="shared" ref="C4:M4" si="0">(C10+C8)/C6</f>
        <v>0.85877505681842825</v>
      </c>
      <c r="D4" s="174">
        <f t="shared" si="0"/>
        <v>0.875013043781943</v>
      </c>
      <c r="E4" s="174">
        <f t="shared" si="0"/>
        <v>0.84943485659815954</v>
      </c>
      <c r="F4" s="174">
        <f t="shared" si="0"/>
        <v>0.84943485659815954</v>
      </c>
      <c r="G4" s="174">
        <f t="shared" si="0"/>
        <v>0.84943485659815954</v>
      </c>
      <c r="H4" s="174">
        <f t="shared" si="0"/>
        <v>0.84943485659815954</v>
      </c>
      <c r="I4" s="174">
        <f t="shared" si="0"/>
        <v>0.84943485659815954</v>
      </c>
      <c r="J4" s="174">
        <f t="shared" si="0"/>
        <v>0.84943485659815954</v>
      </c>
      <c r="K4" s="174">
        <f t="shared" si="0"/>
        <v>0.84943485659815954</v>
      </c>
      <c r="L4" s="174">
        <f t="shared" si="0"/>
        <v>0.84943485659815954</v>
      </c>
      <c r="M4" s="174">
        <f t="shared" si="0"/>
        <v>0.84943485659815954</v>
      </c>
    </row>
    <row r="5" spans="1:13" ht="14.4" customHeight="1" x14ac:dyDescent="0.3">
      <c r="A5" s="175" t="s">
        <v>39</v>
      </c>
      <c r="B5" s="174">
        <f>IF(ISERROR(VLOOKUP($A5,'Man Tab'!$A:$Q,COLUMN()+2,0)),0,VLOOKUP($A5,'Man Tab'!$A:$Q,COLUMN()+2,0))</f>
        <v>2349.7610300000001</v>
      </c>
      <c r="C5" s="174">
        <f>IF(ISERROR(VLOOKUP($A5,'Man Tab'!$A:$Q,COLUMN()+2,0)),0,VLOOKUP($A5,'Man Tab'!$A:$Q,COLUMN()+2,0))</f>
        <v>2155.8414200000002</v>
      </c>
      <c r="D5" s="174">
        <f>IF(ISERROR(VLOOKUP($A5,'Man Tab'!$A:$Q,COLUMN()+2,0)),0,VLOOKUP($A5,'Man Tab'!$A:$Q,COLUMN()+2,0))</f>
        <v>2212.06198000001</v>
      </c>
      <c r="E5" s="174">
        <f>IF(ISERROR(VLOOKUP($A5,'Man Tab'!$A:$Q,COLUMN()+2,0)),0,VLOOKUP($A5,'Man Tab'!$A:$Q,COLUMN()+2,0))</f>
        <v>2376.5150000000099</v>
      </c>
      <c r="F5" s="174">
        <f>IF(ISERROR(VLOOKUP($A5,'Man Tab'!$A:$Q,COLUMN()+2,0)),0,VLOOKUP($A5,'Man Tab'!$A:$Q,COLUMN()+2,0))</f>
        <v>0</v>
      </c>
      <c r="G5" s="174">
        <f>IF(ISERROR(VLOOKUP($A5,'Man Tab'!$A:$Q,COLUMN()+2,0)),0,VLOOKUP($A5,'Man Tab'!$A:$Q,COLUMN()+2,0))</f>
        <v>0</v>
      </c>
      <c r="H5" s="174">
        <f>IF(ISERROR(VLOOKUP($A5,'Man Tab'!$A:$Q,COLUMN()+2,0)),0,VLOOKUP($A5,'Man Tab'!$A:$Q,COLUMN()+2,0))</f>
        <v>0</v>
      </c>
      <c r="I5" s="174">
        <f>IF(ISERROR(VLOOKUP($A5,'Man Tab'!$A:$Q,COLUMN()+2,0)),0,VLOOKUP($A5,'Man Tab'!$A:$Q,COLUMN()+2,0))</f>
        <v>0</v>
      </c>
      <c r="J5" s="174">
        <f>IF(ISERROR(VLOOKUP($A5,'Man Tab'!$A:$Q,COLUMN()+2,0)),0,VLOOKUP($A5,'Man Tab'!$A:$Q,COLUMN()+2,0))</f>
        <v>0</v>
      </c>
      <c r="K5" s="174">
        <f>IF(ISERROR(VLOOKUP($A5,'Man Tab'!$A:$Q,COLUMN()+2,0)),0,VLOOKUP($A5,'Man Tab'!$A:$Q,COLUMN()+2,0))</f>
        <v>0</v>
      </c>
      <c r="L5" s="174">
        <f>IF(ISERROR(VLOOKUP($A5,'Man Tab'!$A:$Q,COLUMN()+2,0)),0,VLOOKUP($A5,'Man Tab'!$A:$Q,COLUMN()+2,0))</f>
        <v>0</v>
      </c>
      <c r="M5" s="174">
        <f>IF(ISERROR(VLOOKUP($A5,'Man Tab'!$A:$Q,COLUMN()+2,0)),0,VLOOKUP($A5,'Man Tab'!$A:$Q,COLUMN()+2,0))</f>
        <v>0</v>
      </c>
    </row>
    <row r="6" spans="1:13" ht="14.4" customHeight="1" x14ac:dyDescent="0.3">
      <c r="A6" s="175" t="s">
        <v>62</v>
      </c>
      <c r="B6" s="176">
        <f>B5</f>
        <v>2349.7610300000001</v>
      </c>
      <c r="C6" s="176">
        <f t="shared" ref="C6:M6" si="1">C5+B6</f>
        <v>4505.6024500000003</v>
      </c>
      <c r="D6" s="176">
        <f t="shared" si="1"/>
        <v>6717.6644300000098</v>
      </c>
      <c r="E6" s="176">
        <f t="shared" si="1"/>
        <v>9094.1794300000201</v>
      </c>
      <c r="F6" s="176">
        <f t="shared" si="1"/>
        <v>9094.1794300000201</v>
      </c>
      <c r="G6" s="176">
        <f t="shared" si="1"/>
        <v>9094.1794300000201</v>
      </c>
      <c r="H6" s="176">
        <f t="shared" si="1"/>
        <v>9094.1794300000201</v>
      </c>
      <c r="I6" s="176">
        <f t="shared" si="1"/>
        <v>9094.1794300000201</v>
      </c>
      <c r="J6" s="176">
        <f t="shared" si="1"/>
        <v>9094.1794300000201</v>
      </c>
      <c r="K6" s="176">
        <f t="shared" si="1"/>
        <v>9094.1794300000201</v>
      </c>
      <c r="L6" s="176">
        <f t="shared" si="1"/>
        <v>9094.1794300000201</v>
      </c>
      <c r="M6" s="176">
        <f t="shared" si="1"/>
        <v>9094.1794300000201</v>
      </c>
    </row>
    <row r="7" spans="1:13" ht="14.4" customHeight="1" x14ac:dyDescent="0.3">
      <c r="A7" s="175" t="s">
        <v>87</v>
      </c>
      <c r="B7" s="175"/>
      <c r="C7" s="175"/>
      <c r="D7" s="175"/>
      <c r="E7" s="175"/>
      <c r="F7" s="175"/>
      <c r="G7" s="175"/>
      <c r="H7" s="175"/>
      <c r="I7" s="175"/>
      <c r="J7" s="175"/>
      <c r="K7" s="175"/>
      <c r="L7" s="175"/>
      <c r="M7" s="175"/>
    </row>
    <row r="8" spans="1:13" ht="14.4" customHeight="1" x14ac:dyDescent="0.3">
      <c r="A8" s="175" t="s">
        <v>63</v>
      </c>
      <c r="B8" s="176">
        <f>B7*30</f>
        <v>0</v>
      </c>
      <c r="C8" s="176">
        <f t="shared" ref="C8:M8" si="2">C7*30</f>
        <v>0</v>
      </c>
      <c r="D8" s="176">
        <f t="shared" si="2"/>
        <v>0</v>
      </c>
      <c r="E8" s="176">
        <f t="shared" si="2"/>
        <v>0</v>
      </c>
      <c r="F8" s="176">
        <f t="shared" si="2"/>
        <v>0</v>
      </c>
      <c r="G8" s="176">
        <f t="shared" si="2"/>
        <v>0</v>
      </c>
      <c r="H8" s="176">
        <f t="shared" si="2"/>
        <v>0</v>
      </c>
      <c r="I8" s="176">
        <f t="shared" si="2"/>
        <v>0</v>
      </c>
      <c r="J8" s="176">
        <f t="shared" si="2"/>
        <v>0</v>
      </c>
      <c r="K8" s="176">
        <f t="shared" si="2"/>
        <v>0</v>
      </c>
      <c r="L8" s="176">
        <f t="shared" si="2"/>
        <v>0</v>
      </c>
      <c r="M8" s="176">
        <f t="shared" si="2"/>
        <v>0</v>
      </c>
    </row>
    <row r="9" spans="1:13" ht="14.4" customHeight="1" x14ac:dyDescent="0.3">
      <c r="A9" s="175" t="s">
        <v>88</v>
      </c>
      <c r="B9" s="175">
        <v>1901898</v>
      </c>
      <c r="C9" s="175">
        <v>1967401</v>
      </c>
      <c r="D9" s="175">
        <v>2008745</v>
      </c>
      <c r="E9" s="175">
        <v>1846869</v>
      </c>
      <c r="F9" s="175">
        <v>0</v>
      </c>
      <c r="G9" s="175">
        <v>0</v>
      </c>
      <c r="H9" s="175">
        <v>0</v>
      </c>
      <c r="I9" s="175">
        <v>0</v>
      </c>
      <c r="J9" s="175">
        <v>0</v>
      </c>
      <c r="K9" s="175">
        <v>0</v>
      </c>
      <c r="L9" s="175">
        <v>0</v>
      </c>
      <c r="M9" s="175">
        <v>0</v>
      </c>
    </row>
    <row r="10" spans="1:13" ht="14.4" customHeight="1" x14ac:dyDescent="0.3">
      <c r="A10" s="175" t="s">
        <v>64</v>
      </c>
      <c r="B10" s="176">
        <f>B9/1000</f>
        <v>1901.8979999999999</v>
      </c>
      <c r="C10" s="176">
        <f t="shared" ref="C10:M10" si="3">C9/1000+B10</f>
        <v>3869.299</v>
      </c>
      <c r="D10" s="176">
        <f t="shared" si="3"/>
        <v>5878.0439999999999</v>
      </c>
      <c r="E10" s="176">
        <f t="shared" si="3"/>
        <v>7724.9129999999996</v>
      </c>
      <c r="F10" s="176">
        <f t="shared" si="3"/>
        <v>7724.9129999999996</v>
      </c>
      <c r="G10" s="176">
        <f t="shared" si="3"/>
        <v>7724.9129999999996</v>
      </c>
      <c r="H10" s="176">
        <f t="shared" si="3"/>
        <v>7724.9129999999996</v>
      </c>
      <c r="I10" s="176">
        <f t="shared" si="3"/>
        <v>7724.9129999999996</v>
      </c>
      <c r="J10" s="176">
        <f t="shared" si="3"/>
        <v>7724.9129999999996</v>
      </c>
      <c r="K10" s="176">
        <f t="shared" si="3"/>
        <v>7724.9129999999996</v>
      </c>
      <c r="L10" s="176">
        <f t="shared" si="3"/>
        <v>7724.9129999999996</v>
      </c>
      <c r="M10" s="176">
        <f t="shared" si="3"/>
        <v>7724.9129999999996</v>
      </c>
    </row>
    <row r="11" spans="1:13" ht="14.4" customHeight="1" x14ac:dyDescent="0.3">
      <c r="A11" s="171"/>
      <c r="B11" s="171" t="s">
        <v>79</v>
      </c>
      <c r="C11" s="171">
        <f ca="1">IF(MONTH(TODAY())=1,12,MONTH(TODAY())-1)</f>
        <v>4</v>
      </c>
      <c r="D11" s="171"/>
      <c r="E11" s="171"/>
      <c r="F11" s="171"/>
      <c r="G11" s="171"/>
      <c r="H11" s="171"/>
      <c r="I11" s="171"/>
      <c r="J11" s="171"/>
      <c r="K11" s="171"/>
      <c r="L11" s="171"/>
      <c r="M11" s="171"/>
    </row>
    <row r="12" spans="1:13" ht="14.4" customHeight="1" x14ac:dyDescent="0.3">
      <c r="A12" s="171">
        <v>0</v>
      </c>
      <c r="B12" s="174">
        <f>IF(ISERROR(HI!F15),#REF!,HI!F15)</f>
        <v>0.87642637263038103</v>
      </c>
      <c r="C12" s="171"/>
      <c r="D12" s="171"/>
      <c r="E12" s="171"/>
      <c r="F12" s="171"/>
      <c r="G12" s="171"/>
      <c r="H12" s="171"/>
      <c r="I12" s="171"/>
      <c r="J12" s="171"/>
      <c r="K12" s="171"/>
      <c r="L12" s="171"/>
      <c r="M12" s="171"/>
    </row>
    <row r="13" spans="1:13" ht="14.4" customHeight="1" x14ac:dyDescent="0.3">
      <c r="A13" s="171">
        <v>1</v>
      </c>
      <c r="B13" s="174">
        <f>IF(ISERROR(HI!F15),#REF!,HI!F15)</f>
        <v>0.87642637263038103</v>
      </c>
      <c r="C13" s="171"/>
      <c r="D13" s="171"/>
      <c r="E13" s="171"/>
      <c r="F13" s="171"/>
      <c r="G13" s="171"/>
      <c r="H13" s="171"/>
      <c r="I13" s="171"/>
      <c r="J13" s="171"/>
      <c r="K13" s="171"/>
      <c r="L13" s="171"/>
      <c r="M13" s="171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04" bestFit="1" customWidth="1"/>
    <col min="2" max="2" width="12.77734375" style="104" bestFit="1" customWidth="1"/>
    <col min="3" max="3" width="13.6640625" style="104" bestFit="1" customWidth="1"/>
    <col min="4" max="15" width="7.77734375" style="104" bestFit="1" customWidth="1"/>
    <col min="16" max="16" width="8.88671875" style="104" customWidth="1"/>
    <col min="17" max="17" width="6.6640625" style="104" bestFit="1" customWidth="1"/>
    <col min="18" max="16384" width="8.88671875" style="104"/>
  </cols>
  <sheetData>
    <row r="1" spans="1:17" s="177" customFormat="1" ht="18.600000000000001" customHeight="1" thickBot="1" x14ac:dyDescent="0.4">
      <c r="A1" s="309" t="s">
        <v>237</v>
      </c>
      <c r="B1" s="309"/>
      <c r="C1" s="309"/>
      <c r="D1" s="309"/>
      <c r="E1" s="309"/>
      <c r="F1" s="309"/>
      <c r="G1" s="309"/>
      <c r="H1" s="297"/>
      <c r="I1" s="297"/>
      <c r="J1" s="297"/>
      <c r="K1" s="297"/>
      <c r="L1" s="297"/>
      <c r="M1" s="297"/>
      <c r="N1" s="297"/>
      <c r="O1" s="297"/>
      <c r="P1" s="297"/>
      <c r="Q1" s="297"/>
    </row>
    <row r="2" spans="1:17" s="177" customFormat="1" ht="14.4" customHeight="1" thickBot="1" x14ac:dyDescent="0.3">
      <c r="A2" s="200" t="s">
        <v>235</v>
      </c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178"/>
    </row>
    <row r="3" spans="1:17" ht="14.4" customHeight="1" x14ac:dyDescent="0.3">
      <c r="A3" s="60"/>
      <c r="B3" s="310" t="s">
        <v>15</v>
      </c>
      <c r="C3" s="311"/>
      <c r="D3" s="311"/>
      <c r="E3" s="311"/>
      <c r="F3" s="311"/>
      <c r="G3" s="311"/>
      <c r="H3" s="311"/>
      <c r="I3" s="311"/>
      <c r="J3" s="311"/>
      <c r="K3" s="311"/>
      <c r="L3" s="311"/>
      <c r="M3" s="311"/>
      <c r="N3" s="311"/>
      <c r="O3" s="311"/>
      <c r="P3" s="112"/>
      <c r="Q3" s="114"/>
    </row>
    <row r="4" spans="1:17" ht="14.4" customHeight="1" x14ac:dyDescent="0.3">
      <c r="A4" s="61"/>
      <c r="B4" s="20">
        <v>2018</v>
      </c>
      <c r="C4" s="113" t="s">
        <v>16</v>
      </c>
      <c r="D4" s="230" t="s">
        <v>214</v>
      </c>
      <c r="E4" s="230" t="s">
        <v>215</v>
      </c>
      <c r="F4" s="230" t="s">
        <v>216</v>
      </c>
      <c r="G4" s="230" t="s">
        <v>217</v>
      </c>
      <c r="H4" s="230" t="s">
        <v>218</v>
      </c>
      <c r="I4" s="230" t="s">
        <v>219</v>
      </c>
      <c r="J4" s="230" t="s">
        <v>220</v>
      </c>
      <c r="K4" s="230" t="s">
        <v>221</v>
      </c>
      <c r="L4" s="230" t="s">
        <v>222</v>
      </c>
      <c r="M4" s="230" t="s">
        <v>223</v>
      </c>
      <c r="N4" s="230" t="s">
        <v>224</v>
      </c>
      <c r="O4" s="230" t="s">
        <v>225</v>
      </c>
      <c r="P4" s="312" t="s">
        <v>3</v>
      </c>
      <c r="Q4" s="313"/>
    </row>
    <row r="5" spans="1:17" ht="14.4" customHeight="1" thickBot="1" x14ac:dyDescent="0.35">
      <c r="A5" s="62"/>
      <c r="B5" s="21" t="s">
        <v>17</v>
      </c>
      <c r="C5" s="22" t="s">
        <v>17</v>
      </c>
      <c r="D5" s="22" t="s">
        <v>18</v>
      </c>
      <c r="E5" s="22" t="s">
        <v>18</v>
      </c>
      <c r="F5" s="22" t="s">
        <v>18</v>
      </c>
      <c r="G5" s="22" t="s">
        <v>18</v>
      </c>
      <c r="H5" s="22" t="s">
        <v>18</v>
      </c>
      <c r="I5" s="22" t="s">
        <v>18</v>
      </c>
      <c r="J5" s="22" t="s">
        <v>18</v>
      </c>
      <c r="K5" s="22" t="s">
        <v>18</v>
      </c>
      <c r="L5" s="22" t="s">
        <v>18</v>
      </c>
      <c r="M5" s="22" t="s">
        <v>18</v>
      </c>
      <c r="N5" s="22" t="s">
        <v>18</v>
      </c>
      <c r="O5" s="22" t="s">
        <v>18</v>
      </c>
      <c r="P5" s="22" t="s">
        <v>18</v>
      </c>
      <c r="Q5" s="23" t="s">
        <v>19</v>
      </c>
    </row>
    <row r="6" spans="1:17" ht="14.4" customHeight="1" x14ac:dyDescent="0.3">
      <c r="A6" s="14" t="s">
        <v>20</v>
      </c>
      <c r="B6" s="43">
        <v>0</v>
      </c>
      <c r="C6" s="44">
        <v>0</v>
      </c>
      <c r="D6" s="44">
        <v>0</v>
      </c>
      <c r="E6" s="44">
        <v>0</v>
      </c>
      <c r="F6" s="44">
        <v>0</v>
      </c>
      <c r="G6" s="44">
        <v>0</v>
      </c>
      <c r="H6" s="44">
        <v>0</v>
      </c>
      <c r="I6" s="44">
        <v>0</v>
      </c>
      <c r="J6" s="44">
        <v>0</v>
      </c>
      <c r="K6" s="44">
        <v>0</v>
      </c>
      <c r="L6" s="44">
        <v>0</v>
      </c>
      <c r="M6" s="44">
        <v>0</v>
      </c>
      <c r="N6" s="44">
        <v>0</v>
      </c>
      <c r="O6" s="44">
        <v>0</v>
      </c>
      <c r="P6" s="45">
        <v>0</v>
      </c>
      <c r="Q6" s="70" t="s">
        <v>236</v>
      </c>
    </row>
    <row r="7" spans="1:17" ht="14.4" customHeight="1" x14ac:dyDescent="0.3">
      <c r="A7" s="15" t="s">
        <v>21</v>
      </c>
      <c r="B7" s="46">
        <v>20</v>
      </c>
      <c r="C7" s="47">
        <v>1.6666666666659999</v>
      </c>
      <c r="D7" s="47">
        <v>0</v>
      </c>
      <c r="E7" s="47">
        <v>0</v>
      </c>
      <c r="F7" s="47">
        <v>0.33124999999999999</v>
      </c>
      <c r="G7" s="47">
        <v>0.16249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v>0</v>
      </c>
      <c r="O7" s="47">
        <v>0</v>
      </c>
      <c r="P7" s="48">
        <v>0.49374000000000001</v>
      </c>
      <c r="Q7" s="71">
        <v>7.4061000000000002E-2</v>
      </c>
    </row>
    <row r="8" spans="1:17" ht="14.4" customHeight="1" x14ac:dyDescent="0.3">
      <c r="A8" s="15" t="s">
        <v>22</v>
      </c>
      <c r="B8" s="46">
        <v>0</v>
      </c>
      <c r="C8" s="47">
        <v>0</v>
      </c>
      <c r="D8" s="47">
        <v>0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v>0</v>
      </c>
      <c r="P8" s="48">
        <v>0</v>
      </c>
      <c r="Q8" s="71" t="s">
        <v>236</v>
      </c>
    </row>
    <row r="9" spans="1:17" ht="14.4" customHeight="1" x14ac:dyDescent="0.3">
      <c r="A9" s="15" t="s">
        <v>23</v>
      </c>
      <c r="B9" s="46">
        <v>1060.8359889052999</v>
      </c>
      <c r="C9" s="47">
        <v>88.402999075441002</v>
      </c>
      <c r="D9" s="47">
        <v>82.670069999999996</v>
      </c>
      <c r="E9" s="47">
        <v>55.578539999999997</v>
      </c>
      <c r="F9" s="47">
        <v>96.948459999999997</v>
      </c>
      <c r="G9" s="47">
        <v>58.611020000000003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v>0</v>
      </c>
      <c r="O9" s="47">
        <v>0</v>
      </c>
      <c r="P9" s="48">
        <v>293.80809000000102</v>
      </c>
      <c r="Q9" s="71">
        <v>0.83087704340500002</v>
      </c>
    </row>
    <row r="10" spans="1:17" ht="14.4" customHeight="1" x14ac:dyDescent="0.3">
      <c r="A10" s="15" t="s">
        <v>24</v>
      </c>
      <c r="B10" s="46">
        <v>0</v>
      </c>
      <c r="C10" s="47">
        <v>0</v>
      </c>
      <c r="D10" s="47">
        <v>0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v>0</v>
      </c>
      <c r="P10" s="48">
        <v>0</v>
      </c>
      <c r="Q10" s="71" t="s">
        <v>236</v>
      </c>
    </row>
    <row r="11" spans="1:17" ht="14.4" customHeight="1" x14ac:dyDescent="0.3">
      <c r="A11" s="15" t="s">
        <v>25</v>
      </c>
      <c r="B11" s="46">
        <v>227.30382470081099</v>
      </c>
      <c r="C11" s="47">
        <v>18.941985391734001</v>
      </c>
      <c r="D11" s="47">
        <v>10.71049</v>
      </c>
      <c r="E11" s="47">
        <v>18.197030000000002</v>
      </c>
      <c r="F11" s="47">
        <v>21.561299999999999</v>
      </c>
      <c r="G11" s="47">
        <v>20.770659999999999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v>0</v>
      </c>
      <c r="O11" s="47">
        <v>0</v>
      </c>
      <c r="P11" s="48">
        <v>71.23948</v>
      </c>
      <c r="Q11" s="71">
        <v>0.940232485226</v>
      </c>
    </row>
    <row r="12" spans="1:17" ht="14.4" customHeight="1" x14ac:dyDescent="0.3">
      <c r="A12" s="15" t="s">
        <v>26</v>
      </c>
      <c r="B12" s="46">
        <v>58.704696690173002</v>
      </c>
      <c r="C12" s="47">
        <v>4.8920580575140002</v>
      </c>
      <c r="D12" s="47">
        <v>19.353000000000002</v>
      </c>
      <c r="E12" s="47">
        <v>0</v>
      </c>
      <c r="F12" s="47">
        <v>1.9430000000000001</v>
      </c>
      <c r="G12" s="47">
        <v>44.35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v>0</v>
      </c>
      <c r="O12" s="47">
        <v>0</v>
      </c>
      <c r="P12" s="48">
        <v>65.646000000000001</v>
      </c>
      <c r="Q12" s="71">
        <v>3.3547230648230002</v>
      </c>
    </row>
    <row r="13" spans="1:17" ht="14.4" customHeight="1" x14ac:dyDescent="0.3">
      <c r="A13" s="15" t="s">
        <v>27</v>
      </c>
      <c r="B13" s="46">
        <v>63.707371321579998</v>
      </c>
      <c r="C13" s="47">
        <v>5.3089476101309998</v>
      </c>
      <c r="D13" s="47">
        <v>0.79479999999999995</v>
      </c>
      <c r="E13" s="47">
        <v>8.2386300000000006</v>
      </c>
      <c r="F13" s="47">
        <v>4.13192</v>
      </c>
      <c r="G13" s="47">
        <v>3.19198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v>0</v>
      </c>
      <c r="O13" s="47">
        <v>0</v>
      </c>
      <c r="P13" s="48">
        <v>16.357330000000001</v>
      </c>
      <c r="Q13" s="71">
        <v>0.77027177518099998</v>
      </c>
    </row>
    <row r="14" spans="1:17" ht="14.4" customHeight="1" x14ac:dyDescent="0.3">
      <c r="A14" s="15" t="s">
        <v>28</v>
      </c>
      <c r="B14" s="46">
        <v>0</v>
      </c>
      <c r="C14" s="47">
        <v>0</v>
      </c>
      <c r="D14" s="47">
        <v>0</v>
      </c>
      <c r="E14" s="47">
        <v>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v>0</v>
      </c>
      <c r="O14" s="47">
        <v>0</v>
      </c>
      <c r="P14" s="48">
        <v>0</v>
      </c>
      <c r="Q14" s="71" t="s">
        <v>236</v>
      </c>
    </row>
    <row r="15" spans="1:17" ht="14.4" customHeight="1" x14ac:dyDescent="0.3">
      <c r="A15" s="15" t="s">
        <v>29</v>
      </c>
      <c r="B15" s="46">
        <v>0</v>
      </c>
      <c r="C15" s="47">
        <v>0</v>
      </c>
      <c r="D15" s="47">
        <v>0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v>0</v>
      </c>
      <c r="P15" s="48">
        <v>0</v>
      </c>
      <c r="Q15" s="71" t="s">
        <v>236</v>
      </c>
    </row>
    <row r="16" spans="1:17" ht="14.4" customHeight="1" x14ac:dyDescent="0.3">
      <c r="A16" s="15" t="s">
        <v>30</v>
      </c>
      <c r="B16" s="46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v>0</v>
      </c>
      <c r="P16" s="48">
        <v>0</v>
      </c>
      <c r="Q16" s="71" t="s">
        <v>236</v>
      </c>
    </row>
    <row r="17" spans="1:17" ht="14.4" customHeight="1" x14ac:dyDescent="0.3">
      <c r="A17" s="15" t="s">
        <v>31</v>
      </c>
      <c r="B17" s="46">
        <v>70.369135290326</v>
      </c>
      <c r="C17" s="47">
        <v>5.864094607527</v>
      </c>
      <c r="D17" s="47">
        <v>108.9</v>
      </c>
      <c r="E17" s="47">
        <v>12.54538</v>
      </c>
      <c r="F17" s="47">
        <v>24.829000000000001</v>
      </c>
      <c r="G17" s="47">
        <v>34.747959999999999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v>0</v>
      </c>
      <c r="O17" s="47">
        <v>0</v>
      </c>
      <c r="P17" s="48">
        <v>181.02234000000001</v>
      </c>
      <c r="Q17" s="71">
        <v>7.7174036281590004</v>
      </c>
    </row>
    <row r="18" spans="1:17" ht="14.4" customHeight="1" x14ac:dyDescent="0.3">
      <c r="A18" s="15" t="s">
        <v>32</v>
      </c>
      <c r="B18" s="46">
        <v>0</v>
      </c>
      <c r="C18" s="47">
        <v>0</v>
      </c>
      <c r="D18" s="47">
        <v>2.9980000000000002</v>
      </c>
      <c r="E18" s="47">
        <v>1.724</v>
      </c>
      <c r="F18" s="47">
        <v>0</v>
      </c>
      <c r="G18" s="47">
        <v>18.687999999999999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v>0</v>
      </c>
      <c r="O18" s="47">
        <v>0</v>
      </c>
      <c r="P18" s="48">
        <v>23.41</v>
      </c>
      <c r="Q18" s="71" t="s">
        <v>236</v>
      </c>
    </row>
    <row r="19" spans="1:17" ht="14.4" customHeight="1" x14ac:dyDescent="0.3">
      <c r="A19" s="15" t="s">
        <v>33</v>
      </c>
      <c r="B19" s="46">
        <v>696.46803497439998</v>
      </c>
      <c r="C19" s="47">
        <v>58.039002914533</v>
      </c>
      <c r="D19" s="47">
        <v>41.85613</v>
      </c>
      <c r="E19" s="47">
        <v>41.747570000000003</v>
      </c>
      <c r="F19" s="47">
        <v>30.219059999999999</v>
      </c>
      <c r="G19" s="47">
        <v>72.55198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v>0</v>
      </c>
      <c r="O19" s="47">
        <v>0</v>
      </c>
      <c r="P19" s="48">
        <v>186.37474</v>
      </c>
      <c r="Q19" s="71">
        <v>0.802799542724</v>
      </c>
    </row>
    <row r="20" spans="1:17" ht="14.4" customHeight="1" x14ac:dyDescent="0.3">
      <c r="A20" s="15" t="s">
        <v>34</v>
      </c>
      <c r="B20" s="46">
        <v>19953.292449372599</v>
      </c>
      <c r="C20" s="47">
        <v>1662.77437078105</v>
      </c>
      <c r="D20" s="47">
        <v>1885.94616</v>
      </c>
      <c r="E20" s="47">
        <v>1820.2826</v>
      </c>
      <c r="F20" s="47">
        <v>1835.67328000001</v>
      </c>
      <c r="G20" s="47">
        <v>1898.6976100000099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v>0</v>
      </c>
      <c r="O20" s="47">
        <v>0</v>
      </c>
      <c r="P20" s="48">
        <v>7440.5996500000101</v>
      </c>
      <c r="Q20" s="71">
        <v>1.118702540276</v>
      </c>
    </row>
    <row r="21" spans="1:17" ht="14.4" customHeight="1" x14ac:dyDescent="0.3">
      <c r="A21" s="16" t="s">
        <v>35</v>
      </c>
      <c r="B21" s="46">
        <v>2176.8463138233901</v>
      </c>
      <c r="C21" s="47">
        <v>181.40385948528299</v>
      </c>
      <c r="D21" s="47">
        <v>192.71199999999999</v>
      </c>
      <c r="E21" s="47">
        <v>192.71199999999999</v>
      </c>
      <c r="F21" s="47">
        <v>192.71200000000101</v>
      </c>
      <c r="G21" s="47">
        <v>192.71100000000101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v>0</v>
      </c>
      <c r="O21" s="47">
        <v>0</v>
      </c>
      <c r="P21" s="48">
        <v>770.847000000001</v>
      </c>
      <c r="Q21" s="71">
        <v>1.062335446152</v>
      </c>
    </row>
    <row r="22" spans="1:17" ht="14.4" customHeight="1" x14ac:dyDescent="0.3">
      <c r="A22" s="15" t="s">
        <v>36</v>
      </c>
      <c r="B22" s="46">
        <v>0</v>
      </c>
      <c r="C22" s="47">
        <v>0</v>
      </c>
      <c r="D22" s="47">
        <v>0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v>0</v>
      </c>
      <c r="P22" s="48">
        <v>0</v>
      </c>
      <c r="Q22" s="71" t="s">
        <v>236</v>
      </c>
    </row>
    <row r="23" spans="1:17" ht="14.4" customHeight="1" x14ac:dyDescent="0.3">
      <c r="A23" s="16" t="s">
        <v>37</v>
      </c>
      <c r="B23" s="46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v>0</v>
      </c>
      <c r="P23" s="48">
        <v>0</v>
      </c>
      <c r="Q23" s="71" t="s">
        <v>236</v>
      </c>
    </row>
    <row r="24" spans="1:17" ht="14.4" customHeight="1" x14ac:dyDescent="0.3">
      <c r="A24" s="16" t="s">
        <v>38</v>
      </c>
      <c r="B24" s="46">
        <v>58.937707941211002</v>
      </c>
      <c r="C24" s="47">
        <v>4.9114756617669997</v>
      </c>
      <c r="D24" s="47">
        <v>3.820379999999</v>
      </c>
      <c r="E24" s="47">
        <v>4.8156699999989998</v>
      </c>
      <c r="F24" s="47">
        <v>3.71271</v>
      </c>
      <c r="G24" s="47">
        <v>32.032299999999999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v>0</v>
      </c>
      <c r="O24" s="47">
        <v>0</v>
      </c>
      <c r="P24" s="48">
        <v>44.381059999999998</v>
      </c>
      <c r="Q24" s="71"/>
    </row>
    <row r="25" spans="1:17" ht="14.4" customHeight="1" x14ac:dyDescent="0.3">
      <c r="A25" s="17" t="s">
        <v>39</v>
      </c>
      <c r="B25" s="49">
        <v>24386.4655230198</v>
      </c>
      <c r="C25" s="50">
        <v>2032.20546025165</v>
      </c>
      <c r="D25" s="50">
        <v>2349.7610300000001</v>
      </c>
      <c r="E25" s="50">
        <v>2155.8414200000002</v>
      </c>
      <c r="F25" s="50">
        <v>2212.06198000001</v>
      </c>
      <c r="G25" s="50">
        <v>2376.5150000000099</v>
      </c>
      <c r="H25" s="50">
        <v>0</v>
      </c>
      <c r="I25" s="50">
        <v>0</v>
      </c>
      <c r="J25" s="50">
        <v>0</v>
      </c>
      <c r="K25" s="50">
        <v>0</v>
      </c>
      <c r="L25" s="50">
        <v>0</v>
      </c>
      <c r="M25" s="50">
        <v>0</v>
      </c>
      <c r="N25" s="50">
        <v>0</v>
      </c>
      <c r="O25" s="50">
        <v>0</v>
      </c>
      <c r="P25" s="51">
        <v>9094.1794300000201</v>
      </c>
      <c r="Q25" s="72">
        <v>1.1187573805740001</v>
      </c>
    </row>
    <row r="26" spans="1:17" ht="14.4" customHeight="1" x14ac:dyDescent="0.3">
      <c r="A26" s="15" t="s">
        <v>40</v>
      </c>
      <c r="B26" s="46">
        <v>3750.0657528944998</v>
      </c>
      <c r="C26" s="47">
        <v>312.50547940787499</v>
      </c>
      <c r="D26" s="47">
        <v>292.21996000000001</v>
      </c>
      <c r="E26" s="47">
        <v>293.02715999999998</v>
      </c>
      <c r="F26" s="47">
        <v>286.55601999999999</v>
      </c>
      <c r="G26" s="47">
        <v>305.30989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v>0</v>
      </c>
      <c r="O26" s="47">
        <v>0</v>
      </c>
      <c r="P26" s="48">
        <v>1177.11303</v>
      </c>
      <c r="Q26" s="71">
        <v>0.94167391259</v>
      </c>
    </row>
    <row r="27" spans="1:17" ht="14.4" customHeight="1" x14ac:dyDescent="0.3">
      <c r="A27" s="18" t="s">
        <v>41</v>
      </c>
      <c r="B27" s="49">
        <v>28136.531275914302</v>
      </c>
      <c r="C27" s="50">
        <v>2344.7109396595201</v>
      </c>
      <c r="D27" s="50">
        <v>2641.98099</v>
      </c>
      <c r="E27" s="50">
        <v>2448.8685799999998</v>
      </c>
      <c r="F27" s="50">
        <v>2498.6180000000099</v>
      </c>
      <c r="G27" s="50">
        <v>2681.8248900000099</v>
      </c>
      <c r="H27" s="50">
        <v>0</v>
      </c>
      <c r="I27" s="50">
        <v>0</v>
      </c>
      <c r="J27" s="50">
        <v>0</v>
      </c>
      <c r="K27" s="50">
        <v>0</v>
      </c>
      <c r="L27" s="50">
        <v>0</v>
      </c>
      <c r="M27" s="50">
        <v>0</v>
      </c>
      <c r="N27" s="50">
        <v>0</v>
      </c>
      <c r="O27" s="50">
        <v>0</v>
      </c>
      <c r="P27" s="51">
        <v>10271.292460000001</v>
      </c>
      <c r="Q27" s="72">
        <v>1.0951555142960001</v>
      </c>
    </row>
    <row r="28" spans="1:17" ht="14.4" customHeight="1" x14ac:dyDescent="0.3">
      <c r="A28" s="16" t="s">
        <v>42</v>
      </c>
      <c r="B28" s="46">
        <v>1296.2821351011301</v>
      </c>
      <c r="C28" s="47">
        <v>108.023511258428</v>
      </c>
      <c r="D28" s="47">
        <v>65.26164</v>
      </c>
      <c r="E28" s="47">
        <v>44.56859</v>
      </c>
      <c r="F28" s="47">
        <v>86.110699999999994</v>
      </c>
      <c r="G28" s="47">
        <v>85.342560000000006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v>0</v>
      </c>
      <c r="O28" s="47">
        <v>0</v>
      </c>
      <c r="P28" s="48">
        <v>281.28348999999997</v>
      </c>
      <c r="Q28" s="71">
        <v>0.65097747407700002</v>
      </c>
    </row>
    <row r="29" spans="1:17" ht="14.4" customHeight="1" x14ac:dyDescent="0.3">
      <c r="A29" s="16" t="s">
        <v>43</v>
      </c>
      <c r="B29" s="46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v>0</v>
      </c>
      <c r="P29" s="48">
        <v>0</v>
      </c>
      <c r="Q29" s="71" t="s">
        <v>236</v>
      </c>
    </row>
    <row r="30" spans="1:17" ht="14.4" customHeight="1" x14ac:dyDescent="0.3">
      <c r="A30" s="16" t="s">
        <v>44</v>
      </c>
      <c r="B30" s="46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v>0</v>
      </c>
      <c r="P30" s="48">
        <v>0</v>
      </c>
      <c r="Q30" s="71">
        <v>0</v>
      </c>
    </row>
    <row r="31" spans="1:17" ht="14.4" customHeight="1" thickBot="1" x14ac:dyDescent="0.35">
      <c r="A31" s="19" t="s">
        <v>45</v>
      </c>
      <c r="B31" s="52">
        <v>0</v>
      </c>
      <c r="C31" s="53">
        <v>0</v>
      </c>
      <c r="D31" s="53">
        <v>0</v>
      </c>
      <c r="E31" s="53">
        <v>0</v>
      </c>
      <c r="F31" s="53">
        <v>0</v>
      </c>
      <c r="G31" s="53">
        <v>0</v>
      </c>
      <c r="H31" s="53">
        <v>0</v>
      </c>
      <c r="I31" s="53">
        <v>0</v>
      </c>
      <c r="J31" s="53">
        <v>0</v>
      </c>
      <c r="K31" s="53">
        <v>0</v>
      </c>
      <c r="L31" s="53">
        <v>0</v>
      </c>
      <c r="M31" s="53">
        <v>0</v>
      </c>
      <c r="N31" s="53">
        <v>0</v>
      </c>
      <c r="O31" s="53">
        <v>0</v>
      </c>
      <c r="P31" s="54">
        <v>0</v>
      </c>
      <c r="Q31" s="73" t="s">
        <v>236</v>
      </c>
    </row>
    <row r="32" spans="1:17" ht="14.4" customHeight="1" x14ac:dyDescent="0.3">
      <c r="B32" s="105"/>
      <c r="C32" s="105"/>
      <c r="D32" s="105"/>
      <c r="E32" s="105"/>
      <c r="F32" s="105"/>
      <c r="G32" s="105"/>
      <c r="H32" s="105"/>
      <c r="I32" s="105"/>
      <c r="J32" s="105"/>
      <c r="K32" s="105"/>
      <c r="L32" s="105"/>
      <c r="M32" s="105"/>
      <c r="N32" s="105"/>
      <c r="O32" s="105"/>
      <c r="P32" s="105"/>
      <c r="Q32" s="105"/>
    </row>
    <row r="33" spans="1:17" ht="14.4" customHeight="1" x14ac:dyDescent="0.3">
      <c r="A33" s="88" t="s">
        <v>127</v>
      </c>
      <c r="B33" s="106"/>
      <c r="C33" s="106"/>
      <c r="D33" s="106"/>
      <c r="E33" s="106"/>
      <c r="F33" s="106"/>
      <c r="G33" s="106"/>
      <c r="H33" s="106"/>
      <c r="I33" s="106"/>
      <c r="J33" s="106"/>
      <c r="K33" s="106"/>
      <c r="L33" s="106"/>
      <c r="M33" s="106"/>
      <c r="N33" s="106"/>
      <c r="O33" s="106"/>
      <c r="P33" s="106"/>
      <c r="Q33" s="106"/>
    </row>
    <row r="34" spans="1:17" ht="14.4" customHeight="1" x14ac:dyDescent="0.3">
      <c r="A34" s="110" t="s">
        <v>234</v>
      </c>
      <c r="B34" s="106"/>
      <c r="C34" s="106"/>
      <c r="D34" s="106"/>
      <c r="E34" s="106"/>
      <c r="F34" s="106"/>
      <c r="G34" s="106"/>
      <c r="H34" s="106"/>
      <c r="I34" s="106"/>
      <c r="J34" s="106"/>
      <c r="K34" s="106"/>
      <c r="L34" s="106"/>
      <c r="M34" s="106"/>
      <c r="N34" s="106"/>
      <c r="O34" s="106"/>
      <c r="P34" s="106"/>
      <c r="Q34" s="106"/>
    </row>
    <row r="35" spans="1:17" ht="14.4" customHeight="1" x14ac:dyDescent="0.3">
      <c r="A35" s="111" t="s">
        <v>46</v>
      </c>
      <c r="B35" s="106"/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6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203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04" customWidth="1"/>
    <col min="2" max="11" width="10" style="104" customWidth="1"/>
    <col min="12" max="16384" width="8.88671875" style="104"/>
  </cols>
  <sheetData>
    <row r="1" spans="1:11" s="55" customFormat="1" ht="18.600000000000001" customHeight="1" thickBot="1" x14ac:dyDescent="0.4">
      <c r="A1" s="309" t="s">
        <v>47</v>
      </c>
      <c r="B1" s="309"/>
      <c r="C1" s="309"/>
      <c r="D1" s="309"/>
      <c r="E1" s="309"/>
      <c r="F1" s="309"/>
      <c r="G1" s="309"/>
      <c r="H1" s="314"/>
      <c r="I1" s="314"/>
      <c r="J1" s="314"/>
      <c r="K1" s="314"/>
    </row>
    <row r="2" spans="1:11" s="55" customFormat="1" ht="14.4" customHeight="1" thickBot="1" x14ac:dyDescent="0.35">
      <c r="A2" s="200" t="s">
        <v>235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3" spans="1:11" ht="14.4" customHeight="1" x14ac:dyDescent="0.3">
      <c r="A3" s="60"/>
      <c r="B3" s="310" t="s">
        <v>48</v>
      </c>
      <c r="C3" s="311"/>
      <c r="D3" s="311"/>
      <c r="E3" s="311"/>
      <c r="F3" s="317" t="s">
        <v>49</v>
      </c>
      <c r="G3" s="311"/>
      <c r="H3" s="311"/>
      <c r="I3" s="311"/>
      <c r="J3" s="311"/>
      <c r="K3" s="318"/>
    </row>
    <row r="4" spans="1:11" ht="14.4" customHeight="1" x14ac:dyDescent="0.3">
      <c r="A4" s="61"/>
      <c r="B4" s="315"/>
      <c r="C4" s="316"/>
      <c r="D4" s="316"/>
      <c r="E4" s="316"/>
      <c r="F4" s="319" t="s">
        <v>230</v>
      </c>
      <c r="G4" s="321" t="s">
        <v>50</v>
      </c>
      <c r="H4" s="115" t="s">
        <v>117</v>
      </c>
      <c r="I4" s="319" t="s">
        <v>51</v>
      </c>
      <c r="J4" s="321" t="s">
        <v>232</v>
      </c>
      <c r="K4" s="322" t="s">
        <v>233</v>
      </c>
    </row>
    <row r="5" spans="1:11" ht="42" thickBot="1" x14ac:dyDescent="0.35">
      <c r="A5" s="62"/>
      <c r="B5" s="24" t="s">
        <v>226</v>
      </c>
      <c r="C5" s="25" t="s">
        <v>227</v>
      </c>
      <c r="D5" s="26" t="s">
        <v>228</v>
      </c>
      <c r="E5" s="26" t="s">
        <v>229</v>
      </c>
      <c r="F5" s="320"/>
      <c r="G5" s="320"/>
      <c r="H5" s="25" t="s">
        <v>231</v>
      </c>
      <c r="I5" s="320"/>
      <c r="J5" s="320"/>
      <c r="K5" s="323"/>
    </row>
    <row r="6" spans="1:11" ht="14.4" customHeight="1" thickBot="1" x14ac:dyDescent="0.35">
      <c r="A6" s="420" t="s">
        <v>238</v>
      </c>
      <c r="B6" s="402">
        <v>23130.019642916599</v>
      </c>
      <c r="C6" s="402">
        <v>25272.915990000001</v>
      </c>
      <c r="D6" s="403">
        <v>2142.8963470834401</v>
      </c>
      <c r="E6" s="404">
        <v>1.092645677788</v>
      </c>
      <c r="F6" s="402">
        <v>24386.4655230198</v>
      </c>
      <c r="G6" s="403">
        <v>8128.8218410065901</v>
      </c>
      <c r="H6" s="405">
        <v>2376.5150000000099</v>
      </c>
      <c r="I6" s="402">
        <v>9094.1794300000201</v>
      </c>
      <c r="J6" s="403">
        <v>965.357588993425</v>
      </c>
      <c r="K6" s="406">
        <v>0.37291912685799999</v>
      </c>
    </row>
    <row r="7" spans="1:11" ht="14.4" customHeight="1" thickBot="1" x14ac:dyDescent="0.35">
      <c r="A7" s="421" t="s">
        <v>239</v>
      </c>
      <c r="B7" s="402">
        <v>1640.19555457156</v>
      </c>
      <c r="C7" s="402">
        <v>1345.2217000000001</v>
      </c>
      <c r="D7" s="403">
        <v>-294.97385457155502</v>
      </c>
      <c r="E7" s="404">
        <v>0.82015933786100004</v>
      </c>
      <c r="F7" s="402">
        <v>1430.5518816178601</v>
      </c>
      <c r="G7" s="403">
        <v>476.85062720595403</v>
      </c>
      <c r="H7" s="405">
        <v>127.08645000000099</v>
      </c>
      <c r="I7" s="402">
        <v>447.54721000000097</v>
      </c>
      <c r="J7" s="403">
        <v>-29.303417205953</v>
      </c>
      <c r="K7" s="406">
        <v>0.31284933860199998</v>
      </c>
    </row>
    <row r="8" spans="1:11" ht="14.4" customHeight="1" thickBot="1" x14ac:dyDescent="0.35">
      <c r="A8" s="422" t="s">
        <v>240</v>
      </c>
      <c r="B8" s="402">
        <v>1640.19555457156</v>
      </c>
      <c r="C8" s="402">
        <v>1345.2217000000001</v>
      </c>
      <c r="D8" s="403">
        <v>-294.97385457155502</v>
      </c>
      <c r="E8" s="404">
        <v>0.82015933786100004</v>
      </c>
      <c r="F8" s="402">
        <v>1430.5518816178601</v>
      </c>
      <c r="G8" s="403">
        <v>476.85062720595403</v>
      </c>
      <c r="H8" s="405">
        <v>127.08645000000099</v>
      </c>
      <c r="I8" s="402">
        <v>447.54721000000097</v>
      </c>
      <c r="J8" s="403">
        <v>-29.303417205953</v>
      </c>
      <c r="K8" s="406">
        <v>0.31284933860199998</v>
      </c>
    </row>
    <row r="9" spans="1:11" ht="14.4" customHeight="1" thickBot="1" x14ac:dyDescent="0.35">
      <c r="A9" s="423" t="s">
        <v>241</v>
      </c>
      <c r="B9" s="407">
        <v>0</v>
      </c>
      <c r="C9" s="407">
        <v>7.5000000000000002E-4</v>
      </c>
      <c r="D9" s="408">
        <v>7.5000000000000002E-4</v>
      </c>
      <c r="E9" s="409" t="s">
        <v>236</v>
      </c>
      <c r="F9" s="407">
        <v>0</v>
      </c>
      <c r="G9" s="408">
        <v>0</v>
      </c>
      <c r="H9" s="410">
        <v>2.9999999999999997E-4</v>
      </c>
      <c r="I9" s="407">
        <v>2.5699999999999998E-3</v>
      </c>
      <c r="J9" s="408">
        <v>2.5699999999999998E-3</v>
      </c>
      <c r="K9" s="411" t="s">
        <v>236</v>
      </c>
    </row>
    <row r="10" spans="1:11" ht="14.4" customHeight="1" thickBot="1" x14ac:dyDescent="0.35">
      <c r="A10" s="424" t="s">
        <v>242</v>
      </c>
      <c r="B10" s="402">
        <v>0</v>
      </c>
      <c r="C10" s="402">
        <v>7.5000000000000002E-4</v>
      </c>
      <c r="D10" s="403">
        <v>7.5000000000000002E-4</v>
      </c>
      <c r="E10" s="412" t="s">
        <v>236</v>
      </c>
      <c r="F10" s="402">
        <v>0</v>
      </c>
      <c r="G10" s="403">
        <v>0</v>
      </c>
      <c r="H10" s="405">
        <v>2.9999999999999997E-4</v>
      </c>
      <c r="I10" s="402">
        <v>2.5699999999999998E-3</v>
      </c>
      <c r="J10" s="403">
        <v>2.5699999999999998E-3</v>
      </c>
      <c r="K10" s="413" t="s">
        <v>236</v>
      </c>
    </row>
    <row r="11" spans="1:11" ht="14.4" customHeight="1" thickBot="1" x14ac:dyDescent="0.35">
      <c r="A11" s="423" t="s">
        <v>243</v>
      </c>
      <c r="B11" s="407">
        <v>10</v>
      </c>
      <c r="C11" s="407">
        <v>15.927949999999999</v>
      </c>
      <c r="D11" s="408">
        <v>5.927949999999</v>
      </c>
      <c r="E11" s="414">
        <v>1.592795</v>
      </c>
      <c r="F11" s="407">
        <v>20</v>
      </c>
      <c r="G11" s="408">
        <v>6.6666666666659999</v>
      </c>
      <c r="H11" s="410">
        <v>0.16249</v>
      </c>
      <c r="I11" s="407">
        <v>0.49374000000000001</v>
      </c>
      <c r="J11" s="408">
        <v>-6.1729266666660001</v>
      </c>
      <c r="K11" s="415">
        <v>2.4687000000000001E-2</v>
      </c>
    </row>
    <row r="12" spans="1:11" ht="14.4" customHeight="1" thickBot="1" x14ac:dyDescent="0.35">
      <c r="A12" s="424" t="s">
        <v>244</v>
      </c>
      <c r="B12" s="402">
        <v>10</v>
      </c>
      <c r="C12" s="402">
        <v>9.1519499999989993</v>
      </c>
      <c r="D12" s="403">
        <v>-0.84804999999999997</v>
      </c>
      <c r="E12" s="404">
        <v>0.915194999999</v>
      </c>
      <c r="F12" s="402">
        <v>10</v>
      </c>
      <c r="G12" s="403">
        <v>3.333333333333</v>
      </c>
      <c r="H12" s="405">
        <v>0.16249</v>
      </c>
      <c r="I12" s="402">
        <v>0.49374000000000001</v>
      </c>
      <c r="J12" s="403">
        <v>-2.8395933333330001</v>
      </c>
      <c r="K12" s="406">
        <v>4.9374000000000001E-2</v>
      </c>
    </row>
    <row r="13" spans="1:11" ht="14.4" customHeight="1" thickBot="1" x14ac:dyDescent="0.35">
      <c r="A13" s="424" t="s">
        <v>245</v>
      </c>
      <c r="B13" s="402">
        <v>0</v>
      </c>
      <c r="C13" s="402">
        <v>6.7759999999999998</v>
      </c>
      <c r="D13" s="403">
        <v>6.7759999999999998</v>
      </c>
      <c r="E13" s="412" t="s">
        <v>246</v>
      </c>
      <c r="F13" s="402">
        <v>10</v>
      </c>
      <c r="G13" s="403">
        <v>3.333333333333</v>
      </c>
      <c r="H13" s="405">
        <v>0</v>
      </c>
      <c r="I13" s="402">
        <v>0</v>
      </c>
      <c r="J13" s="403">
        <v>-3.333333333333</v>
      </c>
      <c r="K13" s="406">
        <v>0</v>
      </c>
    </row>
    <row r="14" spans="1:11" ht="14.4" customHeight="1" thickBot="1" x14ac:dyDescent="0.35">
      <c r="A14" s="423" t="s">
        <v>247</v>
      </c>
      <c r="B14" s="407">
        <v>1230</v>
      </c>
      <c r="C14" s="407">
        <v>993.63026000000002</v>
      </c>
      <c r="D14" s="408">
        <v>-236.36974000000001</v>
      </c>
      <c r="E14" s="414">
        <v>0.80782947967399998</v>
      </c>
      <c r="F14" s="407">
        <v>1060.8359889052999</v>
      </c>
      <c r="G14" s="408">
        <v>353.611996301766</v>
      </c>
      <c r="H14" s="410">
        <v>58.611020000000003</v>
      </c>
      <c r="I14" s="407">
        <v>293.80809000000102</v>
      </c>
      <c r="J14" s="408">
        <v>-59.803906301764997</v>
      </c>
      <c r="K14" s="415">
        <v>0.27695901446799998</v>
      </c>
    </row>
    <row r="15" spans="1:11" ht="14.4" customHeight="1" thickBot="1" x14ac:dyDescent="0.35">
      <c r="A15" s="424" t="s">
        <v>248</v>
      </c>
      <c r="B15" s="402">
        <v>800</v>
      </c>
      <c r="C15" s="402">
        <v>587.57092</v>
      </c>
      <c r="D15" s="403">
        <v>-212.42908</v>
      </c>
      <c r="E15" s="404">
        <v>0.73446365000000002</v>
      </c>
      <c r="F15" s="402">
        <v>630.835988905298</v>
      </c>
      <c r="G15" s="403">
        <v>210.278662968433</v>
      </c>
      <c r="H15" s="405">
        <v>21.6065</v>
      </c>
      <c r="I15" s="402">
        <v>181.51410000000001</v>
      </c>
      <c r="J15" s="403">
        <v>-28.764562968431999</v>
      </c>
      <c r="K15" s="406">
        <v>0.28773580327100001</v>
      </c>
    </row>
    <row r="16" spans="1:11" ht="14.4" customHeight="1" thickBot="1" x14ac:dyDescent="0.35">
      <c r="A16" s="424" t="s">
        <v>249</v>
      </c>
      <c r="B16" s="402">
        <v>150</v>
      </c>
      <c r="C16" s="402">
        <v>133.06878</v>
      </c>
      <c r="D16" s="403">
        <v>-16.93122</v>
      </c>
      <c r="E16" s="404">
        <v>0.88712519999999995</v>
      </c>
      <c r="F16" s="402">
        <v>140</v>
      </c>
      <c r="G16" s="403">
        <v>46.666666666666003</v>
      </c>
      <c r="H16" s="405">
        <v>6.5113200000000004</v>
      </c>
      <c r="I16" s="402">
        <v>12.93224</v>
      </c>
      <c r="J16" s="403">
        <v>-33.734426666666003</v>
      </c>
      <c r="K16" s="406">
        <v>9.2373142857000004E-2</v>
      </c>
    </row>
    <row r="17" spans="1:11" ht="14.4" customHeight="1" thickBot="1" x14ac:dyDescent="0.35">
      <c r="A17" s="424" t="s">
        <v>250</v>
      </c>
      <c r="B17" s="402">
        <v>30</v>
      </c>
      <c r="C17" s="402">
        <v>39.938249999999996</v>
      </c>
      <c r="D17" s="403">
        <v>9.93825</v>
      </c>
      <c r="E17" s="404">
        <v>1.331275</v>
      </c>
      <c r="F17" s="402">
        <v>45</v>
      </c>
      <c r="G17" s="403">
        <v>15</v>
      </c>
      <c r="H17" s="405">
        <v>3.0720999999999998</v>
      </c>
      <c r="I17" s="402">
        <v>11.64392</v>
      </c>
      <c r="J17" s="403">
        <v>-3.3560799999989999</v>
      </c>
      <c r="K17" s="406">
        <v>0.25875377777699998</v>
      </c>
    </row>
    <row r="18" spans="1:11" ht="14.4" customHeight="1" thickBot="1" x14ac:dyDescent="0.35">
      <c r="A18" s="424" t="s">
        <v>251</v>
      </c>
      <c r="B18" s="402">
        <v>200</v>
      </c>
      <c r="C18" s="402">
        <v>170.62263999999999</v>
      </c>
      <c r="D18" s="403">
        <v>-29.377359999999999</v>
      </c>
      <c r="E18" s="404">
        <v>0.85311320000000002</v>
      </c>
      <c r="F18" s="402">
        <v>185</v>
      </c>
      <c r="G18" s="403">
        <v>61.666666666666003</v>
      </c>
      <c r="H18" s="405">
        <v>25.29458</v>
      </c>
      <c r="I18" s="402">
        <v>71.537289999999999</v>
      </c>
      <c r="J18" s="403">
        <v>9.8706233333330005</v>
      </c>
      <c r="K18" s="406">
        <v>0.38668805405399997</v>
      </c>
    </row>
    <row r="19" spans="1:11" ht="14.4" customHeight="1" thickBot="1" x14ac:dyDescent="0.35">
      <c r="A19" s="424" t="s">
        <v>252</v>
      </c>
      <c r="B19" s="402">
        <v>0</v>
      </c>
      <c r="C19" s="402">
        <v>0.43099999999999999</v>
      </c>
      <c r="D19" s="403">
        <v>0.43099999999999999</v>
      </c>
      <c r="E19" s="412" t="s">
        <v>236</v>
      </c>
      <c r="F19" s="402">
        <v>0</v>
      </c>
      <c r="G19" s="403">
        <v>0</v>
      </c>
      <c r="H19" s="405">
        <v>0</v>
      </c>
      <c r="I19" s="402">
        <v>0</v>
      </c>
      <c r="J19" s="403">
        <v>0</v>
      </c>
      <c r="K19" s="413" t="s">
        <v>236</v>
      </c>
    </row>
    <row r="20" spans="1:11" ht="14.4" customHeight="1" thickBot="1" x14ac:dyDescent="0.35">
      <c r="A20" s="424" t="s">
        <v>253</v>
      </c>
      <c r="B20" s="402">
        <v>50</v>
      </c>
      <c r="C20" s="402">
        <v>61.998669999999997</v>
      </c>
      <c r="D20" s="403">
        <v>11.998670000000001</v>
      </c>
      <c r="E20" s="404">
        <v>1.2399734</v>
      </c>
      <c r="F20" s="402">
        <v>60</v>
      </c>
      <c r="G20" s="403">
        <v>20</v>
      </c>
      <c r="H20" s="405">
        <v>1.3859999999999999</v>
      </c>
      <c r="I20" s="402">
        <v>15.440020000000001</v>
      </c>
      <c r="J20" s="403">
        <v>-4.5599799999990003</v>
      </c>
      <c r="K20" s="406">
        <v>0.25733366666599999</v>
      </c>
    </row>
    <row r="21" spans="1:11" ht="14.4" customHeight="1" thickBot="1" x14ac:dyDescent="0.35">
      <c r="A21" s="424" t="s">
        <v>254</v>
      </c>
      <c r="B21" s="402">
        <v>0</v>
      </c>
      <c r="C21" s="402">
        <v>0</v>
      </c>
      <c r="D21" s="403">
        <v>0</v>
      </c>
      <c r="E21" s="412" t="s">
        <v>236</v>
      </c>
      <c r="F21" s="402">
        <v>0</v>
      </c>
      <c r="G21" s="403">
        <v>0</v>
      </c>
      <c r="H21" s="405">
        <v>0.74051999999999996</v>
      </c>
      <c r="I21" s="402">
        <v>0.74051999999999996</v>
      </c>
      <c r="J21" s="403">
        <v>0.74051999999999996</v>
      </c>
      <c r="K21" s="413" t="s">
        <v>246</v>
      </c>
    </row>
    <row r="22" spans="1:11" ht="14.4" customHeight="1" thickBot="1" x14ac:dyDescent="0.35">
      <c r="A22" s="423" t="s">
        <v>255</v>
      </c>
      <c r="B22" s="407">
        <v>244.09756632445499</v>
      </c>
      <c r="C22" s="407">
        <v>230.37094999999999</v>
      </c>
      <c r="D22" s="408">
        <v>-13.726616324455</v>
      </c>
      <c r="E22" s="414">
        <v>0.94376586161300002</v>
      </c>
      <c r="F22" s="407">
        <v>227.30382470081099</v>
      </c>
      <c r="G22" s="408">
        <v>75.767941566936003</v>
      </c>
      <c r="H22" s="410">
        <v>20.770659999999999</v>
      </c>
      <c r="I22" s="407">
        <v>71.23948</v>
      </c>
      <c r="J22" s="408">
        <v>-4.5284615669360004</v>
      </c>
      <c r="K22" s="415">
        <v>0.313410828408</v>
      </c>
    </row>
    <row r="23" spans="1:11" ht="14.4" customHeight="1" thickBot="1" x14ac:dyDescent="0.35">
      <c r="A23" s="424" t="s">
        <v>256</v>
      </c>
      <c r="B23" s="402">
        <v>0</v>
      </c>
      <c r="C23" s="402">
        <v>1.2095</v>
      </c>
      <c r="D23" s="403">
        <v>1.2095</v>
      </c>
      <c r="E23" s="412" t="s">
        <v>236</v>
      </c>
      <c r="F23" s="402">
        <v>0</v>
      </c>
      <c r="G23" s="403">
        <v>0</v>
      </c>
      <c r="H23" s="405">
        <v>0</v>
      </c>
      <c r="I23" s="402">
        <v>0</v>
      </c>
      <c r="J23" s="403">
        <v>0</v>
      </c>
      <c r="K23" s="413" t="s">
        <v>236</v>
      </c>
    </row>
    <row r="24" spans="1:11" ht="14.4" customHeight="1" thickBot="1" x14ac:dyDescent="0.35">
      <c r="A24" s="424" t="s">
        <v>257</v>
      </c>
      <c r="B24" s="402">
        <v>6</v>
      </c>
      <c r="C24" s="402">
        <v>7.6366899999999998</v>
      </c>
      <c r="D24" s="403">
        <v>1.63669</v>
      </c>
      <c r="E24" s="404">
        <v>1.2727816666659999</v>
      </c>
      <c r="F24" s="402">
        <v>8</v>
      </c>
      <c r="G24" s="403">
        <v>2.6666666666659999</v>
      </c>
      <c r="H24" s="405">
        <v>0.60911999999999999</v>
      </c>
      <c r="I24" s="402">
        <v>2.0925600000000002</v>
      </c>
      <c r="J24" s="403">
        <v>-0.57410666666599997</v>
      </c>
      <c r="K24" s="406">
        <v>0.26157000000000002</v>
      </c>
    </row>
    <row r="25" spans="1:11" ht="14.4" customHeight="1" thickBot="1" x14ac:dyDescent="0.35">
      <c r="A25" s="424" t="s">
        <v>258</v>
      </c>
      <c r="B25" s="402">
        <v>37.473788317093003</v>
      </c>
      <c r="C25" s="402">
        <v>34.262369999999997</v>
      </c>
      <c r="D25" s="403">
        <v>-3.211418317093</v>
      </c>
      <c r="E25" s="404">
        <v>0.91430227736900005</v>
      </c>
      <c r="F25" s="402">
        <v>35.388043018152999</v>
      </c>
      <c r="G25" s="403">
        <v>11.796014339384</v>
      </c>
      <c r="H25" s="405">
        <v>0.50214999999999999</v>
      </c>
      <c r="I25" s="402">
        <v>2.04575</v>
      </c>
      <c r="J25" s="403">
        <v>-9.7502643393839996</v>
      </c>
      <c r="K25" s="406">
        <v>5.7809074069000002E-2</v>
      </c>
    </row>
    <row r="26" spans="1:11" ht="14.4" customHeight="1" thickBot="1" x14ac:dyDescent="0.35">
      <c r="A26" s="424" t="s">
        <v>259</v>
      </c>
      <c r="B26" s="402">
        <v>40</v>
      </c>
      <c r="C26" s="402">
        <v>54.509340000000002</v>
      </c>
      <c r="D26" s="403">
        <v>14.50934</v>
      </c>
      <c r="E26" s="404">
        <v>1.3627335</v>
      </c>
      <c r="F26" s="402">
        <v>55</v>
      </c>
      <c r="G26" s="403">
        <v>18.333333333333002</v>
      </c>
      <c r="H26" s="405">
        <v>1.8197700000000001</v>
      </c>
      <c r="I26" s="402">
        <v>11.10989</v>
      </c>
      <c r="J26" s="403">
        <v>-7.2234433333329999</v>
      </c>
      <c r="K26" s="406">
        <v>0.20199800000000001</v>
      </c>
    </row>
    <row r="27" spans="1:11" ht="14.4" customHeight="1" thickBot="1" x14ac:dyDescent="0.35">
      <c r="A27" s="424" t="s">
        <v>260</v>
      </c>
      <c r="B27" s="402">
        <v>0</v>
      </c>
      <c r="C27" s="402">
        <v>2.6619999999999999</v>
      </c>
      <c r="D27" s="403">
        <v>2.6619999999999999</v>
      </c>
      <c r="E27" s="412" t="s">
        <v>246</v>
      </c>
      <c r="F27" s="402">
        <v>2.4064975796249999</v>
      </c>
      <c r="G27" s="403">
        <v>0.802165859875</v>
      </c>
      <c r="H27" s="405">
        <v>0</v>
      </c>
      <c r="I27" s="402">
        <v>0</v>
      </c>
      <c r="J27" s="403">
        <v>-0.802165859875</v>
      </c>
      <c r="K27" s="406">
        <v>0</v>
      </c>
    </row>
    <row r="28" spans="1:11" ht="14.4" customHeight="1" thickBot="1" x14ac:dyDescent="0.35">
      <c r="A28" s="424" t="s">
        <v>261</v>
      </c>
      <c r="B28" s="402">
        <v>0</v>
      </c>
      <c r="C28" s="402">
        <v>1.4564999999999999</v>
      </c>
      <c r="D28" s="403">
        <v>1.4564999999999999</v>
      </c>
      <c r="E28" s="412" t="s">
        <v>236</v>
      </c>
      <c r="F28" s="402">
        <v>1.2586149739370001</v>
      </c>
      <c r="G28" s="403">
        <v>0.41953832464500002</v>
      </c>
      <c r="H28" s="405">
        <v>0</v>
      </c>
      <c r="I28" s="402">
        <v>0</v>
      </c>
      <c r="J28" s="403">
        <v>-0.41953832464500002</v>
      </c>
      <c r="K28" s="406">
        <v>0</v>
      </c>
    </row>
    <row r="29" spans="1:11" ht="14.4" customHeight="1" thickBot="1" x14ac:dyDescent="0.35">
      <c r="A29" s="424" t="s">
        <v>262</v>
      </c>
      <c r="B29" s="402">
        <v>30.623778007361</v>
      </c>
      <c r="C29" s="402">
        <v>13.77825</v>
      </c>
      <c r="D29" s="403">
        <v>-16.845528007361001</v>
      </c>
      <c r="E29" s="404">
        <v>0.44991999343400002</v>
      </c>
      <c r="F29" s="402">
        <v>11.644484793855</v>
      </c>
      <c r="G29" s="403">
        <v>3.8814949312849998</v>
      </c>
      <c r="H29" s="405">
        <v>1.1470800000000001</v>
      </c>
      <c r="I29" s="402">
        <v>5.09856</v>
      </c>
      <c r="J29" s="403">
        <v>1.2170650687140001</v>
      </c>
      <c r="K29" s="406">
        <v>0.43785191790400002</v>
      </c>
    </row>
    <row r="30" spans="1:11" ht="14.4" customHeight="1" thickBot="1" x14ac:dyDescent="0.35">
      <c r="A30" s="424" t="s">
        <v>263</v>
      </c>
      <c r="B30" s="402">
        <v>0</v>
      </c>
      <c r="C30" s="402">
        <v>0</v>
      </c>
      <c r="D30" s="403">
        <v>0</v>
      </c>
      <c r="E30" s="412" t="s">
        <v>236</v>
      </c>
      <c r="F30" s="402">
        <v>0</v>
      </c>
      <c r="G30" s="403">
        <v>0</v>
      </c>
      <c r="H30" s="405">
        <v>2.9990000000000001</v>
      </c>
      <c r="I30" s="402">
        <v>2.9990000000000001</v>
      </c>
      <c r="J30" s="403">
        <v>2.9990000000000001</v>
      </c>
      <c r="K30" s="413" t="s">
        <v>246</v>
      </c>
    </row>
    <row r="31" spans="1:11" ht="14.4" customHeight="1" thickBot="1" x14ac:dyDescent="0.35">
      <c r="A31" s="424" t="s">
        <v>264</v>
      </c>
      <c r="B31" s="402">
        <v>0</v>
      </c>
      <c r="C31" s="402">
        <v>2.2919999999999998</v>
      </c>
      <c r="D31" s="403">
        <v>2.2919999999999998</v>
      </c>
      <c r="E31" s="412" t="s">
        <v>246</v>
      </c>
      <c r="F31" s="402">
        <v>0</v>
      </c>
      <c r="G31" s="403">
        <v>0</v>
      </c>
      <c r="H31" s="405">
        <v>0</v>
      </c>
      <c r="I31" s="402">
        <v>0</v>
      </c>
      <c r="J31" s="403">
        <v>0</v>
      </c>
      <c r="K31" s="413" t="s">
        <v>236</v>
      </c>
    </row>
    <row r="32" spans="1:11" ht="14.4" customHeight="1" thickBot="1" x14ac:dyDescent="0.35">
      <c r="A32" s="424" t="s">
        <v>265</v>
      </c>
      <c r="B32" s="402">
        <v>70</v>
      </c>
      <c r="C32" s="402">
        <v>53.4437</v>
      </c>
      <c r="D32" s="403">
        <v>-16.5563</v>
      </c>
      <c r="E32" s="404">
        <v>0.76348142857099999</v>
      </c>
      <c r="F32" s="402">
        <v>54</v>
      </c>
      <c r="G32" s="403">
        <v>18</v>
      </c>
      <c r="H32" s="405">
        <v>4.2797400000000003</v>
      </c>
      <c r="I32" s="402">
        <v>18.73272</v>
      </c>
      <c r="J32" s="403">
        <v>0.73272000000000004</v>
      </c>
      <c r="K32" s="406">
        <v>0.34690222222200001</v>
      </c>
    </row>
    <row r="33" spans="1:11" ht="14.4" customHeight="1" thickBot="1" x14ac:dyDescent="0.35">
      <c r="A33" s="424" t="s">
        <v>266</v>
      </c>
      <c r="B33" s="402">
        <v>60</v>
      </c>
      <c r="C33" s="402">
        <v>59.120600000000003</v>
      </c>
      <c r="D33" s="403">
        <v>-0.87939999999999996</v>
      </c>
      <c r="E33" s="404">
        <v>0.98534333333299995</v>
      </c>
      <c r="F33" s="402">
        <v>59.606184335237003</v>
      </c>
      <c r="G33" s="403">
        <v>19.868728111745</v>
      </c>
      <c r="H33" s="405">
        <v>9.4138000000000002</v>
      </c>
      <c r="I33" s="402">
        <v>29.161000000000001</v>
      </c>
      <c r="J33" s="403">
        <v>9.2922718882539996</v>
      </c>
      <c r="K33" s="406">
        <v>0.48922775925299999</v>
      </c>
    </row>
    <row r="34" spans="1:11" ht="14.4" customHeight="1" thickBot="1" x14ac:dyDescent="0.35">
      <c r="A34" s="423" t="s">
        <v>267</v>
      </c>
      <c r="B34" s="407">
        <v>121.097988247101</v>
      </c>
      <c r="C34" s="407">
        <v>40.343020000000003</v>
      </c>
      <c r="D34" s="408">
        <v>-80.754968247099995</v>
      </c>
      <c r="E34" s="414">
        <v>0.33314360200299997</v>
      </c>
      <c r="F34" s="407">
        <v>58.704696690173002</v>
      </c>
      <c r="G34" s="408">
        <v>19.568232230056999</v>
      </c>
      <c r="H34" s="410">
        <v>44.35</v>
      </c>
      <c r="I34" s="407">
        <v>65.646000000000001</v>
      </c>
      <c r="J34" s="408">
        <v>46.077767769942</v>
      </c>
      <c r="K34" s="415">
        <v>1.118241021607</v>
      </c>
    </row>
    <row r="35" spans="1:11" ht="14.4" customHeight="1" thickBot="1" x14ac:dyDescent="0.35">
      <c r="A35" s="424" t="s">
        <v>268</v>
      </c>
      <c r="B35" s="402">
        <v>0</v>
      </c>
      <c r="C35" s="402">
        <v>0.36499999999999999</v>
      </c>
      <c r="D35" s="403">
        <v>0.36499999999999999</v>
      </c>
      <c r="E35" s="412" t="s">
        <v>246</v>
      </c>
      <c r="F35" s="402">
        <v>0.30359815550699998</v>
      </c>
      <c r="G35" s="403">
        <v>0.101199385169</v>
      </c>
      <c r="H35" s="405">
        <v>0</v>
      </c>
      <c r="I35" s="402">
        <v>0</v>
      </c>
      <c r="J35" s="403">
        <v>-0.101199385169</v>
      </c>
      <c r="K35" s="406">
        <v>0</v>
      </c>
    </row>
    <row r="36" spans="1:11" ht="14.4" customHeight="1" thickBot="1" x14ac:dyDescent="0.35">
      <c r="A36" s="424" t="s">
        <v>269</v>
      </c>
      <c r="B36" s="402">
        <v>18.145612621403998</v>
      </c>
      <c r="C36" s="402">
        <v>0</v>
      </c>
      <c r="D36" s="403">
        <v>-18.145612621403998</v>
      </c>
      <c r="E36" s="404">
        <v>0</v>
      </c>
      <c r="F36" s="402">
        <v>0</v>
      </c>
      <c r="G36" s="403">
        <v>0</v>
      </c>
      <c r="H36" s="405">
        <v>0</v>
      </c>
      <c r="I36" s="402">
        <v>0</v>
      </c>
      <c r="J36" s="403">
        <v>0</v>
      </c>
      <c r="K36" s="406">
        <v>4</v>
      </c>
    </row>
    <row r="37" spans="1:11" ht="14.4" customHeight="1" thickBot="1" x14ac:dyDescent="0.35">
      <c r="A37" s="424" t="s">
        <v>270</v>
      </c>
      <c r="B37" s="402">
        <v>102.95237562569601</v>
      </c>
      <c r="C37" s="402">
        <v>39.687019999999997</v>
      </c>
      <c r="D37" s="403">
        <v>-63.265355625696003</v>
      </c>
      <c r="E37" s="404">
        <v>0.385489113376</v>
      </c>
      <c r="F37" s="402">
        <v>58.401098534665003</v>
      </c>
      <c r="G37" s="403">
        <v>19.467032844887999</v>
      </c>
      <c r="H37" s="405">
        <v>44.35</v>
      </c>
      <c r="I37" s="402">
        <v>65.646000000000001</v>
      </c>
      <c r="J37" s="403">
        <v>46.178967155111003</v>
      </c>
      <c r="K37" s="406">
        <v>1.124054198416</v>
      </c>
    </row>
    <row r="38" spans="1:11" ht="14.4" customHeight="1" thickBot="1" x14ac:dyDescent="0.35">
      <c r="A38" s="424" t="s">
        <v>271</v>
      </c>
      <c r="B38" s="402">
        <v>0</v>
      </c>
      <c r="C38" s="402">
        <v>0.290999999999</v>
      </c>
      <c r="D38" s="403">
        <v>0.290999999999</v>
      </c>
      <c r="E38" s="412" t="s">
        <v>236</v>
      </c>
      <c r="F38" s="402">
        <v>0</v>
      </c>
      <c r="G38" s="403">
        <v>0</v>
      </c>
      <c r="H38" s="405">
        <v>0</v>
      </c>
      <c r="I38" s="402">
        <v>0</v>
      </c>
      <c r="J38" s="403">
        <v>0</v>
      </c>
      <c r="K38" s="413" t="s">
        <v>236</v>
      </c>
    </row>
    <row r="39" spans="1:11" ht="14.4" customHeight="1" thickBot="1" x14ac:dyDescent="0.35">
      <c r="A39" s="423" t="s">
        <v>272</v>
      </c>
      <c r="B39" s="407">
        <v>35</v>
      </c>
      <c r="C39" s="407">
        <v>64.404769999999999</v>
      </c>
      <c r="D39" s="408">
        <v>29.404769999999001</v>
      </c>
      <c r="E39" s="414">
        <v>1.840136285714</v>
      </c>
      <c r="F39" s="407">
        <v>63.707371321579998</v>
      </c>
      <c r="G39" s="408">
        <v>21.235790440527001</v>
      </c>
      <c r="H39" s="410">
        <v>3.19198</v>
      </c>
      <c r="I39" s="407">
        <v>16.357330000000001</v>
      </c>
      <c r="J39" s="408">
        <v>-4.8784604405260001</v>
      </c>
      <c r="K39" s="415">
        <v>0.25675725839300001</v>
      </c>
    </row>
    <row r="40" spans="1:11" ht="14.4" customHeight="1" thickBot="1" x14ac:dyDescent="0.35">
      <c r="A40" s="424" t="s">
        <v>273</v>
      </c>
      <c r="B40" s="402">
        <v>0</v>
      </c>
      <c r="C40" s="402">
        <v>6.0284499999990002</v>
      </c>
      <c r="D40" s="403">
        <v>6.0284499999990002</v>
      </c>
      <c r="E40" s="412" t="s">
        <v>246</v>
      </c>
      <c r="F40" s="402">
        <v>0</v>
      </c>
      <c r="G40" s="403">
        <v>0</v>
      </c>
      <c r="H40" s="405">
        <v>0</v>
      </c>
      <c r="I40" s="402">
        <v>2.8882699999999999</v>
      </c>
      <c r="J40" s="403">
        <v>2.8882699999999999</v>
      </c>
      <c r="K40" s="413" t="s">
        <v>236</v>
      </c>
    </row>
    <row r="41" spans="1:11" ht="14.4" customHeight="1" thickBot="1" x14ac:dyDescent="0.35">
      <c r="A41" s="424" t="s">
        <v>274</v>
      </c>
      <c r="B41" s="402">
        <v>21</v>
      </c>
      <c r="C41" s="402">
        <v>45.333950000000002</v>
      </c>
      <c r="D41" s="403">
        <v>24.333950000000002</v>
      </c>
      <c r="E41" s="404">
        <v>2.158759523809</v>
      </c>
      <c r="F41" s="402">
        <v>50.707371321579998</v>
      </c>
      <c r="G41" s="403">
        <v>16.902457107193001</v>
      </c>
      <c r="H41" s="405">
        <v>2.90158</v>
      </c>
      <c r="I41" s="402">
        <v>10.01723</v>
      </c>
      <c r="J41" s="403">
        <v>-6.8852271071929998</v>
      </c>
      <c r="K41" s="406">
        <v>0.19754977903400001</v>
      </c>
    </row>
    <row r="42" spans="1:11" ht="14.4" customHeight="1" thickBot="1" x14ac:dyDescent="0.35">
      <c r="A42" s="424" t="s">
        <v>275</v>
      </c>
      <c r="B42" s="402">
        <v>0</v>
      </c>
      <c r="C42" s="402">
        <v>0</v>
      </c>
      <c r="D42" s="403">
        <v>0</v>
      </c>
      <c r="E42" s="404">
        <v>1</v>
      </c>
      <c r="F42" s="402">
        <v>0</v>
      </c>
      <c r="G42" s="403">
        <v>0</v>
      </c>
      <c r="H42" s="405">
        <v>0</v>
      </c>
      <c r="I42" s="402">
        <v>0.61951000000000001</v>
      </c>
      <c r="J42" s="403">
        <v>0.61951000000000001</v>
      </c>
      <c r="K42" s="413" t="s">
        <v>246</v>
      </c>
    </row>
    <row r="43" spans="1:11" ht="14.4" customHeight="1" thickBot="1" x14ac:dyDescent="0.35">
      <c r="A43" s="424" t="s">
        <v>276</v>
      </c>
      <c r="B43" s="402">
        <v>10</v>
      </c>
      <c r="C43" s="402">
        <v>9.4293700000000005</v>
      </c>
      <c r="D43" s="403">
        <v>-0.57062999999999997</v>
      </c>
      <c r="E43" s="404">
        <v>0.94293699999900005</v>
      </c>
      <c r="F43" s="402">
        <v>10</v>
      </c>
      <c r="G43" s="403">
        <v>3.333333333333</v>
      </c>
      <c r="H43" s="405">
        <v>0.29039999999999999</v>
      </c>
      <c r="I43" s="402">
        <v>2.8323200000000002</v>
      </c>
      <c r="J43" s="403">
        <v>-0.50101333333300002</v>
      </c>
      <c r="K43" s="406">
        <v>0.28323199999999998</v>
      </c>
    </row>
    <row r="44" spans="1:11" ht="14.4" customHeight="1" thickBot="1" x14ac:dyDescent="0.35">
      <c r="A44" s="424" t="s">
        <v>277</v>
      </c>
      <c r="B44" s="402">
        <v>4</v>
      </c>
      <c r="C44" s="402">
        <v>3.613</v>
      </c>
      <c r="D44" s="403">
        <v>-0.38700000000000001</v>
      </c>
      <c r="E44" s="404">
        <v>0.90324999999900002</v>
      </c>
      <c r="F44" s="402">
        <v>3</v>
      </c>
      <c r="G44" s="403">
        <v>1</v>
      </c>
      <c r="H44" s="405">
        <v>0</v>
      </c>
      <c r="I44" s="402">
        <v>0</v>
      </c>
      <c r="J44" s="403">
        <v>-1</v>
      </c>
      <c r="K44" s="406">
        <v>0</v>
      </c>
    </row>
    <row r="45" spans="1:11" ht="14.4" customHeight="1" thickBot="1" x14ac:dyDescent="0.35">
      <c r="A45" s="423" t="s">
        <v>278</v>
      </c>
      <c r="B45" s="407">
        <v>0</v>
      </c>
      <c r="C45" s="407">
        <v>0.54400000000000004</v>
      </c>
      <c r="D45" s="408">
        <v>0.54400000000000004</v>
      </c>
      <c r="E45" s="409" t="s">
        <v>246</v>
      </c>
      <c r="F45" s="407">
        <v>0</v>
      </c>
      <c r="G45" s="408">
        <v>0</v>
      </c>
      <c r="H45" s="410">
        <v>0</v>
      </c>
      <c r="I45" s="407">
        <v>0</v>
      </c>
      <c r="J45" s="408">
        <v>0</v>
      </c>
      <c r="K45" s="411" t="s">
        <v>236</v>
      </c>
    </row>
    <row r="46" spans="1:11" ht="14.4" customHeight="1" thickBot="1" x14ac:dyDescent="0.35">
      <c r="A46" s="424" t="s">
        <v>279</v>
      </c>
      <c r="B46" s="402">
        <v>0</v>
      </c>
      <c r="C46" s="402">
        <v>0.54400000000000004</v>
      </c>
      <c r="D46" s="403">
        <v>0.54400000000000004</v>
      </c>
      <c r="E46" s="412" t="s">
        <v>246</v>
      </c>
      <c r="F46" s="402">
        <v>0</v>
      </c>
      <c r="G46" s="403">
        <v>0</v>
      </c>
      <c r="H46" s="405">
        <v>0</v>
      </c>
      <c r="I46" s="402">
        <v>0</v>
      </c>
      <c r="J46" s="403">
        <v>0</v>
      </c>
      <c r="K46" s="413" t="s">
        <v>236</v>
      </c>
    </row>
    <row r="47" spans="1:11" ht="14.4" customHeight="1" thickBot="1" x14ac:dyDescent="0.35">
      <c r="A47" s="425" t="s">
        <v>280</v>
      </c>
      <c r="B47" s="407">
        <v>694.824088345002</v>
      </c>
      <c r="C47" s="407">
        <v>914.34599000000003</v>
      </c>
      <c r="D47" s="408">
        <v>219.521901654998</v>
      </c>
      <c r="E47" s="414">
        <v>1.315938818669</v>
      </c>
      <c r="F47" s="407">
        <v>766.83717026472596</v>
      </c>
      <c r="G47" s="408">
        <v>255.61239008824199</v>
      </c>
      <c r="H47" s="410">
        <v>125.987940000001</v>
      </c>
      <c r="I47" s="407">
        <v>390.80708000000101</v>
      </c>
      <c r="J47" s="408">
        <v>135.19468991175901</v>
      </c>
      <c r="K47" s="415">
        <v>0.50963502442700004</v>
      </c>
    </row>
    <row r="48" spans="1:11" ht="14.4" customHeight="1" thickBot="1" x14ac:dyDescent="0.35">
      <c r="A48" s="422" t="s">
        <v>31</v>
      </c>
      <c r="B48" s="402">
        <v>81.70063127057</v>
      </c>
      <c r="C48" s="402">
        <v>87.080209999999994</v>
      </c>
      <c r="D48" s="403">
        <v>5.3795787294290003</v>
      </c>
      <c r="E48" s="404">
        <v>1.0658450081199999</v>
      </c>
      <c r="F48" s="402">
        <v>70.369135290326</v>
      </c>
      <c r="G48" s="403">
        <v>23.456378430108</v>
      </c>
      <c r="H48" s="405">
        <v>34.747959999999999</v>
      </c>
      <c r="I48" s="402">
        <v>181.02234000000001</v>
      </c>
      <c r="J48" s="403">
        <v>157.56596156989099</v>
      </c>
      <c r="K48" s="406">
        <v>2.572467876053</v>
      </c>
    </row>
    <row r="49" spans="1:11" ht="14.4" customHeight="1" thickBot="1" x14ac:dyDescent="0.35">
      <c r="A49" s="426" t="s">
        <v>281</v>
      </c>
      <c r="B49" s="402">
        <v>81.70063127057</v>
      </c>
      <c r="C49" s="402">
        <v>87.080209999999994</v>
      </c>
      <c r="D49" s="403">
        <v>5.3795787294290003</v>
      </c>
      <c r="E49" s="404">
        <v>1.0658450081199999</v>
      </c>
      <c r="F49" s="402">
        <v>70.369135290326</v>
      </c>
      <c r="G49" s="403">
        <v>23.456378430108</v>
      </c>
      <c r="H49" s="405">
        <v>34.747959999999999</v>
      </c>
      <c r="I49" s="402">
        <v>181.02234000000001</v>
      </c>
      <c r="J49" s="403">
        <v>157.56596156989099</v>
      </c>
      <c r="K49" s="406">
        <v>2.572467876053</v>
      </c>
    </row>
    <row r="50" spans="1:11" ht="14.4" customHeight="1" thickBot="1" x14ac:dyDescent="0.35">
      <c r="A50" s="424" t="s">
        <v>282</v>
      </c>
      <c r="B50" s="402">
        <v>75.259379083368998</v>
      </c>
      <c r="C50" s="402">
        <v>67.142629999999997</v>
      </c>
      <c r="D50" s="403">
        <v>-8.1167490833689993</v>
      </c>
      <c r="E50" s="404">
        <v>0.89214966716099997</v>
      </c>
      <c r="F50" s="402">
        <v>62.513966995451</v>
      </c>
      <c r="G50" s="403">
        <v>20.837988998482999</v>
      </c>
      <c r="H50" s="405">
        <v>6.2619999999999996</v>
      </c>
      <c r="I50" s="402">
        <v>127.57055</v>
      </c>
      <c r="J50" s="403">
        <v>106.732561001516</v>
      </c>
      <c r="K50" s="406">
        <v>2.040672766923</v>
      </c>
    </row>
    <row r="51" spans="1:11" ht="14.4" customHeight="1" thickBot="1" x14ac:dyDescent="0.35">
      <c r="A51" s="424" t="s">
        <v>283</v>
      </c>
      <c r="B51" s="402">
        <v>1.4412521871999999</v>
      </c>
      <c r="C51" s="402">
        <v>14.47021</v>
      </c>
      <c r="D51" s="403">
        <v>13.028957812799</v>
      </c>
      <c r="E51" s="404">
        <v>10.040026394065</v>
      </c>
      <c r="F51" s="402">
        <v>2.825671396952</v>
      </c>
      <c r="G51" s="403">
        <v>0.94189046565000001</v>
      </c>
      <c r="H51" s="405">
        <v>28.485959999999999</v>
      </c>
      <c r="I51" s="402">
        <v>53.451790000000003</v>
      </c>
      <c r="J51" s="403">
        <v>52.509899534349003</v>
      </c>
      <c r="K51" s="406">
        <v>18.916491867257999</v>
      </c>
    </row>
    <row r="52" spans="1:11" ht="14.4" customHeight="1" thickBot="1" x14ac:dyDescent="0.35">
      <c r="A52" s="424" t="s">
        <v>284</v>
      </c>
      <c r="B52" s="402">
        <v>4.9999999999989999</v>
      </c>
      <c r="C52" s="402">
        <v>5.4673699999999998</v>
      </c>
      <c r="D52" s="403">
        <v>0.46737000000000001</v>
      </c>
      <c r="E52" s="404">
        <v>1.0934740000000001</v>
      </c>
      <c r="F52" s="402">
        <v>5.0294968979209997</v>
      </c>
      <c r="G52" s="403">
        <v>1.6764989659730001</v>
      </c>
      <c r="H52" s="405">
        <v>0</v>
      </c>
      <c r="I52" s="402">
        <v>0</v>
      </c>
      <c r="J52" s="403">
        <v>-1.6764989659730001</v>
      </c>
      <c r="K52" s="406">
        <v>0</v>
      </c>
    </row>
    <row r="53" spans="1:11" ht="14.4" customHeight="1" thickBot="1" x14ac:dyDescent="0.35">
      <c r="A53" s="427" t="s">
        <v>32</v>
      </c>
      <c r="B53" s="407">
        <v>0</v>
      </c>
      <c r="C53" s="407">
        <v>108.788</v>
      </c>
      <c r="D53" s="408">
        <v>108.788</v>
      </c>
      <c r="E53" s="409" t="s">
        <v>236</v>
      </c>
      <c r="F53" s="407">
        <v>0</v>
      </c>
      <c r="G53" s="408">
        <v>0</v>
      </c>
      <c r="H53" s="410">
        <v>18.687999999999999</v>
      </c>
      <c r="I53" s="407">
        <v>23.41</v>
      </c>
      <c r="J53" s="408">
        <v>23.41</v>
      </c>
      <c r="K53" s="411" t="s">
        <v>236</v>
      </c>
    </row>
    <row r="54" spans="1:11" ht="14.4" customHeight="1" thickBot="1" x14ac:dyDescent="0.35">
      <c r="A54" s="423" t="s">
        <v>285</v>
      </c>
      <c r="B54" s="407">
        <v>0</v>
      </c>
      <c r="C54" s="407">
        <v>62.121000000000002</v>
      </c>
      <c r="D54" s="408">
        <v>62.121000000000002</v>
      </c>
      <c r="E54" s="409" t="s">
        <v>236</v>
      </c>
      <c r="F54" s="407">
        <v>0</v>
      </c>
      <c r="G54" s="408">
        <v>0</v>
      </c>
      <c r="H54" s="410">
        <v>18.687999999999999</v>
      </c>
      <c r="I54" s="407">
        <v>23.41</v>
      </c>
      <c r="J54" s="408">
        <v>23.41</v>
      </c>
      <c r="K54" s="411" t="s">
        <v>236</v>
      </c>
    </row>
    <row r="55" spans="1:11" ht="14.4" customHeight="1" thickBot="1" x14ac:dyDescent="0.35">
      <c r="A55" s="424" t="s">
        <v>286</v>
      </c>
      <c r="B55" s="402">
        <v>0</v>
      </c>
      <c r="C55" s="402">
        <v>59.121000000000002</v>
      </c>
      <c r="D55" s="403">
        <v>59.121000000000002</v>
      </c>
      <c r="E55" s="412" t="s">
        <v>236</v>
      </c>
      <c r="F55" s="402">
        <v>0</v>
      </c>
      <c r="G55" s="403">
        <v>0</v>
      </c>
      <c r="H55" s="405">
        <v>18.687999999999999</v>
      </c>
      <c r="I55" s="402">
        <v>23.41</v>
      </c>
      <c r="J55" s="403">
        <v>23.41</v>
      </c>
      <c r="K55" s="413" t="s">
        <v>236</v>
      </c>
    </row>
    <row r="56" spans="1:11" ht="14.4" customHeight="1" thickBot="1" x14ac:dyDescent="0.35">
      <c r="A56" s="424" t="s">
        <v>287</v>
      </c>
      <c r="B56" s="402">
        <v>0</v>
      </c>
      <c r="C56" s="402">
        <v>3</v>
      </c>
      <c r="D56" s="403">
        <v>3</v>
      </c>
      <c r="E56" s="412" t="s">
        <v>236</v>
      </c>
      <c r="F56" s="402">
        <v>0</v>
      </c>
      <c r="G56" s="403">
        <v>0</v>
      </c>
      <c r="H56" s="405">
        <v>0</v>
      </c>
      <c r="I56" s="402">
        <v>0</v>
      </c>
      <c r="J56" s="403">
        <v>0</v>
      </c>
      <c r="K56" s="413" t="s">
        <v>236</v>
      </c>
    </row>
    <row r="57" spans="1:11" ht="14.4" customHeight="1" thickBot="1" x14ac:dyDescent="0.35">
      <c r="A57" s="423" t="s">
        <v>288</v>
      </c>
      <c r="B57" s="407">
        <v>0</v>
      </c>
      <c r="C57" s="407">
        <v>46.667000000000002</v>
      </c>
      <c r="D57" s="408">
        <v>46.667000000000002</v>
      </c>
      <c r="E57" s="409" t="s">
        <v>236</v>
      </c>
      <c r="F57" s="407">
        <v>0</v>
      </c>
      <c r="G57" s="408">
        <v>0</v>
      </c>
      <c r="H57" s="410">
        <v>0</v>
      </c>
      <c r="I57" s="407">
        <v>0</v>
      </c>
      <c r="J57" s="408">
        <v>0</v>
      </c>
      <c r="K57" s="411" t="s">
        <v>236</v>
      </c>
    </row>
    <row r="58" spans="1:11" ht="14.4" customHeight="1" thickBot="1" x14ac:dyDescent="0.35">
      <c r="A58" s="424" t="s">
        <v>289</v>
      </c>
      <c r="B58" s="402">
        <v>0</v>
      </c>
      <c r="C58" s="402">
        <v>46.667000000000002</v>
      </c>
      <c r="D58" s="403">
        <v>46.667000000000002</v>
      </c>
      <c r="E58" s="412" t="s">
        <v>236</v>
      </c>
      <c r="F58" s="402">
        <v>0</v>
      </c>
      <c r="G58" s="403">
        <v>0</v>
      </c>
      <c r="H58" s="405">
        <v>0</v>
      </c>
      <c r="I58" s="402">
        <v>0</v>
      </c>
      <c r="J58" s="403">
        <v>0</v>
      </c>
      <c r="K58" s="413" t="s">
        <v>236</v>
      </c>
    </row>
    <row r="59" spans="1:11" ht="14.4" customHeight="1" thickBot="1" x14ac:dyDescent="0.35">
      <c r="A59" s="422" t="s">
        <v>33</v>
      </c>
      <c r="B59" s="402">
        <v>613.12345707443205</v>
      </c>
      <c r="C59" s="402">
        <v>718.47778000000005</v>
      </c>
      <c r="D59" s="403">
        <v>105.354322925568</v>
      </c>
      <c r="E59" s="404">
        <v>1.1718321517629999</v>
      </c>
      <c r="F59" s="402">
        <v>696.46803497439998</v>
      </c>
      <c r="G59" s="403">
        <v>232.156011658133</v>
      </c>
      <c r="H59" s="405">
        <v>72.55198</v>
      </c>
      <c r="I59" s="402">
        <v>186.37474</v>
      </c>
      <c r="J59" s="403">
        <v>-45.781271658131999</v>
      </c>
      <c r="K59" s="406">
        <v>0.26759984757400002</v>
      </c>
    </row>
    <row r="60" spans="1:11" ht="14.4" customHeight="1" thickBot="1" x14ac:dyDescent="0.35">
      <c r="A60" s="423" t="s">
        <v>290</v>
      </c>
      <c r="B60" s="407">
        <v>84.224787969637006</v>
      </c>
      <c r="C60" s="407">
        <v>77.250100000000003</v>
      </c>
      <c r="D60" s="408">
        <v>-6.9746879696370003</v>
      </c>
      <c r="E60" s="414">
        <v>0.91718960489199997</v>
      </c>
      <c r="F60" s="407">
        <v>81.755319359794001</v>
      </c>
      <c r="G60" s="408">
        <v>27.251773119930998</v>
      </c>
      <c r="H60" s="410">
        <v>1.1200600000000001</v>
      </c>
      <c r="I60" s="407">
        <v>16.18749</v>
      </c>
      <c r="J60" s="408">
        <v>-11.064283119931</v>
      </c>
      <c r="K60" s="415">
        <v>0.19799922655499999</v>
      </c>
    </row>
    <row r="61" spans="1:11" ht="14.4" customHeight="1" thickBot="1" x14ac:dyDescent="0.35">
      <c r="A61" s="424" t="s">
        <v>291</v>
      </c>
      <c r="B61" s="402">
        <v>0.23569054459800001</v>
      </c>
      <c r="C61" s="402">
        <v>8.5828000000000007</v>
      </c>
      <c r="D61" s="403">
        <v>8.3471094554010001</v>
      </c>
      <c r="E61" s="404">
        <v>36.415546557528003</v>
      </c>
      <c r="F61" s="402">
        <v>9.7976141135979997</v>
      </c>
      <c r="G61" s="403">
        <v>3.2658713711990002</v>
      </c>
      <c r="H61" s="405">
        <v>0.71250000000000002</v>
      </c>
      <c r="I61" s="402">
        <v>4.6216999999999997</v>
      </c>
      <c r="J61" s="403">
        <v>1.3558286288000001</v>
      </c>
      <c r="K61" s="406">
        <v>0.47171688396900002</v>
      </c>
    </row>
    <row r="62" spans="1:11" ht="14.4" customHeight="1" thickBot="1" x14ac:dyDescent="0.35">
      <c r="A62" s="424" t="s">
        <v>292</v>
      </c>
      <c r="B62" s="402">
        <v>79.599406528188993</v>
      </c>
      <c r="C62" s="402">
        <v>64.494</v>
      </c>
      <c r="D62" s="403">
        <v>-15.105406528189</v>
      </c>
      <c r="E62" s="404">
        <v>0.81023217148100002</v>
      </c>
      <c r="F62" s="402">
        <v>67.668209801735003</v>
      </c>
      <c r="G62" s="403">
        <v>22.556069933911001</v>
      </c>
      <c r="H62" s="405">
        <v>0</v>
      </c>
      <c r="I62" s="402">
        <v>10.06</v>
      </c>
      <c r="J62" s="403">
        <v>-12.496069933911</v>
      </c>
      <c r="K62" s="406">
        <v>0.14866656040500001</v>
      </c>
    </row>
    <row r="63" spans="1:11" ht="14.4" customHeight="1" thickBot="1" x14ac:dyDescent="0.35">
      <c r="A63" s="424" t="s">
        <v>293</v>
      </c>
      <c r="B63" s="402">
        <v>4.3896908968480002</v>
      </c>
      <c r="C63" s="402">
        <v>4.1733000000000002</v>
      </c>
      <c r="D63" s="403">
        <v>-0.216390896848</v>
      </c>
      <c r="E63" s="404">
        <v>0.95070475303699997</v>
      </c>
      <c r="F63" s="402">
        <v>4.2894954444610001</v>
      </c>
      <c r="G63" s="403">
        <v>1.42983181482</v>
      </c>
      <c r="H63" s="405">
        <v>0.40755999999999998</v>
      </c>
      <c r="I63" s="402">
        <v>1.50579</v>
      </c>
      <c r="J63" s="403">
        <v>7.5958185179000007E-2</v>
      </c>
      <c r="K63" s="406">
        <v>0.35104128667200002</v>
      </c>
    </row>
    <row r="64" spans="1:11" ht="14.4" customHeight="1" thickBot="1" x14ac:dyDescent="0.35">
      <c r="A64" s="423" t="s">
        <v>294</v>
      </c>
      <c r="B64" s="407">
        <v>52</v>
      </c>
      <c r="C64" s="407">
        <v>44.965739999999997</v>
      </c>
      <c r="D64" s="408">
        <v>-7.0342599999999997</v>
      </c>
      <c r="E64" s="414">
        <v>0.86472576923</v>
      </c>
      <c r="F64" s="407">
        <v>61.248570170396</v>
      </c>
      <c r="G64" s="408">
        <v>20.416190056798001</v>
      </c>
      <c r="H64" s="410">
        <v>1.0366200000000001</v>
      </c>
      <c r="I64" s="407">
        <v>30.19866</v>
      </c>
      <c r="J64" s="408">
        <v>9.7824699432010007</v>
      </c>
      <c r="K64" s="415">
        <v>0.49305085679499999</v>
      </c>
    </row>
    <row r="65" spans="1:11" ht="14.4" customHeight="1" thickBot="1" x14ac:dyDescent="0.35">
      <c r="A65" s="424" t="s">
        <v>295</v>
      </c>
      <c r="B65" s="402">
        <v>2</v>
      </c>
      <c r="C65" s="402">
        <v>1.62</v>
      </c>
      <c r="D65" s="403">
        <v>-0.38</v>
      </c>
      <c r="E65" s="404">
        <v>0.80999999999899996</v>
      </c>
      <c r="F65" s="402">
        <v>1.7036619718299999</v>
      </c>
      <c r="G65" s="403">
        <v>0.56788732394300001</v>
      </c>
      <c r="H65" s="405">
        <v>0.40500000000000003</v>
      </c>
      <c r="I65" s="402">
        <v>0.81</v>
      </c>
      <c r="J65" s="403">
        <v>0.24211267605600001</v>
      </c>
      <c r="K65" s="406">
        <v>0.475446428571</v>
      </c>
    </row>
    <row r="66" spans="1:11" ht="14.4" customHeight="1" thickBot="1" x14ac:dyDescent="0.35">
      <c r="A66" s="424" t="s">
        <v>296</v>
      </c>
      <c r="B66" s="402">
        <v>50</v>
      </c>
      <c r="C66" s="402">
        <v>43.345739999999999</v>
      </c>
      <c r="D66" s="403">
        <v>-6.6542599999999998</v>
      </c>
      <c r="E66" s="404">
        <v>0.86691479999900001</v>
      </c>
      <c r="F66" s="402">
        <v>59.544908198564997</v>
      </c>
      <c r="G66" s="403">
        <v>19.848302732855</v>
      </c>
      <c r="H66" s="405">
        <v>0.63161999999999996</v>
      </c>
      <c r="I66" s="402">
        <v>29.388660000000002</v>
      </c>
      <c r="J66" s="403">
        <v>9.5403572671439996</v>
      </c>
      <c r="K66" s="406">
        <v>0.49355454377300001</v>
      </c>
    </row>
    <row r="67" spans="1:11" ht="14.4" customHeight="1" thickBot="1" x14ac:dyDescent="0.35">
      <c r="A67" s="423" t="s">
        <v>297</v>
      </c>
      <c r="B67" s="407">
        <v>59.092288392816002</v>
      </c>
      <c r="C67" s="407">
        <v>51.216090000000001</v>
      </c>
      <c r="D67" s="408">
        <v>-7.8761983928159998</v>
      </c>
      <c r="E67" s="414">
        <v>0.86671359991200003</v>
      </c>
      <c r="F67" s="407">
        <v>52.037963834480998</v>
      </c>
      <c r="G67" s="408">
        <v>17.345987944827002</v>
      </c>
      <c r="H67" s="410">
        <v>0</v>
      </c>
      <c r="I67" s="407">
        <v>12.104380000000001</v>
      </c>
      <c r="J67" s="408">
        <v>-5.2416079448269999</v>
      </c>
      <c r="K67" s="415">
        <v>0.23260671840399999</v>
      </c>
    </row>
    <row r="68" spans="1:11" ht="14.4" customHeight="1" thickBot="1" x14ac:dyDescent="0.35">
      <c r="A68" s="424" t="s">
        <v>298</v>
      </c>
      <c r="B68" s="402">
        <v>59.092288392816002</v>
      </c>
      <c r="C68" s="402">
        <v>51.216090000000001</v>
      </c>
      <c r="D68" s="403">
        <v>-7.8761983928159998</v>
      </c>
      <c r="E68" s="404">
        <v>0.86671359991200003</v>
      </c>
      <c r="F68" s="402">
        <v>52.037963834480998</v>
      </c>
      <c r="G68" s="403">
        <v>17.345987944827002</v>
      </c>
      <c r="H68" s="405">
        <v>0</v>
      </c>
      <c r="I68" s="402">
        <v>12.104380000000001</v>
      </c>
      <c r="J68" s="403">
        <v>-5.2416079448269999</v>
      </c>
      <c r="K68" s="406">
        <v>0.23260671840399999</v>
      </c>
    </row>
    <row r="69" spans="1:11" ht="14.4" customHeight="1" thickBot="1" x14ac:dyDescent="0.35">
      <c r="A69" s="423" t="s">
        <v>299</v>
      </c>
      <c r="B69" s="407">
        <v>329.22162144200797</v>
      </c>
      <c r="C69" s="407">
        <v>452.96474999999998</v>
      </c>
      <c r="D69" s="408">
        <v>123.74312855799199</v>
      </c>
      <c r="E69" s="414">
        <v>1.375865740579</v>
      </c>
      <c r="F69" s="407">
        <v>471.409531597583</v>
      </c>
      <c r="G69" s="408">
        <v>157.13651053252801</v>
      </c>
      <c r="H69" s="410">
        <v>65.919150000000002</v>
      </c>
      <c r="I69" s="407">
        <v>101.77905</v>
      </c>
      <c r="J69" s="408">
        <v>-55.357460532527</v>
      </c>
      <c r="K69" s="415">
        <v>0.21590367435899999</v>
      </c>
    </row>
    <row r="70" spans="1:11" ht="14.4" customHeight="1" thickBot="1" x14ac:dyDescent="0.35">
      <c r="A70" s="424" t="s">
        <v>300</v>
      </c>
      <c r="B70" s="402">
        <v>242.75385941127499</v>
      </c>
      <c r="C70" s="402">
        <v>375.67187000000001</v>
      </c>
      <c r="D70" s="403">
        <v>132.918010588725</v>
      </c>
      <c r="E70" s="404">
        <v>1.5475423167769999</v>
      </c>
      <c r="F70" s="402">
        <v>385.07772137928799</v>
      </c>
      <c r="G70" s="403">
        <v>128.35924045976299</v>
      </c>
      <c r="H70" s="405">
        <v>65.919150000000002</v>
      </c>
      <c r="I70" s="402">
        <v>90.707549999999998</v>
      </c>
      <c r="J70" s="403">
        <v>-37.651690459762001</v>
      </c>
      <c r="K70" s="406">
        <v>0.23555647331400001</v>
      </c>
    </row>
    <row r="71" spans="1:11" ht="14.4" customHeight="1" thickBot="1" x14ac:dyDescent="0.35">
      <c r="A71" s="424" t="s">
        <v>301</v>
      </c>
      <c r="B71" s="402">
        <v>86.467762030732004</v>
      </c>
      <c r="C71" s="402">
        <v>75.761830000000003</v>
      </c>
      <c r="D71" s="403">
        <v>-10.705932030732001</v>
      </c>
      <c r="E71" s="404">
        <v>0.87618585494400003</v>
      </c>
      <c r="F71" s="402">
        <v>85.430691761831994</v>
      </c>
      <c r="G71" s="403">
        <v>28.476897253943999</v>
      </c>
      <c r="H71" s="405">
        <v>0</v>
      </c>
      <c r="I71" s="402">
        <v>7.26</v>
      </c>
      <c r="J71" s="403">
        <v>-21.216897253944001</v>
      </c>
      <c r="K71" s="406">
        <v>8.4981168363000001E-2</v>
      </c>
    </row>
    <row r="72" spans="1:11" ht="14.4" customHeight="1" thickBot="1" x14ac:dyDescent="0.35">
      <c r="A72" s="424" t="s">
        <v>302</v>
      </c>
      <c r="B72" s="402">
        <v>0</v>
      </c>
      <c r="C72" s="402">
        <v>1.53105</v>
      </c>
      <c r="D72" s="403">
        <v>1.53105</v>
      </c>
      <c r="E72" s="412" t="s">
        <v>246</v>
      </c>
      <c r="F72" s="402">
        <v>0.90111845646199995</v>
      </c>
      <c r="G72" s="403">
        <v>0.30037281882</v>
      </c>
      <c r="H72" s="405">
        <v>0</v>
      </c>
      <c r="I72" s="402">
        <v>3.8115000000000001</v>
      </c>
      <c r="J72" s="403">
        <v>3.5111271811789999</v>
      </c>
      <c r="K72" s="406">
        <v>4.2297435732949999</v>
      </c>
    </row>
    <row r="73" spans="1:11" ht="14.4" customHeight="1" thickBot="1" x14ac:dyDescent="0.35">
      <c r="A73" s="423" t="s">
        <v>303</v>
      </c>
      <c r="B73" s="407">
        <v>88.584759269969993</v>
      </c>
      <c r="C73" s="407">
        <v>92.081100000000006</v>
      </c>
      <c r="D73" s="408">
        <v>3.4963407300289999</v>
      </c>
      <c r="E73" s="414">
        <v>1.039468874317</v>
      </c>
      <c r="F73" s="407">
        <v>30.016650012143</v>
      </c>
      <c r="G73" s="408">
        <v>10.005550004047</v>
      </c>
      <c r="H73" s="410">
        <v>4.4761499999999996</v>
      </c>
      <c r="I73" s="407">
        <v>26.105160000000001</v>
      </c>
      <c r="J73" s="408">
        <v>16.099609995952001</v>
      </c>
      <c r="K73" s="415">
        <v>0.86968932207399996</v>
      </c>
    </row>
    <row r="74" spans="1:11" ht="14.4" customHeight="1" thickBot="1" x14ac:dyDescent="0.35">
      <c r="A74" s="424" t="s">
        <v>304</v>
      </c>
      <c r="B74" s="402">
        <v>0</v>
      </c>
      <c r="C74" s="402">
        <v>29.641999999999999</v>
      </c>
      <c r="D74" s="403">
        <v>29.641999999999999</v>
      </c>
      <c r="E74" s="412" t="s">
        <v>236</v>
      </c>
      <c r="F74" s="402">
        <v>0</v>
      </c>
      <c r="G74" s="403">
        <v>0</v>
      </c>
      <c r="H74" s="405">
        <v>0</v>
      </c>
      <c r="I74" s="402">
        <v>0</v>
      </c>
      <c r="J74" s="403">
        <v>0</v>
      </c>
      <c r="K74" s="413" t="s">
        <v>236</v>
      </c>
    </row>
    <row r="75" spans="1:11" ht="14.4" customHeight="1" thickBot="1" x14ac:dyDescent="0.35">
      <c r="A75" s="424" t="s">
        <v>305</v>
      </c>
      <c r="B75" s="402">
        <v>0</v>
      </c>
      <c r="C75" s="402">
        <v>0</v>
      </c>
      <c r="D75" s="403">
        <v>0</v>
      </c>
      <c r="E75" s="404">
        <v>1</v>
      </c>
      <c r="F75" s="402">
        <v>0</v>
      </c>
      <c r="G75" s="403">
        <v>0</v>
      </c>
      <c r="H75" s="405">
        <v>4.2350000000000003</v>
      </c>
      <c r="I75" s="402">
        <v>4.2350000000000003</v>
      </c>
      <c r="J75" s="403">
        <v>4.2350000000000003</v>
      </c>
      <c r="K75" s="413" t="s">
        <v>246</v>
      </c>
    </row>
    <row r="76" spans="1:11" ht="14.4" customHeight="1" thickBot="1" x14ac:dyDescent="0.35">
      <c r="A76" s="424" t="s">
        <v>306</v>
      </c>
      <c r="B76" s="402">
        <v>8.5847592699700002</v>
      </c>
      <c r="C76" s="402">
        <v>9.9480000000000004</v>
      </c>
      <c r="D76" s="403">
        <v>1.3632407300289999</v>
      </c>
      <c r="E76" s="404">
        <v>1.158797781878</v>
      </c>
      <c r="F76" s="402">
        <v>5.0166500121429998</v>
      </c>
      <c r="G76" s="403">
        <v>1.672216670714</v>
      </c>
      <c r="H76" s="405">
        <v>0.24115</v>
      </c>
      <c r="I76" s="402">
        <v>2.8338399999999999</v>
      </c>
      <c r="J76" s="403">
        <v>1.161623329285</v>
      </c>
      <c r="K76" s="406">
        <v>0.56488692516700001</v>
      </c>
    </row>
    <row r="77" spans="1:11" ht="14.4" customHeight="1" thickBot="1" x14ac:dyDescent="0.35">
      <c r="A77" s="424" t="s">
        <v>307</v>
      </c>
      <c r="B77" s="402">
        <v>40</v>
      </c>
      <c r="C77" s="402">
        <v>22.8461</v>
      </c>
      <c r="D77" s="403">
        <v>-17.1539</v>
      </c>
      <c r="E77" s="404">
        <v>0.57115249999999995</v>
      </c>
      <c r="F77" s="402">
        <v>20</v>
      </c>
      <c r="G77" s="403">
        <v>6.6666666666659999</v>
      </c>
      <c r="H77" s="405">
        <v>0</v>
      </c>
      <c r="I77" s="402">
        <v>19.03632</v>
      </c>
      <c r="J77" s="403">
        <v>12.369653333333</v>
      </c>
      <c r="K77" s="406">
        <v>0.951816</v>
      </c>
    </row>
    <row r="78" spans="1:11" ht="14.4" customHeight="1" thickBot="1" x14ac:dyDescent="0.35">
      <c r="A78" s="424" t="s">
        <v>308</v>
      </c>
      <c r="B78" s="402">
        <v>40</v>
      </c>
      <c r="C78" s="402">
        <v>29.645</v>
      </c>
      <c r="D78" s="403">
        <v>-10.355</v>
      </c>
      <c r="E78" s="404">
        <v>0.74112500000000003</v>
      </c>
      <c r="F78" s="402">
        <v>5</v>
      </c>
      <c r="G78" s="403">
        <v>1.6666666666659999</v>
      </c>
      <c r="H78" s="405">
        <v>0</v>
      </c>
      <c r="I78" s="402">
        <v>0</v>
      </c>
      <c r="J78" s="403">
        <v>-1.6666666666659999</v>
      </c>
      <c r="K78" s="406">
        <v>0</v>
      </c>
    </row>
    <row r="79" spans="1:11" ht="14.4" customHeight="1" thickBot="1" x14ac:dyDescent="0.35">
      <c r="A79" s="421" t="s">
        <v>34</v>
      </c>
      <c r="B79" s="402">
        <v>18811</v>
      </c>
      <c r="C79" s="402">
        <v>20790.96934</v>
      </c>
      <c r="D79" s="403">
        <v>1979.9693400000001</v>
      </c>
      <c r="E79" s="404">
        <v>1.1052559321669999</v>
      </c>
      <c r="F79" s="402">
        <v>19953.292449372599</v>
      </c>
      <c r="G79" s="403">
        <v>6651.0974831241901</v>
      </c>
      <c r="H79" s="405">
        <v>1898.6976100000099</v>
      </c>
      <c r="I79" s="402">
        <v>7440.5996500000101</v>
      </c>
      <c r="J79" s="403">
        <v>789.50216687581894</v>
      </c>
      <c r="K79" s="406">
        <v>0.372900846758</v>
      </c>
    </row>
    <row r="80" spans="1:11" ht="14.4" customHeight="1" thickBot="1" x14ac:dyDescent="0.35">
      <c r="A80" s="427" t="s">
        <v>309</v>
      </c>
      <c r="B80" s="407">
        <v>14151</v>
      </c>
      <c r="C80" s="407">
        <v>15340.441000000001</v>
      </c>
      <c r="D80" s="408">
        <v>1189.44099999999</v>
      </c>
      <c r="E80" s="414">
        <v>1.0840534944519999</v>
      </c>
      <c r="F80" s="407">
        <v>15062.6924493726</v>
      </c>
      <c r="G80" s="408">
        <v>5020.8974831241903</v>
      </c>
      <c r="H80" s="410">
        <v>1398.7720000000099</v>
      </c>
      <c r="I80" s="407">
        <v>5489.8266000000103</v>
      </c>
      <c r="J80" s="408">
        <v>468.929116875815</v>
      </c>
      <c r="K80" s="415">
        <v>0.364465159097</v>
      </c>
    </row>
    <row r="81" spans="1:11" ht="14.4" customHeight="1" thickBot="1" x14ac:dyDescent="0.35">
      <c r="A81" s="423" t="s">
        <v>310</v>
      </c>
      <c r="B81" s="407">
        <v>12945</v>
      </c>
      <c r="C81" s="407">
        <v>14018.76</v>
      </c>
      <c r="D81" s="408">
        <v>1073.75999999999</v>
      </c>
      <c r="E81" s="414">
        <v>1.0829478563149999</v>
      </c>
      <c r="F81" s="407">
        <v>13585</v>
      </c>
      <c r="G81" s="408">
        <v>4528.3333333333203</v>
      </c>
      <c r="H81" s="410">
        <v>1296.3400000000099</v>
      </c>
      <c r="I81" s="407">
        <v>5059.99100000001</v>
      </c>
      <c r="J81" s="408">
        <v>531.65766666668901</v>
      </c>
      <c r="K81" s="415">
        <v>0.372468973132</v>
      </c>
    </row>
    <row r="82" spans="1:11" ht="14.4" customHeight="1" thickBot="1" x14ac:dyDescent="0.35">
      <c r="A82" s="424" t="s">
        <v>311</v>
      </c>
      <c r="B82" s="402">
        <v>12945</v>
      </c>
      <c r="C82" s="402">
        <v>14018.76</v>
      </c>
      <c r="D82" s="403">
        <v>1073.75999999999</v>
      </c>
      <c r="E82" s="404">
        <v>1.0829478563149999</v>
      </c>
      <c r="F82" s="402">
        <v>13585</v>
      </c>
      <c r="G82" s="403">
        <v>4528.3333333333203</v>
      </c>
      <c r="H82" s="405">
        <v>1296.3400000000099</v>
      </c>
      <c r="I82" s="402">
        <v>5059.99100000001</v>
      </c>
      <c r="J82" s="403">
        <v>531.65766666668901</v>
      </c>
      <c r="K82" s="406">
        <v>0.372468973132</v>
      </c>
    </row>
    <row r="83" spans="1:11" ht="14.4" customHeight="1" thickBot="1" x14ac:dyDescent="0.35">
      <c r="A83" s="423" t="s">
        <v>312</v>
      </c>
      <c r="B83" s="407">
        <v>0</v>
      </c>
      <c r="C83" s="407">
        <v>-1.1339999999999999</v>
      </c>
      <c r="D83" s="408">
        <v>-1.1339999999999999</v>
      </c>
      <c r="E83" s="409" t="s">
        <v>246</v>
      </c>
      <c r="F83" s="407">
        <v>0</v>
      </c>
      <c r="G83" s="408">
        <v>0</v>
      </c>
      <c r="H83" s="410">
        <v>0</v>
      </c>
      <c r="I83" s="407">
        <v>-3.0804</v>
      </c>
      <c r="J83" s="408">
        <v>-3.0804</v>
      </c>
      <c r="K83" s="411" t="s">
        <v>236</v>
      </c>
    </row>
    <row r="84" spans="1:11" ht="14.4" customHeight="1" thickBot="1" x14ac:dyDescent="0.35">
      <c r="A84" s="424" t="s">
        <v>313</v>
      </c>
      <c r="B84" s="402">
        <v>0</v>
      </c>
      <c r="C84" s="402">
        <v>-1.1339999999999999</v>
      </c>
      <c r="D84" s="403">
        <v>-1.1339999999999999</v>
      </c>
      <c r="E84" s="412" t="s">
        <v>246</v>
      </c>
      <c r="F84" s="402">
        <v>0</v>
      </c>
      <c r="G84" s="403">
        <v>0</v>
      </c>
      <c r="H84" s="405">
        <v>0</v>
      </c>
      <c r="I84" s="402">
        <v>-3.0804</v>
      </c>
      <c r="J84" s="403">
        <v>-3.0804</v>
      </c>
      <c r="K84" s="413" t="s">
        <v>236</v>
      </c>
    </row>
    <row r="85" spans="1:11" ht="14.4" customHeight="1" thickBot="1" x14ac:dyDescent="0.35">
      <c r="A85" s="423" t="s">
        <v>314</v>
      </c>
      <c r="B85" s="407">
        <v>1170</v>
      </c>
      <c r="C85" s="407">
        <v>1250.6769999999999</v>
      </c>
      <c r="D85" s="408">
        <v>80.677000000001001</v>
      </c>
      <c r="E85" s="414">
        <v>1.0689547008539999</v>
      </c>
      <c r="F85" s="407">
        <v>1445.3164493726199</v>
      </c>
      <c r="G85" s="408">
        <v>481.77214979087302</v>
      </c>
      <c r="H85" s="410">
        <v>102.432</v>
      </c>
      <c r="I85" s="407">
        <v>402.16400000000101</v>
      </c>
      <c r="J85" s="408">
        <v>-79.608149790872005</v>
      </c>
      <c r="K85" s="415">
        <v>0.278253250472</v>
      </c>
    </row>
    <row r="86" spans="1:11" ht="14.4" customHeight="1" thickBot="1" x14ac:dyDescent="0.35">
      <c r="A86" s="424" t="s">
        <v>315</v>
      </c>
      <c r="B86" s="402">
        <v>1170</v>
      </c>
      <c r="C86" s="402">
        <v>1250.6769999999999</v>
      </c>
      <c r="D86" s="403">
        <v>80.677000000001001</v>
      </c>
      <c r="E86" s="404">
        <v>1.0689547008539999</v>
      </c>
      <c r="F86" s="402">
        <v>1445.3164493726199</v>
      </c>
      <c r="G86" s="403">
        <v>481.77214979087302</v>
      </c>
      <c r="H86" s="405">
        <v>102.432</v>
      </c>
      <c r="I86" s="402">
        <v>402.16400000000101</v>
      </c>
      <c r="J86" s="403">
        <v>-79.608149790872005</v>
      </c>
      <c r="K86" s="406">
        <v>0.278253250472</v>
      </c>
    </row>
    <row r="87" spans="1:11" ht="14.4" customHeight="1" thickBot="1" x14ac:dyDescent="0.35">
      <c r="A87" s="423" t="s">
        <v>316</v>
      </c>
      <c r="B87" s="407">
        <v>36</v>
      </c>
      <c r="C87" s="407">
        <v>20.638000000000002</v>
      </c>
      <c r="D87" s="408">
        <v>-15.362</v>
      </c>
      <c r="E87" s="414">
        <v>0.57327777777699995</v>
      </c>
      <c r="F87" s="407">
        <v>32.375999999999998</v>
      </c>
      <c r="G87" s="408">
        <v>10.792</v>
      </c>
      <c r="H87" s="410">
        <v>0</v>
      </c>
      <c r="I87" s="407">
        <v>30.001999999999999</v>
      </c>
      <c r="J87" s="408">
        <v>19.21</v>
      </c>
      <c r="K87" s="415">
        <v>0.92667407956500003</v>
      </c>
    </row>
    <row r="88" spans="1:11" ht="14.4" customHeight="1" thickBot="1" x14ac:dyDescent="0.35">
      <c r="A88" s="424" t="s">
        <v>317</v>
      </c>
      <c r="B88" s="402">
        <v>36</v>
      </c>
      <c r="C88" s="402">
        <v>20.638000000000002</v>
      </c>
      <c r="D88" s="403">
        <v>-15.362</v>
      </c>
      <c r="E88" s="404">
        <v>0.57327777777699995</v>
      </c>
      <c r="F88" s="402">
        <v>32.375999999999998</v>
      </c>
      <c r="G88" s="403">
        <v>10.792</v>
      </c>
      <c r="H88" s="405">
        <v>0</v>
      </c>
      <c r="I88" s="402">
        <v>30.001999999999999</v>
      </c>
      <c r="J88" s="403">
        <v>19.21</v>
      </c>
      <c r="K88" s="406">
        <v>0.92667407956500003</v>
      </c>
    </row>
    <row r="89" spans="1:11" ht="14.4" customHeight="1" thickBot="1" x14ac:dyDescent="0.35">
      <c r="A89" s="426" t="s">
        <v>318</v>
      </c>
      <c r="B89" s="402">
        <v>0</v>
      </c>
      <c r="C89" s="402">
        <v>51.5</v>
      </c>
      <c r="D89" s="403">
        <v>51.5</v>
      </c>
      <c r="E89" s="412" t="s">
        <v>246</v>
      </c>
      <c r="F89" s="402">
        <v>0</v>
      </c>
      <c r="G89" s="403">
        <v>0</v>
      </c>
      <c r="H89" s="405">
        <v>0</v>
      </c>
      <c r="I89" s="402">
        <v>0.75</v>
      </c>
      <c r="J89" s="403">
        <v>0.75</v>
      </c>
      <c r="K89" s="413" t="s">
        <v>236</v>
      </c>
    </row>
    <row r="90" spans="1:11" ht="14.4" customHeight="1" thickBot="1" x14ac:dyDescent="0.35">
      <c r="A90" s="424" t="s">
        <v>319</v>
      </c>
      <c r="B90" s="402">
        <v>0</v>
      </c>
      <c r="C90" s="402">
        <v>51.5</v>
      </c>
      <c r="D90" s="403">
        <v>51.5</v>
      </c>
      <c r="E90" s="412" t="s">
        <v>246</v>
      </c>
      <c r="F90" s="402">
        <v>0</v>
      </c>
      <c r="G90" s="403">
        <v>0</v>
      </c>
      <c r="H90" s="405">
        <v>0</v>
      </c>
      <c r="I90" s="402">
        <v>0.75</v>
      </c>
      <c r="J90" s="403">
        <v>0.75</v>
      </c>
      <c r="K90" s="413" t="s">
        <v>236</v>
      </c>
    </row>
    <row r="91" spans="1:11" ht="14.4" customHeight="1" thickBot="1" x14ac:dyDescent="0.35">
      <c r="A91" s="422" t="s">
        <v>320</v>
      </c>
      <c r="B91" s="402">
        <v>4400.99999999999</v>
      </c>
      <c r="C91" s="402">
        <v>5169.7624599999999</v>
      </c>
      <c r="D91" s="403">
        <v>768.76246000000594</v>
      </c>
      <c r="E91" s="404">
        <v>1.1746790411270001</v>
      </c>
      <c r="F91" s="402">
        <v>4618.8999999999996</v>
      </c>
      <c r="G91" s="403">
        <v>1539.63333333333</v>
      </c>
      <c r="H91" s="405">
        <v>473.99989000000198</v>
      </c>
      <c r="I91" s="402">
        <v>1849.03412</v>
      </c>
      <c r="J91" s="403">
        <v>309.40078666667</v>
      </c>
      <c r="K91" s="406">
        <v>0.40031914958100001</v>
      </c>
    </row>
    <row r="92" spans="1:11" ht="14.4" customHeight="1" thickBot="1" x14ac:dyDescent="0.35">
      <c r="A92" s="423" t="s">
        <v>321</v>
      </c>
      <c r="B92" s="407">
        <v>1165</v>
      </c>
      <c r="C92" s="407">
        <v>1372.5281600000001</v>
      </c>
      <c r="D92" s="408">
        <v>207.52816000000499</v>
      </c>
      <c r="E92" s="414">
        <v>1.178135759656</v>
      </c>
      <c r="F92" s="407">
        <v>1222.6500000000001</v>
      </c>
      <c r="G92" s="408">
        <v>407.55000000000098</v>
      </c>
      <c r="H92" s="410">
        <v>125.464870000001</v>
      </c>
      <c r="I92" s="407">
        <v>489.71354000000099</v>
      </c>
      <c r="J92" s="408">
        <v>82.163539999999003</v>
      </c>
      <c r="K92" s="415">
        <v>0.40053452746000001</v>
      </c>
    </row>
    <row r="93" spans="1:11" ht="14.4" customHeight="1" thickBot="1" x14ac:dyDescent="0.35">
      <c r="A93" s="424" t="s">
        <v>322</v>
      </c>
      <c r="B93" s="402">
        <v>1165</v>
      </c>
      <c r="C93" s="402">
        <v>1372.5281600000001</v>
      </c>
      <c r="D93" s="403">
        <v>207.52816000000499</v>
      </c>
      <c r="E93" s="404">
        <v>1.178135759656</v>
      </c>
      <c r="F93" s="402">
        <v>1222.6500000000001</v>
      </c>
      <c r="G93" s="403">
        <v>407.55000000000098</v>
      </c>
      <c r="H93" s="405">
        <v>125.464870000001</v>
      </c>
      <c r="I93" s="402">
        <v>489.71354000000099</v>
      </c>
      <c r="J93" s="403">
        <v>82.163539999999003</v>
      </c>
      <c r="K93" s="406">
        <v>0.40053452746000001</v>
      </c>
    </row>
    <row r="94" spans="1:11" ht="14.4" customHeight="1" thickBot="1" x14ac:dyDescent="0.35">
      <c r="A94" s="423" t="s">
        <v>323</v>
      </c>
      <c r="B94" s="407">
        <v>3236</v>
      </c>
      <c r="C94" s="407">
        <v>3797.6212999999998</v>
      </c>
      <c r="D94" s="408">
        <v>561.62130000000104</v>
      </c>
      <c r="E94" s="414">
        <v>1.1735541718169999</v>
      </c>
      <c r="F94" s="407">
        <v>3396.25</v>
      </c>
      <c r="G94" s="408">
        <v>1132.0833333333301</v>
      </c>
      <c r="H94" s="410">
        <v>348.53502000000202</v>
      </c>
      <c r="I94" s="407">
        <v>1360.36834</v>
      </c>
      <c r="J94" s="408">
        <v>228.28500666667099</v>
      </c>
      <c r="K94" s="415">
        <v>0.40055011851299999</v>
      </c>
    </row>
    <row r="95" spans="1:11" ht="14.4" customHeight="1" thickBot="1" x14ac:dyDescent="0.35">
      <c r="A95" s="424" t="s">
        <v>324</v>
      </c>
      <c r="B95" s="402">
        <v>3236</v>
      </c>
      <c r="C95" s="402">
        <v>3797.6212999999998</v>
      </c>
      <c r="D95" s="403">
        <v>561.62130000000104</v>
      </c>
      <c r="E95" s="404">
        <v>1.1735541718169999</v>
      </c>
      <c r="F95" s="402">
        <v>3396.25</v>
      </c>
      <c r="G95" s="403">
        <v>1132.0833333333301</v>
      </c>
      <c r="H95" s="405">
        <v>348.53502000000202</v>
      </c>
      <c r="I95" s="402">
        <v>1360.36834</v>
      </c>
      <c r="J95" s="403">
        <v>228.28500666667099</v>
      </c>
      <c r="K95" s="406">
        <v>0.40055011851299999</v>
      </c>
    </row>
    <row r="96" spans="1:11" ht="14.4" customHeight="1" thickBot="1" x14ac:dyDescent="0.35">
      <c r="A96" s="423" t="s">
        <v>325</v>
      </c>
      <c r="B96" s="407">
        <v>0</v>
      </c>
      <c r="C96" s="407">
        <v>-0.10299999999999999</v>
      </c>
      <c r="D96" s="408">
        <v>-0.10299999999999999</v>
      </c>
      <c r="E96" s="409" t="s">
        <v>246</v>
      </c>
      <c r="F96" s="407">
        <v>0</v>
      </c>
      <c r="G96" s="408">
        <v>0</v>
      </c>
      <c r="H96" s="410">
        <v>0</v>
      </c>
      <c r="I96" s="407">
        <v>-0.27744000000000002</v>
      </c>
      <c r="J96" s="408">
        <v>-0.27744000000000002</v>
      </c>
      <c r="K96" s="411" t="s">
        <v>236</v>
      </c>
    </row>
    <row r="97" spans="1:11" ht="14.4" customHeight="1" thickBot="1" x14ac:dyDescent="0.35">
      <c r="A97" s="424" t="s">
        <v>326</v>
      </c>
      <c r="B97" s="402">
        <v>0</v>
      </c>
      <c r="C97" s="402">
        <v>-0.10299999999999999</v>
      </c>
      <c r="D97" s="403">
        <v>-0.10299999999999999</v>
      </c>
      <c r="E97" s="412" t="s">
        <v>246</v>
      </c>
      <c r="F97" s="402">
        <v>0</v>
      </c>
      <c r="G97" s="403">
        <v>0</v>
      </c>
      <c r="H97" s="405">
        <v>0</v>
      </c>
      <c r="I97" s="402">
        <v>-0.27744000000000002</v>
      </c>
      <c r="J97" s="403">
        <v>-0.27744000000000002</v>
      </c>
      <c r="K97" s="413" t="s">
        <v>236</v>
      </c>
    </row>
    <row r="98" spans="1:11" ht="14.4" customHeight="1" thickBot="1" x14ac:dyDescent="0.35">
      <c r="A98" s="423" t="s">
        <v>327</v>
      </c>
      <c r="B98" s="407">
        <v>0</v>
      </c>
      <c r="C98" s="407">
        <v>-0.28399999999999997</v>
      </c>
      <c r="D98" s="408">
        <v>-0.28399999999999997</v>
      </c>
      <c r="E98" s="409" t="s">
        <v>246</v>
      </c>
      <c r="F98" s="407">
        <v>0</v>
      </c>
      <c r="G98" s="408">
        <v>0</v>
      </c>
      <c r="H98" s="410">
        <v>0</v>
      </c>
      <c r="I98" s="407">
        <v>-0.77032</v>
      </c>
      <c r="J98" s="408">
        <v>-0.77032</v>
      </c>
      <c r="K98" s="411" t="s">
        <v>236</v>
      </c>
    </row>
    <row r="99" spans="1:11" ht="14.4" customHeight="1" thickBot="1" x14ac:dyDescent="0.35">
      <c r="A99" s="424" t="s">
        <v>328</v>
      </c>
      <c r="B99" s="402">
        <v>0</v>
      </c>
      <c r="C99" s="402">
        <v>-0.28399999999999997</v>
      </c>
      <c r="D99" s="403">
        <v>-0.28399999999999997</v>
      </c>
      <c r="E99" s="412" t="s">
        <v>246</v>
      </c>
      <c r="F99" s="402">
        <v>0</v>
      </c>
      <c r="G99" s="403">
        <v>0</v>
      </c>
      <c r="H99" s="405">
        <v>0</v>
      </c>
      <c r="I99" s="402">
        <v>-0.77032</v>
      </c>
      <c r="J99" s="403">
        <v>-0.77032</v>
      </c>
      <c r="K99" s="413" t="s">
        <v>236</v>
      </c>
    </row>
    <row r="100" spans="1:11" ht="14.4" customHeight="1" thickBot="1" x14ac:dyDescent="0.35">
      <c r="A100" s="422" t="s">
        <v>329</v>
      </c>
      <c r="B100" s="402">
        <v>259</v>
      </c>
      <c r="C100" s="402">
        <v>280.76587999999998</v>
      </c>
      <c r="D100" s="403">
        <v>21.765879999999001</v>
      </c>
      <c r="E100" s="404">
        <v>1.084038146718</v>
      </c>
      <c r="F100" s="402">
        <v>271.70000000000101</v>
      </c>
      <c r="G100" s="403">
        <v>90.566666666667004</v>
      </c>
      <c r="H100" s="405">
        <v>25.925719999999998</v>
      </c>
      <c r="I100" s="402">
        <v>101.73893</v>
      </c>
      <c r="J100" s="403">
        <v>11.172263333332999</v>
      </c>
      <c r="K100" s="406">
        <v>0.37445318365800001</v>
      </c>
    </row>
    <row r="101" spans="1:11" ht="14.4" customHeight="1" thickBot="1" x14ac:dyDescent="0.35">
      <c r="A101" s="423" t="s">
        <v>330</v>
      </c>
      <c r="B101" s="407">
        <v>259</v>
      </c>
      <c r="C101" s="407">
        <v>280.76587999999998</v>
      </c>
      <c r="D101" s="408">
        <v>21.765879999999001</v>
      </c>
      <c r="E101" s="414">
        <v>1.084038146718</v>
      </c>
      <c r="F101" s="407">
        <v>271.70000000000101</v>
      </c>
      <c r="G101" s="408">
        <v>90.566666666667004</v>
      </c>
      <c r="H101" s="410">
        <v>25.925719999999998</v>
      </c>
      <c r="I101" s="407">
        <v>101.73893</v>
      </c>
      <c r="J101" s="408">
        <v>11.172263333332999</v>
      </c>
      <c r="K101" s="415">
        <v>0.37445318365800001</v>
      </c>
    </row>
    <row r="102" spans="1:11" ht="14.4" customHeight="1" thickBot="1" x14ac:dyDescent="0.35">
      <c r="A102" s="424" t="s">
        <v>331</v>
      </c>
      <c r="B102" s="402">
        <v>259</v>
      </c>
      <c r="C102" s="402">
        <v>280.76587999999998</v>
      </c>
      <c r="D102" s="403">
        <v>21.765879999999001</v>
      </c>
      <c r="E102" s="404">
        <v>1.084038146718</v>
      </c>
      <c r="F102" s="402">
        <v>271.70000000000101</v>
      </c>
      <c r="G102" s="403">
        <v>90.566666666667004</v>
      </c>
      <c r="H102" s="405">
        <v>25.925719999999998</v>
      </c>
      <c r="I102" s="402">
        <v>101.73893</v>
      </c>
      <c r="J102" s="403">
        <v>11.172263333332999</v>
      </c>
      <c r="K102" s="406">
        <v>0.37445318365800001</v>
      </c>
    </row>
    <row r="103" spans="1:11" ht="14.4" customHeight="1" thickBot="1" x14ac:dyDescent="0.35">
      <c r="A103" s="421" t="s">
        <v>332</v>
      </c>
      <c r="B103" s="402">
        <v>0</v>
      </c>
      <c r="C103" s="402">
        <v>131.06578999999999</v>
      </c>
      <c r="D103" s="403">
        <v>131.06578999999999</v>
      </c>
      <c r="E103" s="412" t="s">
        <v>236</v>
      </c>
      <c r="F103" s="402">
        <v>58.937707941215002</v>
      </c>
      <c r="G103" s="403">
        <v>19.645902647071001</v>
      </c>
      <c r="H103" s="405">
        <v>32.031999999999996</v>
      </c>
      <c r="I103" s="402">
        <v>44.252000000000002</v>
      </c>
      <c r="J103" s="403">
        <v>24.606097352928</v>
      </c>
      <c r="K103" s="406">
        <v>0.750826619252</v>
      </c>
    </row>
    <row r="104" spans="1:11" ht="14.4" customHeight="1" thickBot="1" x14ac:dyDescent="0.35">
      <c r="A104" s="422" t="s">
        <v>333</v>
      </c>
      <c r="B104" s="402">
        <v>0</v>
      </c>
      <c r="C104" s="402">
        <v>0</v>
      </c>
      <c r="D104" s="403">
        <v>0</v>
      </c>
      <c r="E104" s="404">
        <v>1</v>
      </c>
      <c r="F104" s="402">
        <v>0</v>
      </c>
      <c r="G104" s="403">
        <v>0</v>
      </c>
      <c r="H104" s="405">
        <v>5.0000000000000001E-3</v>
      </c>
      <c r="I104" s="402">
        <v>5.0000000000000001E-3</v>
      </c>
      <c r="J104" s="403">
        <v>5.0000000000000001E-3</v>
      </c>
      <c r="K104" s="413" t="s">
        <v>246</v>
      </c>
    </row>
    <row r="105" spans="1:11" ht="14.4" customHeight="1" thickBot="1" x14ac:dyDescent="0.35">
      <c r="A105" s="423" t="s">
        <v>334</v>
      </c>
      <c r="B105" s="407">
        <v>0</v>
      </c>
      <c r="C105" s="407">
        <v>0</v>
      </c>
      <c r="D105" s="408">
        <v>0</v>
      </c>
      <c r="E105" s="414">
        <v>1</v>
      </c>
      <c r="F105" s="407">
        <v>0</v>
      </c>
      <c r="G105" s="408">
        <v>0</v>
      </c>
      <c r="H105" s="410">
        <v>5.0000000000000001E-3</v>
      </c>
      <c r="I105" s="407">
        <v>5.0000000000000001E-3</v>
      </c>
      <c r="J105" s="408">
        <v>5.0000000000000001E-3</v>
      </c>
      <c r="K105" s="411" t="s">
        <v>246</v>
      </c>
    </row>
    <row r="106" spans="1:11" ht="14.4" customHeight="1" thickBot="1" x14ac:dyDescent="0.35">
      <c r="A106" s="424" t="s">
        <v>335</v>
      </c>
      <c r="B106" s="402">
        <v>0</v>
      </c>
      <c r="C106" s="402">
        <v>0</v>
      </c>
      <c r="D106" s="403">
        <v>0</v>
      </c>
      <c r="E106" s="404">
        <v>1</v>
      </c>
      <c r="F106" s="402">
        <v>0</v>
      </c>
      <c r="G106" s="403">
        <v>0</v>
      </c>
      <c r="H106" s="405">
        <v>5.0000000000000001E-3</v>
      </c>
      <c r="I106" s="402">
        <v>5.0000000000000001E-3</v>
      </c>
      <c r="J106" s="403">
        <v>5.0000000000000001E-3</v>
      </c>
      <c r="K106" s="413" t="s">
        <v>246</v>
      </c>
    </row>
    <row r="107" spans="1:11" ht="14.4" customHeight="1" thickBot="1" x14ac:dyDescent="0.35">
      <c r="A107" s="422" t="s">
        <v>336</v>
      </c>
      <c r="B107" s="402">
        <v>0</v>
      </c>
      <c r="C107" s="402">
        <v>131.06578999999999</v>
      </c>
      <c r="D107" s="403">
        <v>131.06578999999999</v>
      </c>
      <c r="E107" s="412" t="s">
        <v>236</v>
      </c>
      <c r="F107" s="402">
        <v>58.937707941215002</v>
      </c>
      <c r="G107" s="403">
        <v>19.645902647071001</v>
      </c>
      <c r="H107" s="405">
        <v>32.027000000000001</v>
      </c>
      <c r="I107" s="402">
        <v>44.247</v>
      </c>
      <c r="J107" s="403">
        <v>24.601097352928001</v>
      </c>
      <c r="K107" s="406">
        <v>0.75074178392000002</v>
      </c>
    </row>
    <row r="108" spans="1:11" ht="14.4" customHeight="1" thickBot="1" x14ac:dyDescent="0.35">
      <c r="A108" s="423" t="s">
        <v>337</v>
      </c>
      <c r="B108" s="407">
        <v>0</v>
      </c>
      <c r="C108" s="407">
        <v>65.527600000000007</v>
      </c>
      <c r="D108" s="408">
        <v>65.527600000000007</v>
      </c>
      <c r="E108" s="409" t="s">
        <v>236</v>
      </c>
      <c r="F108" s="407">
        <v>0</v>
      </c>
      <c r="G108" s="408">
        <v>0</v>
      </c>
      <c r="H108" s="410">
        <v>0</v>
      </c>
      <c r="I108" s="407">
        <v>0.22</v>
      </c>
      <c r="J108" s="408">
        <v>0.22</v>
      </c>
      <c r="K108" s="411" t="s">
        <v>236</v>
      </c>
    </row>
    <row r="109" spans="1:11" ht="14.4" customHeight="1" thickBot="1" x14ac:dyDescent="0.35">
      <c r="A109" s="424" t="s">
        <v>338</v>
      </c>
      <c r="B109" s="402">
        <v>0</v>
      </c>
      <c r="C109" s="402">
        <v>-0.88739999999999997</v>
      </c>
      <c r="D109" s="403">
        <v>-0.88739999999999997</v>
      </c>
      <c r="E109" s="412" t="s">
        <v>236</v>
      </c>
      <c r="F109" s="402">
        <v>0</v>
      </c>
      <c r="G109" s="403">
        <v>0</v>
      </c>
      <c r="H109" s="405">
        <v>0</v>
      </c>
      <c r="I109" s="402">
        <v>0</v>
      </c>
      <c r="J109" s="403">
        <v>0</v>
      </c>
      <c r="K109" s="413" t="s">
        <v>236</v>
      </c>
    </row>
    <row r="110" spans="1:11" ht="14.4" customHeight="1" thickBot="1" x14ac:dyDescent="0.35">
      <c r="A110" s="424" t="s">
        <v>339</v>
      </c>
      <c r="B110" s="402">
        <v>0</v>
      </c>
      <c r="C110" s="402">
        <v>66.415000000000006</v>
      </c>
      <c r="D110" s="403">
        <v>66.415000000000006</v>
      </c>
      <c r="E110" s="412" t="s">
        <v>236</v>
      </c>
      <c r="F110" s="402">
        <v>0</v>
      </c>
      <c r="G110" s="403">
        <v>0</v>
      </c>
      <c r="H110" s="405">
        <v>0</v>
      </c>
      <c r="I110" s="402">
        <v>0</v>
      </c>
      <c r="J110" s="403">
        <v>0</v>
      </c>
      <c r="K110" s="413" t="s">
        <v>236</v>
      </c>
    </row>
    <row r="111" spans="1:11" ht="14.4" customHeight="1" thickBot="1" x14ac:dyDescent="0.35">
      <c r="A111" s="424" t="s">
        <v>340</v>
      </c>
      <c r="B111" s="402">
        <v>0</v>
      </c>
      <c r="C111" s="402">
        <v>0</v>
      </c>
      <c r="D111" s="403">
        <v>0</v>
      </c>
      <c r="E111" s="412" t="s">
        <v>236</v>
      </c>
      <c r="F111" s="402">
        <v>0</v>
      </c>
      <c r="G111" s="403">
        <v>0</v>
      </c>
      <c r="H111" s="405">
        <v>0</v>
      </c>
      <c r="I111" s="402">
        <v>0.22</v>
      </c>
      <c r="J111" s="403">
        <v>0.22</v>
      </c>
      <c r="K111" s="413" t="s">
        <v>246</v>
      </c>
    </row>
    <row r="112" spans="1:11" ht="14.4" customHeight="1" thickBot="1" x14ac:dyDescent="0.35">
      <c r="A112" s="423" t="s">
        <v>341</v>
      </c>
      <c r="B112" s="407">
        <v>0</v>
      </c>
      <c r="C112" s="407">
        <v>41.4</v>
      </c>
      <c r="D112" s="408">
        <v>41.4</v>
      </c>
      <c r="E112" s="409" t="s">
        <v>236</v>
      </c>
      <c r="F112" s="407">
        <v>48</v>
      </c>
      <c r="G112" s="408">
        <v>16</v>
      </c>
      <c r="H112" s="410">
        <v>3.2</v>
      </c>
      <c r="I112" s="407">
        <v>15.2</v>
      </c>
      <c r="J112" s="408">
        <v>-0.79999999999899996</v>
      </c>
      <c r="K112" s="415">
        <v>0.31666666666600002</v>
      </c>
    </row>
    <row r="113" spans="1:11" ht="14.4" customHeight="1" thickBot="1" x14ac:dyDescent="0.35">
      <c r="A113" s="424" t="s">
        <v>342</v>
      </c>
      <c r="B113" s="402">
        <v>0</v>
      </c>
      <c r="C113" s="402">
        <v>41.4</v>
      </c>
      <c r="D113" s="403">
        <v>41.4</v>
      </c>
      <c r="E113" s="412" t="s">
        <v>236</v>
      </c>
      <c r="F113" s="402">
        <v>48</v>
      </c>
      <c r="G113" s="403">
        <v>16</v>
      </c>
      <c r="H113" s="405">
        <v>3.2</v>
      </c>
      <c r="I113" s="402">
        <v>15.2</v>
      </c>
      <c r="J113" s="403">
        <v>-0.79999999999899996</v>
      </c>
      <c r="K113" s="406">
        <v>0.31666666666600002</v>
      </c>
    </row>
    <row r="114" spans="1:11" ht="14.4" customHeight="1" thickBot="1" x14ac:dyDescent="0.35">
      <c r="A114" s="426" t="s">
        <v>343</v>
      </c>
      <c r="B114" s="402">
        <v>0</v>
      </c>
      <c r="C114" s="402">
        <v>0</v>
      </c>
      <c r="D114" s="403">
        <v>0</v>
      </c>
      <c r="E114" s="404">
        <v>1</v>
      </c>
      <c r="F114" s="402">
        <v>0</v>
      </c>
      <c r="G114" s="403">
        <v>0</v>
      </c>
      <c r="H114" s="405">
        <v>10.827</v>
      </c>
      <c r="I114" s="402">
        <v>10.827</v>
      </c>
      <c r="J114" s="403">
        <v>10.827</v>
      </c>
      <c r="K114" s="413" t="s">
        <v>246</v>
      </c>
    </row>
    <row r="115" spans="1:11" ht="14.4" customHeight="1" thickBot="1" x14ac:dyDescent="0.35">
      <c r="A115" s="424" t="s">
        <v>344</v>
      </c>
      <c r="B115" s="402">
        <v>0</v>
      </c>
      <c r="C115" s="402">
        <v>0</v>
      </c>
      <c r="D115" s="403">
        <v>0</v>
      </c>
      <c r="E115" s="404">
        <v>1</v>
      </c>
      <c r="F115" s="402">
        <v>0</v>
      </c>
      <c r="G115" s="403">
        <v>0</v>
      </c>
      <c r="H115" s="405">
        <v>10.827</v>
      </c>
      <c r="I115" s="402">
        <v>10.827</v>
      </c>
      <c r="J115" s="403">
        <v>10.827</v>
      </c>
      <c r="K115" s="413" t="s">
        <v>246</v>
      </c>
    </row>
    <row r="116" spans="1:11" ht="14.4" customHeight="1" thickBot="1" x14ac:dyDescent="0.35">
      <c r="A116" s="426" t="s">
        <v>345</v>
      </c>
      <c r="B116" s="402">
        <v>0</v>
      </c>
      <c r="C116" s="402">
        <v>1.7</v>
      </c>
      <c r="D116" s="403">
        <v>1.7</v>
      </c>
      <c r="E116" s="412" t="s">
        <v>246</v>
      </c>
      <c r="F116" s="402">
        <v>0</v>
      </c>
      <c r="G116" s="403">
        <v>0</v>
      </c>
      <c r="H116" s="405">
        <v>0</v>
      </c>
      <c r="I116" s="402">
        <v>0</v>
      </c>
      <c r="J116" s="403">
        <v>0</v>
      </c>
      <c r="K116" s="413" t="s">
        <v>236</v>
      </c>
    </row>
    <row r="117" spans="1:11" ht="14.4" customHeight="1" thickBot="1" x14ac:dyDescent="0.35">
      <c r="A117" s="424" t="s">
        <v>346</v>
      </c>
      <c r="B117" s="402">
        <v>0</v>
      </c>
      <c r="C117" s="402">
        <v>1.7</v>
      </c>
      <c r="D117" s="403">
        <v>1.7</v>
      </c>
      <c r="E117" s="412" t="s">
        <v>246</v>
      </c>
      <c r="F117" s="402">
        <v>0</v>
      </c>
      <c r="G117" s="403">
        <v>0</v>
      </c>
      <c r="H117" s="405">
        <v>0</v>
      </c>
      <c r="I117" s="402">
        <v>0</v>
      </c>
      <c r="J117" s="403">
        <v>0</v>
      </c>
      <c r="K117" s="413" t="s">
        <v>236</v>
      </c>
    </row>
    <row r="118" spans="1:11" ht="14.4" customHeight="1" thickBot="1" x14ac:dyDescent="0.35">
      <c r="A118" s="426" t="s">
        <v>347</v>
      </c>
      <c r="B118" s="402">
        <v>0</v>
      </c>
      <c r="C118" s="402">
        <v>11.55</v>
      </c>
      <c r="D118" s="403">
        <v>11.55</v>
      </c>
      <c r="E118" s="412" t="s">
        <v>236</v>
      </c>
      <c r="F118" s="402">
        <v>10.937707941215001</v>
      </c>
      <c r="G118" s="403">
        <v>3.6459026470709999</v>
      </c>
      <c r="H118" s="405">
        <v>6</v>
      </c>
      <c r="I118" s="402">
        <v>6</v>
      </c>
      <c r="J118" s="403">
        <v>2.354097352928</v>
      </c>
      <c r="K118" s="406">
        <v>0.54856099945600001</v>
      </c>
    </row>
    <row r="119" spans="1:11" ht="14.4" customHeight="1" thickBot="1" x14ac:dyDescent="0.35">
      <c r="A119" s="424" t="s">
        <v>348</v>
      </c>
      <c r="B119" s="402">
        <v>0</v>
      </c>
      <c r="C119" s="402">
        <v>11.55</v>
      </c>
      <c r="D119" s="403">
        <v>11.55</v>
      </c>
      <c r="E119" s="412" t="s">
        <v>236</v>
      </c>
      <c r="F119" s="402">
        <v>10.937707941215001</v>
      </c>
      <c r="G119" s="403">
        <v>3.6459026470709999</v>
      </c>
      <c r="H119" s="405">
        <v>6</v>
      </c>
      <c r="I119" s="402">
        <v>6</v>
      </c>
      <c r="J119" s="403">
        <v>2.354097352928</v>
      </c>
      <c r="K119" s="406">
        <v>0.54856099945600001</v>
      </c>
    </row>
    <row r="120" spans="1:11" ht="14.4" customHeight="1" thickBot="1" x14ac:dyDescent="0.35">
      <c r="A120" s="426" t="s">
        <v>349</v>
      </c>
      <c r="B120" s="402">
        <v>0</v>
      </c>
      <c r="C120" s="402">
        <v>8</v>
      </c>
      <c r="D120" s="403">
        <v>8</v>
      </c>
      <c r="E120" s="412" t="s">
        <v>236</v>
      </c>
      <c r="F120" s="402">
        <v>0</v>
      </c>
      <c r="G120" s="403">
        <v>0</v>
      </c>
      <c r="H120" s="405">
        <v>12</v>
      </c>
      <c r="I120" s="402">
        <v>12</v>
      </c>
      <c r="J120" s="403">
        <v>12</v>
      </c>
      <c r="K120" s="413" t="s">
        <v>236</v>
      </c>
    </row>
    <row r="121" spans="1:11" ht="14.4" customHeight="1" thickBot="1" x14ac:dyDescent="0.35">
      <c r="A121" s="424" t="s">
        <v>350</v>
      </c>
      <c r="B121" s="402">
        <v>0</v>
      </c>
      <c r="C121" s="402">
        <v>8</v>
      </c>
      <c r="D121" s="403">
        <v>8</v>
      </c>
      <c r="E121" s="412" t="s">
        <v>236</v>
      </c>
      <c r="F121" s="402">
        <v>0</v>
      </c>
      <c r="G121" s="403">
        <v>0</v>
      </c>
      <c r="H121" s="405">
        <v>12</v>
      </c>
      <c r="I121" s="402">
        <v>12</v>
      </c>
      <c r="J121" s="403">
        <v>12</v>
      </c>
      <c r="K121" s="413" t="s">
        <v>236</v>
      </c>
    </row>
    <row r="122" spans="1:11" ht="14.4" customHeight="1" thickBot="1" x14ac:dyDescent="0.35">
      <c r="A122" s="426" t="s">
        <v>351</v>
      </c>
      <c r="B122" s="402">
        <v>0</v>
      </c>
      <c r="C122" s="402">
        <v>2.8881899999999998</v>
      </c>
      <c r="D122" s="403">
        <v>2.8881899999999998</v>
      </c>
      <c r="E122" s="412" t="s">
        <v>236</v>
      </c>
      <c r="F122" s="402">
        <v>0</v>
      </c>
      <c r="G122" s="403">
        <v>0</v>
      </c>
      <c r="H122" s="405">
        <v>0</v>
      </c>
      <c r="I122" s="402">
        <v>0</v>
      </c>
      <c r="J122" s="403">
        <v>0</v>
      </c>
      <c r="K122" s="413" t="s">
        <v>236</v>
      </c>
    </row>
    <row r="123" spans="1:11" ht="14.4" customHeight="1" thickBot="1" x14ac:dyDescent="0.35">
      <c r="A123" s="424" t="s">
        <v>352</v>
      </c>
      <c r="B123" s="402">
        <v>0</v>
      </c>
      <c r="C123" s="402">
        <v>2.8881899999999998</v>
      </c>
      <c r="D123" s="403">
        <v>2.8881899999999998</v>
      </c>
      <c r="E123" s="412" t="s">
        <v>236</v>
      </c>
      <c r="F123" s="402">
        <v>0</v>
      </c>
      <c r="G123" s="403">
        <v>0</v>
      </c>
      <c r="H123" s="405">
        <v>0</v>
      </c>
      <c r="I123" s="402">
        <v>0</v>
      </c>
      <c r="J123" s="403">
        <v>0</v>
      </c>
      <c r="K123" s="413" t="s">
        <v>236</v>
      </c>
    </row>
    <row r="124" spans="1:11" ht="14.4" customHeight="1" thickBot="1" x14ac:dyDescent="0.35">
      <c r="A124" s="421" t="s">
        <v>353</v>
      </c>
      <c r="B124" s="402">
        <v>1984</v>
      </c>
      <c r="C124" s="402">
        <v>2090.3680800000002</v>
      </c>
      <c r="D124" s="403">
        <v>106.368079999996</v>
      </c>
      <c r="E124" s="404">
        <v>1.0536129435479999</v>
      </c>
      <c r="F124" s="402">
        <v>2176.8463138233901</v>
      </c>
      <c r="G124" s="403">
        <v>725.61543794113095</v>
      </c>
      <c r="H124" s="405">
        <v>192.71100000000101</v>
      </c>
      <c r="I124" s="402">
        <v>770.847000000001</v>
      </c>
      <c r="J124" s="403">
        <v>45.231562058869997</v>
      </c>
      <c r="K124" s="406">
        <v>0.35411181538399999</v>
      </c>
    </row>
    <row r="125" spans="1:11" ht="14.4" customHeight="1" thickBot="1" x14ac:dyDescent="0.35">
      <c r="A125" s="422" t="s">
        <v>354</v>
      </c>
      <c r="B125" s="402">
        <v>1984</v>
      </c>
      <c r="C125" s="402">
        <v>2049.3510000000001</v>
      </c>
      <c r="D125" s="403">
        <v>65.350999999996006</v>
      </c>
      <c r="E125" s="404">
        <v>1.032939012096</v>
      </c>
      <c r="F125" s="402">
        <v>2176.8463138233901</v>
      </c>
      <c r="G125" s="403">
        <v>725.61543794113095</v>
      </c>
      <c r="H125" s="405">
        <v>192.71100000000101</v>
      </c>
      <c r="I125" s="402">
        <v>770.847000000001</v>
      </c>
      <c r="J125" s="403">
        <v>45.231562058869997</v>
      </c>
      <c r="K125" s="406">
        <v>0.35411181538399999</v>
      </c>
    </row>
    <row r="126" spans="1:11" ht="14.4" customHeight="1" thickBot="1" x14ac:dyDescent="0.35">
      <c r="A126" s="423" t="s">
        <v>355</v>
      </c>
      <c r="B126" s="407">
        <v>1984</v>
      </c>
      <c r="C126" s="407">
        <v>2049.3510000000001</v>
      </c>
      <c r="D126" s="408">
        <v>65.350999999996006</v>
      </c>
      <c r="E126" s="414">
        <v>1.032939012096</v>
      </c>
      <c r="F126" s="407">
        <v>2176.8463138233901</v>
      </c>
      <c r="G126" s="408">
        <v>725.61543794113095</v>
      </c>
      <c r="H126" s="410">
        <v>192.71100000000101</v>
      </c>
      <c r="I126" s="407">
        <v>770.847000000001</v>
      </c>
      <c r="J126" s="408">
        <v>45.231562058869997</v>
      </c>
      <c r="K126" s="415">
        <v>0.35411181538399999</v>
      </c>
    </row>
    <row r="127" spans="1:11" ht="14.4" customHeight="1" thickBot="1" x14ac:dyDescent="0.35">
      <c r="A127" s="424" t="s">
        <v>356</v>
      </c>
      <c r="B127" s="402">
        <v>2</v>
      </c>
      <c r="C127" s="402">
        <v>1.728</v>
      </c>
      <c r="D127" s="403">
        <v>-0.27200000000000002</v>
      </c>
      <c r="E127" s="404">
        <v>0.86399999999900001</v>
      </c>
      <c r="F127" s="402">
        <v>1.8364423770730001</v>
      </c>
      <c r="G127" s="403">
        <v>0.61214745902400003</v>
      </c>
      <c r="H127" s="405">
        <v>0</v>
      </c>
      <c r="I127" s="402">
        <v>0</v>
      </c>
      <c r="J127" s="403">
        <v>-0.61214745902400003</v>
      </c>
      <c r="K127" s="406">
        <v>0</v>
      </c>
    </row>
    <row r="128" spans="1:11" ht="14.4" customHeight="1" thickBot="1" x14ac:dyDescent="0.35">
      <c r="A128" s="424" t="s">
        <v>357</v>
      </c>
      <c r="B128" s="402">
        <v>1982</v>
      </c>
      <c r="C128" s="402">
        <v>2047.3109999999999</v>
      </c>
      <c r="D128" s="403">
        <v>65.310999999996</v>
      </c>
      <c r="E128" s="404">
        <v>1.032952068617</v>
      </c>
      <c r="F128" s="402">
        <v>2174.6782915726799</v>
      </c>
      <c r="G128" s="403">
        <v>724.89276385756</v>
      </c>
      <c r="H128" s="405">
        <v>192.71100000000101</v>
      </c>
      <c r="I128" s="402">
        <v>770.847000000001</v>
      </c>
      <c r="J128" s="403">
        <v>45.954236142440998</v>
      </c>
      <c r="K128" s="406">
        <v>0.35446484336799999</v>
      </c>
    </row>
    <row r="129" spans="1:11" ht="14.4" customHeight="1" thickBot="1" x14ac:dyDescent="0.35">
      <c r="A129" s="424" t="s">
        <v>358</v>
      </c>
      <c r="B129" s="402">
        <v>0</v>
      </c>
      <c r="C129" s="402">
        <v>0.312</v>
      </c>
      <c r="D129" s="403">
        <v>0.312</v>
      </c>
      <c r="E129" s="412" t="s">
        <v>236</v>
      </c>
      <c r="F129" s="402">
        <v>0.33157987363800001</v>
      </c>
      <c r="G129" s="403">
        <v>0.110526624546</v>
      </c>
      <c r="H129" s="405">
        <v>0</v>
      </c>
      <c r="I129" s="402">
        <v>0</v>
      </c>
      <c r="J129" s="403">
        <v>-0.110526624546</v>
      </c>
      <c r="K129" s="406">
        <v>0</v>
      </c>
    </row>
    <row r="130" spans="1:11" ht="14.4" customHeight="1" thickBot="1" x14ac:dyDescent="0.35">
      <c r="A130" s="422" t="s">
        <v>359</v>
      </c>
      <c r="B130" s="402">
        <v>0</v>
      </c>
      <c r="C130" s="402">
        <v>41.017079999998998</v>
      </c>
      <c r="D130" s="403">
        <v>41.017079999998998</v>
      </c>
      <c r="E130" s="412" t="s">
        <v>236</v>
      </c>
      <c r="F130" s="402">
        <v>0</v>
      </c>
      <c r="G130" s="403">
        <v>0</v>
      </c>
      <c r="H130" s="405">
        <v>0</v>
      </c>
      <c r="I130" s="402">
        <v>0</v>
      </c>
      <c r="J130" s="403">
        <v>0</v>
      </c>
      <c r="K130" s="413" t="s">
        <v>236</v>
      </c>
    </row>
    <row r="131" spans="1:11" ht="14.4" customHeight="1" thickBot="1" x14ac:dyDescent="0.35">
      <c r="A131" s="423" t="s">
        <v>360</v>
      </c>
      <c r="B131" s="407">
        <v>0</v>
      </c>
      <c r="C131" s="407">
        <v>6.4710799999999997</v>
      </c>
      <c r="D131" s="408">
        <v>6.4710799999999997</v>
      </c>
      <c r="E131" s="409" t="s">
        <v>236</v>
      </c>
      <c r="F131" s="407">
        <v>0</v>
      </c>
      <c r="G131" s="408">
        <v>0</v>
      </c>
      <c r="H131" s="410">
        <v>0</v>
      </c>
      <c r="I131" s="407">
        <v>0</v>
      </c>
      <c r="J131" s="408">
        <v>0</v>
      </c>
      <c r="K131" s="411" t="s">
        <v>236</v>
      </c>
    </row>
    <row r="132" spans="1:11" ht="14.4" customHeight="1" thickBot="1" x14ac:dyDescent="0.35">
      <c r="A132" s="424" t="s">
        <v>361</v>
      </c>
      <c r="B132" s="402">
        <v>0</v>
      </c>
      <c r="C132" s="402">
        <v>6.4710799999999997</v>
      </c>
      <c r="D132" s="403">
        <v>6.4710799999999997</v>
      </c>
      <c r="E132" s="412" t="s">
        <v>236</v>
      </c>
      <c r="F132" s="402">
        <v>0</v>
      </c>
      <c r="G132" s="403">
        <v>0</v>
      </c>
      <c r="H132" s="405">
        <v>0</v>
      </c>
      <c r="I132" s="402">
        <v>0</v>
      </c>
      <c r="J132" s="403">
        <v>0</v>
      </c>
      <c r="K132" s="413" t="s">
        <v>236</v>
      </c>
    </row>
    <row r="133" spans="1:11" ht="14.4" customHeight="1" thickBot="1" x14ac:dyDescent="0.35">
      <c r="A133" s="423" t="s">
        <v>362</v>
      </c>
      <c r="B133" s="407">
        <v>0</v>
      </c>
      <c r="C133" s="407">
        <v>34.545999999998998</v>
      </c>
      <c r="D133" s="408">
        <v>34.545999999998998</v>
      </c>
      <c r="E133" s="409" t="s">
        <v>246</v>
      </c>
      <c r="F133" s="407">
        <v>0</v>
      </c>
      <c r="G133" s="408">
        <v>0</v>
      </c>
      <c r="H133" s="410">
        <v>0</v>
      </c>
      <c r="I133" s="407">
        <v>0</v>
      </c>
      <c r="J133" s="408">
        <v>0</v>
      </c>
      <c r="K133" s="415">
        <v>4</v>
      </c>
    </row>
    <row r="134" spans="1:11" ht="14.4" customHeight="1" thickBot="1" x14ac:dyDescent="0.35">
      <c r="A134" s="424" t="s">
        <v>363</v>
      </c>
      <c r="B134" s="402">
        <v>0</v>
      </c>
      <c r="C134" s="402">
        <v>34.545999999998998</v>
      </c>
      <c r="D134" s="403">
        <v>34.545999999998998</v>
      </c>
      <c r="E134" s="412" t="s">
        <v>246</v>
      </c>
      <c r="F134" s="402">
        <v>0</v>
      </c>
      <c r="G134" s="403">
        <v>0</v>
      </c>
      <c r="H134" s="405">
        <v>0</v>
      </c>
      <c r="I134" s="402">
        <v>0</v>
      </c>
      <c r="J134" s="403">
        <v>0</v>
      </c>
      <c r="K134" s="406">
        <v>4</v>
      </c>
    </row>
    <row r="135" spans="1:11" ht="14.4" customHeight="1" thickBot="1" x14ac:dyDescent="0.35">
      <c r="A135" s="421" t="s">
        <v>364</v>
      </c>
      <c r="B135" s="402">
        <v>0</v>
      </c>
      <c r="C135" s="402">
        <v>0.94508999999999999</v>
      </c>
      <c r="D135" s="403">
        <v>0.94508999999999999</v>
      </c>
      <c r="E135" s="412" t="s">
        <v>236</v>
      </c>
      <c r="F135" s="402">
        <v>0</v>
      </c>
      <c r="G135" s="403">
        <v>0</v>
      </c>
      <c r="H135" s="405">
        <v>0</v>
      </c>
      <c r="I135" s="402">
        <v>0.12648999999999999</v>
      </c>
      <c r="J135" s="403">
        <v>0.12648999999999999</v>
      </c>
      <c r="K135" s="413" t="s">
        <v>236</v>
      </c>
    </row>
    <row r="136" spans="1:11" ht="14.4" customHeight="1" thickBot="1" x14ac:dyDescent="0.35">
      <c r="A136" s="422" t="s">
        <v>365</v>
      </c>
      <c r="B136" s="402">
        <v>0</v>
      </c>
      <c r="C136" s="402">
        <v>0.94508999999999999</v>
      </c>
      <c r="D136" s="403">
        <v>0.94508999999999999</v>
      </c>
      <c r="E136" s="412" t="s">
        <v>236</v>
      </c>
      <c r="F136" s="402">
        <v>0</v>
      </c>
      <c r="G136" s="403">
        <v>0</v>
      </c>
      <c r="H136" s="405">
        <v>0</v>
      </c>
      <c r="I136" s="402">
        <v>0.12648999999999999</v>
      </c>
      <c r="J136" s="403">
        <v>0.12648999999999999</v>
      </c>
      <c r="K136" s="413" t="s">
        <v>236</v>
      </c>
    </row>
    <row r="137" spans="1:11" ht="14.4" customHeight="1" thickBot="1" x14ac:dyDescent="0.35">
      <c r="A137" s="423" t="s">
        <v>366</v>
      </c>
      <c r="B137" s="407">
        <v>0</v>
      </c>
      <c r="C137" s="407">
        <v>0.94508999999999999</v>
      </c>
      <c r="D137" s="408">
        <v>0.94508999999999999</v>
      </c>
      <c r="E137" s="409" t="s">
        <v>236</v>
      </c>
      <c r="F137" s="407">
        <v>0</v>
      </c>
      <c r="G137" s="408">
        <v>0</v>
      </c>
      <c r="H137" s="410">
        <v>0</v>
      </c>
      <c r="I137" s="407">
        <v>0.12648999999999999</v>
      </c>
      <c r="J137" s="408">
        <v>0.12648999999999999</v>
      </c>
      <c r="K137" s="411" t="s">
        <v>236</v>
      </c>
    </row>
    <row r="138" spans="1:11" ht="14.4" customHeight="1" thickBot="1" x14ac:dyDescent="0.35">
      <c r="A138" s="424" t="s">
        <v>367</v>
      </c>
      <c r="B138" s="402">
        <v>0</v>
      </c>
      <c r="C138" s="402">
        <v>0.94508999999999999</v>
      </c>
      <c r="D138" s="403">
        <v>0.94508999999999999</v>
      </c>
      <c r="E138" s="412" t="s">
        <v>236</v>
      </c>
      <c r="F138" s="402">
        <v>0</v>
      </c>
      <c r="G138" s="403">
        <v>0</v>
      </c>
      <c r="H138" s="405">
        <v>0</v>
      </c>
      <c r="I138" s="402">
        <v>0.12648999999999999</v>
      </c>
      <c r="J138" s="403">
        <v>0.12648999999999999</v>
      </c>
      <c r="K138" s="413" t="s">
        <v>236</v>
      </c>
    </row>
    <row r="139" spans="1:11" ht="14.4" customHeight="1" thickBot="1" x14ac:dyDescent="0.35">
      <c r="A139" s="420" t="s">
        <v>368</v>
      </c>
      <c r="B139" s="402">
        <v>28543.633059844498</v>
      </c>
      <c r="C139" s="402">
        <v>30210.33323</v>
      </c>
      <c r="D139" s="403">
        <v>1666.70017015552</v>
      </c>
      <c r="E139" s="404">
        <v>1.0583913115279999</v>
      </c>
      <c r="F139" s="402">
        <v>30248.536067073201</v>
      </c>
      <c r="G139" s="403">
        <v>10082.845355691101</v>
      </c>
      <c r="H139" s="405">
        <v>3021.3473199999999</v>
      </c>
      <c r="I139" s="402">
        <v>11577.74331</v>
      </c>
      <c r="J139" s="403">
        <v>1494.8979543089299</v>
      </c>
      <c r="K139" s="406">
        <v>0.38275383920400002</v>
      </c>
    </row>
    <row r="140" spans="1:11" ht="14.4" customHeight="1" thickBot="1" x14ac:dyDescent="0.35">
      <c r="A140" s="421" t="s">
        <v>369</v>
      </c>
      <c r="B140" s="402">
        <v>28001.498645287898</v>
      </c>
      <c r="C140" s="402">
        <v>28982.310420000002</v>
      </c>
      <c r="D140" s="403">
        <v>980.81177471215403</v>
      </c>
      <c r="E140" s="404">
        <v>1.0350271171959999</v>
      </c>
      <c r="F140" s="402">
        <v>29250.679731871402</v>
      </c>
      <c r="G140" s="403">
        <v>9750.2265772904793</v>
      </c>
      <c r="H140" s="405">
        <v>2922.6286399999999</v>
      </c>
      <c r="I140" s="402">
        <v>11156.41639</v>
      </c>
      <c r="J140" s="403">
        <v>1406.1898127095201</v>
      </c>
      <c r="K140" s="406">
        <v>0.38140708155300002</v>
      </c>
    </row>
    <row r="141" spans="1:11" ht="14.4" customHeight="1" thickBot="1" x14ac:dyDescent="0.35">
      <c r="A141" s="422" t="s">
        <v>370</v>
      </c>
      <c r="B141" s="402">
        <v>25983</v>
      </c>
      <c r="C141" s="402">
        <v>27258.733899999999</v>
      </c>
      <c r="D141" s="403">
        <v>1275.73390000001</v>
      </c>
      <c r="E141" s="404">
        <v>1.049098791517</v>
      </c>
      <c r="F141" s="402">
        <v>27465.915793401098</v>
      </c>
      <c r="G141" s="403">
        <v>9155.3052644670206</v>
      </c>
      <c r="H141" s="405">
        <v>2798.0601900000001</v>
      </c>
      <c r="I141" s="402">
        <v>10649.40065</v>
      </c>
      <c r="J141" s="403">
        <v>1494.0953855329799</v>
      </c>
      <c r="K141" s="406">
        <v>0.387731497107</v>
      </c>
    </row>
    <row r="142" spans="1:11" ht="14.4" customHeight="1" thickBot="1" x14ac:dyDescent="0.35">
      <c r="A142" s="423" t="s">
        <v>371</v>
      </c>
      <c r="B142" s="407">
        <v>1194</v>
      </c>
      <c r="C142" s="407">
        <v>1086.3044299999999</v>
      </c>
      <c r="D142" s="408">
        <v>-107.69556999999899</v>
      </c>
      <c r="E142" s="414">
        <v>0.90980270519200002</v>
      </c>
      <c r="F142" s="407">
        <v>1296.2821351011301</v>
      </c>
      <c r="G142" s="408">
        <v>432.09404503371098</v>
      </c>
      <c r="H142" s="410">
        <v>85.342560000000006</v>
      </c>
      <c r="I142" s="407">
        <v>281.28348999999997</v>
      </c>
      <c r="J142" s="408">
        <v>-150.81055503371101</v>
      </c>
      <c r="K142" s="415">
        <v>0.21699249135900001</v>
      </c>
    </row>
    <row r="143" spans="1:11" ht="14.4" customHeight="1" thickBot="1" x14ac:dyDescent="0.35">
      <c r="A143" s="424" t="s">
        <v>372</v>
      </c>
      <c r="B143" s="402">
        <v>150</v>
      </c>
      <c r="C143" s="402">
        <v>23.250699999999998</v>
      </c>
      <c r="D143" s="403">
        <v>-126.74930000000001</v>
      </c>
      <c r="E143" s="404">
        <v>0.15500466666599999</v>
      </c>
      <c r="F143" s="402">
        <v>23.345709903054999</v>
      </c>
      <c r="G143" s="403">
        <v>7.7819033010179997</v>
      </c>
      <c r="H143" s="405">
        <v>13.7628</v>
      </c>
      <c r="I143" s="402">
        <v>14.25864</v>
      </c>
      <c r="J143" s="403">
        <v>6.476736698981</v>
      </c>
      <c r="K143" s="406">
        <v>0.61076060908800001</v>
      </c>
    </row>
    <row r="144" spans="1:11" ht="14.4" customHeight="1" thickBot="1" x14ac:dyDescent="0.35">
      <c r="A144" s="424" t="s">
        <v>373</v>
      </c>
      <c r="B144" s="402">
        <v>293</v>
      </c>
      <c r="C144" s="402">
        <v>592.56150000000002</v>
      </c>
      <c r="D144" s="403">
        <v>299.56150000000002</v>
      </c>
      <c r="E144" s="404">
        <v>2.0223941979519999</v>
      </c>
      <c r="F144" s="402">
        <v>720.86625237088799</v>
      </c>
      <c r="G144" s="403">
        <v>240.28875079029601</v>
      </c>
      <c r="H144" s="405">
        <v>64.123199999999997</v>
      </c>
      <c r="I144" s="402">
        <v>244.27181999999999</v>
      </c>
      <c r="J144" s="403">
        <v>3.9830692097039999</v>
      </c>
      <c r="K144" s="406">
        <v>0.33885872614500001</v>
      </c>
    </row>
    <row r="145" spans="1:11" ht="14.4" customHeight="1" thickBot="1" x14ac:dyDescent="0.35">
      <c r="A145" s="424" t="s">
        <v>374</v>
      </c>
      <c r="B145" s="402">
        <v>6</v>
      </c>
      <c r="C145" s="402">
        <v>6.2608699999999997</v>
      </c>
      <c r="D145" s="403">
        <v>0.26086999999999999</v>
      </c>
      <c r="E145" s="404">
        <v>1.043478333333</v>
      </c>
      <c r="F145" s="402">
        <v>3.460399730732</v>
      </c>
      <c r="G145" s="403">
        <v>1.1534665769100001</v>
      </c>
      <c r="H145" s="405">
        <v>0</v>
      </c>
      <c r="I145" s="402">
        <v>1.3913</v>
      </c>
      <c r="J145" s="403">
        <v>0.23783342308899999</v>
      </c>
      <c r="K145" s="406">
        <v>0.40206337656399999</v>
      </c>
    </row>
    <row r="146" spans="1:11" ht="14.4" customHeight="1" thickBot="1" x14ac:dyDescent="0.35">
      <c r="A146" s="424" t="s">
        <v>375</v>
      </c>
      <c r="B146" s="402">
        <v>0</v>
      </c>
      <c r="C146" s="402">
        <v>2.5826099999999999</v>
      </c>
      <c r="D146" s="403">
        <v>2.5826099999999999</v>
      </c>
      <c r="E146" s="412" t="s">
        <v>246</v>
      </c>
      <c r="F146" s="402">
        <v>2.1939030771549999</v>
      </c>
      <c r="G146" s="403">
        <v>0.73130102571800004</v>
      </c>
      <c r="H146" s="405">
        <v>0</v>
      </c>
      <c r="I146" s="402">
        <v>1.3408500000000001</v>
      </c>
      <c r="J146" s="403">
        <v>0.60954897428099997</v>
      </c>
      <c r="K146" s="406">
        <v>0.611171028457</v>
      </c>
    </row>
    <row r="147" spans="1:11" ht="14.4" customHeight="1" thickBot="1" x14ac:dyDescent="0.35">
      <c r="A147" s="424" t="s">
        <v>376</v>
      </c>
      <c r="B147" s="402">
        <v>25</v>
      </c>
      <c r="C147" s="402">
        <v>57.024079999999998</v>
      </c>
      <c r="D147" s="403">
        <v>32.024079999999998</v>
      </c>
      <c r="E147" s="404">
        <v>2.2809632</v>
      </c>
      <c r="F147" s="402">
        <v>110.661109228163</v>
      </c>
      <c r="G147" s="403">
        <v>36.887036409387001</v>
      </c>
      <c r="H147" s="405">
        <v>0</v>
      </c>
      <c r="I147" s="402">
        <v>-12.852399999999999</v>
      </c>
      <c r="J147" s="403">
        <v>-49.739436409386997</v>
      </c>
      <c r="K147" s="406">
        <v>-0.116141976974</v>
      </c>
    </row>
    <row r="148" spans="1:11" ht="14.4" customHeight="1" thickBot="1" x14ac:dyDescent="0.35">
      <c r="A148" s="424" t="s">
        <v>377</v>
      </c>
      <c r="B148" s="402">
        <v>720</v>
      </c>
      <c r="C148" s="402">
        <v>404.62466999999998</v>
      </c>
      <c r="D148" s="403">
        <v>-315.37533000000002</v>
      </c>
      <c r="E148" s="404">
        <v>0.56197870833300001</v>
      </c>
      <c r="F148" s="402">
        <v>435.75476079113901</v>
      </c>
      <c r="G148" s="403">
        <v>145.25158693038</v>
      </c>
      <c r="H148" s="405">
        <v>7.4565599999999996</v>
      </c>
      <c r="I148" s="402">
        <v>32.873280000000001</v>
      </c>
      <c r="J148" s="403">
        <v>-112.37830693038001</v>
      </c>
      <c r="K148" s="406">
        <v>7.5439864248999997E-2</v>
      </c>
    </row>
    <row r="149" spans="1:11" ht="14.4" customHeight="1" thickBot="1" x14ac:dyDescent="0.35">
      <c r="A149" s="423" t="s">
        <v>378</v>
      </c>
      <c r="B149" s="407">
        <v>111</v>
      </c>
      <c r="C149" s="407">
        <v>232.84849</v>
      </c>
      <c r="D149" s="408">
        <v>121.84849</v>
      </c>
      <c r="E149" s="414">
        <v>2.0977341441439998</v>
      </c>
      <c r="F149" s="407">
        <v>58.224527505264</v>
      </c>
      <c r="G149" s="408">
        <v>19.408175835087999</v>
      </c>
      <c r="H149" s="410">
        <v>-9.6143800000000006</v>
      </c>
      <c r="I149" s="407">
        <v>-14.22622</v>
      </c>
      <c r="J149" s="408">
        <v>-33.634395835088</v>
      </c>
      <c r="K149" s="415">
        <v>-0.24433379899400001</v>
      </c>
    </row>
    <row r="150" spans="1:11" ht="14.4" customHeight="1" thickBot="1" x14ac:dyDescent="0.35">
      <c r="A150" s="424" t="s">
        <v>379</v>
      </c>
      <c r="B150" s="402">
        <v>111</v>
      </c>
      <c r="C150" s="402">
        <v>232.84849</v>
      </c>
      <c r="D150" s="403">
        <v>121.84849</v>
      </c>
      <c r="E150" s="404">
        <v>2.0977341441439998</v>
      </c>
      <c r="F150" s="402">
        <v>58.224527505264</v>
      </c>
      <c r="G150" s="403">
        <v>19.408175835087999</v>
      </c>
      <c r="H150" s="405">
        <v>-9.6143800000000006</v>
      </c>
      <c r="I150" s="402">
        <v>-14.22622</v>
      </c>
      <c r="J150" s="403">
        <v>-33.634395835088</v>
      </c>
      <c r="K150" s="406">
        <v>-0.24433379899400001</v>
      </c>
    </row>
    <row r="151" spans="1:11" ht="14.4" customHeight="1" thickBot="1" x14ac:dyDescent="0.35">
      <c r="A151" s="423" t="s">
        <v>380</v>
      </c>
      <c r="B151" s="407">
        <v>108</v>
      </c>
      <c r="C151" s="407">
        <v>5.9396300000000002</v>
      </c>
      <c r="D151" s="408">
        <v>-102.06037000000001</v>
      </c>
      <c r="E151" s="414">
        <v>5.4996574074E-2</v>
      </c>
      <c r="F151" s="407">
        <v>5.540381359865</v>
      </c>
      <c r="G151" s="408">
        <v>1.846793786621</v>
      </c>
      <c r="H151" s="410">
        <v>0</v>
      </c>
      <c r="I151" s="407">
        <v>0</v>
      </c>
      <c r="J151" s="408">
        <v>-1.846793786621</v>
      </c>
      <c r="K151" s="415">
        <v>0</v>
      </c>
    </row>
    <row r="152" spans="1:11" ht="14.4" customHeight="1" thickBot="1" x14ac:dyDescent="0.35">
      <c r="A152" s="424" t="s">
        <v>381</v>
      </c>
      <c r="B152" s="402">
        <v>108</v>
      </c>
      <c r="C152" s="402">
        <v>5.9396300000000002</v>
      </c>
      <c r="D152" s="403">
        <v>-102.06037000000001</v>
      </c>
      <c r="E152" s="404">
        <v>5.4996574074E-2</v>
      </c>
      <c r="F152" s="402">
        <v>5.540381359865</v>
      </c>
      <c r="G152" s="403">
        <v>1.846793786621</v>
      </c>
      <c r="H152" s="405">
        <v>0</v>
      </c>
      <c r="I152" s="402">
        <v>0</v>
      </c>
      <c r="J152" s="403">
        <v>-1.846793786621</v>
      </c>
      <c r="K152" s="406">
        <v>0</v>
      </c>
    </row>
    <row r="153" spans="1:11" ht="14.4" customHeight="1" thickBot="1" x14ac:dyDescent="0.35">
      <c r="A153" s="423" t="s">
        <v>382</v>
      </c>
      <c r="B153" s="407">
        <v>24570</v>
      </c>
      <c r="C153" s="407">
        <v>25105.367139999998</v>
      </c>
      <c r="D153" s="408">
        <v>535.36714000000904</v>
      </c>
      <c r="E153" s="414">
        <v>1.021789464387</v>
      </c>
      <c r="F153" s="407">
        <v>26105.868749434801</v>
      </c>
      <c r="G153" s="408">
        <v>8701.9562498115993</v>
      </c>
      <c r="H153" s="410">
        <v>2722.3320100000001</v>
      </c>
      <c r="I153" s="407">
        <v>10105.62566</v>
      </c>
      <c r="J153" s="408">
        <v>1403.6694101884</v>
      </c>
      <c r="K153" s="415">
        <v>0.38710168035300002</v>
      </c>
    </row>
    <row r="154" spans="1:11" ht="14.4" customHeight="1" thickBot="1" x14ac:dyDescent="0.35">
      <c r="A154" s="424" t="s">
        <v>383</v>
      </c>
      <c r="B154" s="402">
        <v>14733</v>
      </c>
      <c r="C154" s="402">
        <v>12704.768330000001</v>
      </c>
      <c r="D154" s="403">
        <v>-2028.2316699999999</v>
      </c>
      <c r="E154" s="404">
        <v>0.86233410235499997</v>
      </c>
      <c r="F154" s="402">
        <v>13505.840719917</v>
      </c>
      <c r="G154" s="403">
        <v>4501.9469066389902</v>
      </c>
      <c r="H154" s="405">
        <v>1360.4507000000001</v>
      </c>
      <c r="I154" s="402">
        <v>5212.3960999999999</v>
      </c>
      <c r="J154" s="403">
        <v>710.44919336100895</v>
      </c>
      <c r="K154" s="406">
        <v>0.38593644098800001</v>
      </c>
    </row>
    <row r="155" spans="1:11" ht="14.4" customHeight="1" thickBot="1" x14ac:dyDescent="0.35">
      <c r="A155" s="424" t="s">
        <v>384</v>
      </c>
      <c r="B155" s="402">
        <v>9837</v>
      </c>
      <c r="C155" s="402">
        <v>12400.59881</v>
      </c>
      <c r="D155" s="403">
        <v>2563.59881000001</v>
      </c>
      <c r="E155" s="404">
        <v>1.260607787943</v>
      </c>
      <c r="F155" s="402">
        <v>12600.0280295178</v>
      </c>
      <c r="G155" s="403">
        <v>4200.00934317261</v>
      </c>
      <c r="H155" s="405">
        <v>1361.88131</v>
      </c>
      <c r="I155" s="402">
        <v>4893.2295599999998</v>
      </c>
      <c r="J155" s="403">
        <v>693.22021682739</v>
      </c>
      <c r="K155" s="406">
        <v>0.388350688469</v>
      </c>
    </row>
    <row r="156" spans="1:11" ht="14.4" customHeight="1" thickBot="1" x14ac:dyDescent="0.35">
      <c r="A156" s="423" t="s">
        <v>385</v>
      </c>
      <c r="B156" s="407">
        <v>0</v>
      </c>
      <c r="C156" s="407">
        <v>828.27421000000004</v>
      </c>
      <c r="D156" s="408">
        <v>828.27421000000004</v>
      </c>
      <c r="E156" s="409" t="s">
        <v>236</v>
      </c>
      <c r="F156" s="407">
        <v>0</v>
      </c>
      <c r="G156" s="408">
        <v>0</v>
      </c>
      <c r="H156" s="410">
        <v>0</v>
      </c>
      <c r="I156" s="407">
        <v>276.71771999999999</v>
      </c>
      <c r="J156" s="408">
        <v>276.71771999999999</v>
      </c>
      <c r="K156" s="411" t="s">
        <v>236</v>
      </c>
    </row>
    <row r="157" spans="1:11" ht="14.4" customHeight="1" thickBot="1" x14ac:dyDescent="0.35">
      <c r="A157" s="424" t="s">
        <v>386</v>
      </c>
      <c r="B157" s="402">
        <v>0</v>
      </c>
      <c r="C157" s="402">
        <v>633.82300999999995</v>
      </c>
      <c r="D157" s="403">
        <v>633.82300999999995</v>
      </c>
      <c r="E157" s="412" t="s">
        <v>236</v>
      </c>
      <c r="F157" s="402">
        <v>0</v>
      </c>
      <c r="G157" s="403">
        <v>0</v>
      </c>
      <c r="H157" s="405">
        <v>0</v>
      </c>
      <c r="I157" s="402">
        <v>0</v>
      </c>
      <c r="J157" s="403">
        <v>0</v>
      </c>
      <c r="K157" s="413" t="s">
        <v>236</v>
      </c>
    </row>
    <row r="158" spans="1:11" ht="14.4" customHeight="1" thickBot="1" x14ac:dyDescent="0.35">
      <c r="A158" s="424" t="s">
        <v>387</v>
      </c>
      <c r="B158" s="402">
        <v>0</v>
      </c>
      <c r="C158" s="402">
        <v>194.4512</v>
      </c>
      <c r="D158" s="403">
        <v>194.4512</v>
      </c>
      <c r="E158" s="412" t="s">
        <v>236</v>
      </c>
      <c r="F158" s="402">
        <v>0</v>
      </c>
      <c r="G158" s="403">
        <v>0</v>
      </c>
      <c r="H158" s="405">
        <v>0</v>
      </c>
      <c r="I158" s="402">
        <v>276.71771999999999</v>
      </c>
      <c r="J158" s="403">
        <v>276.71771999999999</v>
      </c>
      <c r="K158" s="413" t="s">
        <v>236</v>
      </c>
    </row>
    <row r="159" spans="1:11" ht="14.4" customHeight="1" thickBot="1" x14ac:dyDescent="0.35">
      <c r="A159" s="427" t="s">
        <v>388</v>
      </c>
      <c r="B159" s="407">
        <v>2018.49864528786</v>
      </c>
      <c r="C159" s="407">
        <v>1723.5765200000001</v>
      </c>
      <c r="D159" s="408">
        <v>-294.92212528785899</v>
      </c>
      <c r="E159" s="414">
        <v>0.85389035262599999</v>
      </c>
      <c r="F159" s="407">
        <v>1784.76393847037</v>
      </c>
      <c r="G159" s="408">
        <v>594.92131282345804</v>
      </c>
      <c r="H159" s="410">
        <v>124.56845</v>
      </c>
      <c r="I159" s="407">
        <v>507.01573999999999</v>
      </c>
      <c r="J159" s="408">
        <v>-87.905572823458002</v>
      </c>
      <c r="K159" s="415">
        <v>0.28408000020099999</v>
      </c>
    </row>
    <row r="160" spans="1:11" ht="14.4" customHeight="1" thickBot="1" x14ac:dyDescent="0.35">
      <c r="A160" s="423" t="s">
        <v>389</v>
      </c>
      <c r="B160" s="407">
        <v>2018.49864528786</v>
      </c>
      <c r="C160" s="407">
        <v>1723.5765200000001</v>
      </c>
      <c r="D160" s="408">
        <v>-294.92212528785899</v>
      </c>
      <c r="E160" s="414">
        <v>0.85389035262599999</v>
      </c>
      <c r="F160" s="407">
        <v>1784.76393847037</v>
      </c>
      <c r="G160" s="408">
        <v>594.92131282345804</v>
      </c>
      <c r="H160" s="410">
        <v>124.56845</v>
      </c>
      <c r="I160" s="407">
        <v>507.01573999999999</v>
      </c>
      <c r="J160" s="408">
        <v>-87.905572823458002</v>
      </c>
      <c r="K160" s="415">
        <v>0.28408000020099999</v>
      </c>
    </row>
    <row r="161" spans="1:11" ht="14.4" customHeight="1" thickBot="1" x14ac:dyDescent="0.35">
      <c r="A161" s="424" t="s">
        <v>390</v>
      </c>
      <c r="B161" s="402">
        <v>0</v>
      </c>
      <c r="C161" s="402">
        <v>0.95</v>
      </c>
      <c r="D161" s="403">
        <v>0.95</v>
      </c>
      <c r="E161" s="412" t="s">
        <v>246</v>
      </c>
      <c r="F161" s="402">
        <v>0.993154672706</v>
      </c>
      <c r="G161" s="403">
        <v>0.33105155756799998</v>
      </c>
      <c r="H161" s="405">
        <v>0</v>
      </c>
      <c r="I161" s="402">
        <v>0</v>
      </c>
      <c r="J161" s="403">
        <v>-0.33105155756799998</v>
      </c>
      <c r="K161" s="406">
        <v>0</v>
      </c>
    </row>
    <row r="162" spans="1:11" ht="14.4" customHeight="1" thickBot="1" x14ac:dyDescent="0.35">
      <c r="A162" s="424" t="s">
        <v>391</v>
      </c>
      <c r="B162" s="402">
        <v>2018.49864528786</v>
      </c>
      <c r="C162" s="402">
        <v>1722.62652</v>
      </c>
      <c r="D162" s="403">
        <v>-295.87212528785898</v>
      </c>
      <c r="E162" s="404">
        <v>0.85341970579000004</v>
      </c>
      <c r="F162" s="402">
        <v>1783.77078379767</v>
      </c>
      <c r="G162" s="403">
        <v>594.59026126588901</v>
      </c>
      <c r="H162" s="405">
        <v>124.56845</v>
      </c>
      <c r="I162" s="402">
        <v>507.01573999999999</v>
      </c>
      <c r="J162" s="403">
        <v>-87.574521265889004</v>
      </c>
      <c r="K162" s="406">
        <v>0.28423816815699998</v>
      </c>
    </row>
    <row r="163" spans="1:11" ht="14.4" customHeight="1" thickBot="1" x14ac:dyDescent="0.35">
      <c r="A163" s="421" t="s">
        <v>392</v>
      </c>
      <c r="B163" s="402">
        <v>542.13441455663099</v>
      </c>
      <c r="C163" s="402">
        <v>1228.04766</v>
      </c>
      <c r="D163" s="403">
        <v>685.91324544336999</v>
      </c>
      <c r="E163" s="404">
        <v>2.2652088246490001</v>
      </c>
      <c r="F163" s="402">
        <v>997.85633520176702</v>
      </c>
      <c r="G163" s="403">
        <v>332.61877840058901</v>
      </c>
      <c r="H163" s="405">
        <v>98.718679999998997</v>
      </c>
      <c r="I163" s="402">
        <v>421.32691999999997</v>
      </c>
      <c r="J163" s="403">
        <v>88.708141599409998</v>
      </c>
      <c r="K163" s="406">
        <v>0.42223204396899999</v>
      </c>
    </row>
    <row r="164" spans="1:11" ht="14.4" customHeight="1" thickBot="1" x14ac:dyDescent="0.35">
      <c r="A164" s="422" t="s">
        <v>393</v>
      </c>
      <c r="B164" s="402">
        <v>0</v>
      </c>
      <c r="C164" s="402">
        <v>51.5</v>
      </c>
      <c r="D164" s="403">
        <v>51.5</v>
      </c>
      <c r="E164" s="412" t="s">
        <v>236</v>
      </c>
      <c r="F164" s="402">
        <v>0</v>
      </c>
      <c r="G164" s="403">
        <v>0</v>
      </c>
      <c r="H164" s="405">
        <v>0</v>
      </c>
      <c r="I164" s="402">
        <v>0.75</v>
      </c>
      <c r="J164" s="403">
        <v>0.75</v>
      </c>
      <c r="K164" s="413" t="s">
        <v>236</v>
      </c>
    </row>
    <row r="165" spans="1:11" ht="14.4" customHeight="1" thickBot="1" x14ac:dyDescent="0.35">
      <c r="A165" s="423" t="s">
        <v>394</v>
      </c>
      <c r="B165" s="407">
        <v>0</v>
      </c>
      <c r="C165" s="407">
        <v>51.5</v>
      </c>
      <c r="D165" s="408">
        <v>51.5</v>
      </c>
      <c r="E165" s="409" t="s">
        <v>246</v>
      </c>
      <c r="F165" s="407">
        <v>0</v>
      </c>
      <c r="G165" s="408">
        <v>0</v>
      </c>
      <c r="H165" s="410">
        <v>0</v>
      </c>
      <c r="I165" s="407">
        <v>0.75</v>
      </c>
      <c r="J165" s="408">
        <v>0.75</v>
      </c>
      <c r="K165" s="411" t="s">
        <v>236</v>
      </c>
    </row>
    <row r="166" spans="1:11" ht="14.4" customHeight="1" thickBot="1" x14ac:dyDescent="0.35">
      <c r="A166" s="424" t="s">
        <v>395</v>
      </c>
      <c r="B166" s="402">
        <v>0</v>
      </c>
      <c r="C166" s="402">
        <v>51.5</v>
      </c>
      <c r="D166" s="403">
        <v>51.5</v>
      </c>
      <c r="E166" s="412" t="s">
        <v>246</v>
      </c>
      <c r="F166" s="402">
        <v>0</v>
      </c>
      <c r="G166" s="403">
        <v>0</v>
      </c>
      <c r="H166" s="405">
        <v>0</v>
      </c>
      <c r="I166" s="402">
        <v>0.75</v>
      </c>
      <c r="J166" s="403">
        <v>0.75</v>
      </c>
      <c r="K166" s="413" t="s">
        <v>236</v>
      </c>
    </row>
    <row r="167" spans="1:11" ht="14.4" customHeight="1" thickBot="1" x14ac:dyDescent="0.35">
      <c r="A167" s="427" t="s">
        <v>396</v>
      </c>
      <c r="B167" s="407">
        <v>542.13441455663099</v>
      </c>
      <c r="C167" s="407">
        <v>1176.54766</v>
      </c>
      <c r="D167" s="408">
        <v>634.41324544336999</v>
      </c>
      <c r="E167" s="414">
        <v>2.1702139329449999</v>
      </c>
      <c r="F167" s="407">
        <v>997.85633520176702</v>
      </c>
      <c r="G167" s="408">
        <v>332.61877840058901</v>
      </c>
      <c r="H167" s="410">
        <v>98.718679999998997</v>
      </c>
      <c r="I167" s="407">
        <v>420.57691999999997</v>
      </c>
      <c r="J167" s="408">
        <v>87.958141599409998</v>
      </c>
      <c r="K167" s="415">
        <v>0.421480432766</v>
      </c>
    </row>
    <row r="168" spans="1:11" ht="14.4" customHeight="1" thickBot="1" x14ac:dyDescent="0.35">
      <c r="A168" s="423" t="s">
        <v>397</v>
      </c>
      <c r="B168" s="407">
        <v>0</v>
      </c>
      <c r="C168" s="407">
        <v>0.28486</v>
      </c>
      <c r="D168" s="408">
        <v>0.28486</v>
      </c>
      <c r="E168" s="409" t="s">
        <v>236</v>
      </c>
      <c r="F168" s="407">
        <v>0</v>
      </c>
      <c r="G168" s="408">
        <v>0</v>
      </c>
      <c r="H168" s="410">
        <v>1.668E-2</v>
      </c>
      <c r="I168" s="407">
        <v>7.0919999999999997E-2</v>
      </c>
      <c r="J168" s="408">
        <v>7.0919999999999997E-2</v>
      </c>
      <c r="K168" s="411" t="s">
        <v>236</v>
      </c>
    </row>
    <row r="169" spans="1:11" ht="14.4" customHeight="1" thickBot="1" x14ac:dyDescent="0.35">
      <c r="A169" s="424" t="s">
        <v>398</v>
      </c>
      <c r="B169" s="402">
        <v>0</v>
      </c>
      <c r="C169" s="402">
        <v>0.28486</v>
      </c>
      <c r="D169" s="403">
        <v>0.28486</v>
      </c>
      <c r="E169" s="412" t="s">
        <v>236</v>
      </c>
      <c r="F169" s="402">
        <v>0</v>
      </c>
      <c r="G169" s="403">
        <v>0</v>
      </c>
      <c r="H169" s="405">
        <v>1.668E-2</v>
      </c>
      <c r="I169" s="402">
        <v>7.0919999999999997E-2</v>
      </c>
      <c r="J169" s="403">
        <v>7.0919999999999997E-2</v>
      </c>
      <c r="K169" s="413" t="s">
        <v>236</v>
      </c>
    </row>
    <row r="170" spans="1:11" ht="14.4" customHeight="1" thickBot="1" x14ac:dyDescent="0.35">
      <c r="A170" s="423" t="s">
        <v>399</v>
      </c>
      <c r="B170" s="407">
        <v>542.13441455663099</v>
      </c>
      <c r="C170" s="407">
        <v>1176.2628</v>
      </c>
      <c r="D170" s="408">
        <v>634.12838544337001</v>
      </c>
      <c r="E170" s="414">
        <v>2.1696884912969998</v>
      </c>
      <c r="F170" s="407">
        <v>997.85633520176702</v>
      </c>
      <c r="G170" s="408">
        <v>332.61877840058901</v>
      </c>
      <c r="H170" s="410">
        <v>98.701999999999998</v>
      </c>
      <c r="I170" s="407">
        <v>420.50599999999997</v>
      </c>
      <c r="J170" s="408">
        <v>87.887221599409997</v>
      </c>
      <c r="K170" s="415">
        <v>0.42140936041100002</v>
      </c>
    </row>
    <row r="171" spans="1:11" ht="14.4" customHeight="1" thickBot="1" x14ac:dyDescent="0.35">
      <c r="A171" s="424" t="s">
        <v>400</v>
      </c>
      <c r="B171" s="402">
        <v>491.29660133345698</v>
      </c>
      <c r="C171" s="402">
        <v>1151.2850000000001</v>
      </c>
      <c r="D171" s="403">
        <v>659.98839866654305</v>
      </c>
      <c r="E171" s="404">
        <v>2.3433603995530001</v>
      </c>
      <c r="F171" s="402">
        <v>937</v>
      </c>
      <c r="G171" s="403">
        <v>312.33333333333297</v>
      </c>
      <c r="H171" s="405">
        <v>98.55</v>
      </c>
      <c r="I171" s="402">
        <v>420.05</v>
      </c>
      <c r="J171" s="403">
        <v>107.716666666667</v>
      </c>
      <c r="K171" s="406">
        <v>0.44829242262500002</v>
      </c>
    </row>
    <row r="172" spans="1:11" ht="14.4" customHeight="1" thickBot="1" x14ac:dyDescent="0.35">
      <c r="A172" s="424" t="s">
        <v>401</v>
      </c>
      <c r="B172" s="402">
        <v>13.954518690767999</v>
      </c>
      <c r="C172" s="402">
        <v>5.4736599999999997</v>
      </c>
      <c r="D172" s="403">
        <v>-8.4808586907680006</v>
      </c>
      <c r="E172" s="404">
        <v>0.39225000312000002</v>
      </c>
      <c r="F172" s="402">
        <v>7.3862317528929999</v>
      </c>
      <c r="G172" s="403">
        <v>2.4620772509640001</v>
      </c>
      <c r="H172" s="405">
        <v>0.152</v>
      </c>
      <c r="I172" s="402">
        <v>0.45600000000000002</v>
      </c>
      <c r="J172" s="403">
        <v>-2.0060772509640001</v>
      </c>
      <c r="K172" s="406">
        <v>6.1736486919000001E-2</v>
      </c>
    </row>
    <row r="173" spans="1:11" ht="14.4" customHeight="1" thickBot="1" x14ac:dyDescent="0.35">
      <c r="A173" s="424" t="s">
        <v>402</v>
      </c>
      <c r="B173" s="402">
        <v>36.883294532405003</v>
      </c>
      <c r="C173" s="402">
        <v>19.50414</v>
      </c>
      <c r="D173" s="403">
        <v>-17.379154532405</v>
      </c>
      <c r="E173" s="404">
        <v>0.52880688255300001</v>
      </c>
      <c r="F173" s="402">
        <v>53.470103448873999</v>
      </c>
      <c r="G173" s="403">
        <v>17.823367816291</v>
      </c>
      <c r="H173" s="405">
        <v>0</v>
      </c>
      <c r="I173" s="402">
        <v>0</v>
      </c>
      <c r="J173" s="403">
        <v>-17.823367816291</v>
      </c>
      <c r="K173" s="406">
        <v>0</v>
      </c>
    </row>
    <row r="174" spans="1:11" ht="14.4" customHeight="1" thickBot="1" x14ac:dyDescent="0.35">
      <c r="A174" s="421" t="s">
        <v>403</v>
      </c>
      <c r="B174" s="402">
        <v>0</v>
      </c>
      <c r="C174" s="402">
        <v>-2.4850000000000001E-2</v>
      </c>
      <c r="D174" s="403">
        <v>-2.4850000000000001E-2</v>
      </c>
      <c r="E174" s="412" t="s">
        <v>236</v>
      </c>
      <c r="F174" s="402">
        <v>0</v>
      </c>
      <c r="G174" s="403">
        <v>0</v>
      </c>
      <c r="H174" s="405">
        <v>0</v>
      </c>
      <c r="I174" s="402">
        <v>0</v>
      </c>
      <c r="J174" s="403">
        <v>0</v>
      </c>
      <c r="K174" s="413" t="s">
        <v>236</v>
      </c>
    </row>
    <row r="175" spans="1:11" ht="14.4" customHeight="1" thickBot="1" x14ac:dyDescent="0.35">
      <c r="A175" s="427" t="s">
        <v>404</v>
      </c>
      <c r="B175" s="407">
        <v>0</v>
      </c>
      <c r="C175" s="407">
        <v>-2.4850000000000001E-2</v>
      </c>
      <c r="D175" s="408">
        <v>-2.4850000000000001E-2</v>
      </c>
      <c r="E175" s="409" t="s">
        <v>236</v>
      </c>
      <c r="F175" s="407">
        <v>0</v>
      </c>
      <c r="G175" s="408">
        <v>0</v>
      </c>
      <c r="H175" s="410">
        <v>0</v>
      </c>
      <c r="I175" s="407">
        <v>0</v>
      </c>
      <c r="J175" s="408">
        <v>0</v>
      </c>
      <c r="K175" s="411" t="s">
        <v>236</v>
      </c>
    </row>
    <row r="176" spans="1:11" ht="14.4" customHeight="1" thickBot="1" x14ac:dyDescent="0.35">
      <c r="A176" s="423" t="s">
        <v>405</v>
      </c>
      <c r="B176" s="407">
        <v>0</v>
      </c>
      <c r="C176" s="407">
        <v>-2.4850000000000001E-2</v>
      </c>
      <c r="D176" s="408">
        <v>-2.4850000000000001E-2</v>
      </c>
      <c r="E176" s="409" t="s">
        <v>236</v>
      </c>
      <c r="F176" s="407">
        <v>0</v>
      </c>
      <c r="G176" s="408">
        <v>0</v>
      </c>
      <c r="H176" s="410">
        <v>0</v>
      </c>
      <c r="I176" s="407">
        <v>0</v>
      </c>
      <c r="J176" s="408">
        <v>0</v>
      </c>
      <c r="K176" s="411" t="s">
        <v>236</v>
      </c>
    </row>
    <row r="177" spans="1:11" ht="14.4" customHeight="1" thickBot="1" x14ac:dyDescent="0.35">
      <c r="A177" s="424" t="s">
        <v>406</v>
      </c>
      <c r="B177" s="402">
        <v>0</v>
      </c>
      <c r="C177" s="402">
        <v>-2.4850000000000001E-2</v>
      </c>
      <c r="D177" s="403">
        <v>-2.4850000000000001E-2</v>
      </c>
      <c r="E177" s="412" t="s">
        <v>236</v>
      </c>
      <c r="F177" s="402">
        <v>0</v>
      </c>
      <c r="G177" s="403">
        <v>0</v>
      </c>
      <c r="H177" s="405">
        <v>0</v>
      </c>
      <c r="I177" s="402">
        <v>0</v>
      </c>
      <c r="J177" s="403">
        <v>0</v>
      </c>
      <c r="K177" s="413" t="s">
        <v>236</v>
      </c>
    </row>
    <row r="178" spans="1:11" ht="14.4" customHeight="1" thickBot="1" x14ac:dyDescent="0.35">
      <c r="A178" s="420" t="s">
        <v>407</v>
      </c>
      <c r="B178" s="402">
        <v>2938.7413152672302</v>
      </c>
      <c r="C178" s="402">
        <v>3459.8525599999998</v>
      </c>
      <c r="D178" s="403">
        <v>521.111244732773</v>
      </c>
      <c r="E178" s="404">
        <v>1.1773246396420001</v>
      </c>
      <c r="F178" s="402">
        <v>3750.0657528944998</v>
      </c>
      <c r="G178" s="403">
        <v>1250.0219176314999</v>
      </c>
      <c r="H178" s="405">
        <v>305.30989</v>
      </c>
      <c r="I178" s="402">
        <v>1177.11303</v>
      </c>
      <c r="J178" s="403">
        <v>-72.908887631499994</v>
      </c>
      <c r="K178" s="406">
        <v>0.31389130419599998</v>
      </c>
    </row>
    <row r="179" spans="1:11" ht="14.4" customHeight="1" thickBot="1" x14ac:dyDescent="0.35">
      <c r="A179" s="425" t="s">
        <v>408</v>
      </c>
      <c r="B179" s="407">
        <v>2938.7413152672302</v>
      </c>
      <c r="C179" s="407">
        <v>3459.8525599999998</v>
      </c>
      <c r="D179" s="408">
        <v>521.111244732773</v>
      </c>
      <c r="E179" s="414">
        <v>1.1773246396420001</v>
      </c>
      <c r="F179" s="407">
        <v>3750.0657528944998</v>
      </c>
      <c r="G179" s="408">
        <v>1250.0219176314999</v>
      </c>
      <c r="H179" s="410">
        <v>305.30989</v>
      </c>
      <c r="I179" s="407">
        <v>1177.11303</v>
      </c>
      <c r="J179" s="408">
        <v>-72.908887631499994</v>
      </c>
      <c r="K179" s="415">
        <v>0.31389130419599998</v>
      </c>
    </row>
    <row r="180" spans="1:11" ht="14.4" customHeight="1" thickBot="1" x14ac:dyDescent="0.35">
      <c r="A180" s="427" t="s">
        <v>40</v>
      </c>
      <c r="B180" s="407">
        <v>2938.7413152672302</v>
      </c>
      <c r="C180" s="407">
        <v>3459.8525599999998</v>
      </c>
      <c r="D180" s="408">
        <v>521.111244732773</v>
      </c>
      <c r="E180" s="414">
        <v>1.1773246396420001</v>
      </c>
      <c r="F180" s="407">
        <v>3750.0657528944998</v>
      </c>
      <c r="G180" s="408">
        <v>1250.0219176314999</v>
      </c>
      <c r="H180" s="410">
        <v>305.30989</v>
      </c>
      <c r="I180" s="407">
        <v>1177.11303</v>
      </c>
      <c r="J180" s="408">
        <v>-72.908887631499994</v>
      </c>
      <c r="K180" s="415">
        <v>0.31389130419599998</v>
      </c>
    </row>
    <row r="181" spans="1:11" ht="14.4" customHeight="1" thickBot="1" x14ac:dyDescent="0.35">
      <c r="A181" s="426" t="s">
        <v>409</v>
      </c>
      <c r="B181" s="402">
        <v>0.17838197118599999</v>
      </c>
      <c r="C181" s="402">
        <v>0.56096999999999997</v>
      </c>
      <c r="D181" s="403">
        <v>0.38258802881300003</v>
      </c>
      <c r="E181" s="404">
        <v>3.1447684778229998</v>
      </c>
      <c r="F181" s="402">
        <v>0</v>
      </c>
      <c r="G181" s="403">
        <v>0</v>
      </c>
      <c r="H181" s="405">
        <v>1.6820000000000002E-2</v>
      </c>
      <c r="I181" s="402">
        <v>2.7310000000000001E-2</v>
      </c>
      <c r="J181" s="403">
        <v>2.7310000000000001E-2</v>
      </c>
      <c r="K181" s="413" t="s">
        <v>246</v>
      </c>
    </row>
    <row r="182" spans="1:11" ht="14.4" customHeight="1" thickBot="1" x14ac:dyDescent="0.35">
      <c r="A182" s="424" t="s">
        <v>410</v>
      </c>
      <c r="B182" s="402">
        <v>0.17838197118599999</v>
      </c>
      <c r="C182" s="402">
        <v>0.56096999999999997</v>
      </c>
      <c r="D182" s="403">
        <v>0.38258802881300003</v>
      </c>
      <c r="E182" s="404">
        <v>3.1447684778229998</v>
      </c>
      <c r="F182" s="402">
        <v>0</v>
      </c>
      <c r="G182" s="403">
        <v>0</v>
      </c>
      <c r="H182" s="405">
        <v>1.6820000000000002E-2</v>
      </c>
      <c r="I182" s="402">
        <v>2.7310000000000001E-2</v>
      </c>
      <c r="J182" s="403">
        <v>2.7310000000000001E-2</v>
      </c>
      <c r="K182" s="413" t="s">
        <v>246</v>
      </c>
    </row>
    <row r="183" spans="1:11" ht="14.4" customHeight="1" thickBot="1" x14ac:dyDescent="0.35">
      <c r="A183" s="423" t="s">
        <v>411</v>
      </c>
      <c r="B183" s="407">
        <v>7.1529992215089999</v>
      </c>
      <c r="C183" s="407">
        <v>18.188020000000002</v>
      </c>
      <c r="D183" s="408">
        <v>11.035020778490001</v>
      </c>
      <c r="E183" s="414">
        <v>2.5427124254820002</v>
      </c>
      <c r="F183" s="407">
        <v>35.760671944026001</v>
      </c>
      <c r="G183" s="408">
        <v>11.920223981342</v>
      </c>
      <c r="H183" s="410">
        <v>6.5678999999999998</v>
      </c>
      <c r="I183" s="407">
        <v>11.6564</v>
      </c>
      <c r="J183" s="408">
        <v>-0.26382398134099999</v>
      </c>
      <c r="K183" s="415">
        <v>0.32595584384499998</v>
      </c>
    </row>
    <row r="184" spans="1:11" ht="14.4" customHeight="1" thickBot="1" x14ac:dyDescent="0.35">
      <c r="A184" s="424" t="s">
        <v>412</v>
      </c>
      <c r="B184" s="402">
        <v>0.16522642091</v>
      </c>
      <c r="C184" s="402">
        <v>11.5642</v>
      </c>
      <c r="D184" s="403">
        <v>11.398973579089001</v>
      </c>
      <c r="E184" s="404">
        <v>69.990016949476995</v>
      </c>
      <c r="F184" s="402">
        <v>27.482441994154001</v>
      </c>
      <c r="G184" s="403">
        <v>9.1608139980509993</v>
      </c>
      <c r="H184" s="405">
        <v>5.7888000000000002</v>
      </c>
      <c r="I184" s="402">
        <v>9.0985999999999994</v>
      </c>
      <c r="J184" s="403">
        <v>-6.2213998051000002E-2</v>
      </c>
      <c r="K184" s="406">
        <v>0.33106956077299998</v>
      </c>
    </row>
    <row r="185" spans="1:11" ht="14.4" customHeight="1" thickBot="1" x14ac:dyDescent="0.35">
      <c r="A185" s="424" t="s">
        <v>413</v>
      </c>
      <c r="B185" s="402">
        <v>6.9877728005990001</v>
      </c>
      <c r="C185" s="402">
        <v>6.6238200000000003</v>
      </c>
      <c r="D185" s="403">
        <v>-0.36395280059899998</v>
      </c>
      <c r="E185" s="404">
        <v>0.94791576500999997</v>
      </c>
      <c r="F185" s="402">
        <v>8.2782299498709992</v>
      </c>
      <c r="G185" s="403">
        <v>2.7594099832899999</v>
      </c>
      <c r="H185" s="405">
        <v>0.77910000000000001</v>
      </c>
      <c r="I185" s="402">
        <v>2.5577999999999999</v>
      </c>
      <c r="J185" s="403">
        <v>-0.20160998328999999</v>
      </c>
      <c r="K185" s="406">
        <v>0.30897909522700001</v>
      </c>
    </row>
    <row r="186" spans="1:11" ht="14.4" customHeight="1" thickBot="1" x14ac:dyDescent="0.35">
      <c r="A186" s="423" t="s">
        <v>414</v>
      </c>
      <c r="B186" s="407">
        <v>69.781921244649993</v>
      </c>
      <c r="C186" s="407">
        <v>75.269909999999996</v>
      </c>
      <c r="D186" s="408">
        <v>5.4879887553489999</v>
      </c>
      <c r="E186" s="414">
        <v>1.0786448503770001</v>
      </c>
      <c r="F186" s="407">
        <v>81.976186267995999</v>
      </c>
      <c r="G186" s="408">
        <v>27.325395422665</v>
      </c>
      <c r="H186" s="410">
        <v>5.8346999999999998</v>
      </c>
      <c r="I186" s="407">
        <v>28.799800000000001</v>
      </c>
      <c r="J186" s="408">
        <v>1.474404577334</v>
      </c>
      <c r="K186" s="415">
        <v>0.35131910023000001</v>
      </c>
    </row>
    <row r="187" spans="1:11" ht="14.4" customHeight="1" thickBot="1" x14ac:dyDescent="0.35">
      <c r="A187" s="424" t="s">
        <v>415</v>
      </c>
      <c r="B187" s="402">
        <v>69.781921244649993</v>
      </c>
      <c r="C187" s="402">
        <v>75.269909999999996</v>
      </c>
      <c r="D187" s="403">
        <v>5.4879887553489999</v>
      </c>
      <c r="E187" s="404">
        <v>1.0786448503770001</v>
      </c>
      <c r="F187" s="402">
        <v>81.976186267995999</v>
      </c>
      <c r="G187" s="403">
        <v>27.325395422665</v>
      </c>
      <c r="H187" s="405">
        <v>5.8346999999999998</v>
      </c>
      <c r="I187" s="402">
        <v>28.799800000000001</v>
      </c>
      <c r="J187" s="403">
        <v>1.474404577334</v>
      </c>
      <c r="K187" s="406">
        <v>0.35131910023000001</v>
      </c>
    </row>
    <row r="188" spans="1:11" ht="14.4" customHeight="1" thickBot="1" x14ac:dyDescent="0.35">
      <c r="A188" s="423" t="s">
        <v>416</v>
      </c>
      <c r="B188" s="407">
        <v>0</v>
      </c>
      <c r="C188" s="407">
        <v>0.72799999999999998</v>
      </c>
      <c r="D188" s="408">
        <v>0.72799999999999998</v>
      </c>
      <c r="E188" s="409" t="s">
        <v>246</v>
      </c>
      <c r="F188" s="407">
        <v>0</v>
      </c>
      <c r="G188" s="408">
        <v>0</v>
      </c>
      <c r="H188" s="410">
        <v>0</v>
      </c>
      <c r="I188" s="407">
        <v>0</v>
      </c>
      <c r="J188" s="408">
        <v>0</v>
      </c>
      <c r="K188" s="415">
        <v>4</v>
      </c>
    </row>
    <row r="189" spans="1:11" ht="14.4" customHeight="1" thickBot="1" x14ac:dyDescent="0.35">
      <c r="A189" s="424" t="s">
        <v>417</v>
      </c>
      <c r="B189" s="402">
        <v>0</v>
      </c>
      <c r="C189" s="402">
        <v>0.72799999999999998</v>
      </c>
      <c r="D189" s="403">
        <v>0.72799999999999998</v>
      </c>
      <c r="E189" s="412" t="s">
        <v>246</v>
      </c>
      <c r="F189" s="402">
        <v>0</v>
      </c>
      <c r="G189" s="403">
        <v>0</v>
      </c>
      <c r="H189" s="405">
        <v>0</v>
      </c>
      <c r="I189" s="402">
        <v>0</v>
      </c>
      <c r="J189" s="403">
        <v>0</v>
      </c>
      <c r="K189" s="406">
        <v>4</v>
      </c>
    </row>
    <row r="190" spans="1:11" ht="14.4" customHeight="1" thickBot="1" x14ac:dyDescent="0.35">
      <c r="A190" s="423" t="s">
        <v>418</v>
      </c>
      <c r="B190" s="407">
        <v>1117.19758540414</v>
      </c>
      <c r="C190" s="407">
        <v>1145.7055499999999</v>
      </c>
      <c r="D190" s="408">
        <v>28.507964595863999</v>
      </c>
      <c r="E190" s="414">
        <v>1.025517388301</v>
      </c>
      <c r="F190" s="407">
        <v>1380.73652297119</v>
      </c>
      <c r="G190" s="408">
        <v>460.24550765706402</v>
      </c>
      <c r="H190" s="410">
        <v>69.499179999999996</v>
      </c>
      <c r="I190" s="407">
        <v>336.97667000000001</v>
      </c>
      <c r="J190" s="408">
        <v>-123.268837657064</v>
      </c>
      <c r="K190" s="415">
        <v>0.24405573720500001</v>
      </c>
    </row>
    <row r="191" spans="1:11" ht="14.4" customHeight="1" thickBot="1" x14ac:dyDescent="0.35">
      <c r="A191" s="424" t="s">
        <v>419</v>
      </c>
      <c r="B191" s="402">
        <v>1117.19758540414</v>
      </c>
      <c r="C191" s="402">
        <v>1145.7055499999999</v>
      </c>
      <c r="D191" s="403">
        <v>28.507964595863999</v>
      </c>
      <c r="E191" s="404">
        <v>1.025517388301</v>
      </c>
      <c r="F191" s="402">
        <v>1380.73652297119</v>
      </c>
      <c r="G191" s="403">
        <v>460.24550765706402</v>
      </c>
      <c r="H191" s="405">
        <v>69.499179999999996</v>
      </c>
      <c r="I191" s="402">
        <v>336.97667000000001</v>
      </c>
      <c r="J191" s="403">
        <v>-123.268837657064</v>
      </c>
      <c r="K191" s="406">
        <v>0.24405573720500001</v>
      </c>
    </row>
    <row r="192" spans="1:11" ht="14.4" customHeight="1" thickBot="1" x14ac:dyDescent="0.35">
      <c r="A192" s="423" t="s">
        <v>420</v>
      </c>
      <c r="B192" s="407">
        <v>0</v>
      </c>
      <c r="C192" s="407">
        <v>62.811999999999998</v>
      </c>
      <c r="D192" s="408">
        <v>62.811999999999998</v>
      </c>
      <c r="E192" s="409" t="s">
        <v>246</v>
      </c>
      <c r="F192" s="407">
        <v>0</v>
      </c>
      <c r="G192" s="408">
        <v>0</v>
      </c>
      <c r="H192" s="410">
        <v>0</v>
      </c>
      <c r="I192" s="407">
        <v>0</v>
      </c>
      <c r="J192" s="408">
        <v>0</v>
      </c>
      <c r="K192" s="415">
        <v>4</v>
      </c>
    </row>
    <row r="193" spans="1:11" ht="14.4" customHeight="1" thickBot="1" x14ac:dyDescent="0.35">
      <c r="A193" s="424" t="s">
        <v>421</v>
      </c>
      <c r="B193" s="402">
        <v>0</v>
      </c>
      <c r="C193" s="402">
        <v>62.811999999999998</v>
      </c>
      <c r="D193" s="403">
        <v>62.811999999999998</v>
      </c>
      <c r="E193" s="412" t="s">
        <v>246</v>
      </c>
      <c r="F193" s="402">
        <v>0</v>
      </c>
      <c r="G193" s="403">
        <v>0</v>
      </c>
      <c r="H193" s="405">
        <v>0</v>
      </c>
      <c r="I193" s="402">
        <v>0</v>
      </c>
      <c r="J193" s="403">
        <v>0</v>
      </c>
      <c r="K193" s="406">
        <v>4</v>
      </c>
    </row>
    <row r="194" spans="1:11" ht="14.4" customHeight="1" thickBot="1" x14ac:dyDescent="0.35">
      <c r="A194" s="423" t="s">
        <v>422</v>
      </c>
      <c r="B194" s="407">
        <v>1744.4304274257399</v>
      </c>
      <c r="C194" s="407">
        <v>2156.5881100000001</v>
      </c>
      <c r="D194" s="408">
        <v>412.15768257425498</v>
      </c>
      <c r="E194" s="414">
        <v>1.2362706337230001</v>
      </c>
      <c r="F194" s="407">
        <v>2251.5923717112901</v>
      </c>
      <c r="G194" s="408">
        <v>750.53079057042896</v>
      </c>
      <c r="H194" s="410">
        <v>223.39129</v>
      </c>
      <c r="I194" s="407">
        <v>799.65284999999994</v>
      </c>
      <c r="J194" s="408">
        <v>49.122059429571003</v>
      </c>
      <c r="K194" s="415">
        <v>0.35514991969499998</v>
      </c>
    </row>
    <row r="195" spans="1:11" ht="14.4" customHeight="1" thickBot="1" x14ac:dyDescent="0.35">
      <c r="A195" s="424" t="s">
        <v>423</v>
      </c>
      <c r="B195" s="402">
        <v>1744.4304274257399</v>
      </c>
      <c r="C195" s="402">
        <v>2156.5881100000001</v>
      </c>
      <c r="D195" s="403">
        <v>412.15768257425498</v>
      </c>
      <c r="E195" s="404">
        <v>1.2362706337230001</v>
      </c>
      <c r="F195" s="402">
        <v>2251.5923717112901</v>
      </c>
      <c r="G195" s="403">
        <v>750.53079057042896</v>
      </c>
      <c r="H195" s="405">
        <v>223.39129</v>
      </c>
      <c r="I195" s="402">
        <v>799.65284999999994</v>
      </c>
      <c r="J195" s="403">
        <v>49.122059429571003</v>
      </c>
      <c r="K195" s="406">
        <v>0.35514991969499998</v>
      </c>
    </row>
    <row r="196" spans="1:11" ht="14.4" customHeight="1" thickBot="1" x14ac:dyDescent="0.35">
      <c r="A196" s="420" t="s">
        <v>424</v>
      </c>
      <c r="B196" s="402">
        <v>0</v>
      </c>
      <c r="C196" s="402">
        <v>3.116E-2</v>
      </c>
      <c r="D196" s="403">
        <v>3.116E-2</v>
      </c>
      <c r="E196" s="412" t="s">
        <v>246</v>
      </c>
      <c r="F196" s="402">
        <v>0</v>
      </c>
      <c r="G196" s="403">
        <v>0</v>
      </c>
      <c r="H196" s="405">
        <v>4.9240000000000004</v>
      </c>
      <c r="I196" s="402">
        <v>18.094000000000001</v>
      </c>
      <c r="J196" s="403">
        <v>18.094000000000001</v>
      </c>
      <c r="K196" s="413" t="s">
        <v>236</v>
      </c>
    </row>
    <row r="197" spans="1:11" ht="14.4" customHeight="1" thickBot="1" x14ac:dyDescent="0.35">
      <c r="A197" s="425" t="s">
        <v>425</v>
      </c>
      <c r="B197" s="407">
        <v>0</v>
      </c>
      <c r="C197" s="407">
        <v>3.116E-2</v>
      </c>
      <c r="D197" s="408">
        <v>3.116E-2</v>
      </c>
      <c r="E197" s="409" t="s">
        <v>246</v>
      </c>
      <c r="F197" s="407">
        <v>0</v>
      </c>
      <c r="G197" s="408">
        <v>0</v>
      </c>
      <c r="H197" s="410">
        <v>4.9240000000000004</v>
      </c>
      <c r="I197" s="407">
        <v>18.094000000000001</v>
      </c>
      <c r="J197" s="408">
        <v>18.094000000000001</v>
      </c>
      <c r="K197" s="411" t="s">
        <v>236</v>
      </c>
    </row>
    <row r="198" spans="1:11" ht="14.4" customHeight="1" thickBot="1" x14ac:dyDescent="0.35">
      <c r="A198" s="427" t="s">
        <v>426</v>
      </c>
      <c r="B198" s="407">
        <v>0</v>
      </c>
      <c r="C198" s="407">
        <v>3.116E-2</v>
      </c>
      <c r="D198" s="408">
        <v>3.116E-2</v>
      </c>
      <c r="E198" s="409" t="s">
        <v>246</v>
      </c>
      <c r="F198" s="407">
        <v>0</v>
      </c>
      <c r="G198" s="408">
        <v>0</v>
      </c>
      <c r="H198" s="410">
        <v>4.9240000000000004</v>
      </c>
      <c r="I198" s="407">
        <v>18.094000000000001</v>
      </c>
      <c r="J198" s="408">
        <v>18.094000000000001</v>
      </c>
      <c r="K198" s="411" t="s">
        <v>236</v>
      </c>
    </row>
    <row r="199" spans="1:11" ht="14.4" customHeight="1" thickBot="1" x14ac:dyDescent="0.35">
      <c r="A199" s="423" t="s">
        <v>427</v>
      </c>
      <c r="B199" s="407">
        <v>0</v>
      </c>
      <c r="C199" s="407">
        <v>3.116E-2</v>
      </c>
      <c r="D199" s="408">
        <v>3.116E-2</v>
      </c>
      <c r="E199" s="409" t="s">
        <v>246</v>
      </c>
      <c r="F199" s="407">
        <v>0</v>
      </c>
      <c r="G199" s="408">
        <v>0</v>
      </c>
      <c r="H199" s="410">
        <v>4.9240000000000004</v>
      </c>
      <c r="I199" s="407">
        <v>18.094000000000001</v>
      </c>
      <c r="J199" s="408">
        <v>18.094000000000001</v>
      </c>
      <c r="K199" s="411" t="s">
        <v>246</v>
      </c>
    </row>
    <row r="200" spans="1:11" ht="14.4" customHeight="1" thickBot="1" x14ac:dyDescent="0.35">
      <c r="A200" s="424" t="s">
        <v>428</v>
      </c>
      <c r="B200" s="402">
        <v>0</v>
      </c>
      <c r="C200" s="402">
        <v>0</v>
      </c>
      <c r="D200" s="403">
        <v>0</v>
      </c>
      <c r="E200" s="404">
        <v>1</v>
      </c>
      <c r="F200" s="402">
        <v>0</v>
      </c>
      <c r="G200" s="403">
        <v>0</v>
      </c>
      <c r="H200" s="405">
        <v>4.9240000000000004</v>
      </c>
      <c r="I200" s="402">
        <v>18.094000000000001</v>
      </c>
      <c r="J200" s="403">
        <v>18.094000000000001</v>
      </c>
      <c r="K200" s="413" t="s">
        <v>246</v>
      </c>
    </row>
    <row r="201" spans="1:11" ht="14.4" customHeight="1" thickBot="1" x14ac:dyDescent="0.35">
      <c r="A201" s="424" t="s">
        <v>429</v>
      </c>
      <c r="B201" s="402">
        <v>0</v>
      </c>
      <c r="C201" s="402">
        <v>3.116E-2</v>
      </c>
      <c r="D201" s="403">
        <v>3.116E-2</v>
      </c>
      <c r="E201" s="412" t="s">
        <v>246</v>
      </c>
      <c r="F201" s="402">
        <v>0</v>
      </c>
      <c r="G201" s="403">
        <v>0</v>
      </c>
      <c r="H201" s="405">
        <v>0</v>
      </c>
      <c r="I201" s="402">
        <v>0</v>
      </c>
      <c r="J201" s="403">
        <v>0</v>
      </c>
      <c r="K201" s="406">
        <v>4</v>
      </c>
    </row>
    <row r="202" spans="1:11" ht="14.4" customHeight="1" thickBot="1" x14ac:dyDescent="0.35">
      <c r="A202" s="428"/>
      <c r="B202" s="402">
        <v>2474.8721016607001</v>
      </c>
      <c r="C202" s="402">
        <v>1477.59584000001</v>
      </c>
      <c r="D202" s="403">
        <v>-997.27626166068899</v>
      </c>
      <c r="E202" s="404">
        <v>0.597039272861</v>
      </c>
      <c r="F202" s="402">
        <v>2112.0047911589299</v>
      </c>
      <c r="G202" s="403">
        <v>704.00159705297699</v>
      </c>
      <c r="H202" s="405">
        <v>344.44642999998803</v>
      </c>
      <c r="I202" s="402">
        <v>1324.54484999998</v>
      </c>
      <c r="J202" s="403">
        <v>620.54325294700698</v>
      </c>
      <c r="K202" s="406">
        <v>0.62715049489600005</v>
      </c>
    </row>
    <row r="203" spans="1:11" ht="14.4" customHeight="1" thickBot="1" x14ac:dyDescent="0.35">
      <c r="A203" s="429" t="s">
        <v>52</v>
      </c>
      <c r="B203" s="416">
        <v>2474.8721016607001</v>
      </c>
      <c r="C203" s="416">
        <v>1477.59584000001</v>
      </c>
      <c r="D203" s="417">
        <v>-997.27626166068796</v>
      </c>
      <c r="E203" s="418" t="s">
        <v>246</v>
      </c>
      <c r="F203" s="416">
        <v>2112.0047911589299</v>
      </c>
      <c r="G203" s="417">
        <v>704.00159705297801</v>
      </c>
      <c r="H203" s="416">
        <v>344.44642999998803</v>
      </c>
      <c r="I203" s="416">
        <v>1324.54484999998</v>
      </c>
      <c r="J203" s="417">
        <v>620.54325294700402</v>
      </c>
      <c r="K203" s="419">
        <v>0.62715049489600005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16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181" customWidth="1"/>
    <col min="2" max="2" width="61.109375" style="181" customWidth="1"/>
    <col min="3" max="3" width="9.5546875" style="104" hidden="1" customWidth="1" outlineLevel="1"/>
    <col min="4" max="4" width="9.5546875" style="182" customWidth="1" collapsed="1"/>
    <col min="5" max="5" width="2.21875" style="182" customWidth="1"/>
    <col min="6" max="6" width="9.5546875" style="183" customWidth="1"/>
    <col min="7" max="7" width="9.5546875" style="180" customWidth="1"/>
    <col min="8" max="9" width="9.5546875" style="104" customWidth="1"/>
    <col min="10" max="10" width="0" style="104" hidden="1" customWidth="1"/>
    <col min="11" max="16384" width="8.88671875" style="104"/>
  </cols>
  <sheetData>
    <row r="1" spans="1:10" ht="18.600000000000001" customHeight="1" thickBot="1" x14ac:dyDescent="0.4">
      <c r="A1" s="327" t="s">
        <v>114</v>
      </c>
      <c r="B1" s="328"/>
      <c r="C1" s="328"/>
      <c r="D1" s="328"/>
      <c r="E1" s="328"/>
      <c r="F1" s="328"/>
      <c r="G1" s="298"/>
      <c r="H1" s="329"/>
      <c r="I1" s="329"/>
    </row>
    <row r="2" spans="1:10" ht="14.4" customHeight="1" thickBot="1" x14ac:dyDescent="0.35">
      <c r="A2" s="200" t="s">
        <v>235</v>
      </c>
      <c r="B2" s="179"/>
      <c r="C2" s="179"/>
      <c r="D2" s="179"/>
      <c r="E2" s="179"/>
      <c r="F2" s="179"/>
    </row>
    <row r="3" spans="1:10" ht="14.4" customHeight="1" thickBot="1" x14ac:dyDescent="0.35">
      <c r="A3" s="200"/>
      <c r="B3" s="239"/>
      <c r="C3" s="238">
        <v>2015</v>
      </c>
      <c r="D3" s="207">
        <v>2017</v>
      </c>
      <c r="E3" s="7"/>
      <c r="F3" s="306">
        <v>2018</v>
      </c>
      <c r="G3" s="324"/>
      <c r="H3" s="324"/>
      <c r="I3" s="307"/>
    </row>
    <row r="4" spans="1:10" ht="14.4" customHeight="1" thickBot="1" x14ac:dyDescent="0.35">
      <c r="A4" s="211" t="s">
        <v>0</v>
      </c>
      <c r="B4" s="212" t="s">
        <v>160</v>
      </c>
      <c r="C4" s="325" t="s">
        <v>58</v>
      </c>
      <c r="D4" s="326"/>
      <c r="E4" s="213"/>
      <c r="F4" s="208" t="s">
        <v>58</v>
      </c>
      <c r="G4" s="209" t="s">
        <v>59</v>
      </c>
      <c r="H4" s="209" t="s">
        <v>53</v>
      </c>
      <c r="I4" s="210" t="s">
        <v>60</v>
      </c>
    </row>
    <row r="5" spans="1:10" ht="14.4" customHeight="1" x14ac:dyDescent="0.3">
      <c r="A5" s="430" t="s">
        <v>430</v>
      </c>
      <c r="B5" s="431" t="s">
        <v>431</v>
      </c>
      <c r="C5" s="432" t="s">
        <v>432</v>
      </c>
      <c r="D5" s="432" t="s">
        <v>432</v>
      </c>
      <c r="E5" s="432"/>
      <c r="F5" s="432" t="s">
        <v>432</v>
      </c>
      <c r="G5" s="432" t="s">
        <v>432</v>
      </c>
      <c r="H5" s="432" t="s">
        <v>432</v>
      </c>
      <c r="I5" s="433" t="s">
        <v>432</v>
      </c>
      <c r="J5" s="434" t="s">
        <v>54</v>
      </c>
    </row>
    <row r="6" spans="1:10" ht="14.4" customHeight="1" x14ac:dyDescent="0.3">
      <c r="A6" s="430" t="s">
        <v>430</v>
      </c>
      <c r="B6" s="431" t="s">
        <v>433</v>
      </c>
      <c r="C6" s="432">
        <v>0</v>
      </c>
      <c r="D6" s="432">
        <v>2.8047799999999996</v>
      </c>
      <c r="E6" s="432"/>
      <c r="F6" s="432">
        <v>0.49374000000000001</v>
      </c>
      <c r="G6" s="432">
        <v>3.3333332519531251</v>
      </c>
      <c r="H6" s="432">
        <v>-2.8395932519531253</v>
      </c>
      <c r="I6" s="433">
        <v>0.14812200361625985</v>
      </c>
      <c r="J6" s="434" t="s">
        <v>1</v>
      </c>
    </row>
    <row r="7" spans="1:10" ht="14.4" customHeight="1" x14ac:dyDescent="0.3">
      <c r="A7" s="430" t="s">
        <v>430</v>
      </c>
      <c r="B7" s="431" t="s">
        <v>434</v>
      </c>
      <c r="C7" s="432">
        <v>0</v>
      </c>
      <c r="D7" s="432">
        <v>6.7759999999999998</v>
      </c>
      <c r="E7" s="432"/>
      <c r="F7" s="432">
        <v>0</v>
      </c>
      <c r="G7" s="432">
        <v>3.3333332519531251</v>
      </c>
      <c r="H7" s="432">
        <v>-3.3333332519531251</v>
      </c>
      <c r="I7" s="433">
        <v>0</v>
      </c>
      <c r="J7" s="434" t="s">
        <v>1</v>
      </c>
    </row>
    <row r="8" spans="1:10" ht="14.4" customHeight="1" x14ac:dyDescent="0.3">
      <c r="A8" s="430" t="s">
        <v>430</v>
      </c>
      <c r="B8" s="431" t="s">
        <v>435</v>
      </c>
      <c r="C8" s="432">
        <v>0</v>
      </c>
      <c r="D8" s="432">
        <v>9.580779999999999</v>
      </c>
      <c r="E8" s="432"/>
      <c r="F8" s="432">
        <v>0.49374000000000001</v>
      </c>
      <c r="G8" s="432">
        <v>6.6666665039062503</v>
      </c>
      <c r="H8" s="432">
        <v>-6.1729265039062504</v>
      </c>
      <c r="I8" s="433">
        <v>7.4061001808129925E-2</v>
      </c>
      <c r="J8" s="434" t="s">
        <v>436</v>
      </c>
    </row>
    <row r="10" spans="1:10" ht="14.4" customHeight="1" x14ac:dyDescent="0.3">
      <c r="A10" s="430" t="s">
        <v>430</v>
      </c>
      <c r="B10" s="431" t="s">
        <v>431</v>
      </c>
      <c r="C10" s="432" t="s">
        <v>432</v>
      </c>
      <c r="D10" s="432" t="s">
        <v>432</v>
      </c>
      <c r="E10" s="432"/>
      <c r="F10" s="432" t="s">
        <v>432</v>
      </c>
      <c r="G10" s="432" t="s">
        <v>432</v>
      </c>
      <c r="H10" s="432" t="s">
        <v>432</v>
      </c>
      <c r="I10" s="433" t="s">
        <v>432</v>
      </c>
      <c r="J10" s="434" t="s">
        <v>54</v>
      </c>
    </row>
    <row r="11" spans="1:10" ht="14.4" customHeight="1" x14ac:dyDescent="0.3">
      <c r="A11" s="430" t="s">
        <v>437</v>
      </c>
      <c r="B11" s="431" t="s">
        <v>438</v>
      </c>
      <c r="C11" s="432" t="s">
        <v>432</v>
      </c>
      <c r="D11" s="432" t="s">
        <v>432</v>
      </c>
      <c r="E11" s="432"/>
      <c r="F11" s="432" t="s">
        <v>432</v>
      </c>
      <c r="G11" s="432" t="s">
        <v>432</v>
      </c>
      <c r="H11" s="432" t="s">
        <v>432</v>
      </c>
      <c r="I11" s="433" t="s">
        <v>432</v>
      </c>
      <c r="J11" s="434" t="s">
        <v>0</v>
      </c>
    </row>
    <row r="12" spans="1:10" ht="14.4" customHeight="1" x14ac:dyDescent="0.3">
      <c r="A12" s="430" t="s">
        <v>437</v>
      </c>
      <c r="B12" s="431" t="s">
        <v>433</v>
      </c>
      <c r="C12" s="432">
        <v>0</v>
      </c>
      <c r="D12" s="432">
        <v>2.8047799999999996</v>
      </c>
      <c r="E12" s="432"/>
      <c r="F12" s="432">
        <v>0.49374000000000001</v>
      </c>
      <c r="G12" s="432">
        <v>3</v>
      </c>
      <c r="H12" s="432">
        <v>-2.5062600000000002</v>
      </c>
      <c r="I12" s="433">
        <v>0.16458</v>
      </c>
      <c r="J12" s="434" t="s">
        <v>1</v>
      </c>
    </row>
    <row r="13" spans="1:10" ht="14.4" customHeight="1" x14ac:dyDescent="0.3">
      <c r="A13" s="430" t="s">
        <v>437</v>
      </c>
      <c r="B13" s="431" t="s">
        <v>434</v>
      </c>
      <c r="C13" s="432">
        <v>0</v>
      </c>
      <c r="D13" s="432">
        <v>6.7759999999999998</v>
      </c>
      <c r="E13" s="432"/>
      <c r="F13" s="432">
        <v>0</v>
      </c>
      <c r="G13" s="432">
        <v>3</v>
      </c>
      <c r="H13" s="432">
        <v>-3</v>
      </c>
      <c r="I13" s="433">
        <v>0</v>
      </c>
      <c r="J13" s="434" t="s">
        <v>1</v>
      </c>
    </row>
    <row r="14" spans="1:10" ht="14.4" customHeight="1" x14ac:dyDescent="0.3">
      <c r="A14" s="430" t="s">
        <v>437</v>
      </c>
      <c r="B14" s="431" t="s">
        <v>439</v>
      </c>
      <c r="C14" s="432">
        <v>0</v>
      </c>
      <c r="D14" s="432">
        <v>9.580779999999999</v>
      </c>
      <c r="E14" s="432"/>
      <c r="F14" s="432">
        <v>0.49374000000000001</v>
      </c>
      <c r="G14" s="432">
        <v>7</v>
      </c>
      <c r="H14" s="432">
        <v>-6.5062600000000002</v>
      </c>
      <c r="I14" s="433">
        <v>7.0534285714285716E-2</v>
      </c>
      <c r="J14" s="434" t="s">
        <v>440</v>
      </c>
    </row>
    <row r="15" spans="1:10" ht="14.4" customHeight="1" x14ac:dyDescent="0.3">
      <c r="A15" s="430" t="s">
        <v>432</v>
      </c>
      <c r="B15" s="431" t="s">
        <v>432</v>
      </c>
      <c r="C15" s="432" t="s">
        <v>432</v>
      </c>
      <c r="D15" s="432" t="s">
        <v>432</v>
      </c>
      <c r="E15" s="432"/>
      <c r="F15" s="432" t="s">
        <v>432</v>
      </c>
      <c r="G15" s="432" t="s">
        <v>432</v>
      </c>
      <c r="H15" s="432" t="s">
        <v>432</v>
      </c>
      <c r="I15" s="433" t="s">
        <v>432</v>
      </c>
      <c r="J15" s="434" t="s">
        <v>441</v>
      </c>
    </row>
    <row r="16" spans="1:10" ht="14.4" customHeight="1" x14ac:dyDescent="0.3">
      <c r="A16" s="430" t="s">
        <v>430</v>
      </c>
      <c r="B16" s="431" t="s">
        <v>435</v>
      </c>
      <c r="C16" s="432">
        <v>0</v>
      </c>
      <c r="D16" s="432">
        <v>9.580779999999999</v>
      </c>
      <c r="E16" s="432"/>
      <c r="F16" s="432">
        <v>0.49374000000000001</v>
      </c>
      <c r="G16" s="432">
        <v>7</v>
      </c>
      <c r="H16" s="432">
        <v>-6.5062600000000002</v>
      </c>
      <c r="I16" s="433">
        <v>7.0534285714285716E-2</v>
      </c>
      <c r="J16" s="434" t="s">
        <v>436</v>
      </c>
    </row>
  </sheetData>
  <mergeCells count="3">
    <mergeCell ref="F3:I3"/>
    <mergeCell ref="C4:D4"/>
    <mergeCell ref="A1:I1"/>
  </mergeCells>
  <conditionalFormatting sqref="F9 F17:F65537">
    <cfRule type="cellIs" dxfId="37" priority="18" stopIfTrue="1" operator="greaterThan">
      <formula>1</formula>
    </cfRule>
  </conditionalFormatting>
  <conditionalFormatting sqref="H5:H8">
    <cfRule type="expression" dxfId="36" priority="14">
      <formula>$H5&gt;0</formula>
    </cfRule>
  </conditionalFormatting>
  <conditionalFormatting sqref="I5:I8">
    <cfRule type="expression" dxfId="35" priority="15">
      <formula>$I5&gt;1</formula>
    </cfRule>
  </conditionalFormatting>
  <conditionalFormatting sqref="B5:B8">
    <cfRule type="expression" dxfId="34" priority="11">
      <formula>OR($J5="NS",$J5="SumaNS",$J5="Účet")</formula>
    </cfRule>
  </conditionalFormatting>
  <conditionalFormatting sqref="B5:D8 F5:I8">
    <cfRule type="expression" dxfId="33" priority="17">
      <formula>AND($J5&lt;&gt;"",$J5&lt;&gt;"mezeraKL")</formula>
    </cfRule>
  </conditionalFormatting>
  <conditionalFormatting sqref="B5:D8 F5:I8">
    <cfRule type="expression" dxfId="32" priority="12">
      <formula>OR($J5="KL",$J5="SumaKL")</formula>
    </cfRule>
    <cfRule type="expression" priority="16" stopIfTrue="1">
      <formula>OR($J5="mezeraNS",$J5="mezeraKL")</formula>
    </cfRule>
  </conditionalFormatting>
  <conditionalFormatting sqref="F5:I8 B5:D8">
    <cfRule type="expression" dxfId="31" priority="13">
      <formula>OR($J5="SumaNS",$J5="NS")</formula>
    </cfRule>
  </conditionalFormatting>
  <conditionalFormatting sqref="A5:A8">
    <cfRule type="expression" dxfId="30" priority="9">
      <formula>AND($J5&lt;&gt;"mezeraKL",$J5&lt;&gt;"")</formula>
    </cfRule>
  </conditionalFormatting>
  <conditionalFormatting sqref="A5:A8">
    <cfRule type="expression" dxfId="29" priority="10">
      <formula>AND($J5&lt;&gt;"",$J5&lt;&gt;"mezeraKL")</formula>
    </cfRule>
  </conditionalFormatting>
  <conditionalFormatting sqref="H10:H16">
    <cfRule type="expression" dxfId="28" priority="5">
      <formula>$H10&gt;0</formula>
    </cfRule>
  </conditionalFormatting>
  <conditionalFormatting sqref="A10:A16">
    <cfRule type="expression" dxfId="27" priority="2">
      <formula>AND($J10&lt;&gt;"mezeraKL",$J10&lt;&gt;"")</formula>
    </cfRule>
  </conditionalFormatting>
  <conditionalFormatting sqref="I10:I16">
    <cfRule type="expression" dxfId="26" priority="6">
      <formula>$I10&gt;1</formula>
    </cfRule>
  </conditionalFormatting>
  <conditionalFormatting sqref="B10:B16">
    <cfRule type="expression" dxfId="25" priority="1">
      <formula>OR($J10="NS",$J10="SumaNS",$J10="Účet")</formula>
    </cfRule>
  </conditionalFormatting>
  <conditionalFormatting sqref="A10:D16 F10:I16">
    <cfRule type="expression" dxfId="24" priority="8">
      <formula>AND($J10&lt;&gt;"",$J10&lt;&gt;"mezeraKL")</formula>
    </cfRule>
  </conditionalFormatting>
  <conditionalFormatting sqref="B10:D16 F10:I16">
    <cfRule type="expression" dxfId="23" priority="3">
      <formula>OR($J10="KL",$J10="SumaKL")</formula>
    </cfRule>
    <cfRule type="expression" priority="7" stopIfTrue="1">
      <formula>OR($J10="mezeraNS",$J10="mezeraKL")</formula>
    </cfRule>
  </conditionalFormatting>
  <conditionalFormatting sqref="B10:D16 F10:I16">
    <cfRule type="expression" dxfId="22" priority="4">
      <formula>OR($J10="SumaNS",$J10="NS")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9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104" hidden="1" customWidth="1" outlineLevel="1"/>
    <col min="2" max="2" width="28.33203125" style="104" hidden="1" customWidth="1" outlineLevel="1"/>
    <col min="3" max="3" width="5.33203125" style="182" bestFit="1" customWidth="1" collapsed="1"/>
    <col min="4" max="4" width="18.77734375" style="186" customWidth="1"/>
    <col min="5" max="5" width="9" style="243" bestFit="1" customWidth="1"/>
    <col min="6" max="6" width="18.77734375" style="186" customWidth="1"/>
    <col min="7" max="7" width="5" style="182" customWidth="1"/>
    <col min="8" max="8" width="12.44140625" style="182" hidden="1" customWidth="1" outlineLevel="1"/>
    <col min="9" max="9" width="8.5546875" style="182" hidden="1" customWidth="1" outlineLevel="1"/>
    <col min="10" max="10" width="25.77734375" style="182" customWidth="1" collapsed="1"/>
    <col min="11" max="11" width="8.77734375" style="182" customWidth="1"/>
    <col min="12" max="13" width="7.77734375" style="180" customWidth="1"/>
    <col min="14" max="14" width="12.6640625" style="180" customWidth="1"/>
    <col min="15" max="16384" width="8.88671875" style="104"/>
  </cols>
  <sheetData>
    <row r="1" spans="1:14" ht="18.600000000000001" customHeight="1" thickBot="1" x14ac:dyDescent="0.4">
      <c r="A1" s="334" t="s">
        <v>130</v>
      </c>
      <c r="B1" s="298"/>
      <c r="C1" s="298"/>
      <c r="D1" s="298"/>
      <c r="E1" s="298"/>
      <c r="F1" s="298"/>
      <c r="G1" s="298"/>
      <c r="H1" s="298"/>
      <c r="I1" s="298"/>
      <c r="J1" s="298"/>
      <c r="K1" s="298"/>
      <c r="L1" s="298"/>
      <c r="M1" s="298"/>
      <c r="N1" s="298"/>
    </row>
    <row r="2" spans="1:14" ht="14.4" customHeight="1" thickBot="1" x14ac:dyDescent="0.35">
      <c r="A2" s="200" t="s">
        <v>235</v>
      </c>
      <c r="B2" s="57"/>
      <c r="C2" s="184"/>
      <c r="D2" s="184"/>
      <c r="E2" s="242"/>
      <c r="F2" s="184"/>
      <c r="G2" s="184"/>
      <c r="H2" s="184"/>
      <c r="I2" s="184"/>
      <c r="J2" s="184"/>
      <c r="K2" s="184"/>
      <c r="L2" s="185"/>
      <c r="M2" s="185"/>
      <c r="N2" s="185"/>
    </row>
    <row r="3" spans="1:14" ht="14.4" customHeight="1" thickBot="1" x14ac:dyDescent="0.35">
      <c r="A3" s="57"/>
      <c r="B3" s="57"/>
      <c r="C3" s="330"/>
      <c r="D3" s="331"/>
      <c r="E3" s="331"/>
      <c r="F3" s="331"/>
      <c r="G3" s="331"/>
      <c r="H3" s="331"/>
      <c r="I3" s="331"/>
      <c r="J3" s="332" t="s">
        <v>111</v>
      </c>
      <c r="K3" s="333"/>
      <c r="L3" s="74">
        <f>IF(M3&lt;&gt;0,N3/M3,0)</f>
        <v>61.716452616120215</v>
      </c>
      <c r="M3" s="74">
        <f>SUBTOTAL(9,M5:M1048576)</f>
        <v>8</v>
      </c>
      <c r="N3" s="75">
        <f>SUBTOTAL(9,N5:N1048576)</f>
        <v>493.73162092896172</v>
      </c>
    </row>
    <row r="4" spans="1:14" s="181" customFormat="1" ht="14.4" customHeight="1" thickBot="1" x14ac:dyDescent="0.35">
      <c r="A4" s="435" t="s">
        <v>4</v>
      </c>
      <c r="B4" s="436" t="s">
        <v>5</v>
      </c>
      <c r="C4" s="436" t="s">
        <v>0</v>
      </c>
      <c r="D4" s="436" t="s">
        <v>6</v>
      </c>
      <c r="E4" s="437" t="s">
        <v>7</v>
      </c>
      <c r="F4" s="436" t="s">
        <v>1</v>
      </c>
      <c r="G4" s="436" t="s">
        <v>8</v>
      </c>
      <c r="H4" s="436" t="s">
        <v>9</v>
      </c>
      <c r="I4" s="436" t="s">
        <v>10</v>
      </c>
      <c r="J4" s="438" t="s">
        <v>11</v>
      </c>
      <c r="K4" s="438" t="s">
        <v>12</v>
      </c>
      <c r="L4" s="439" t="s">
        <v>118</v>
      </c>
      <c r="M4" s="439" t="s">
        <v>13</v>
      </c>
      <c r="N4" s="440" t="s">
        <v>126</v>
      </c>
    </row>
    <row r="5" spans="1:14" ht="14.4" customHeight="1" x14ac:dyDescent="0.3">
      <c r="A5" s="441" t="s">
        <v>430</v>
      </c>
      <c r="B5" s="442" t="s">
        <v>431</v>
      </c>
      <c r="C5" s="443" t="s">
        <v>437</v>
      </c>
      <c r="D5" s="444" t="s">
        <v>438</v>
      </c>
      <c r="E5" s="445">
        <v>50113001</v>
      </c>
      <c r="F5" s="444" t="s">
        <v>442</v>
      </c>
      <c r="G5" s="443" t="s">
        <v>443</v>
      </c>
      <c r="H5" s="443">
        <v>930043</v>
      </c>
      <c r="I5" s="443">
        <v>0</v>
      </c>
      <c r="J5" s="443" t="s">
        <v>444</v>
      </c>
      <c r="K5" s="443" t="s">
        <v>432</v>
      </c>
      <c r="L5" s="446">
        <v>31.871314207374411</v>
      </c>
      <c r="M5" s="446">
        <v>4</v>
      </c>
      <c r="N5" s="447">
        <v>127.48525682949764</v>
      </c>
    </row>
    <row r="6" spans="1:14" ht="14.4" customHeight="1" x14ac:dyDescent="0.3">
      <c r="A6" s="448" t="s">
        <v>430</v>
      </c>
      <c r="B6" s="449" t="s">
        <v>431</v>
      </c>
      <c r="C6" s="450" t="s">
        <v>437</v>
      </c>
      <c r="D6" s="451" t="s">
        <v>438</v>
      </c>
      <c r="E6" s="452">
        <v>50113001</v>
      </c>
      <c r="F6" s="451" t="s">
        <v>442</v>
      </c>
      <c r="G6" s="450" t="s">
        <v>443</v>
      </c>
      <c r="H6" s="450">
        <v>501596</v>
      </c>
      <c r="I6" s="450">
        <v>0</v>
      </c>
      <c r="J6" s="450" t="s">
        <v>445</v>
      </c>
      <c r="K6" s="450" t="s">
        <v>446</v>
      </c>
      <c r="L6" s="453">
        <v>113.26</v>
      </c>
      <c r="M6" s="453">
        <v>1</v>
      </c>
      <c r="N6" s="454">
        <v>113.26</v>
      </c>
    </row>
    <row r="7" spans="1:14" ht="14.4" customHeight="1" x14ac:dyDescent="0.3">
      <c r="A7" s="448" t="s">
        <v>430</v>
      </c>
      <c r="B7" s="449" t="s">
        <v>431</v>
      </c>
      <c r="C7" s="450" t="s">
        <v>437</v>
      </c>
      <c r="D7" s="451" t="s">
        <v>438</v>
      </c>
      <c r="E7" s="452">
        <v>50113001</v>
      </c>
      <c r="F7" s="451" t="s">
        <v>442</v>
      </c>
      <c r="G7" s="450" t="s">
        <v>443</v>
      </c>
      <c r="H7" s="450">
        <v>158827</v>
      </c>
      <c r="I7" s="450">
        <v>58827</v>
      </c>
      <c r="J7" s="450" t="s">
        <v>447</v>
      </c>
      <c r="K7" s="450" t="s">
        <v>448</v>
      </c>
      <c r="L7" s="453">
        <v>162.49</v>
      </c>
      <c r="M7" s="453">
        <v>1</v>
      </c>
      <c r="N7" s="454">
        <v>162.49</v>
      </c>
    </row>
    <row r="8" spans="1:14" ht="14.4" customHeight="1" x14ac:dyDescent="0.3">
      <c r="A8" s="448" t="s">
        <v>430</v>
      </c>
      <c r="B8" s="449" t="s">
        <v>431</v>
      </c>
      <c r="C8" s="450" t="s">
        <v>437</v>
      </c>
      <c r="D8" s="451" t="s">
        <v>438</v>
      </c>
      <c r="E8" s="452">
        <v>50113001</v>
      </c>
      <c r="F8" s="451" t="s">
        <v>442</v>
      </c>
      <c r="G8" s="450" t="s">
        <v>443</v>
      </c>
      <c r="H8" s="450">
        <v>921403</v>
      </c>
      <c r="I8" s="450">
        <v>0</v>
      </c>
      <c r="J8" s="450" t="s">
        <v>449</v>
      </c>
      <c r="K8" s="450" t="s">
        <v>432</v>
      </c>
      <c r="L8" s="453">
        <v>45.248182623891658</v>
      </c>
      <c r="M8" s="453">
        <v>1</v>
      </c>
      <c r="N8" s="454">
        <v>45.248182623891658</v>
      </c>
    </row>
    <row r="9" spans="1:14" ht="14.4" customHeight="1" thickBot="1" x14ac:dyDescent="0.35">
      <c r="A9" s="455" t="s">
        <v>430</v>
      </c>
      <c r="B9" s="456" t="s">
        <v>431</v>
      </c>
      <c r="C9" s="457" t="s">
        <v>437</v>
      </c>
      <c r="D9" s="458" t="s">
        <v>438</v>
      </c>
      <c r="E9" s="459">
        <v>50113001</v>
      </c>
      <c r="F9" s="458" t="s">
        <v>442</v>
      </c>
      <c r="G9" s="457" t="s">
        <v>443</v>
      </c>
      <c r="H9" s="457">
        <v>921538</v>
      </c>
      <c r="I9" s="457">
        <v>0</v>
      </c>
      <c r="J9" s="457" t="s">
        <v>450</v>
      </c>
      <c r="K9" s="457" t="s">
        <v>432</v>
      </c>
      <c r="L9" s="460">
        <v>45.248181475572423</v>
      </c>
      <c r="M9" s="460">
        <v>1</v>
      </c>
      <c r="N9" s="461">
        <v>45.248181475572423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7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226" customWidth="1"/>
    <col min="2" max="2" width="5.44140625" style="180" bestFit="1" customWidth="1"/>
    <col min="3" max="3" width="6.109375" style="180" bestFit="1" customWidth="1"/>
    <col min="4" max="4" width="7.44140625" style="180" bestFit="1" customWidth="1"/>
    <col min="5" max="5" width="6.21875" style="180" bestFit="1" customWidth="1"/>
    <col min="6" max="6" width="6.33203125" style="183" bestFit="1" customWidth="1"/>
    <col min="7" max="7" width="6.109375" style="183" bestFit="1" customWidth="1"/>
    <col min="8" max="8" width="7.44140625" style="183" bestFit="1" customWidth="1"/>
    <col min="9" max="9" width="6.21875" style="183" bestFit="1" customWidth="1"/>
    <col min="10" max="10" width="5.44140625" style="180" bestFit="1" customWidth="1"/>
    <col min="11" max="11" width="6.109375" style="180" bestFit="1" customWidth="1"/>
    <col min="12" max="12" width="7.44140625" style="180" bestFit="1" customWidth="1"/>
    <col min="13" max="13" width="6.21875" style="180" bestFit="1" customWidth="1"/>
    <col min="14" max="14" width="5.33203125" style="183" bestFit="1" customWidth="1"/>
    <col min="15" max="15" width="6.109375" style="183" bestFit="1" customWidth="1"/>
    <col min="16" max="16" width="7.44140625" style="183" bestFit="1" customWidth="1"/>
    <col min="17" max="17" width="6.21875" style="183" bestFit="1" customWidth="1"/>
    <col min="18" max="16384" width="8.88671875" style="104"/>
  </cols>
  <sheetData>
    <row r="1" spans="1:17" ht="18.600000000000001" customHeight="1" thickBot="1" x14ac:dyDescent="0.4">
      <c r="A1" s="335" t="s">
        <v>161</v>
      </c>
      <c r="B1" s="335"/>
      <c r="C1" s="335"/>
      <c r="D1" s="335"/>
      <c r="E1" s="335"/>
      <c r="F1" s="298"/>
      <c r="G1" s="298"/>
      <c r="H1" s="298"/>
      <c r="I1" s="298"/>
      <c r="J1" s="329"/>
      <c r="K1" s="329"/>
      <c r="L1" s="329"/>
      <c r="M1" s="329"/>
      <c r="N1" s="329"/>
      <c r="O1" s="329"/>
      <c r="P1" s="329"/>
      <c r="Q1" s="329"/>
    </row>
    <row r="2" spans="1:17" ht="14.4" customHeight="1" thickBot="1" x14ac:dyDescent="0.35">
      <c r="A2" s="200" t="s">
        <v>235</v>
      </c>
      <c r="B2" s="187"/>
      <c r="C2" s="187"/>
      <c r="D2" s="187"/>
      <c r="E2" s="187"/>
    </row>
    <row r="3" spans="1:17" ht="14.4" customHeight="1" thickBot="1" x14ac:dyDescent="0.35">
      <c r="A3" s="215" t="s">
        <v>3</v>
      </c>
      <c r="B3" s="219">
        <f>SUM(B6:B1048576)</f>
        <v>9</v>
      </c>
      <c r="C3" s="220">
        <f>SUM(C6:C1048576)</f>
        <v>1</v>
      </c>
      <c r="D3" s="220">
        <f>SUM(D6:D1048576)</f>
        <v>0</v>
      </c>
      <c r="E3" s="221">
        <f>SUM(E6:E1048576)</f>
        <v>0</v>
      </c>
      <c r="F3" s="218">
        <f>IF(SUM($B3:$E3)=0,"",B3/SUM($B3:$E3))</f>
        <v>0.9</v>
      </c>
      <c r="G3" s="216">
        <f t="shared" ref="G3:I3" si="0">IF(SUM($B3:$E3)=0,"",C3/SUM($B3:$E3))</f>
        <v>0.1</v>
      </c>
      <c r="H3" s="216">
        <f t="shared" si="0"/>
        <v>0</v>
      </c>
      <c r="I3" s="217">
        <f t="shared" si="0"/>
        <v>0</v>
      </c>
      <c r="J3" s="220">
        <f>SUM(J6:J1048576)</f>
        <v>5</v>
      </c>
      <c r="K3" s="220">
        <f>SUM(K6:K1048576)</f>
        <v>1</v>
      </c>
      <c r="L3" s="220">
        <f>SUM(L6:L1048576)</f>
        <v>0</v>
      </c>
      <c r="M3" s="221">
        <f>SUM(M6:M1048576)</f>
        <v>0</v>
      </c>
      <c r="N3" s="218">
        <f>IF(SUM($J3:$M3)=0,"",J3/SUM($J3:$M3))</f>
        <v>0.83333333333333337</v>
      </c>
      <c r="O3" s="216">
        <f t="shared" ref="O3:Q3" si="1">IF(SUM($J3:$M3)=0,"",K3/SUM($J3:$M3))</f>
        <v>0.16666666666666666</v>
      </c>
      <c r="P3" s="216">
        <f t="shared" si="1"/>
        <v>0</v>
      </c>
      <c r="Q3" s="217">
        <f t="shared" si="1"/>
        <v>0</v>
      </c>
    </row>
    <row r="4" spans="1:17" ht="14.4" customHeight="1" thickBot="1" x14ac:dyDescent="0.35">
      <c r="A4" s="214"/>
      <c r="B4" s="339" t="s">
        <v>163</v>
      </c>
      <c r="C4" s="340"/>
      <c r="D4" s="340"/>
      <c r="E4" s="341"/>
      <c r="F4" s="336" t="s">
        <v>168</v>
      </c>
      <c r="G4" s="337"/>
      <c r="H4" s="337"/>
      <c r="I4" s="338"/>
      <c r="J4" s="339" t="s">
        <v>169</v>
      </c>
      <c r="K4" s="340"/>
      <c r="L4" s="340"/>
      <c r="M4" s="341"/>
      <c r="N4" s="336" t="s">
        <v>170</v>
      </c>
      <c r="O4" s="337"/>
      <c r="P4" s="337"/>
      <c r="Q4" s="338"/>
    </row>
    <row r="5" spans="1:17" ht="14.4" customHeight="1" thickBot="1" x14ac:dyDescent="0.35">
      <c r="A5" s="462" t="s">
        <v>162</v>
      </c>
      <c r="B5" s="463" t="s">
        <v>164</v>
      </c>
      <c r="C5" s="463" t="s">
        <v>165</v>
      </c>
      <c r="D5" s="463" t="s">
        <v>166</v>
      </c>
      <c r="E5" s="464" t="s">
        <v>167</v>
      </c>
      <c r="F5" s="465" t="s">
        <v>164</v>
      </c>
      <c r="G5" s="466" t="s">
        <v>165</v>
      </c>
      <c r="H5" s="466" t="s">
        <v>166</v>
      </c>
      <c r="I5" s="467" t="s">
        <v>167</v>
      </c>
      <c r="J5" s="463" t="s">
        <v>164</v>
      </c>
      <c r="K5" s="463" t="s">
        <v>165</v>
      </c>
      <c r="L5" s="463" t="s">
        <v>166</v>
      </c>
      <c r="M5" s="464" t="s">
        <v>167</v>
      </c>
      <c r="N5" s="465" t="s">
        <v>164</v>
      </c>
      <c r="O5" s="466" t="s">
        <v>165</v>
      </c>
      <c r="P5" s="466" t="s">
        <v>166</v>
      </c>
      <c r="Q5" s="467" t="s">
        <v>167</v>
      </c>
    </row>
    <row r="6" spans="1:17" ht="14.4" customHeight="1" x14ac:dyDescent="0.3">
      <c r="A6" s="473" t="s">
        <v>451</v>
      </c>
      <c r="B6" s="477"/>
      <c r="C6" s="446"/>
      <c r="D6" s="446"/>
      <c r="E6" s="447"/>
      <c r="F6" s="475"/>
      <c r="G6" s="469"/>
      <c r="H6" s="469"/>
      <c r="I6" s="479"/>
      <c r="J6" s="477"/>
      <c r="K6" s="446"/>
      <c r="L6" s="446"/>
      <c r="M6" s="447"/>
      <c r="N6" s="475"/>
      <c r="O6" s="469"/>
      <c r="P6" s="469"/>
      <c r="Q6" s="470"/>
    </row>
    <row r="7" spans="1:17" ht="14.4" customHeight="1" thickBot="1" x14ac:dyDescent="0.35">
      <c r="A7" s="474" t="s">
        <v>452</v>
      </c>
      <c r="B7" s="478">
        <v>9</v>
      </c>
      <c r="C7" s="460">
        <v>1</v>
      </c>
      <c r="D7" s="460"/>
      <c r="E7" s="461"/>
      <c r="F7" s="476">
        <v>0.9</v>
      </c>
      <c r="G7" s="471">
        <v>0.1</v>
      </c>
      <c r="H7" s="471">
        <v>0</v>
      </c>
      <c r="I7" s="480">
        <v>0</v>
      </c>
      <c r="J7" s="478">
        <v>5</v>
      </c>
      <c r="K7" s="460">
        <v>1</v>
      </c>
      <c r="L7" s="460"/>
      <c r="M7" s="461"/>
      <c r="N7" s="476">
        <v>0.83333333333333337</v>
      </c>
      <c r="O7" s="471">
        <v>0.16666666666666666</v>
      </c>
      <c r="P7" s="471">
        <v>0</v>
      </c>
      <c r="Q7" s="472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21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19</vt:i4>
      </vt:variant>
      <vt:variant>
        <vt:lpstr>Pojmenované oblasti</vt:lpstr>
      </vt:variant>
      <vt:variant>
        <vt:i4>3</vt:i4>
      </vt:variant>
    </vt:vector>
  </HeadingPairs>
  <TitlesOfParts>
    <vt:vector size="22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Statim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Vykáz.-A Det.Lék.</vt:lpstr>
      <vt:lpstr>ZV Vykáz.-H</vt:lpstr>
      <vt:lpstr>ZV Vykáz.-H Detail</vt:lpstr>
      <vt:lpstr>doměsíce</vt:lpstr>
      <vt:lpstr>'ON Data'!Obdobi</vt:lpstr>
      <vt:lpstr>'Osobní náklady'!Obdobi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2017-05-31T07:11:02Z</cp:lastPrinted>
  <dcterms:created xsi:type="dcterms:W3CDTF">2013-04-17T20:15:29Z</dcterms:created>
  <dcterms:modified xsi:type="dcterms:W3CDTF">2018-05-29T14:33:56Z</dcterms:modified>
</cp:coreProperties>
</file>