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ZV Vykáz.-A" sheetId="344" r:id="rId9"/>
    <sheet name="ZV Vykáz.-A Detail" sheetId="345" r:id="rId10"/>
    <sheet name="ZV Vykáz.-H" sheetId="410" r:id="rId11"/>
    <sheet name="ZV Vykáz.-H Detail" sheetId="377" r:id="rId12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9" hidden="1">'ZV Vykáz.-A Detail'!$A$5:$P$5</definedName>
    <definedName name="_xlnm._FilterDatabase" localSheetId="1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6" i="414" s="1"/>
  <c r="A17" i="414"/>
  <c r="A16" i="414"/>
  <c r="A11" i="414"/>
  <c r="A7" i="414"/>
  <c r="A18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7" i="414" l="1"/>
  <c r="E16" i="414"/>
  <c r="E11" i="414"/>
  <c r="E7" i="414"/>
  <c r="C4" i="414"/>
  <c r="D4" i="414"/>
  <c r="E4" i="414" l="1"/>
  <c r="D15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G5" i="339" l="1"/>
  <c r="G6" i="339"/>
  <c r="G7" i="339"/>
  <c r="G8" i="339"/>
  <c r="G9" i="339"/>
  <c r="A11" i="383"/>
  <c r="A4" i="383"/>
  <c r="A18" i="383"/>
  <c r="A17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8" i="414"/>
  <c r="C15" i="414"/>
  <c r="D14" i="414"/>
  <c r="E18" i="414" l="1"/>
  <c r="E15" i="414"/>
  <c r="G11" i="339"/>
  <c r="C6" i="340"/>
  <c r="C4" i="340" s="1"/>
  <c r="B4" i="340"/>
  <c r="F13" i="339"/>
  <c r="F15" i="339" s="1"/>
  <c r="G12" i="339"/>
  <c r="C14" i="414"/>
  <c r="B13" i="340" l="1"/>
  <c r="B12" i="340"/>
  <c r="D6" i="340"/>
  <c r="E14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<sst xmlns="http://schemas.openxmlformats.org/spreadsheetml/2006/main" count="1127" uniqueCount="408">
  <si>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</si>
  <si>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</si>
  <si>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</si>
  <si>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</si>
  <si>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</si>
  <si>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</si>
  <si>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</si>
  <si>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</si>
  <si>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</si>
  <si>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</si>
  <si>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</si>
  <si>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</si>
  <si>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</si>
  <si>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</si>
  <si>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</si>
  <si>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</si>
  <si>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</si>
  <si>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</si>
  <si>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</si>
  <si>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</si>
  <si>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</si>
  <si>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</si>
  <si>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</si>
  <si>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</si>
  <si>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</si>
  <si>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</si>
  <si>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</si>
  <si>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</si>
  <si>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</si>
  <si>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</si>
  <si>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</si>
  <si>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</si>
  <si>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</si>
  <si>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</si>
  <si>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</si>
  <si>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</si>
  <si>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</si>
  <si>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</si>
  <si>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</si>
  <si>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</si>
  <si>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</si>
  <si>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</si>
  <si>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</si>
  <si>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</si>
  <si>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</si>
  <si>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</si>
  <si>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</si>
  <si>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</si>
  <si>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</si>
  <si>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</si>
  <si>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</si>
  <si>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</si>
  <si>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</si>
  <si>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</si>
  <si>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</si>
  <si>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</si>
  <si>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</si>
  <si>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</si>
  <si>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</si>
  <si>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</si>
  <si>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</si>
  <si>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</si>
  <si>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</si>
  <si>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</si>
  <si>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</si>
  <si>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</si>
  <si>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</si>
  <si>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</si>
  <si>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</si>
  <si>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</si>
  <si>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</si>
  <si>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</si>
  <si>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</si>
  <si>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</si>
  <si>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</si>
  <si>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</si>
  <si>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</si>
  <si>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</si>
  <si>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</si>
  <si>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</si>
  <si>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</si>
  <si>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</si>
  <si>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</si>
  <si>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</si>
  <si>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</si>
  <si>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</si>
  <si>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</si>
  <si>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</si>
  <si>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</si>
  <si>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</si>
  <si>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</si>
  <si>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</si>
  <si>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</si>
  <si>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</si>
  <si>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</si>
  <si>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</si>
  <si>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</si>
  <si>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</si>
  <si>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</si>
  <si>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</si>
  <si>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</si>
  <si>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</si>
  <si>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</si>
  <si>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</si>
  <si>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</si>
  <si>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</si>
  <si>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</si>
  <si>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</si>
  <si>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</si>
  <si>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</si>
  <si>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</si>
  <si>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</si>
  <si>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</si>
  <si>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</si>
  <si>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</si>
  <si>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</si>
  <si>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</si>
  <si>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</si>
  <si>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</si>
  <si>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</si>
  <si>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</si>
  <si>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</si>
  <si>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</si>
  <si>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</si>
  <si>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</si>
  <si>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</si>
  <si>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</si>
  <si>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</si>
  <si>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</si>
  <si>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</si>
  <si>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</si>
  <si>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</si>
  <si>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</si>
  <si>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</si>
  <si>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</si>
  <si>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Hospodaření zdravotnického pracoviště (v tisících)</t>
  </si>
  <si>
    <t>Spotřeba léčivých přípravků - detail</t>
  </si>
  <si>
    <t>Spotřeba léčivých přípravků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</si>
  <si>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</si>
  <si>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</si>
  <si>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</si>
  <si>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</si>
  <si>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</si>
  <si>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</si>
  <si>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</si>
  <si>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</si>
  <si>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</si>
  <si>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</si>
  <si>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</si>
  <si>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</si>
  <si>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klinické psychologie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</si>
  <si>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</si>
  <si>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</si>
  <si>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</si>
  <si>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</si>
  <si>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</si>
  <si>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</si>
  <si>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</si>
  <si>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</si>
  <si>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</si>
  <si>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</si>
  <si>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</si>
  <si>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</si>
  <si>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</si>
  <si>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</si>
  <si>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</si>
  <si>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</si>
  <si>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</si>
  <si>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</si>
  <si>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</si>
  <si>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</si>
  <si>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</si>
  <si>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</si>
  <si>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</si>
  <si>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</si>
  <si>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</si>
  <si>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</si>
  <si>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</si>
  <si>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</si>
  <si>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</si>
  <si>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</si>
  <si>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</si>
  <si>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</si>
  <si>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</si>
  <si>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</si>
  <si>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</si>
  <si>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</si>
  <si>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</si>
  <si>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</si>
  <si>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</si>
  <si>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</si>
  <si>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</si>
  <si>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</si>
  <si>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</si>
  <si>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</si>
  <si>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</si>
  <si>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</si>
  <si>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</si>
  <si>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</si>
  <si>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</si>
  <si>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</si>
  <si>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</si>
  <si>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</si>
  <si>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</si>
  <si>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</si>
  <si>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</si>
  <si>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</si>
  <si>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</si>
  <si>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</si>
  <si>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</si>
  <si>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</si>
  <si>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</si>
  <si>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</si>
  <si>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</si>
  <si>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</si>
  <si>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54924     Ostatní výplaty fyzickým osobám</t>
  </si>
  <si>
    <t>54924001     odškod.zaměst. - prac.úraz,...</t>
  </si>
  <si>
    <t>54972     Školení - lékaři (pouze PaM)</t>
  </si>
  <si>
    <t>54972000     školení - lékaři(pouze PaM)</t>
  </si>
  <si>
    <t>54973     Školení - ostatní zdrav.prac.(pouze OPMČ)</t>
  </si>
  <si>
    <t>54973000     školení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</si>
  <si>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</si>
  <si>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</si>
  <si>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</si>
  <si>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</si>
  <si>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</si>
  <si>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</si>
  <si>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</si>
  <si>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</si>
  <si>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</si>
  <si>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</si>
  <si>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</si>
  <si>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</si>
  <si>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</si>
  <si>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</si>
  <si>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</si>
  <si>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</si>
  <si>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</si>
  <si>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</si>
  <si>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</si>
  <si>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</si>
  <si>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</si>
  <si>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</si>
  <si>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</si>
  <si>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</si>
  <si>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</si>
  <si>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</si>
  <si>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</si>
  <si>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</si>
  <si>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</si>
  <si>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</si>
  <si>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</si>
  <si>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</si>
  <si>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</si>
  <si>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</si>
  <si>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</si>
  <si>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</si>
  <si>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</si>
  <si>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</si>
  <si>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</si>
  <si>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</si>
  <si>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</si>
  <si>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</si>
  <si>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</si>
  <si>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</si>
  <si>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</si>
  <si>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</si>
  <si>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</si>
  <si>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</si>
  <si>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</si>
  <si>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</si>
  <si>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</si>
  <si>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</si>
  <si>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</si>
  <si>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</si>
  <si>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</si>
  <si>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/>
  </si>
  <si>
    <t>Oddělení klinické psychologie</t>
  </si>
  <si>
    <t>50113001</t>
  </si>
  <si>
    <t>Lékárna - léčiva</t>
  </si>
  <si>
    <t>SumaKL</t>
  </si>
  <si>
    <t>3921</t>
  </si>
  <si>
    <t>Oddělení klinické psychologie, ambulance - odborná</t>
  </si>
  <si>
    <t>SumaNS</t>
  </si>
  <si>
    <t>mezeraNS</t>
  </si>
  <si>
    <t>O</t>
  </si>
  <si>
    <t>155947</t>
  </si>
  <si>
    <t>55947</t>
  </si>
  <si>
    <t>OPHTAL LIQ 2X50ML</t>
  </si>
  <si>
    <t>841498</t>
  </si>
  <si>
    <t>0</t>
  </si>
  <si>
    <t>Carbosorb tbl.20-blistr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</si>
  <si>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</si>
  <si>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</si>
  <si>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</si>
  <si>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</si>
  <si>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</si>
  <si>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</si>
  <si>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</si>
  <si>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</si>
  <si>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500565</t>
  </si>
  <si>
    <t>Spofaplast Náplast kusová text.166</t>
  </si>
  <si>
    <t>76x51mm/3ks</t>
  </si>
  <si>
    <t>500568</t>
  </si>
  <si>
    <t>Spofaplast Náplast kusová text.156</t>
  </si>
  <si>
    <t>72x19mm/5ks</t>
  </si>
  <si>
    <t>395022</t>
  </si>
  <si>
    <t>Spofaplast  č. 164    8 x 1m</t>
  </si>
  <si>
    <t>8cm x 1m</t>
  </si>
  <si>
    <t>192414</t>
  </si>
  <si>
    <t>92414</t>
  </si>
  <si>
    <t>SEPTONEX</t>
  </si>
  <si>
    <t>SPR 1X45ML</t>
  </si>
  <si>
    <t>847060</t>
  </si>
  <si>
    <t>Podložka ložní PVC 45x55cm</t>
  </si>
  <si>
    <t>610039</t>
  </si>
  <si>
    <t>Rouška z plic do plic resuscitační</t>
  </si>
  <si>
    <t>841417</t>
  </si>
  <si>
    <t>Rukavice Dona chir.</t>
  </si>
  <si>
    <t>842492</t>
  </si>
  <si>
    <t>Obvaz hotový Economy č.2 malý</t>
  </si>
  <si>
    <t>842493</t>
  </si>
  <si>
    <t>Obvaz hotový Economy č.3 střední</t>
  </si>
  <si>
    <t>640000</t>
  </si>
  <si>
    <t>Nůžky do lékárničky</t>
  </si>
  <si>
    <t>850632</t>
  </si>
  <si>
    <t>Teploměr lék.Exatherm skleněný klasický</t>
  </si>
  <si>
    <t>901 - Pracoviště klinické psychologie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</si>
  <si>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</si>
  <si>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</si>
  <si>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</si>
  <si>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</si>
  <si>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</si>
  <si>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</si>
  <si>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</si>
  <si>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</si>
  <si>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</si>
  <si>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</si>
  <si>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37012</t>
  </si>
  <si>
    <t xml:space="preserve"> </t>
  </si>
  <si>
    <t>37021</t>
  </si>
  <si>
    <t>KOMPLEXNÍ PSYCHOLOGICKÉ VYŠETŘENÍ (Á 60 MINUT)</t>
  </si>
  <si>
    <t>37022</t>
  </si>
  <si>
    <t>CÍLENÉ PSYCHOLOGICKÉ VYŠETŘENÍ (Á 60 MINUT)</t>
  </si>
  <si>
    <t>37061</t>
  </si>
  <si>
    <t>KOMPLEXNÍ PEDOPSYCHOLOGICKÉ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</si>
  <si>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</si>
  <si>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</si>
  <si>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</si>
  <si>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</si>
  <si>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37115</t>
  </si>
  <si>
    <t>KRIZOVÁ INTERVENCE(Á 30 MINUT)</t>
  </si>
  <si>
    <t>09543</t>
  </si>
  <si>
    <t>REGULAČNÍ POPLATEK ZA NÁVŠTĚVU -- POPLATEK UHRAZEN</t>
  </si>
  <si>
    <t>09547</t>
  </si>
  <si>
    <t>REGULAČNÍ POPLATEK -- POJIŠTĚNEC OD ÚHRADY POPLATK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</si>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</sst>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40">
    <xf numFmtId="0" fontId="0" fillId="0" borderId="0" xfId="0"/>
    <xf numFmtId="0" fontId="30" fillId="2" borderId="16" xfId="80" applyFont="1" applyFill="1" applyBorder="1"/>
    <xf numFmtId="0" fontId="31" fillId="2" borderId="17" xfId="80" applyFont="1" applyFill="1" applyBorder="1"/>
    <xf numFmtId="3" fontId="31" fillId="2" borderId="18" xfId="80" applyNumberFormat="1" applyFont="1" applyFill="1" applyBorder="1"/>
    <xf numFmtId="10" fontId="31" fillId="2" borderId="19" xfId="80" applyNumberFormat="1" applyFont="1" applyFill="1" applyBorder="1"/>
    <xf numFmtId="0" fontId="31" fillId="4" borderId="17" xfId="80" applyFont="1" applyFill="1" applyBorder="1"/>
    <xf numFmtId="3" fontId="31" fillId="4" borderId="18" xfId="80" applyNumberFormat="1" applyFont="1" applyFill="1" applyBorder="1"/>
    <xf numFmtId="10" fontId="31" fillId="4" borderId="19" xfId="80" applyNumberFormat="1" applyFont="1" applyFill="1" applyBorder="1"/>
    <xf numFmtId="172" fontId="31" fillId="3" borderId="18" xfId="80" applyNumberFormat="1" applyFont="1" applyFill="1" applyBorder="1"/>
    <xf numFmtId="10" fontId="31" fillId="3" borderId="19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3" xfId="80" applyNumberFormat="1" applyFont="1" applyFill="1" applyBorder="1"/>
    <xf numFmtId="10" fontId="30" fillId="5" borderId="24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2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8" xfId="80" applyNumberFormat="1" applyFont="1" applyFill="1" applyBorder="1"/>
    <xf numFmtId="3" fontId="30" fillId="5" borderId="24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6" xfId="80" applyNumberFormat="1" applyFont="1" applyFill="1" applyBorder="1"/>
    <xf numFmtId="3" fontId="31" fillId="2" borderId="19" xfId="80" applyNumberFormat="1" applyFont="1" applyFill="1" applyBorder="1"/>
    <xf numFmtId="3" fontId="31" fillId="4" borderId="26" xfId="80" applyNumberFormat="1" applyFont="1" applyFill="1" applyBorder="1"/>
    <xf numFmtId="3" fontId="31" fillId="4" borderId="19" xfId="80" applyNumberFormat="1" applyFont="1" applyFill="1" applyBorder="1"/>
    <xf numFmtId="172" fontId="31" fillId="3" borderId="26" xfId="80" applyNumberFormat="1" applyFont="1" applyFill="1" applyBorder="1"/>
    <xf numFmtId="172" fontId="31" fillId="3" borderId="19" xfId="80" applyNumberFormat="1" applyFont="1" applyFill="1" applyBorder="1"/>
    <xf numFmtId="0" fontId="33" fillId="2" borderId="22" xfId="74" applyFont="1" applyFill="1" applyBorder="1" applyAlignment="1">
      <alignment horizontal="center"/>
    </xf>
    <xf numFmtId="0" fontId="33" fillId="2" borderId="21" xfId="74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24" xfId="80" applyFont="1" applyFill="1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5" xfId="0" applyFont="1" applyFill="1" applyBorder="1" applyAlignment="1"/>
    <xf numFmtId="0" fontId="42" fillId="0" borderId="0" xfId="0" applyFont="1" applyFill="1" applyBorder="1" applyAlignment="1"/>
    <xf numFmtId="0" fontId="34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7" fillId="0" borderId="0" xfId="80" applyFill="1"/>
    <xf numFmtId="0" fontId="8" fillId="0" borderId="35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1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5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37" xfId="0" applyFont="1" applyFill="1" applyBorder="1" applyAlignment="1"/>
    <xf numFmtId="165" fontId="3" fillId="0" borderId="51" xfId="53" applyNumberFormat="1" applyFont="1" applyFill="1" applyBorder="1"/>
    <xf numFmtId="9" fontId="3" fillId="0" borderId="51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4" fillId="0" borderId="0" xfId="0" applyFont="1" applyFill="1" applyBorder="1" applyAlignment="1"/>
    <xf numFmtId="0" fontId="34" fillId="0" borderId="29" xfId="0" applyFont="1" applyFill="1" applyBorder="1" applyAlignment="1"/>
    <xf numFmtId="0" fontId="34" fillId="0" borderId="30" xfId="0" applyFont="1" applyFill="1" applyBorder="1" applyAlignment="1"/>
    <xf numFmtId="0" fontId="34" fillId="0" borderId="46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49" xfId="53" applyFont="1" applyFill="1" applyBorder="1" applyAlignment="1">
      <alignment horizontal="right"/>
    </xf>
    <xf numFmtId="0" fontId="28" fillId="3" borderId="7" xfId="1" applyFill="1" applyBorder="1"/>
    <xf numFmtId="0" fontId="34" fillId="0" borderId="24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4" xfId="1" applyFill="1" applyBorder="1"/>
    <xf numFmtId="0" fontId="34" fillId="5" borderId="21" xfId="0" applyFont="1" applyFill="1" applyBorder="1"/>
    <xf numFmtId="0" fontId="34" fillId="5" borderId="35" xfId="0" applyFont="1" applyFill="1" applyBorder="1"/>
    <xf numFmtId="0" fontId="28" fillId="2" borderId="3" xfId="1" applyFill="1" applyBorder="1"/>
    <xf numFmtId="0" fontId="34" fillId="5" borderId="37" xfId="0" applyFont="1" applyFill="1" applyBorder="1"/>
    <xf numFmtId="0" fontId="28" fillId="4" borderId="3" xfId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8" xfId="53" applyNumberFormat="1" applyFont="1" applyFill="1" applyBorder="1"/>
    <xf numFmtId="3" fontId="33" fillId="0" borderId="24" xfId="53" applyNumberFormat="1" applyFont="1" applyFill="1" applyBorder="1"/>
    <xf numFmtId="0" fontId="0" fillId="0" borderId="0" xfId="0" applyBorder="1" applyAlignment="1"/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6" fillId="0" borderId="0" xfId="0" applyFont="1" applyFill="1"/>
    <xf numFmtId="16" fontId="26" fillId="0" borderId="0" xfId="0" quotePrefix="1" applyNumberFormat="1" applyFont="1" applyFill="1"/>
    <xf numFmtId="0" fontId="26" fillId="0" borderId="0" xfId="0" quotePrefix="1" applyFont="1" applyFill="1"/>
    <xf numFmtId="172" fontId="26" fillId="0" borderId="0" xfId="0" applyNumberFormat="1" applyFont="1" applyFill="1"/>
    <xf numFmtId="173" fontId="26" fillId="0" borderId="0" xfId="0" applyNumberFormat="1" applyFont="1" applyFill="1"/>
    <xf numFmtId="3" fontId="26" fillId="0" borderId="0" xfId="0" applyNumberFormat="1" applyFont="1" applyFill="1"/>
    <xf numFmtId="0" fontId="33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4" fillId="0" borderId="37" xfId="0" applyNumberFormat="1" applyFont="1" applyFill="1" applyBorder="1" applyAlignment="1"/>
    <xf numFmtId="3" fontId="3" fillId="0" borderId="50" xfId="53" applyNumberFormat="1" applyFont="1" applyFill="1" applyBorder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9" fontId="44" fillId="0" borderId="37" xfId="0" applyNumberFormat="1" applyFont="1" applyFill="1" applyBorder="1" applyAlignment="1"/>
    <xf numFmtId="0" fontId="33" fillId="2" borderId="37" xfId="0" applyNumberFormat="1" applyFont="1" applyFill="1" applyBorder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40" xfId="0" applyNumberFormat="1" applyFont="1" applyFill="1" applyBorder="1"/>
    <xf numFmtId="3" fontId="27" fillId="2" borderId="41" xfId="0" applyNumberFormat="1" applyFont="1" applyFill="1" applyBorder="1"/>
    <xf numFmtId="9" fontId="27" fillId="2" borderId="45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7" fillId="2" borderId="42" xfId="0" applyFont="1" applyFill="1" applyBorder="1" applyAlignment="1"/>
    <xf numFmtId="0" fontId="27" fillId="2" borderId="33" xfId="0" applyFont="1" applyFill="1" applyBorder="1" applyAlignment="1">
      <alignment horizontal="left" indent="2"/>
    </xf>
    <xf numFmtId="0" fontId="27" fillId="4" borderId="34" xfId="0" applyFont="1" applyFill="1" applyBorder="1" applyAlignment="1">
      <alignment horizontal="left" indent="2"/>
    </xf>
    <xf numFmtId="0" fontId="27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7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8" fillId="2" borderId="16" xfId="1" applyFill="1" applyBorder="1"/>
    <xf numFmtId="0" fontId="28" fillId="0" borderId="0" xfId="1" applyFill="1"/>
    <xf numFmtId="0" fontId="28" fillId="4" borderId="32" xfId="1" applyFill="1" applyBorder="1"/>
    <xf numFmtId="0" fontId="28" fillId="4" borderId="16" xfId="1" applyFill="1" applyBorder="1"/>
    <xf numFmtId="0" fontId="28" fillId="2" borderId="33" xfId="1" applyFill="1" applyBorder="1" applyAlignment="1">
      <alignment horizontal="left" indent="2"/>
    </xf>
    <xf numFmtId="0" fontId="28" fillId="2" borderId="33" xfId="1" applyFill="1" applyBorder="1" applyAlignment="1">
      <alignment horizontal="left" indent="4"/>
    </xf>
    <xf numFmtId="0" fontId="28" fillId="4" borderId="33" xfId="1" applyFill="1" applyBorder="1" applyAlignment="1">
      <alignment horizontal="left" indent="2"/>
    </xf>
    <xf numFmtId="0" fontId="51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52" fillId="3" borderId="17" xfId="1" applyFont="1" applyFill="1" applyBorder="1"/>
    <xf numFmtId="0" fontId="52" fillId="2" borderId="33" xfId="1" applyFont="1" applyFill="1" applyBorder="1" applyAlignment="1"/>
    <xf numFmtId="0" fontId="52" fillId="4" borderId="17" xfId="1" applyFont="1" applyFill="1" applyBorder="1" applyAlignment="1">
      <alignment horizontal="left"/>
    </xf>
    <xf numFmtId="0" fontId="52" fillId="2" borderId="17" xfId="1" applyFont="1" applyFill="1" applyBorder="1" applyAlignment="1"/>
    <xf numFmtId="0" fontId="52" fillId="4" borderId="42" xfId="1" applyFont="1" applyFill="1" applyBorder="1" applyAlignment="1">
      <alignment horizontal="left"/>
    </xf>
    <xf numFmtId="0" fontId="52" fillId="4" borderId="33" xfId="1" applyFont="1" applyFill="1" applyBorder="1" applyAlignment="1">
      <alignment horizontal="left"/>
    </xf>
    <xf numFmtId="0" fontId="27" fillId="2" borderId="25" xfId="0" applyFont="1" applyFill="1" applyBorder="1" applyAlignment="1">
      <alignment horizontal="right"/>
    </xf>
    <xf numFmtId="170" fontId="27" fillId="0" borderId="18" xfId="0" applyNumberFormat="1" applyFont="1" applyFill="1" applyBorder="1" applyAlignment="1"/>
    <xf numFmtId="170" fontId="27" fillId="0" borderId="26" xfId="0" applyNumberFormat="1" applyFont="1" applyFill="1" applyBorder="1" applyAlignment="1"/>
    <xf numFmtId="9" fontId="27" fillId="0" borderId="39" xfId="0" applyNumberFormat="1" applyFont="1" applyFill="1" applyBorder="1" applyAlignment="1"/>
    <xf numFmtId="9" fontId="27" fillId="0" borderId="19" xfId="0" applyNumberFormat="1" applyFont="1" applyFill="1" applyBorder="1" applyAlignment="1"/>
    <xf numFmtId="170" fontId="27" fillId="0" borderId="27" xfId="0" applyNumberFormat="1" applyFont="1" applyFill="1" applyBorder="1" applyAlignment="1"/>
    <xf numFmtId="0" fontId="41" fillId="3" borderId="25" xfId="0" applyFont="1" applyFill="1" applyBorder="1" applyAlignment="1"/>
    <xf numFmtId="0" fontId="0" fillId="0" borderId="36" xfId="0" applyBorder="1" applyAlignment="1"/>
    <xf numFmtId="0" fontId="41" fillId="2" borderId="25" xfId="0" applyFont="1" applyFill="1" applyBorder="1" applyAlignment="1"/>
    <xf numFmtId="0" fontId="41" fillId="4" borderId="25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5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3" xfId="53" applyNumberFormat="1" applyFont="1" applyFill="1" applyBorder="1" applyAlignment="1">
      <alignment horizontal="right"/>
    </xf>
    <xf numFmtId="165" fontId="32" fillId="2" borderId="28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27" fillId="2" borderId="45" xfId="0" applyFont="1" applyFill="1" applyBorder="1" applyAlignment="1">
      <alignment vertical="center"/>
    </xf>
    <xf numFmtId="3" fontId="33" fillId="2" borderId="47" xfId="26" applyNumberFormat="1" applyFont="1" applyFill="1" applyBorder="1" applyAlignment="1">
      <alignment horizontal="center"/>
    </xf>
    <xf numFmtId="3" fontId="33" fillId="2" borderId="37" xfId="26" applyNumberFormat="1" applyFont="1" applyFill="1" applyBorder="1" applyAlignment="1">
      <alignment horizontal="center"/>
    </xf>
    <xf numFmtId="3" fontId="33" fillId="2" borderId="38" xfId="26" applyNumberFormat="1" applyFont="1" applyFill="1" applyBorder="1" applyAlignment="1">
      <alignment horizontal="center"/>
    </xf>
    <xf numFmtId="3" fontId="33" fillId="2" borderId="38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top" wrapText="1"/>
    </xf>
    <xf numFmtId="0" fontId="33" fillId="2" borderId="29" xfId="0" applyFont="1" applyFill="1" applyBorder="1" applyAlignment="1">
      <alignment horizontal="center" vertical="top"/>
    </xf>
    <xf numFmtId="49" fontId="33" fillId="2" borderId="29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7" xfId="0" quotePrefix="1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/>
    </xf>
    <xf numFmtId="9" fontId="49" fillId="2" borderId="38" xfId="0" applyNumberFormat="1" applyFont="1" applyFill="1" applyBorder="1" applyAlignment="1">
      <alignment horizontal="center" vertical="top"/>
    </xf>
    <xf numFmtId="0" fontId="33" fillId="2" borderId="47" xfId="0" quotePrefix="1" applyNumberFormat="1" applyFont="1" applyFill="1" applyBorder="1" applyAlignment="1">
      <alignment horizontal="center"/>
    </xf>
    <xf numFmtId="0" fontId="33" fillId="2" borderId="38" xfId="0" applyNumberFormat="1" applyFont="1" applyFill="1" applyBorder="1" applyAlignment="1">
      <alignment horizontal="center"/>
    </xf>
    <xf numFmtId="0" fontId="49" fillId="2" borderId="38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35" fillId="7" borderId="54" xfId="0" applyNumberFormat="1" applyFont="1" applyFill="1" applyBorder="1" applyAlignment="1">
      <alignment horizontal="right" vertical="top"/>
    </xf>
    <xf numFmtId="3" fontId="35" fillId="7" borderId="55" xfId="0" applyNumberFormat="1" applyFont="1" applyFill="1" applyBorder="1" applyAlignment="1">
      <alignment horizontal="right" vertical="top"/>
    </xf>
    <xf numFmtId="174" fontId="35" fillId="7" borderId="56" xfId="0" applyNumberFormat="1" applyFont="1" applyFill="1" applyBorder="1" applyAlignment="1">
      <alignment horizontal="right" vertical="top"/>
    </xf>
    <xf numFmtId="3" fontId="35" fillId="0" borderId="54" xfId="0" applyNumberFormat="1" applyFont="1" applyBorder="1" applyAlignment="1">
      <alignment horizontal="right" vertical="top"/>
    </xf>
    <xf numFmtId="174" fontId="35" fillId="7" borderId="57" xfId="0" applyNumberFormat="1" applyFont="1" applyFill="1" applyBorder="1" applyAlignment="1">
      <alignment horizontal="right" vertical="top"/>
    </xf>
    <xf numFmtId="3" fontId="37" fillId="7" borderId="59" xfId="0" applyNumberFormat="1" applyFont="1" applyFill="1" applyBorder="1" applyAlignment="1">
      <alignment horizontal="right" vertical="top"/>
    </xf>
    <xf numFmtId="3" fontId="37" fillId="7" borderId="60" xfId="0" applyNumberFormat="1" applyFont="1" applyFill="1" applyBorder="1" applyAlignment="1">
      <alignment horizontal="right" vertical="top"/>
    </xf>
    <xf numFmtId="174" fontId="37" fillId="7" borderId="61" xfId="0" applyNumberFormat="1" applyFont="1" applyFill="1" applyBorder="1" applyAlignment="1">
      <alignment horizontal="right" vertical="top"/>
    </xf>
    <xf numFmtId="3" fontId="37" fillId="0" borderId="59" xfId="0" applyNumberFormat="1" applyFont="1" applyBorder="1" applyAlignment="1">
      <alignment horizontal="right" vertical="top"/>
    </xf>
    <xf numFmtId="0" fontId="37" fillId="7" borderId="62" xfId="0" applyFont="1" applyFill="1" applyBorder="1" applyAlignment="1">
      <alignment horizontal="right" vertical="top"/>
    </xf>
    <xf numFmtId="0" fontId="35" fillId="7" borderId="57" xfId="0" applyFont="1" applyFill="1" applyBorder="1" applyAlignment="1">
      <alignment horizontal="right" vertical="top"/>
    </xf>
    <xf numFmtId="174" fontId="37" fillId="7" borderId="62" xfId="0" applyNumberFormat="1" applyFont="1" applyFill="1" applyBorder="1" applyAlignment="1">
      <alignment horizontal="right" vertical="top"/>
    </xf>
    <xf numFmtId="0" fontId="35" fillId="7" borderId="56" xfId="0" applyFont="1" applyFill="1" applyBorder="1" applyAlignment="1">
      <alignment horizontal="right" vertical="top"/>
    </xf>
    <xf numFmtId="0" fontId="37" fillId="7" borderId="61" xfId="0" applyFont="1" applyFill="1" applyBorder="1" applyAlignment="1">
      <alignment horizontal="right" vertical="top"/>
    </xf>
    <xf numFmtId="3" fontId="37" fillId="0" borderId="63" xfId="0" applyNumberFormat="1" applyFont="1" applyBorder="1" applyAlignment="1">
      <alignment horizontal="right" vertical="top"/>
    </xf>
    <xf numFmtId="3" fontId="37" fillId="0" borderId="64" xfId="0" applyNumberFormat="1" applyFont="1" applyBorder="1" applyAlignment="1">
      <alignment horizontal="right" vertical="top"/>
    </xf>
    <xf numFmtId="3" fontId="37" fillId="0" borderId="65" xfId="0" applyNumberFormat="1" applyFont="1" applyBorder="1" applyAlignment="1">
      <alignment horizontal="right" vertical="top"/>
    </xf>
    <xf numFmtId="174" fontId="37" fillId="7" borderId="66" xfId="0" applyNumberFormat="1" applyFont="1" applyFill="1" applyBorder="1" applyAlignment="1">
      <alignment horizontal="right" vertical="top"/>
    </xf>
    <xf numFmtId="0" fontId="39" fillId="8" borderId="53" xfId="0" applyFont="1" applyFill="1" applyBorder="1" applyAlignment="1">
      <alignment vertical="top"/>
    </xf>
    <xf numFmtId="0" fontId="39" fillId="8" borderId="53" xfId="0" applyFont="1" applyFill="1" applyBorder="1" applyAlignment="1">
      <alignment vertical="top" indent="2"/>
    </xf>
    <xf numFmtId="0" fontId="39" fillId="8" borderId="53" xfId="0" applyFont="1" applyFill="1" applyBorder="1" applyAlignment="1">
      <alignment vertical="top" indent="4"/>
    </xf>
    <xf numFmtId="0" fontId="40" fillId="8" borderId="58" xfId="0" applyFont="1" applyFill="1" applyBorder="1" applyAlignment="1">
      <alignment vertical="top" indent="6"/>
    </xf>
    <xf numFmtId="0" fontId="39" fillId="8" borderId="53" xfId="0" applyFont="1" applyFill="1" applyBorder="1" applyAlignment="1">
      <alignment vertical="top" indent="8"/>
    </xf>
    <xf numFmtId="0" fontId="40" fillId="8" borderId="58" xfId="0" applyFont="1" applyFill="1" applyBorder="1" applyAlignment="1">
      <alignment vertical="top" indent="2"/>
    </xf>
    <xf numFmtId="0" fontId="40" fillId="8" borderId="58" xfId="0" applyFont="1" applyFill="1" applyBorder="1" applyAlignment="1">
      <alignment vertical="top" indent="4"/>
    </xf>
    <xf numFmtId="0" fontId="39" fillId="8" borderId="53" xfId="0" applyFont="1" applyFill="1" applyBorder="1" applyAlignment="1">
      <alignment vertical="top" indent="6"/>
    </xf>
    <xf numFmtId="0" fontId="34" fillId="8" borderId="53" xfId="0" applyFont="1" applyFill="1" applyBorder="1"/>
    <xf numFmtId="0" fontId="40" fillId="8" borderId="17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40" xfId="53" applyNumberFormat="1" applyFont="1" applyFill="1" applyBorder="1" applyAlignment="1">
      <alignment horizontal="left"/>
    </xf>
    <xf numFmtId="165" fontId="33" fillId="2" borderId="41" xfId="53" applyNumberFormat="1" applyFont="1" applyFill="1" applyBorder="1" applyAlignment="1">
      <alignment horizontal="left"/>
    </xf>
    <xf numFmtId="165" fontId="33" fillId="2" borderId="43" xfId="53" applyNumberFormat="1" applyFont="1" applyFill="1" applyBorder="1" applyAlignment="1">
      <alignment horizontal="left"/>
    </xf>
    <xf numFmtId="3" fontId="33" fillId="2" borderId="43" xfId="53" applyNumberFormat="1" applyFont="1" applyFill="1" applyBorder="1" applyAlignment="1">
      <alignment horizontal="left"/>
    </xf>
    <xf numFmtId="3" fontId="33" fillId="2" borderId="48" xfId="53" applyNumberFormat="1" applyFont="1" applyFill="1" applyBorder="1" applyAlignment="1">
      <alignment horizontal="left"/>
    </xf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0" fillId="2" borderId="48" xfId="0" applyFill="1" applyBorder="1" applyAlignment="1">
      <alignment vertical="center"/>
    </xf>
    <xf numFmtId="0" fontId="33" fillId="2" borderId="14" xfId="26" applyNumberFormat="1" applyFont="1" applyFill="1" applyBorder="1"/>
    <xf numFmtId="0" fontId="33" fillId="2" borderId="0" xfId="26" applyNumberFormat="1" applyFont="1" applyFill="1" applyBorder="1"/>
    <xf numFmtId="0" fontId="33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0" fontId="0" fillId="0" borderId="26" xfId="0" applyFill="1" applyBorder="1"/>
    <xf numFmtId="9" fontId="0" fillId="0" borderId="26" xfId="0" applyNumberFormat="1" applyFill="1" applyBorder="1"/>
    <xf numFmtId="9" fontId="0" fillId="0" borderId="19" xfId="0" applyNumberFormat="1" applyFill="1" applyBorder="1"/>
    <xf numFmtId="0" fontId="27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3" fillId="2" borderId="30" xfId="0" applyFont="1" applyFill="1" applyBorder="1" applyAlignment="1">
      <alignment horizontal="center" vertical="top"/>
    </xf>
    <xf numFmtId="49" fontId="33" fillId="2" borderId="30" xfId="0" applyNumberFormat="1" applyFont="1" applyFill="1" applyBorder="1" applyAlignment="1">
      <alignment horizontal="center" vertical="top"/>
    </xf>
    <xf numFmtId="0" fontId="33" fillId="2" borderId="30" xfId="0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left"/>
    </xf>
    <xf numFmtId="3" fontId="33" fillId="2" borderId="15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9" fillId="2" borderId="15" xfId="0" applyNumberFormat="1" applyFont="1" applyFill="1" applyBorder="1" applyAlignment="1">
      <alignment horizontal="center" vertical="top"/>
    </xf>
    <xf numFmtId="3" fontId="33" fillId="2" borderId="15" xfId="0" applyNumberFormat="1" applyFont="1" applyFill="1" applyBorder="1" applyAlignment="1">
      <alignment horizontal="center" vertical="top"/>
    </xf>
    <xf numFmtId="9" fontId="0" fillId="0" borderId="28" xfId="0" applyNumberFormat="1" applyFill="1" applyBorder="1"/>
    <xf numFmtId="9" fontId="0" fillId="0" borderId="8" xfId="0" applyNumberFormat="1" applyFill="1" applyBorder="1"/>
    <xf numFmtId="9" fontId="0" fillId="0" borderId="22" xfId="0" applyNumberFormat="1" applyFill="1" applyBorder="1"/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7" fillId="0" borderId="23" xfId="0" applyFont="1" applyFill="1" applyBorder="1"/>
    <xf numFmtId="0" fontId="27" fillId="0" borderId="7" xfId="0" applyFont="1" applyFill="1" applyBorder="1"/>
    <xf numFmtId="0" fontId="27" fillId="0" borderId="20" xfId="0" applyFont="1" applyFill="1" applyBorder="1"/>
    <xf numFmtId="0" fontId="33" fillId="2" borderId="14" xfId="0" applyNumberFormat="1" applyFont="1" applyFill="1" applyBorder="1" applyAlignment="1">
      <alignment horizontal="left"/>
    </xf>
    <xf numFmtId="0" fontId="33" fillId="2" borderId="15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9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0"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0.57817709257491301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001536"/>
        <c:axId val="11720042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0.47420773180076631</c:v>
                </c:pt>
                <c:pt idx="1">
                  <c:v>0.47420773180076631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543168"/>
        <c:axId val="1237615744"/>
      </c:scatterChart>
      <c:catAx>
        <c:axId val="117200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7200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004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2001536"/>
        <c:crosses val="autoZero"/>
        <c:crossBetween val="between"/>
      </c:valAx>
      <c:valAx>
        <c:axId val="12375431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615744"/>
        <c:crosses val="max"/>
        <c:crossBetween val="midCat"/>
      </c:valAx>
      <c:valAx>
        <c:axId val="1237615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5431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99" t="s">
        <v>116</v>
      </c>
      <c r="B1" s="200"/>
      <c r="C1" s="55"/>
    </row>
    <row r="2" spans="1:3" ht="14.4" customHeight="1" thickBot="1" x14ac:dyDescent="0.35">
      <c r="A2" s="250" t="s">
        <v>150</v>
      </c>
      <c r="B2" s="57"/>
    </row>
    <row r="3" spans="1:3" ht="14.4" customHeight="1" thickBot="1" x14ac:dyDescent="0.35">
      <c r="A3" s="195" t="s">
        <v>138</v>
      </c>
      <c r="B3" s="196"/>
      <c r="C3" s="55"/>
    </row>
    <row r="4" spans="1:3" ht="14.4" customHeight="1" x14ac:dyDescent="0.3">
      <c r="A4" s="97" t="str">
        <f t="shared" ref="A4:A8" si="0">HYPERLINK("#'"&amp;C4&amp;"'!A1",C4)</f>
        <v>Motivace</v>
      </c>
      <c r="B4" s="98" t="s">
        <v>124</v>
      </c>
      <c r="C4" s="55" t="s">
        <v>125</v>
      </c>
    </row>
    <row r="5" spans="1:3" ht="14.4" customHeight="1" x14ac:dyDescent="0.3">
      <c r="A5" s="99" t="str">
        <f t="shared" si="0"/>
        <v>HI</v>
      </c>
      <c r="B5" s="100" t="s">
        <v>135</v>
      </c>
      <c r="C5" s="58" t="s">
        <v>119</v>
      </c>
    </row>
    <row r="6" spans="1:3" ht="14.4" customHeight="1" x14ac:dyDescent="0.3">
      <c r="A6" s="101" t="str">
        <f t="shared" si="0"/>
        <v>HI Graf</v>
      </c>
      <c r="B6" s="102" t="s">
        <v>113</v>
      </c>
      <c r="C6" s="58" t="s">
        <v>120</v>
      </c>
    </row>
    <row r="7" spans="1:3" ht="14.4" customHeight="1" x14ac:dyDescent="0.3">
      <c r="A7" s="101" t="str">
        <f t="shared" si="0"/>
        <v>Man Tab</v>
      </c>
      <c r="B7" s="102" t="s">
        <v>152</v>
      </c>
      <c r="C7" s="58" t="s">
        <v>121</v>
      </c>
    </row>
    <row r="8" spans="1:3" ht="14.4" customHeight="1" thickBot="1" x14ac:dyDescent="0.35">
      <c r="A8" s="103" t="str">
        <f t="shared" si="0"/>
        <v>HV</v>
      </c>
      <c r="B8" s="104" t="s">
        <v>64</v>
      </c>
      <c r="C8" s="58" t="s">
        <v>75</v>
      </c>
    </row>
    <row r="9" spans="1:3" ht="14.4" customHeight="1" thickBot="1" x14ac:dyDescent="0.35">
      <c r="A9" s="105"/>
      <c r="B9" s="105"/>
    </row>
    <row r="10" spans="1:3" ht="14.4" customHeight="1" thickBot="1" x14ac:dyDescent="0.35">
      <c r="A10" s="197" t="s">
        <v>117</v>
      </c>
      <c r="B10" s="196"/>
      <c r="C10" s="55"/>
    </row>
    <row r="11" spans="1:3" ht="14.4" customHeight="1" x14ac:dyDescent="0.3">
      <c r="A11" s="106" t="str">
        <f t="shared" ref="A11:A12" si="1">HYPERLINK("#'"&amp;C11&amp;"'!A1",C11)</f>
        <v>Léky Žádanky</v>
      </c>
      <c r="B11" s="100" t="s">
        <v>137</v>
      </c>
      <c r="C11" s="58" t="s">
        <v>122</v>
      </c>
    </row>
    <row r="12" spans="1:3" ht="14.4" customHeight="1" thickBot="1" x14ac:dyDescent="0.35">
      <c r="A12" s="101" t="str">
        <f t="shared" si="1"/>
        <v>LŽ Detail</v>
      </c>
      <c r="B12" s="102" t="s">
        <v>136</v>
      </c>
      <c r="C12" s="58" t="s">
        <v>123</v>
      </c>
    </row>
    <row r="13" spans="1:3" ht="14.4" customHeight="1" thickBot="1" x14ac:dyDescent="0.35">
      <c r="A13" s="107"/>
      <c r="B13" s="107"/>
    </row>
    <row r="14" spans="1:3" ht="14.4" customHeight="1" thickBot="1" x14ac:dyDescent="0.35">
      <c r="A14" s="198" t="s">
        <v>118</v>
      </c>
      <c r="B14" s="196"/>
      <c r="C14" s="55"/>
    </row>
    <row r="15" spans="1:3" ht="14.4" customHeight="1" x14ac:dyDescent="0.3">
      <c r="A15" s="108" t="str">
        <f t="shared" ref="A15:A18" si="2">HYPERLINK("#'"&amp;C15&amp;"'!A1",C15)</f>
        <v>ZV Vykáz.-A</v>
      </c>
      <c r="B15" s="100" t="s">
        <v>130</v>
      </c>
      <c r="C15" s="58" t="s">
        <v>126</v>
      </c>
    </row>
    <row r="16" spans="1:3" ht="14.4" customHeight="1" x14ac:dyDescent="0.3">
      <c r="A16" s="101" t="str">
        <f t="shared" si="2"/>
        <v>ZV Vykáz.-A Detail</v>
      </c>
      <c r="B16" s="102" t="s">
        <v>131</v>
      </c>
      <c r="C16" s="58" t="s">
        <v>127</v>
      </c>
    </row>
    <row r="17" spans="1:3" ht="14.4" customHeight="1" x14ac:dyDescent="0.3">
      <c r="A17" s="101" t="str">
        <f t="shared" si="2"/>
        <v>ZV Vykáz.-H</v>
      </c>
      <c r="B17" s="102" t="s">
        <v>132</v>
      </c>
      <c r="C17" s="58" t="s">
        <v>128</v>
      </c>
    </row>
    <row r="18" spans="1:3" ht="14.4" customHeight="1" thickBot="1" x14ac:dyDescent="0.35">
      <c r="A18" s="101" t="str">
        <f t="shared" si="2"/>
        <v>ZV Vykáz.-H Detail</v>
      </c>
      <c r="B18" s="102" t="s">
        <v>133</v>
      </c>
      <c r="C18" s="58" t="s">
        <v>129</v>
      </c>
    </row>
    <row r="19" spans="1:3" ht="14.4" customHeight="1" x14ac:dyDescent="0.3">
      <c r="A19" s="59"/>
      <c r="B19" s="59"/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0" bestFit="1" customWidth="1"/>
    <col min="2" max="2" width="2.109375" style="60" bestFit="1" customWidth="1"/>
    <col min="3" max="3" width="8" style="60" bestFit="1" customWidth="1"/>
    <col min="4" max="4" width="50.88671875" style="60" bestFit="1" customWidth="1"/>
    <col min="5" max="6" width="11.109375" style="84" customWidth="1"/>
    <col min="7" max="8" width="9.33203125" style="60" hidden="1" customWidth="1"/>
    <col min="9" max="10" width="11.109375" style="84" customWidth="1"/>
    <col min="11" max="12" width="9.33203125" style="60" hidden="1" customWidth="1"/>
    <col min="13" max="14" width="11.109375" style="84" customWidth="1"/>
    <col min="15" max="15" width="11.109375" style="81" customWidth="1"/>
    <col min="16" max="16" width="11.109375" style="84" customWidth="1"/>
    <col min="17" max="16384" width="8.88671875" style="60"/>
  </cols>
  <sheetData>
    <row r="1" spans="1:16" ht="18.600000000000001" customHeight="1" thickBot="1" x14ac:dyDescent="0.4">
      <c r="A1" s="199" t="s">
        <v>131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ht="14.4" customHeight="1" thickBot="1" x14ac:dyDescent="0.4">
      <c r="A2" s="250" t="s">
        <v>150</v>
      </c>
      <c r="B2" s="85"/>
      <c r="C2" s="85"/>
      <c r="D2" s="85"/>
      <c r="E2" s="133"/>
      <c r="F2" s="133"/>
      <c r="G2" s="85"/>
      <c r="H2" s="85"/>
      <c r="I2" s="133"/>
      <c r="J2" s="133"/>
      <c r="K2" s="85"/>
      <c r="L2" s="85"/>
      <c r="M2" s="133"/>
      <c r="N2" s="133"/>
      <c r="O2" s="137"/>
      <c r="P2" s="133"/>
    </row>
    <row r="3" spans="1:16" ht="14.4" customHeight="1" thickBot="1" x14ac:dyDescent="0.35">
      <c r="D3" s="96" t="s">
        <v>134</v>
      </c>
      <c r="E3" s="134">
        <f t="shared" ref="E3:N3" si="0">SUBTOTAL(9,E6:E1048576)</f>
        <v>7369</v>
      </c>
      <c r="F3" s="135">
        <f t="shared" si="0"/>
        <v>2525882</v>
      </c>
      <c r="G3" s="86"/>
      <c r="H3" s="86"/>
      <c r="I3" s="135">
        <f t="shared" si="0"/>
        <v>8226</v>
      </c>
      <c r="J3" s="135">
        <f t="shared" si="0"/>
        <v>2842308</v>
      </c>
      <c r="K3" s="86"/>
      <c r="L3" s="86"/>
      <c r="M3" s="135">
        <f t="shared" si="0"/>
        <v>9044</v>
      </c>
      <c r="N3" s="135">
        <f t="shared" si="0"/>
        <v>3143556</v>
      </c>
      <c r="O3" s="87">
        <f>IF(F3=0,0,N3/F3)</f>
        <v>1.2445379475367415</v>
      </c>
      <c r="P3" s="136">
        <f>IF(M3=0,0,N3/M3)</f>
        <v>347.58469703670943</v>
      </c>
    </row>
    <row r="4" spans="1:16" ht="14.4" customHeight="1" x14ac:dyDescent="0.3">
      <c r="A4" s="240" t="s">
        <v>101</v>
      </c>
      <c r="B4" s="241" t="s">
        <v>102</v>
      </c>
      <c r="C4" s="242" t="s">
        <v>103</v>
      </c>
      <c r="D4" s="243" t="s">
        <v>77</v>
      </c>
      <c r="E4" s="244">
        <v>2011</v>
      </c>
      <c r="F4" s="245"/>
      <c r="G4" s="131"/>
      <c r="H4" s="131"/>
      <c r="I4" s="244">
        <v>2012</v>
      </c>
      <c r="J4" s="245"/>
      <c r="K4" s="131"/>
      <c r="L4" s="131"/>
      <c r="M4" s="244">
        <v>2013</v>
      </c>
      <c r="N4" s="245"/>
      <c r="O4" s="246" t="s">
        <v>5</v>
      </c>
      <c r="P4" s="239" t="s">
        <v>104</v>
      </c>
    </row>
    <row r="5" spans="1:16" ht="14.4" customHeight="1" thickBot="1" x14ac:dyDescent="0.35">
      <c r="A5" s="315"/>
      <c r="B5" s="316"/>
      <c r="C5" s="317"/>
      <c r="D5" s="318"/>
      <c r="E5" s="319" t="s">
        <v>78</v>
      </c>
      <c r="F5" s="320" t="s">
        <v>17</v>
      </c>
      <c r="G5" s="321"/>
      <c r="H5" s="321"/>
      <c r="I5" s="319" t="s">
        <v>78</v>
      </c>
      <c r="J5" s="320" t="s">
        <v>17</v>
      </c>
      <c r="K5" s="321"/>
      <c r="L5" s="321"/>
      <c r="M5" s="319" t="s">
        <v>78</v>
      </c>
      <c r="N5" s="320" t="s">
        <v>17</v>
      </c>
      <c r="O5" s="322"/>
      <c r="P5" s="323"/>
    </row>
    <row r="6" spans="1:16" ht="14.4" customHeight="1" x14ac:dyDescent="0.3">
      <c r="A6" s="288" t="s">
        <v>328</v>
      </c>
      <c r="B6" s="289" t="s">
        <v>329</v>
      </c>
      <c r="C6" s="289" t="s">
        <v>330</v>
      </c>
      <c r="D6" s="289" t="s">
        <v>331</v>
      </c>
      <c r="E6" s="292">
        <v>7</v>
      </c>
      <c r="F6" s="292">
        <v>238</v>
      </c>
      <c r="G6" s="289">
        <v>1</v>
      </c>
      <c r="H6" s="289">
        <v>34</v>
      </c>
      <c r="I6" s="292">
        <v>6</v>
      </c>
      <c r="J6" s="292">
        <v>204</v>
      </c>
      <c r="K6" s="289">
        <v>0.8571428571428571</v>
      </c>
      <c r="L6" s="289">
        <v>34</v>
      </c>
      <c r="M6" s="292">
        <v>1</v>
      </c>
      <c r="N6" s="292">
        <v>34</v>
      </c>
      <c r="O6" s="324">
        <v>0.14285714285714285</v>
      </c>
      <c r="P6" s="293">
        <v>34</v>
      </c>
    </row>
    <row r="7" spans="1:16" ht="14.4" customHeight="1" x14ac:dyDescent="0.3">
      <c r="A7" s="294" t="s">
        <v>328</v>
      </c>
      <c r="B7" s="295" t="s">
        <v>329</v>
      </c>
      <c r="C7" s="295" t="s">
        <v>332</v>
      </c>
      <c r="D7" s="295" t="s">
        <v>333</v>
      </c>
      <c r="E7" s="298">
        <v>40</v>
      </c>
      <c r="F7" s="298">
        <v>2720</v>
      </c>
      <c r="G7" s="295">
        <v>1</v>
      </c>
      <c r="H7" s="295">
        <v>68</v>
      </c>
      <c r="I7" s="298">
        <v>28</v>
      </c>
      <c r="J7" s="298">
        <v>1904</v>
      </c>
      <c r="K7" s="295">
        <v>0.7</v>
      </c>
      <c r="L7" s="295">
        <v>68</v>
      </c>
      <c r="M7" s="298">
        <v>59</v>
      </c>
      <c r="N7" s="298">
        <v>4071</v>
      </c>
      <c r="O7" s="325">
        <v>1.4966911764705881</v>
      </c>
      <c r="P7" s="299">
        <v>69</v>
      </c>
    </row>
    <row r="8" spans="1:16" ht="14.4" customHeight="1" x14ac:dyDescent="0.3">
      <c r="A8" s="294" t="s">
        <v>328</v>
      </c>
      <c r="B8" s="295" t="s">
        <v>329</v>
      </c>
      <c r="C8" s="295" t="s">
        <v>334</v>
      </c>
      <c r="D8" s="295" t="s">
        <v>335</v>
      </c>
      <c r="E8" s="298">
        <v>4907</v>
      </c>
      <c r="F8" s="298">
        <v>1550612</v>
      </c>
      <c r="G8" s="295">
        <v>1</v>
      </c>
      <c r="H8" s="295">
        <v>316</v>
      </c>
      <c r="I8" s="298">
        <v>5413</v>
      </c>
      <c r="J8" s="298">
        <v>1721334</v>
      </c>
      <c r="K8" s="295">
        <v>1.1100997541615827</v>
      </c>
      <c r="L8" s="295">
        <v>318</v>
      </c>
      <c r="M8" s="298">
        <v>5550</v>
      </c>
      <c r="N8" s="298">
        <v>1770450</v>
      </c>
      <c r="O8" s="325">
        <v>1.1417749894880216</v>
      </c>
      <c r="P8" s="299">
        <v>319</v>
      </c>
    </row>
    <row r="9" spans="1:16" ht="14.4" customHeight="1" x14ac:dyDescent="0.3">
      <c r="A9" s="294" t="s">
        <v>328</v>
      </c>
      <c r="B9" s="295" t="s">
        <v>329</v>
      </c>
      <c r="C9" s="295" t="s">
        <v>336</v>
      </c>
      <c r="D9" s="295" t="s">
        <v>337</v>
      </c>
      <c r="E9" s="298">
        <v>275</v>
      </c>
      <c r="F9" s="298">
        <v>86900</v>
      </c>
      <c r="G9" s="295">
        <v>1</v>
      </c>
      <c r="H9" s="295">
        <v>316</v>
      </c>
      <c r="I9" s="298">
        <v>201</v>
      </c>
      <c r="J9" s="298">
        <v>63918</v>
      </c>
      <c r="K9" s="295">
        <v>0.73553509781357884</v>
      </c>
      <c r="L9" s="295">
        <v>318</v>
      </c>
      <c r="M9" s="298">
        <v>766</v>
      </c>
      <c r="N9" s="298">
        <v>244354</v>
      </c>
      <c r="O9" s="325">
        <v>2.8118987341772153</v>
      </c>
      <c r="P9" s="299">
        <v>319</v>
      </c>
    </row>
    <row r="10" spans="1:16" ht="14.4" customHeight="1" x14ac:dyDescent="0.3">
      <c r="A10" s="294" t="s">
        <v>328</v>
      </c>
      <c r="B10" s="295" t="s">
        <v>329</v>
      </c>
      <c r="C10" s="295" t="s">
        <v>338</v>
      </c>
      <c r="D10" s="295" t="s">
        <v>339</v>
      </c>
      <c r="E10" s="298">
        <v>4</v>
      </c>
      <c r="F10" s="298">
        <v>1296</v>
      </c>
      <c r="G10" s="295">
        <v>1</v>
      </c>
      <c r="H10" s="295">
        <v>324</v>
      </c>
      <c r="I10" s="298"/>
      <c r="J10" s="298"/>
      <c r="K10" s="295"/>
      <c r="L10" s="295"/>
      <c r="M10" s="298"/>
      <c r="N10" s="298"/>
      <c r="O10" s="325"/>
      <c r="P10" s="299"/>
    </row>
    <row r="11" spans="1:16" ht="14.4" customHeight="1" x14ac:dyDescent="0.3">
      <c r="A11" s="294" t="s">
        <v>328</v>
      </c>
      <c r="B11" s="295" t="s">
        <v>329</v>
      </c>
      <c r="C11" s="295" t="s">
        <v>340</v>
      </c>
      <c r="D11" s="295" t="s">
        <v>341</v>
      </c>
      <c r="E11" s="298">
        <v>329</v>
      </c>
      <c r="F11" s="298">
        <v>172396</v>
      </c>
      <c r="G11" s="295">
        <v>1</v>
      </c>
      <c r="H11" s="295">
        <v>524</v>
      </c>
      <c r="I11" s="298">
        <v>192</v>
      </c>
      <c r="J11" s="298">
        <v>100992</v>
      </c>
      <c r="K11" s="295">
        <v>0.58581405601058034</v>
      </c>
      <c r="L11" s="295">
        <v>526</v>
      </c>
      <c r="M11" s="298">
        <v>268</v>
      </c>
      <c r="N11" s="298">
        <v>144184</v>
      </c>
      <c r="O11" s="325">
        <v>0.83635351168240557</v>
      </c>
      <c r="P11" s="299">
        <v>538</v>
      </c>
    </row>
    <row r="12" spans="1:16" ht="14.4" customHeight="1" x14ac:dyDescent="0.3">
      <c r="A12" s="294" t="s">
        <v>328</v>
      </c>
      <c r="B12" s="295" t="s">
        <v>329</v>
      </c>
      <c r="C12" s="295" t="s">
        <v>342</v>
      </c>
      <c r="D12" s="295" t="s">
        <v>343</v>
      </c>
      <c r="E12" s="298">
        <v>354</v>
      </c>
      <c r="F12" s="298">
        <v>185496</v>
      </c>
      <c r="G12" s="295">
        <v>1</v>
      </c>
      <c r="H12" s="295">
        <v>524</v>
      </c>
      <c r="I12" s="298">
        <v>643</v>
      </c>
      <c r="J12" s="298">
        <v>338218</v>
      </c>
      <c r="K12" s="295">
        <v>1.823316944839781</v>
      </c>
      <c r="L12" s="295">
        <v>526</v>
      </c>
      <c r="M12" s="298">
        <v>600</v>
      </c>
      <c r="N12" s="298">
        <v>322800</v>
      </c>
      <c r="O12" s="325">
        <v>1.7401992495795058</v>
      </c>
      <c r="P12" s="299">
        <v>538</v>
      </c>
    </row>
    <row r="13" spans="1:16" ht="14.4" customHeight="1" x14ac:dyDescent="0.3">
      <c r="A13" s="294" t="s">
        <v>328</v>
      </c>
      <c r="B13" s="295" t="s">
        <v>329</v>
      </c>
      <c r="C13" s="295" t="s">
        <v>344</v>
      </c>
      <c r="D13" s="295" t="s">
        <v>345</v>
      </c>
      <c r="E13" s="298">
        <v>70</v>
      </c>
      <c r="F13" s="298">
        <v>37100</v>
      </c>
      <c r="G13" s="295">
        <v>1</v>
      </c>
      <c r="H13" s="295">
        <v>530</v>
      </c>
      <c r="I13" s="298">
        <v>48</v>
      </c>
      <c r="J13" s="298">
        <v>25536</v>
      </c>
      <c r="K13" s="295">
        <v>0.68830188679245285</v>
      </c>
      <c r="L13" s="295">
        <v>532</v>
      </c>
      <c r="M13" s="298">
        <v>186</v>
      </c>
      <c r="N13" s="298">
        <v>100254</v>
      </c>
      <c r="O13" s="325">
        <v>2.7022641509433964</v>
      </c>
      <c r="P13" s="299">
        <v>539</v>
      </c>
    </row>
    <row r="14" spans="1:16" ht="14.4" customHeight="1" x14ac:dyDescent="0.3">
      <c r="A14" s="294" t="s">
        <v>328</v>
      </c>
      <c r="B14" s="295" t="s">
        <v>329</v>
      </c>
      <c r="C14" s="295" t="s">
        <v>346</v>
      </c>
      <c r="D14" s="295" t="s">
        <v>347</v>
      </c>
      <c r="E14" s="298">
        <v>650</v>
      </c>
      <c r="F14" s="298">
        <v>344500</v>
      </c>
      <c r="G14" s="295">
        <v>1</v>
      </c>
      <c r="H14" s="295">
        <v>530</v>
      </c>
      <c r="I14" s="298">
        <v>783</v>
      </c>
      <c r="J14" s="298">
        <v>416556</v>
      </c>
      <c r="K14" s="295">
        <v>1.2091611030478955</v>
      </c>
      <c r="L14" s="295">
        <v>532</v>
      </c>
      <c r="M14" s="298">
        <v>768</v>
      </c>
      <c r="N14" s="298">
        <v>413952</v>
      </c>
      <c r="O14" s="325">
        <v>1.2016023222060959</v>
      </c>
      <c r="P14" s="299">
        <v>539</v>
      </c>
    </row>
    <row r="15" spans="1:16" ht="14.4" customHeight="1" x14ac:dyDescent="0.3">
      <c r="A15" s="294" t="s">
        <v>328</v>
      </c>
      <c r="B15" s="295" t="s">
        <v>329</v>
      </c>
      <c r="C15" s="295" t="s">
        <v>348</v>
      </c>
      <c r="D15" s="295" t="s">
        <v>349</v>
      </c>
      <c r="E15" s="298">
        <v>2</v>
      </c>
      <c r="F15" s="298">
        <v>528</v>
      </c>
      <c r="G15" s="295">
        <v>1</v>
      </c>
      <c r="H15" s="295">
        <v>264</v>
      </c>
      <c r="I15" s="298">
        <v>18</v>
      </c>
      <c r="J15" s="298">
        <v>4788</v>
      </c>
      <c r="K15" s="295">
        <v>9.0681818181818183</v>
      </c>
      <c r="L15" s="295">
        <v>266</v>
      </c>
      <c r="M15" s="298">
        <v>21</v>
      </c>
      <c r="N15" s="298">
        <v>5649</v>
      </c>
      <c r="O15" s="325">
        <v>10.698863636363637</v>
      </c>
      <c r="P15" s="299">
        <v>269</v>
      </c>
    </row>
    <row r="16" spans="1:16" ht="14.4" customHeight="1" x14ac:dyDescent="0.3">
      <c r="A16" s="294" t="s">
        <v>328</v>
      </c>
      <c r="B16" s="295" t="s">
        <v>329</v>
      </c>
      <c r="C16" s="295" t="s">
        <v>350</v>
      </c>
      <c r="D16" s="295" t="s">
        <v>351</v>
      </c>
      <c r="E16" s="298">
        <v>456</v>
      </c>
      <c r="F16" s="298">
        <v>144096</v>
      </c>
      <c r="G16" s="295">
        <v>1</v>
      </c>
      <c r="H16" s="295">
        <v>316</v>
      </c>
      <c r="I16" s="298">
        <v>531</v>
      </c>
      <c r="J16" s="298">
        <v>168858</v>
      </c>
      <c r="K16" s="295">
        <v>1.1718437708194538</v>
      </c>
      <c r="L16" s="295">
        <v>318</v>
      </c>
      <c r="M16" s="298">
        <v>432</v>
      </c>
      <c r="N16" s="298">
        <v>137808</v>
      </c>
      <c r="O16" s="325">
        <v>0.95636242504996671</v>
      </c>
      <c r="P16" s="299">
        <v>319</v>
      </c>
    </row>
    <row r="17" spans="1:16" ht="14.4" customHeight="1" x14ac:dyDescent="0.3">
      <c r="A17" s="294" t="s">
        <v>328</v>
      </c>
      <c r="B17" s="295" t="s">
        <v>329</v>
      </c>
      <c r="C17" s="295" t="s">
        <v>352</v>
      </c>
      <c r="D17" s="295" t="s">
        <v>353</v>
      </c>
      <c r="E17" s="298">
        <v>275</v>
      </c>
      <c r="F17" s="298">
        <v>0</v>
      </c>
      <c r="G17" s="295"/>
      <c r="H17" s="295">
        <v>0</v>
      </c>
      <c r="I17" s="298">
        <v>359</v>
      </c>
      <c r="J17" s="298">
        <v>0</v>
      </c>
      <c r="K17" s="295"/>
      <c r="L17" s="295">
        <v>0</v>
      </c>
      <c r="M17" s="298">
        <v>390</v>
      </c>
      <c r="N17" s="298">
        <v>0</v>
      </c>
      <c r="O17" s="325"/>
      <c r="P17" s="299">
        <v>0</v>
      </c>
    </row>
    <row r="18" spans="1:16" ht="14.4" customHeight="1" thickBot="1" x14ac:dyDescent="0.35">
      <c r="A18" s="300" t="s">
        <v>328</v>
      </c>
      <c r="B18" s="301" t="s">
        <v>329</v>
      </c>
      <c r="C18" s="301" t="s">
        <v>354</v>
      </c>
      <c r="D18" s="301" t="s">
        <v>355</v>
      </c>
      <c r="E18" s="304"/>
      <c r="F18" s="304"/>
      <c r="G18" s="301"/>
      <c r="H18" s="301"/>
      <c r="I18" s="304">
        <v>4</v>
      </c>
      <c r="J18" s="304">
        <v>0</v>
      </c>
      <c r="K18" s="301"/>
      <c r="L18" s="301">
        <v>0</v>
      </c>
      <c r="M18" s="304">
        <v>3</v>
      </c>
      <c r="N18" s="304">
        <v>0</v>
      </c>
      <c r="O18" s="326"/>
      <c r="P18" s="305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2" customWidth="1"/>
    <col min="3" max="3" width="0.109375" style="60" hidden="1" customWidth="1"/>
    <col min="4" max="4" width="7.77734375" style="132" customWidth="1"/>
    <col min="5" max="5" width="5.44140625" style="60" hidden="1" customWidth="1"/>
    <col min="6" max="6" width="7.77734375" style="132" customWidth="1"/>
    <col min="7" max="7" width="7.77734375" style="81" customWidth="1"/>
    <col min="8" max="8" width="7.77734375" style="132" customWidth="1"/>
    <col min="9" max="9" width="5.44140625" style="60" hidden="1" customWidth="1"/>
    <col min="10" max="10" width="7.77734375" style="132" customWidth="1"/>
    <col min="11" max="11" width="5.44140625" style="60" hidden="1" customWidth="1"/>
    <col min="12" max="12" width="7.77734375" style="132" customWidth="1"/>
    <col min="13" max="13" width="7.77734375" style="81" customWidth="1"/>
    <col min="14" max="14" width="7.77734375" style="132" customWidth="1"/>
    <col min="15" max="15" width="5" style="60" hidden="1" customWidth="1"/>
    <col min="16" max="16" width="7.77734375" style="132" customWidth="1"/>
    <col min="17" max="17" width="5" style="60" hidden="1" customWidth="1"/>
    <col min="18" max="18" width="7.77734375" style="132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11" t="s">
        <v>132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4.4" customHeight="1" thickBot="1" x14ac:dyDescent="0.35">
      <c r="A2" s="250" t="s">
        <v>150</v>
      </c>
      <c r="B2" s="123"/>
      <c r="C2" s="88"/>
      <c r="D2" s="123"/>
      <c r="E2" s="88"/>
      <c r="F2" s="123"/>
      <c r="G2" s="113"/>
      <c r="H2" s="123"/>
      <c r="I2" s="88"/>
      <c r="J2" s="123"/>
      <c r="K2" s="88"/>
      <c r="L2" s="123"/>
      <c r="M2" s="113"/>
      <c r="N2" s="123"/>
      <c r="O2" s="88"/>
      <c r="P2" s="123"/>
      <c r="Q2" s="88"/>
      <c r="R2" s="123"/>
      <c r="S2" s="113"/>
    </row>
    <row r="3" spans="1:19" ht="14.4" customHeight="1" thickBot="1" x14ac:dyDescent="0.35">
      <c r="A3" s="189" t="s">
        <v>134</v>
      </c>
      <c r="B3" s="190">
        <f>SUBTOTAL(9,B6:B1048576)</f>
        <v>4464466</v>
      </c>
      <c r="C3" s="191">
        <f t="shared" ref="C3:R3" si="0">SUBTOTAL(9,C6:C1048576)</f>
        <v>22</v>
      </c>
      <c r="D3" s="191">
        <f t="shared" si="0"/>
        <v>3199548</v>
      </c>
      <c r="E3" s="191">
        <f t="shared" si="0"/>
        <v>18.829297058960378</v>
      </c>
      <c r="F3" s="191">
        <f t="shared" si="0"/>
        <v>3238597</v>
      </c>
      <c r="G3" s="192">
        <f>IF(B3&lt;&gt;0,F3/B3,"")</f>
        <v>0.72541643278277845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3" t="str">
        <f>IF(H3&lt;&gt;0,L3/H3,"")</f>
        <v/>
      </c>
      <c r="N3" s="194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3" t="str">
        <f>IF(N3&lt;&gt;0,R3/N3,"")</f>
        <v/>
      </c>
    </row>
    <row r="4" spans="1:19" ht="14.4" customHeight="1" x14ac:dyDescent="0.3">
      <c r="A4" s="235" t="s">
        <v>114</v>
      </c>
      <c r="B4" s="236" t="s">
        <v>106</v>
      </c>
      <c r="C4" s="237"/>
      <c r="D4" s="237"/>
      <c r="E4" s="237"/>
      <c r="F4" s="237"/>
      <c r="G4" s="238"/>
      <c r="H4" s="236" t="s">
        <v>107</v>
      </c>
      <c r="I4" s="237"/>
      <c r="J4" s="237"/>
      <c r="K4" s="237"/>
      <c r="L4" s="237"/>
      <c r="M4" s="238"/>
      <c r="N4" s="236" t="s">
        <v>108</v>
      </c>
      <c r="O4" s="237"/>
      <c r="P4" s="237"/>
      <c r="Q4" s="237"/>
      <c r="R4" s="237"/>
      <c r="S4" s="238"/>
    </row>
    <row r="5" spans="1:19" ht="14.4" customHeight="1" thickBot="1" x14ac:dyDescent="0.35">
      <c r="A5" s="306"/>
      <c r="B5" s="307">
        <v>2011</v>
      </c>
      <c r="C5" s="308"/>
      <c r="D5" s="308">
        <v>2012</v>
      </c>
      <c r="E5" s="308"/>
      <c r="F5" s="308">
        <v>2013</v>
      </c>
      <c r="G5" s="309" t="s">
        <v>5</v>
      </c>
      <c r="H5" s="307">
        <v>2011</v>
      </c>
      <c r="I5" s="308"/>
      <c r="J5" s="308">
        <v>2012</v>
      </c>
      <c r="K5" s="308"/>
      <c r="L5" s="308">
        <v>2013</v>
      </c>
      <c r="M5" s="309" t="s">
        <v>5</v>
      </c>
      <c r="N5" s="307">
        <v>2011</v>
      </c>
      <c r="O5" s="308"/>
      <c r="P5" s="308">
        <v>2012</v>
      </c>
      <c r="Q5" s="308"/>
      <c r="R5" s="308">
        <v>2013</v>
      </c>
      <c r="S5" s="309" t="s">
        <v>5</v>
      </c>
    </row>
    <row r="6" spans="1:19" ht="14.4" customHeight="1" x14ac:dyDescent="0.3">
      <c r="A6" s="333" t="s">
        <v>356</v>
      </c>
      <c r="B6" s="327"/>
      <c r="C6" s="289"/>
      <c r="D6" s="327">
        <v>22568</v>
      </c>
      <c r="E6" s="289"/>
      <c r="F6" s="327">
        <v>49364</v>
      </c>
      <c r="G6" s="324"/>
      <c r="H6" s="327"/>
      <c r="I6" s="289"/>
      <c r="J6" s="327"/>
      <c r="K6" s="289"/>
      <c r="L6" s="327"/>
      <c r="M6" s="324"/>
      <c r="N6" s="327"/>
      <c r="O6" s="289"/>
      <c r="P6" s="327"/>
      <c r="Q6" s="289"/>
      <c r="R6" s="327"/>
      <c r="S6" s="328"/>
    </row>
    <row r="7" spans="1:19" ht="14.4" customHeight="1" x14ac:dyDescent="0.3">
      <c r="A7" s="334" t="s">
        <v>357</v>
      </c>
      <c r="B7" s="329">
        <v>12208</v>
      </c>
      <c r="C7" s="295">
        <v>1</v>
      </c>
      <c r="D7" s="329">
        <v>31800</v>
      </c>
      <c r="E7" s="295">
        <v>2.6048492791612059</v>
      </c>
      <c r="F7" s="329">
        <v>25520</v>
      </c>
      <c r="G7" s="325">
        <v>2.0904325032765398</v>
      </c>
      <c r="H7" s="329"/>
      <c r="I7" s="295"/>
      <c r="J7" s="329"/>
      <c r="K7" s="295"/>
      <c r="L7" s="329"/>
      <c r="M7" s="325"/>
      <c r="N7" s="329"/>
      <c r="O7" s="295"/>
      <c r="P7" s="329"/>
      <c r="Q7" s="295"/>
      <c r="R7" s="329"/>
      <c r="S7" s="330"/>
    </row>
    <row r="8" spans="1:19" ht="14.4" customHeight="1" x14ac:dyDescent="0.3">
      <c r="A8" s="334" t="s">
        <v>358</v>
      </c>
      <c r="B8" s="329">
        <v>82756</v>
      </c>
      <c r="C8" s="295">
        <v>1</v>
      </c>
      <c r="D8" s="329">
        <v>83294</v>
      </c>
      <c r="E8" s="295">
        <v>1.0065010391995746</v>
      </c>
      <c r="F8" s="329">
        <v>68094</v>
      </c>
      <c r="G8" s="325">
        <v>0.82282855623761419</v>
      </c>
      <c r="H8" s="329"/>
      <c r="I8" s="295"/>
      <c r="J8" s="329"/>
      <c r="K8" s="295"/>
      <c r="L8" s="329"/>
      <c r="M8" s="325"/>
      <c r="N8" s="329"/>
      <c r="O8" s="295"/>
      <c r="P8" s="329"/>
      <c r="Q8" s="295"/>
      <c r="R8" s="329"/>
      <c r="S8" s="330"/>
    </row>
    <row r="9" spans="1:19" ht="14.4" customHeight="1" x14ac:dyDescent="0.3">
      <c r="A9" s="334" t="s">
        <v>359</v>
      </c>
      <c r="B9" s="329">
        <v>42976</v>
      </c>
      <c r="C9" s="295">
        <v>1</v>
      </c>
      <c r="D9" s="329">
        <v>30210</v>
      </c>
      <c r="E9" s="295">
        <v>0.70295048399106475</v>
      </c>
      <c r="F9" s="329">
        <v>58334</v>
      </c>
      <c r="G9" s="325">
        <v>1.3573622486969472</v>
      </c>
      <c r="H9" s="329"/>
      <c r="I9" s="295"/>
      <c r="J9" s="329"/>
      <c r="K9" s="295"/>
      <c r="L9" s="329"/>
      <c r="M9" s="325"/>
      <c r="N9" s="329"/>
      <c r="O9" s="295"/>
      <c r="P9" s="329"/>
      <c r="Q9" s="295"/>
      <c r="R9" s="329"/>
      <c r="S9" s="330"/>
    </row>
    <row r="10" spans="1:19" ht="14.4" customHeight="1" x14ac:dyDescent="0.3">
      <c r="A10" s="334" t="s">
        <v>360</v>
      </c>
      <c r="B10" s="329">
        <v>10744</v>
      </c>
      <c r="C10" s="295">
        <v>1</v>
      </c>
      <c r="D10" s="329">
        <v>1272</v>
      </c>
      <c r="E10" s="295">
        <v>0.11839166046165302</v>
      </c>
      <c r="F10" s="329">
        <v>7656</v>
      </c>
      <c r="G10" s="325">
        <v>0.71258376768428888</v>
      </c>
      <c r="H10" s="329"/>
      <c r="I10" s="295"/>
      <c r="J10" s="329"/>
      <c r="K10" s="295"/>
      <c r="L10" s="329"/>
      <c r="M10" s="325"/>
      <c r="N10" s="329"/>
      <c r="O10" s="295"/>
      <c r="P10" s="329"/>
      <c r="Q10" s="295"/>
      <c r="R10" s="329"/>
      <c r="S10" s="330"/>
    </row>
    <row r="11" spans="1:19" ht="14.4" customHeight="1" x14ac:dyDescent="0.3">
      <c r="A11" s="334" t="s">
        <v>361</v>
      </c>
      <c r="B11" s="329">
        <v>3792</v>
      </c>
      <c r="C11" s="295">
        <v>1</v>
      </c>
      <c r="D11" s="329">
        <v>9040</v>
      </c>
      <c r="E11" s="295">
        <v>2.3839662447257384</v>
      </c>
      <c r="F11" s="329"/>
      <c r="G11" s="325"/>
      <c r="H11" s="329"/>
      <c r="I11" s="295"/>
      <c r="J11" s="329"/>
      <c r="K11" s="295"/>
      <c r="L11" s="329"/>
      <c r="M11" s="325"/>
      <c r="N11" s="329"/>
      <c r="O11" s="295"/>
      <c r="P11" s="329"/>
      <c r="Q11" s="295"/>
      <c r="R11" s="329"/>
      <c r="S11" s="330"/>
    </row>
    <row r="12" spans="1:19" ht="14.4" customHeight="1" x14ac:dyDescent="0.3">
      <c r="A12" s="334" t="s">
        <v>362</v>
      </c>
      <c r="B12" s="329">
        <v>2528</v>
      </c>
      <c r="C12" s="295">
        <v>1</v>
      </c>
      <c r="D12" s="329">
        <v>6360</v>
      </c>
      <c r="E12" s="295">
        <v>2.5158227848101267</v>
      </c>
      <c r="F12" s="329">
        <v>1276</v>
      </c>
      <c r="G12" s="325">
        <v>0.504746835443038</v>
      </c>
      <c r="H12" s="329"/>
      <c r="I12" s="295"/>
      <c r="J12" s="329"/>
      <c r="K12" s="295"/>
      <c r="L12" s="329"/>
      <c r="M12" s="325"/>
      <c r="N12" s="329"/>
      <c r="O12" s="295"/>
      <c r="P12" s="329"/>
      <c r="Q12" s="295"/>
      <c r="R12" s="329"/>
      <c r="S12" s="330"/>
    </row>
    <row r="13" spans="1:19" ht="14.4" customHeight="1" x14ac:dyDescent="0.3">
      <c r="A13" s="334" t="s">
        <v>363</v>
      </c>
      <c r="B13" s="329">
        <v>537752</v>
      </c>
      <c r="C13" s="295">
        <v>1</v>
      </c>
      <c r="D13" s="329">
        <v>452282</v>
      </c>
      <c r="E13" s="295">
        <v>0.84106056323360956</v>
      </c>
      <c r="F13" s="329">
        <v>458179</v>
      </c>
      <c r="G13" s="325">
        <v>0.85202658474538451</v>
      </c>
      <c r="H13" s="329"/>
      <c r="I13" s="295"/>
      <c r="J13" s="329"/>
      <c r="K13" s="295"/>
      <c r="L13" s="329"/>
      <c r="M13" s="325"/>
      <c r="N13" s="329"/>
      <c r="O13" s="295"/>
      <c r="P13" s="329"/>
      <c r="Q13" s="295"/>
      <c r="R13" s="329"/>
      <c r="S13" s="330"/>
    </row>
    <row r="14" spans="1:19" ht="14.4" customHeight="1" x14ac:dyDescent="0.3">
      <c r="A14" s="334" t="s">
        <v>364</v>
      </c>
      <c r="B14" s="329"/>
      <c r="C14" s="295"/>
      <c r="D14" s="329">
        <v>2544</v>
      </c>
      <c r="E14" s="295"/>
      <c r="F14" s="329">
        <v>2552</v>
      </c>
      <c r="G14" s="325"/>
      <c r="H14" s="329"/>
      <c r="I14" s="295"/>
      <c r="J14" s="329"/>
      <c r="K14" s="295"/>
      <c r="L14" s="329"/>
      <c r="M14" s="325"/>
      <c r="N14" s="329"/>
      <c r="O14" s="295"/>
      <c r="P14" s="329"/>
      <c r="Q14" s="295"/>
      <c r="R14" s="329"/>
      <c r="S14" s="330"/>
    </row>
    <row r="15" spans="1:19" ht="14.4" customHeight="1" x14ac:dyDescent="0.3">
      <c r="A15" s="334" t="s">
        <v>365</v>
      </c>
      <c r="B15" s="329">
        <v>830886</v>
      </c>
      <c r="C15" s="295">
        <v>1</v>
      </c>
      <c r="D15" s="329">
        <v>566488</v>
      </c>
      <c r="E15" s="295">
        <v>0.68178787463021406</v>
      </c>
      <c r="F15" s="329">
        <v>474810</v>
      </c>
      <c r="G15" s="325">
        <v>0.57145023505029569</v>
      </c>
      <c r="H15" s="329"/>
      <c r="I15" s="295"/>
      <c r="J15" s="329"/>
      <c r="K15" s="295"/>
      <c r="L15" s="329"/>
      <c r="M15" s="325"/>
      <c r="N15" s="329"/>
      <c r="O15" s="295"/>
      <c r="P15" s="329"/>
      <c r="Q15" s="295"/>
      <c r="R15" s="329"/>
      <c r="S15" s="330"/>
    </row>
    <row r="16" spans="1:19" ht="14.4" customHeight="1" x14ac:dyDescent="0.3">
      <c r="A16" s="334" t="s">
        <v>366</v>
      </c>
      <c r="B16" s="329"/>
      <c r="C16" s="295"/>
      <c r="D16" s="329"/>
      <c r="E16" s="295"/>
      <c r="F16" s="329">
        <v>1276</v>
      </c>
      <c r="G16" s="325"/>
      <c r="H16" s="329"/>
      <c r="I16" s="295"/>
      <c r="J16" s="329"/>
      <c r="K16" s="295"/>
      <c r="L16" s="329"/>
      <c r="M16" s="325"/>
      <c r="N16" s="329"/>
      <c r="O16" s="295"/>
      <c r="P16" s="329"/>
      <c r="Q16" s="295"/>
      <c r="R16" s="329"/>
      <c r="S16" s="330"/>
    </row>
    <row r="17" spans="1:19" ht="14.4" customHeight="1" x14ac:dyDescent="0.3">
      <c r="A17" s="334" t="s">
        <v>367</v>
      </c>
      <c r="B17" s="329"/>
      <c r="C17" s="295"/>
      <c r="D17" s="329"/>
      <c r="E17" s="295"/>
      <c r="F17" s="329">
        <v>14274</v>
      </c>
      <c r="G17" s="325"/>
      <c r="H17" s="329"/>
      <c r="I17" s="295"/>
      <c r="J17" s="329"/>
      <c r="K17" s="295"/>
      <c r="L17" s="329"/>
      <c r="M17" s="325"/>
      <c r="N17" s="329"/>
      <c r="O17" s="295"/>
      <c r="P17" s="329"/>
      <c r="Q17" s="295"/>
      <c r="R17" s="329"/>
      <c r="S17" s="330"/>
    </row>
    <row r="18" spans="1:19" ht="14.4" customHeight="1" x14ac:dyDescent="0.3">
      <c r="A18" s="334" t="s">
        <v>368</v>
      </c>
      <c r="B18" s="329">
        <v>10112</v>
      </c>
      <c r="C18" s="295">
        <v>1</v>
      </c>
      <c r="D18" s="329">
        <v>5088</v>
      </c>
      <c r="E18" s="295">
        <v>0.50316455696202533</v>
      </c>
      <c r="F18" s="329">
        <v>9570</v>
      </c>
      <c r="G18" s="325">
        <v>0.94640031645569622</v>
      </c>
      <c r="H18" s="329"/>
      <c r="I18" s="295"/>
      <c r="J18" s="329"/>
      <c r="K18" s="295"/>
      <c r="L18" s="329"/>
      <c r="M18" s="325"/>
      <c r="N18" s="329"/>
      <c r="O18" s="295"/>
      <c r="P18" s="329"/>
      <c r="Q18" s="295"/>
      <c r="R18" s="329"/>
      <c r="S18" s="330"/>
    </row>
    <row r="19" spans="1:19" ht="14.4" customHeight="1" x14ac:dyDescent="0.3">
      <c r="A19" s="334" t="s">
        <v>369</v>
      </c>
      <c r="B19" s="329">
        <v>1061940</v>
      </c>
      <c r="C19" s="295">
        <v>1</v>
      </c>
      <c r="D19" s="329">
        <v>623638</v>
      </c>
      <c r="E19" s="295">
        <v>0.58726293387573691</v>
      </c>
      <c r="F19" s="329">
        <v>872859</v>
      </c>
      <c r="G19" s="325">
        <v>0.82194756765918975</v>
      </c>
      <c r="H19" s="329"/>
      <c r="I19" s="295"/>
      <c r="J19" s="329"/>
      <c r="K19" s="295"/>
      <c r="L19" s="329"/>
      <c r="M19" s="325"/>
      <c r="N19" s="329"/>
      <c r="O19" s="295"/>
      <c r="P19" s="329"/>
      <c r="Q19" s="295"/>
      <c r="R19" s="329"/>
      <c r="S19" s="330"/>
    </row>
    <row r="20" spans="1:19" ht="14.4" customHeight="1" x14ac:dyDescent="0.3">
      <c r="A20" s="334" t="s">
        <v>370</v>
      </c>
      <c r="B20" s="329">
        <v>648324</v>
      </c>
      <c r="C20" s="295">
        <v>1</v>
      </c>
      <c r="D20" s="329">
        <v>482328</v>
      </c>
      <c r="E20" s="295">
        <v>0.7439613526570048</v>
      </c>
      <c r="F20" s="329">
        <v>445879</v>
      </c>
      <c r="G20" s="325">
        <v>0.68774100604018973</v>
      </c>
      <c r="H20" s="329"/>
      <c r="I20" s="295"/>
      <c r="J20" s="329"/>
      <c r="K20" s="295"/>
      <c r="L20" s="329"/>
      <c r="M20" s="325"/>
      <c r="N20" s="329"/>
      <c r="O20" s="295"/>
      <c r="P20" s="329"/>
      <c r="Q20" s="295"/>
      <c r="R20" s="329"/>
      <c r="S20" s="330"/>
    </row>
    <row r="21" spans="1:19" ht="14.4" customHeight="1" x14ac:dyDescent="0.3">
      <c r="A21" s="334" t="s">
        <v>371</v>
      </c>
      <c r="B21" s="329">
        <v>114272</v>
      </c>
      <c r="C21" s="295">
        <v>1</v>
      </c>
      <c r="D21" s="329">
        <v>52156</v>
      </c>
      <c r="E21" s="295">
        <v>0.45641977037244469</v>
      </c>
      <c r="F21" s="329">
        <v>7532</v>
      </c>
      <c r="G21" s="325">
        <v>6.5912909549145901E-2</v>
      </c>
      <c r="H21" s="329"/>
      <c r="I21" s="295"/>
      <c r="J21" s="329"/>
      <c r="K21" s="295"/>
      <c r="L21" s="329"/>
      <c r="M21" s="325"/>
      <c r="N21" s="329"/>
      <c r="O21" s="295"/>
      <c r="P21" s="329"/>
      <c r="Q21" s="295"/>
      <c r="R21" s="329"/>
      <c r="S21" s="330"/>
    </row>
    <row r="22" spans="1:19" ht="14.4" customHeight="1" x14ac:dyDescent="0.3">
      <c r="A22" s="334" t="s">
        <v>372</v>
      </c>
      <c r="B22" s="329">
        <v>7088</v>
      </c>
      <c r="C22" s="295">
        <v>1</v>
      </c>
      <c r="D22" s="329"/>
      <c r="E22" s="295"/>
      <c r="F22" s="329">
        <v>7056</v>
      </c>
      <c r="G22" s="325">
        <v>0.99548532731376971</v>
      </c>
      <c r="H22" s="329"/>
      <c r="I22" s="295"/>
      <c r="J22" s="329"/>
      <c r="K22" s="295"/>
      <c r="L22" s="329"/>
      <c r="M22" s="325"/>
      <c r="N22" s="329"/>
      <c r="O22" s="295"/>
      <c r="P22" s="329"/>
      <c r="Q22" s="295"/>
      <c r="R22" s="329"/>
      <c r="S22" s="330"/>
    </row>
    <row r="23" spans="1:19" ht="14.4" customHeight="1" x14ac:dyDescent="0.3">
      <c r="A23" s="334" t="s">
        <v>373</v>
      </c>
      <c r="B23" s="329">
        <v>279760</v>
      </c>
      <c r="C23" s="295">
        <v>1</v>
      </c>
      <c r="D23" s="329">
        <v>251538</v>
      </c>
      <c r="E23" s="295">
        <v>0.89912067486416924</v>
      </c>
      <c r="F23" s="329">
        <v>193871</v>
      </c>
      <c r="G23" s="325">
        <v>0.69299042036030889</v>
      </c>
      <c r="H23" s="329"/>
      <c r="I23" s="295"/>
      <c r="J23" s="329"/>
      <c r="K23" s="295"/>
      <c r="L23" s="329"/>
      <c r="M23" s="325"/>
      <c r="N23" s="329"/>
      <c r="O23" s="295"/>
      <c r="P23" s="329"/>
      <c r="Q23" s="295"/>
      <c r="R23" s="329"/>
      <c r="S23" s="330"/>
    </row>
    <row r="24" spans="1:19" ht="14.4" customHeight="1" x14ac:dyDescent="0.3">
      <c r="A24" s="334" t="s">
        <v>374</v>
      </c>
      <c r="B24" s="329">
        <v>13904</v>
      </c>
      <c r="C24" s="295">
        <v>1</v>
      </c>
      <c r="D24" s="329"/>
      <c r="E24" s="295"/>
      <c r="F24" s="329">
        <v>1276</v>
      </c>
      <c r="G24" s="325">
        <v>9.1772151898734181E-2</v>
      </c>
      <c r="H24" s="329"/>
      <c r="I24" s="295"/>
      <c r="J24" s="329"/>
      <c r="K24" s="295"/>
      <c r="L24" s="329"/>
      <c r="M24" s="325"/>
      <c r="N24" s="329"/>
      <c r="O24" s="295"/>
      <c r="P24" s="329"/>
      <c r="Q24" s="295"/>
      <c r="R24" s="329"/>
      <c r="S24" s="330"/>
    </row>
    <row r="25" spans="1:19" ht="14.4" customHeight="1" x14ac:dyDescent="0.3">
      <c r="A25" s="334" t="s">
        <v>375</v>
      </c>
      <c r="B25" s="329">
        <v>239632</v>
      </c>
      <c r="C25" s="295">
        <v>1</v>
      </c>
      <c r="D25" s="329">
        <v>139404</v>
      </c>
      <c r="E25" s="295">
        <v>0.58174200440675705</v>
      </c>
      <c r="F25" s="329">
        <v>32614</v>
      </c>
      <c r="G25" s="325">
        <v>0.1361003538759431</v>
      </c>
      <c r="H25" s="329"/>
      <c r="I25" s="295"/>
      <c r="J25" s="329"/>
      <c r="K25" s="295"/>
      <c r="L25" s="329"/>
      <c r="M25" s="325"/>
      <c r="N25" s="329"/>
      <c r="O25" s="295"/>
      <c r="P25" s="329"/>
      <c r="Q25" s="295"/>
      <c r="R25" s="329"/>
      <c r="S25" s="330"/>
    </row>
    <row r="26" spans="1:19" ht="14.4" customHeight="1" x14ac:dyDescent="0.3">
      <c r="A26" s="334" t="s">
        <v>376</v>
      </c>
      <c r="B26" s="329">
        <v>32232</v>
      </c>
      <c r="C26" s="295">
        <v>1</v>
      </c>
      <c r="D26" s="329">
        <v>5088</v>
      </c>
      <c r="E26" s="295">
        <v>0.15785554728220402</v>
      </c>
      <c r="F26" s="329"/>
      <c r="G26" s="325"/>
      <c r="H26" s="329"/>
      <c r="I26" s="295"/>
      <c r="J26" s="329"/>
      <c r="K26" s="295"/>
      <c r="L26" s="329"/>
      <c r="M26" s="325"/>
      <c r="N26" s="329"/>
      <c r="O26" s="295"/>
      <c r="P26" s="329"/>
      <c r="Q26" s="295"/>
      <c r="R26" s="329"/>
      <c r="S26" s="330"/>
    </row>
    <row r="27" spans="1:19" ht="14.4" customHeight="1" x14ac:dyDescent="0.3">
      <c r="A27" s="334" t="s">
        <v>377</v>
      </c>
      <c r="B27" s="329">
        <v>18496</v>
      </c>
      <c r="C27" s="295">
        <v>1</v>
      </c>
      <c r="D27" s="329">
        <v>17234</v>
      </c>
      <c r="E27" s="295">
        <v>0.93176903114186849</v>
      </c>
      <c r="F27" s="329">
        <v>18516</v>
      </c>
      <c r="G27" s="325">
        <v>1.0010813148788926</v>
      </c>
      <c r="H27" s="329"/>
      <c r="I27" s="295"/>
      <c r="J27" s="329"/>
      <c r="K27" s="295"/>
      <c r="L27" s="329"/>
      <c r="M27" s="325"/>
      <c r="N27" s="329"/>
      <c r="O27" s="295"/>
      <c r="P27" s="329"/>
      <c r="Q27" s="295"/>
      <c r="R27" s="329"/>
      <c r="S27" s="330"/>
    </row>
    <row r="28" spans="1:19" ht="14.4" customHeight="1" x14ac:dyDescent="0.3">
      <c r="A28" s="334" t="s">
        <v>378</v>
      </c>
      <c r="B28" s="329">
        <v>96680</v>
      </c>
      <c r="C28" s="295">
        <v>1</v>
      </c>
      <c r="D28" s="329">
        <v>70278</v>
      </c>
      <c r="E28" s="295">
        <v>0.72691352916839058</v>
      </c>
      <c r="F28" s="329">
        <v>52016</v>
      </c>
      <c r="G28" s="325">
        <v>0.53802234174596608</v>
      </c>
      <c r="H28" s="329"/>
      <c r="I28" s="295"/>
      <c r="J28" s="329"/>
      <c r="K28" s="295"/>
      <c r="L28" s="329"/>
      <c r="M28" s="325"/>
      <c r="N28" s="329"/>
      <c r="O28" s="295"/>
      <c r="P28" s="329"/>
      <c r="Q28" s="295"/>
      <c r="R28" s="329"/>
      <c r="S28" s="330"/>
    </row>
    <row r="29" spans="1:19" ht="14.4" customHeight="1" x14ac:dyDescent="0.3">
      <c r="A29" s="334" t="s">
        <v>379</v>
      </c>
      <c r="B29" s="329">
        <v>383940</v>
      </c>
      <c r="C29" s="295">
        <v>1</v>
      </c>
      <c r="D29" s="329">
        <v>323406</v>
      </c>
      <c r="E29" s="295">
        <v>0.84233473980309426</v>
      </c>
      <c r="F29" s="329">
        <v>404173</v>
      </c>
      <c r="G29" s="325">
        <v>1.0526983382820232</v>
      </c>
      <c r="H29" s="329"/>
      <c r="I29" s="295"/>
      <c r="J29" s="329"/>
      <c r="K29" s="295"/>
      <c r="L29" s="329"/>
      <c r="M29" s="325"/>
      <c r="N29" s="329"/>
      <c r="O29" s="295"/>
      <c r="P29" s="329"/>
      <c r="Q29" s="295"/>
      <c r="R29" s="329"/>
      <c r="S29" s="330"/>
    </row>
    <row r="30" spans="1:19" ht="14.4" customHeight="1" x14ac:dyDescent="0.3">
      <c r="A30" s="334" t="s">
        <v>380</v>
      </c>
      <c r="B30" s="329">
        <v>21488</v>
      </c>
      <c r="C30" s="295">
        <v>1</v>
      </c>
      <c r="D30" s="329">
        <v>8904</v>
      </c>
      <c r="E30" s="295">
        <v>0.41437081161578554</v>
      </c>
      <c r="F30" s="329">
        <v>14036</v>
      </c>
      <c r="G30" s="325">
        <v>0.6532017870439315</v>
      </c>
      <c r="H30" s="329"/>
      <c r="I30" s="295"/>
      <c r="J30" s="329"/>
      <c r="K30" s="295"/>
      <c r="L30" s="329"/>
      <c r="M30" s="325"/>
      <c r="N30" s="329"/>
      <c r="O30" s="295"/>
      <c r="P30" s="329"/>
      <c r="Q30" s="295"/>
      <c r="R30" s="329"/>
      <c r="S30" s="330"/>
    </row>
    <row r="31" spans="1:19" ht="14.4" customHeight="1" thickBot="1" x14ac:dyDescent="0.35">
      <c r="A31" s="335" t="s">
        <v>381</v>
      </c>
      <c r="B31" s="331">
        <v>12956</v>
      </c>
      <c r="C31" s="301">
        <v>1</v>
      </c>
      <c r="D31" s="331">
        <v>14628</v>
      </c>
      <c r="E31" s="301">
        <v>1.1290521765977153</v>
      </c>
      <c r="F31" s="331">
        <v>17864</v>
      </c>
      <c r="G31" s="326">
        <v>1.3788206236492744</v>
      </c>
      <c r="H31" s="331"/>
      <c r="I31" s="301"/>
      <c r="J31" s="331"/>
      <c r="K31" s="301"/>
      <c r="L31" s="331"/>
      <c r="M31" s="326"/>
      <c r="N31" s="331"/>
      <c r="O31" s="301"/>
      <c r="P31" s="331"/>
      <c r="Q31" s="301"/>
      <c r="R31" s="331"/>
      <c r="S31" s="33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0" bestFit="1" customWidth="1"/>
    <col min="2" max="2" width="8.6640625" style="60" bestFit="1" customWidth="1"/>
    <col min="3" max="3" width="2.109375" style="60" bestFit="1" customWidth="1"/>
    <col min="4" max="4" width="8" style="60" bestFit="1" customWidth="1"/>
    <col min="5" max="5" width="52.88671875" style="60" bestFit="1" customWidth="1"/>
    <col min="6" max="7" width="11.109375" style="84" customWidth="1"/>
    <col min="8" max="9" width="9.33203125" style="84" hidden="1" customWidth="1"/>
    <col min="10" max="11" width="11.109375" style="84" customWidth="1"/>
    <col min="12" max="13" width="9.33203125" style="84" hidden="1" customWidth="1"/>
    <col min="14" max="15" width="11.109375" style="84" customWidth="1"/>
    <col min="16" max="16" width="11.109375" style="81" customWidth="1"/>
    <col min="17" max="17" width="11.109375" style="84" customWidth="1"/>
    <col min="18" max="16384" width="8.88671875" style="60"/>
  </cols>
  <sheetData>
    <row r="1" spans="1:17" ht="18.600000000000001" customHeight="1" thickBot="1" x14ac:dyDescent="0.4">
      <c r="A1" s="199" t="s">
        <v>133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17" ht="14.4" customHeight="1" thickBot="1" x14ac:dyDescent="0.4">
      <c r="A2" s="250" t="s">
        <v>150</v>
      </c>
      <c r="B2" s="85"/>
      <c r="C2" s="85"/>
      <c r="D2" s="85"/>
      <c r="E2" s="85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7"/>
      <c r="Q2" s="133"/>
    </row>
    <row r="3" spans="1:17" ht="14.4" customHeight="1" thickBot="1" x14ac:dyDescent="0.35">
      <c r="E3" s="96" t="s">
        <v>134</v>
      </c>
      <c r="F3" s="134">
        <f t="shared" ref="F3:O3" si="0">SUBTOTAL(9,F6:F1048576)</f>
        <v>13123</v>
      </c>
      <c r="G3" s="135">
        <f t="shared" si="0"/>
        <v>4464466</v>
      </c>
      <c r="H3" s="135"/>
      <c r="I3" s="135"/>
      <c r="J3" s="135">
        <f t="shared" si="0"/>
        <v>9246</v>
      </c>
      <c r="K3" s="135">
        <f t="shared" si="0"/>
        <v>3199548</v>
      </c>
      <c r="L3" s="135"/>
      <c r="M3" s="135"/>
      <c r="N3" s="135">
        <f t="shared" si="0"/>
        <v>9384</v>
      </c>
      <c r="O3" s="135">
        <f t="shared" si="0"/>
        <v>3238597</v>
      </c>
      <c r="P3" s="87">
        <f>IF(G3=0,0,O3/G3)</f>
        <v>0.72541643278277845</v>
      </c>
      <c r="Q3" s="136">
        <f>IF(N3=0,0,O3/N3)</f>
        <v>345.11903239556693</v>
      </c>
    </row>
    <row r="4" spans="1:17" ht="14.4" customHeight="1" x14ac:dyDescent="0.3">
      <c r="A4" s="241" t="s">
        <v>76</v>
      </c>
      <c r="B4" s="240" t="s">
        <v>101</v>
      </c>
      <c r="C4" s="241" t="s">
        <v>102</v>
      </c>
      <c r="D4" s="242" t="s">
        <v>103</v>
      </c>
      <c r="E4" s="243" t="s">
        <v>77</v>
      </c>
      <c r="F4" s="247">
        <v>2011</v>
      </c>
      <c r="G4" s="248"/>
      <c r="H4" s="138"/>
      <c r="I4" s="138"/>
      <c r="J4" s="247">
        <v>2012</v>
      </c>
      <c r="K4" s="248"/>
      <c r="L4" s="138"/>
      <c r="M4" s="138"/>
      <c r="N4" s="247">
        <v>2013</v>
      </c>
      <c r="O4" s="248"/>
      <c r="P4" s="249" t="s">
        <v>5</v>
      </c>
      <c r="Q4" s="239" t="s">
        <v>104</v>
      </c>
    </row>
    <row r="5" spans="1:17" ht="14.4" customHeight="1" thickBot="1" x14ac:dyDescent="0.35">
      <c r="A5" s="316"/>
      <c r="B5" s="315"/>
      <c r="C5" s="316"/>
      <c r="D5" s="317"/>
      <c r="E5" s="318"/>
      <c r="F5" s="336" t="s">
        <v>78</v>
      </c>
      <c r="G5" s="337" t="s">
        <v>17</v>
      </c>
      <c r="H5" s="338"/>
      <c r="I5" s="338"/>
      <c r="J5" s="336" t="s">
        <v>78</v>
      </c>
      <c r="K5" s="337" t="s">
        <v>17</v>
      </c>
      <c r="L5" s="338"/>
      <c r="M5" s="338"/>
      <c r="N5" s="336" t="s">
        <v>78</v>
      </c>
      <c r="O5" s="337" t="s">
        <v>17</v>
      </c>
      <c r="P5" s="339"/>
      <c r="Q5" s="323"/>
    </row>
    <row r="6" spans="1:17" ht="14.4" customHeight="1" x14ac:dyDescent="0.3">
      <c r="A6" s="288" t="s">
        <v>382</v>
      </c>
      <c r="B6" s="289" t="s">
        <v>328</v>
      </c>
      <c r="C6" s="289" t="s">
        <v>329</v>
      </c>
      <c r="D6" s="289" t="s">
        <v>332</v>
      </c>
      <c r="E6" s="289" t="s">
        <v>333</v>
      </c>
      <c r="F6" s="292"/>
      <c r="G6" s="292"/>
      <c r="H6" s="292"/>
      <c r="I6" s="292"/>
      <c r="J6" s="292">
        <v>2</v>
      </c>
      <c r="K6" s="292">
        <v>136</v>
      </c>
      <c r="L6" s="292"/>
      <c r="M6" s="292">
        <v>68</v>
      </c>
      <c r="N6" s="292"/>
      <c r="O6" s="292"/>
      <c r="P6" s="324"/>
      <c r="Q6" s="293"/>
    </row>
    <row r="7" spans="1:17" ht="14.4" customHeight="1" x14ac:dyDescent="0.3">
      <c r="A7" s="294" t="s">
        <v>382</v>
      </c>
      <c r="B7" s="295" t="s">
        <v>328</v>
      </c>
      <c r="C7" s="295" t="s">
        <v>329</v>
      </c>
      <c r="D7" s="295" t="s">
        <v>334</v>
      </c>
      <c r="E7" s="295" t="s">
        <v>335</v>
      </c>
      <c r="F7" s="298"/>
      <c r="G7" s="298"/>
      <c r="H7" s="298"/>
      <c r="I7" s="298"/>
      <c r="J7" s="298">
        <v>54</v>
      </c>
      <c r="K7" s="298">
        <v>17172</v>
      </c>
      <c r="L7" s="298"/>
      <c r="M7" s="298">
        <v>318</v>
      </c>
      <c r="N7" s="298">
        <v>148</v>
      </c>
      <c r="O7" s="298">
        <v>47212</v>
      </c>
      <c r="P7" s="325"/>
      <c r="Q7" s="299">
        <v>319</v>
      </c>
    </row>
    <row r="8" spans="1:17" ht="14.4" customHeight="1" x14ac:dyDescent="0.3">
      <c r="A8" s="294" t="s">
        <v>382</v>
      </c>
      <c r="B8" s="295" t="s">
        <v>328</v>
      </c>
      <c r="C8" s="295" t="s">
        <v>329</v>
      </c>
      <c r="D8" s="295" t="s">
        <v>342</v>
      </c>
      <c r="E8" s="295" t="s">
        <v>343</v>
      </c>
      <c r="F8" s="298"/>
      <c r="G8" s="298"/>
      <c r="H8" s="298"/>
      <c r="I8" s="298"/>
      <c r="J8" s="298">
        <v>10</v>
      </c>
      <c r="K8" s="298">
        <v>5260</v>
      </c>
      <c r="L8" s="298"/>
      <c r="M8" s="298">
        <v>526</v>
      </c>
      <c r="N8" s="298">
        <v>4</v>
      </c>
      <c r="O8" s="298">
        <v>2152</v>
      </c>
      <c r="P8" s="325"/>
      <c r="Q8" s="299">
        <v>538</v>
      </c>
    </row>
    <row r="9" spans="1:17" ht="14.4" customHeight="1" x14ac:dyDescent="0.3">
      <c r="A9" s="294" t="s">
        <v>383</v>
      </c>
      <c r="B9" s="295" t="s">
        <v>328</v>
      </c>
      <c r="C9" s="295" t="s">
        <v>329</v>
      </c>
      <c r="D9" s="295" t="s">
        <v>334</v>
      </c>
      <c r="E9" s="295" t="s">
        <v>335</v>
      </c>
      <c r="F9" s="298">
        <v>32</v>
      </c>
      <c r="G9" s="298">
        <v>10112</v>
      </c>
      <c r="H9" s="298">
        <v>1</v>
      </c>
      <c r="I9" s="298">
        <v>316</v>
      </c>
      <c r="J9" s="298">
        <v>100</v>
      </c>
      <c r="K9" s="298">
        <v>31800</v>
      </c>
      <c r="L9" s="298">
        <v>3.1447784810126582</v>
      </c>
      <c r="M9" s="298">
        <v>318</v>
      </c>
      <c r="N9" s="298">
        <v>80</v>
      </c>
      <c r="O9" s="298">
        <v>25520</v>
      </c>
      <c r="P9" s="325">
        <v>2.5237341772151898</v>
      </c>
      <c r="Q9" s="299">
        <v>319</v>
      </c>
    </row>
    <row r="10" spans="1:17" ht="14.4" customHeight="1" x14ac:dyDescent="0.3">
      <c r="A10" s="294" t="s">
        <v>383</v>
      </c>
      <c r="B10" s="295" t="s">
        <v>328</v>
      </c>
      <c r="C10" s="295" t="s">
        <v>329</v>
      </c>
      <c r="D10" s="295" t="s">
        <v>342</v>
      </c>
      <c r="E10" s="295" t="s">
        <v>343</v>
      </c>
      <c r="F10" s="298">
        <v>4</v>
      </c>
      <c r="G10" s="298">
        <v>2096</v>
      </c>
      <c r="H10" s="298">
        <v>1</v>
      </c>
      <c r="I10" s="298">
        <v>524</v>
      </c>
      <c r="J10" s="298"/>
      <c r="K10" s="298"/>
      <c r="L10" s="298"/>
      <c r="M10" s="298"/>
      <c r="N10" s="298"/>
      <c r="O10" s="298"/>
      <c r="P10" s="325"/>
      <c r="Q10" s="299"/>
    </row>
    <row r="11" spans="1:17" ht="14.4" customHeight="1" x14ac:dyDescent="0.3">
      <c r="A11" s="294" t="s">
        <v>384</v>
      </c>
      <c r="B11" s="295" t="s">
        <v>328</v>
      </c>
      <c r="C11" s="295" t="s">
        <v>329</v>
      </c>
      <c r="D11" s="295" t="s">
        <v>332</v>
      </c>
      <c r="E11" s="295" t="s">
        <v>333</v>
      </c>
      <c r="F11" s="298">
        <v>2</v>
      </c>
      <c r="G11" s="298">
        <v>136</v>
      </c>
      <c r="H11" s="298">
        <v>1</v>
      </c>
      <c r="I11" s="298">
        <v>68</v>
      </c>
      <c r="J11" s="298"/>
      <c r="K11" s="298"/>
      <c r="L11" s="298"/>
      <c r="M11" s="298"/>
      <c r="N11" s="298"/>
      <c r="O11" s="298"/>
      <c r="P11" s="325"/>
      <c r="Q11" s="299"/>
    </row>
    <row r="12" spans="1:17" ht="14.4" customHeight="1" x14ac:dyDescent="0.3">
      <c r="A12" s="294" t="s">
        <v>384</v>
      </c>
      <c r="B12" s="295" t="s">
        <v>328</v>
      </c>
      <c r="C12" s="295" t="s">
        <v>329</v>
      </c>
      <c r="D12" s="295" t="s">
        <v>334</v>
      </c>
      <c r="E12" s="295" t="s">
        <v>335</v>
      </c>
      <c r="F12" s="298">
        <v>196</v>
      </c>
      <c r="G12" s="298">
        <v>61936</v>
      </c>
      <c r="H12" s="298">
        <v>1</v>
      </c>
      <c r="I12" s="298">
        <v>316</v>
      </c>
      <c r="J12" s="298">
        <v>209</v>
      </c>
      <c r="K12" s="298">
        <v>66462</v>
      </c>
      <c r="L12" s="298">
        <v>1.0730754327047274</v>
      </c>
      <c r="M12" s="298">
        <v>318</v>
      </c>
      <c r="N12" s="298">
        <v>146</v>
      </c>
      <c r="O12" s="298">
        <v>46574</v>
      </c>
      <c r="P12" s="325">
        <v>0.75196977525187292</v>
      </c>
      <c r="Q12" s="299">
        <v>319</v>
      </c>
    </row>
    <row r="13" spans="1:17" ht="14.4" customHeight="1" x14ac:dyDescent="0.3">
      <c r="A13" s="294" t="s">
        <v>384</v>
      </c>
      <c r="B13" s="295" t="s">
        <v>328</v>
      </c>
      <c r="C13" s="295" t="s">
        <v>329</v>
      </c>
      <c r="D13" s="295" t="s">
        <v>342</v>
      </c>
      <c r="E13" s="295" t="s">
        <v>343</v>
      </c>
      <c r="F13" s="298">
        <v>25</v>
      </c>
      <c r="G13" s="298">
        <v>13100</v>
      </c>
      <c r="H13" s="298">
        <v>1</v>
      </c>
      <c r="I13" s="298">
        <v>524</v>
      </c>
      <c r="J13" s="298">
        <v>32</v>
      </c>
      <c r="K13" s="298">
        <v>16832</v>
      </c>
      <c r="L13" s="298">
        <v>1.2848854961832061</v>
      </c>
      <c r="M13" s="298">
        <v>526</v>
      </c>
      <c r="N13" s="298">
        <v>40</v>
      </c>
      <c r="O13" s="298">
        <v>21520</v>
      </c>
      <c r="P13" s="325">
        <v>1.6427480916030535</v>
      </c>
      <c r="Q13" s="299">
        <v>538</v>
      </c>
    </row>
    <row r="14" spans="1:17" ht="14.4" customHeight="1" x14ac:dyDescent="0.3">
      <c r="A14" s="294" t="s">
        <v>384</v>
      </c>
      <c r="B14" s="295" t="s">
        <v>328</v>
      </c>
      <c r="C14" s="295" t="s">
        <v>329</v>
      </c>
      <c r="D14" s="295" t="s">
        <v>350</v>
      </c>
      <c r="E14" s="295" t="s">
        <v>351</v>
      </c>
      <c r="F14" s="298">
        <v>24</v>
      </c>
      <c r="G14" s="298">
        <v>7584</v>
      </c>
      <c r="H14" s="298">
        <v>1</v>
      </c>
      <c r="I14" s="298">
        <v>316</v>
      </c>
      <c r="J14" s="298"/>
      <c r="K14" s="298"/>
      <c r="L14" s="298"/>
      <c r="M14" s="298"/>
      <c r="N14" s="298"/>
      <c r="O14" s="298"/>
      <c r="P14" s="325"/>
      <c r="Q14" s="299"/>
    </row>
    <row r="15" spans="1:17" ht="14.4" customHeight="1" x14ac:dyDescent="0.3">
      <c r="A15" s="294" t="s">
        <v>385</v>
      </c>
      <c r="B15" s="295" t="s">
        <v>328</v>
      </c>
      <c r="C15" s="295" t="s">
        <v>329</v>
      </c>
      <c r="D15" s="295" t="s">
        <v>332</v>
      </c>
      <c r="E15" s="295" t="s">
        <v>333</v>
      </c>
      <c r="F15" s="298"/>
      <c r="G15" s="298"/>
      <c r="H15" s="298"/>
      <c r="I15" s="298"/>
      <c r="J15" s="298"/>
      <c r="K15" s="298"/>
      <c r="L15" s="298"/>
      <c r="M15" s="298"/>
      <c r="N15" s="298">
        <v>4</v>
      </c>
      <c r="O15" s="298">
        <v>276</v>
      </c>
      <c r="P15" s="325"/>
      <c r="Q15" s="299">
        <v>69</v>
      </c>
    </row>
    <row r="16" spans="1:17" ht="14.4" customHeight="1" x14ac:dyDescent="0.3">
      <c r="A16" s="294" t="s">
        <v>385</v>
      </c>
      <c r="B16" s="295" t="s">
        <v>328</v>
      </c>
      <c r="C16" s="295" t="s">
        <v>329</v>
      </c>
      <c r="D16" s="295" t="s">
        <v>334</v>
      </c>
      <c r="E16" s="295" t="s">
        <v>335</v>
      </c>
      <c r="F16" s="298">
        <v>130</v>
      </c>
      <c r="G16" s="298">
        <v>41080</v>
      </c>
      <c r="H16" s="298">
        <v>1</v>
      </c>
      <c r="I16" s="298">
        <v>316</v>
      </c>
      <c r="J16" s="298">
        <v>95</v>
      </c>
      <c r="K16" s="298">
        <v>30210</v>
      </c>
      <c r="L16" s="298">
        <v>0.73539435248296003</v>
      </c>
      <c r="M16" s="298">
        <v>318</v>
      </c>
      <c r="N16" s="298">
        <v>182</v>
      </c>
      <c r="O16" s="298">
        <v>58058</v>
      </c>
      <c r="P16" s="325">
        <v>1.4132911392405063</v>
      </c>
      <c r="Q16" s="299">
        <v>319</v>
      </c>
    </row>
    <row r="17" spans="1:17" ht="14.4" customHeight="1" x14ac:dyDescent="0.3">
      <c r="A17" s="294" t="s">
        <v>385</v>
      </c>
      <c r="B17" s="295" t="s">
        <v>328</v>
      </c>
      <c r="C17" s="295" t="s">
        <v>329</v>
      </c>
      <c r="D17" s="295" t="s">
        <v>350</v>
      </c>
      <c r="E17" s="295" t="s">
        <v>351</v>
      </c>
      <c r="F17" s="298">
        <v>6</v>
      </c>
      <c r="G17" s="298">
        <v>1896</v>
      </c>
      <c r="H17" s="298">
        <v>1</v>
      </c>
      <c r="I17" s="298">
        <v>316</v>
      </c>
      <c r="J17" s="298"/>
      <c r="K17" s="298"/>
      <c r="L17" s="298"/>
      <c r="M17" s="298"/>
      <c r="N17" s="298"/>
      <c r="O17" s="298"/>
      <c r="P17" s="325"/>
      <c r="Q17" s="299"/>
    </row>
    <row r="18" spans="1:17" ht="14.4" customHeight="1" x14ac:dyDescent="0.3">
      <c r="A18" s="294" t="s">
        <v>386</v>
      </c>
      <c r="B18" s="295" t="s">
        <v>328</v>
      </c>
      <c r="C18" s="295" t="s">
        <v>329</v>
      </c>
      <c r="D18" s="295" t="s">
        <v>334</v>
      </c>
      <c r="E18" s="295" t="s">
        <v>335</v>
      </c>
      <c r="F18" s="298">
        <v>28</v>
      </c>
      <c r="G18" s="298">
        <v>8848</v>
      </c>
      <c r="H18" s="298">
        <v>1</v>
      </c>
      <c r="I18" s="298">
        <v>316</v>
      </c>
      <c r="J18" s="298">
        <v>4</v>
      </c>
      <c r="K18" s="298">
        <v>1272</v>
      </c>
      <c r="L18" s="298">
        <v>0.1437613019891501</v>
      </c>
      <c r="M18" s="298">
        <v>318</v>
      </c>
      <c r="N18" s="298">
        <v>24</v>
      </c>
      <c r="O18" s="298">
        <v>7656</v>
      </c>
      <c r="P18" s="325">
        <v>0.86528028933092227</v>
      </c>
      <c r="Q18" s="299">
        <v>319</v>
      </c>
    </row>
    <row r="19" spans="1:17" ht="14.4" customHeight="1" x14ac:dyDescent="0.3">
      <c r="A19" s="294" t="s">
        <v>386</v>
      </c>
      <c r="B19" s="295" t="s">
        <v>328</v>
      </c>
      <c r="C19" s="295" t="s">
        <v>329</v>
      </c>
      <c r="D19" s="295" t="s">
        <v>350</v>
      </c>
      <c r="E19" s="295" t="s">
        <v>351</v>
      </c>
      <c r="F19" s="298">
        <v>6</v>
      </c>
      <c r="G19" s="298">
        <v>1896</v>
      </c>
      <c r="H19" s="298">
        <v>1</v>
      </c>
      <c r="I19" s="298">
        <v>316</v>
      </c>
      <c r="J19" s="298"/>
      <c r="K19" s="298"/>
      <c r="L19" s="298"/>
      <c r="M19" s="298"/>
      <c r="N19" s="298"/>
      <c r="O19" s="298"/>
      <c r="P19" s="325"/>
      <c r="Q19" s="299"/>
    </row>
    <row r="20" spans="1:17" ht="14.4" customHeight="1" x14ac:dyDescent="0.3">
      <c r="A20" s="294" t="s">
        <v>387</v>
      </c>
      <c r="B20" s="295" t="s">
        <v>328</v>
      </c>
      <c r="C20" s="295" t="s">
        <v>329</v>
      </c>
      <c r="D20" s="295" t="s">
        <v>332</v>
      </c>
      <c r="E20" s="295" t="s">
        <v>333</v>
      </c>
      <c r="F20" s="298"/>
      <c r="G20" s="298"/>
      <c r="H20" s="298"/>
      <c r="I20" s="298"/>
      <c r="J20" s="298">
        <v>2</v>
      </c>
      <c r="K20" s="298">
        <v>136</v>
      </c>
      <c r="L20" s="298"/>
      <c r="M20" s="298">
        <v>68</v>
      </c>
      <c r="N20" s="298"/>
      <c r="O20" s="298"/>
      <c r="P20" s="325"/>
      <c r="Q20" s="299"/>
    </row>
    <row r="21" spans="1:17" ht="14.4" customHeight="1" x14ac:dyDescent="0.3">
      <c r="A21" s="294" t="s">
        <v>387</v>
      </c>
      <c r="B21" s="295" t="s">
        <v>328</v>
      </c>
      <c r="C21" s="295" t="s">
        <v>329</v>
      </c>
      <c r="D21" s="295" t="s">
        <v>334</v>
      </c>
      <c r="E21" s="295" t="s">
        <v>335</v>
      </c>
      <c r="F21" s="298">
        <v>12</v>
      </c>
      <c r="G21" s="298">
        <v>3792</v>
      </c>
      <c r="H21" s="298">
        <v>1</v>
      </c>
      <c r="I21" s="298">
        <v>316</v>
      </c>
      <c r="J21" s="298">
        <v>28</v>
      </c>
      <c r="K21" s="298">
        <v>8904</v>
      </c>
      <c r="L21" s="298">
        <v>2.3481012658227849</v>
      </c>
      <c r="M21" s="298">
        <v>318</v>
      </c>
      <c r="N21" s="298"/>
      <c r="O21" s="298"/>
      <c r="P21" s="325"/>
      <c r="Q21" s="299"/>
    </row>
    <row r="22" spans="1:17" ht="14.4" customHeight="1" x14ac:dyDescent="0.3">
      <c r="A22" s="294" t="s">
        <v>388</v>
      </c>
      <c r="B22" s="295" t="s">
        <v>328</v>
      </c>
      <c r="C22" s="295" t="s">
        <v>329</v>
      </c>
      <c r="D22" s="295" t="s">
        <v>334</v>
      </c>
      <c r="E22" s="295" t="s">
        <v>335</v>
      </c>
      <c r="F22" s="298">
        <v>8</v>
      </c>
      <c r="G22" s="298">
        <v>2528</v>
      </c>
      <c r="H22" s="298">
        <v>1</v>
      </c>
      <c r="I22" s="298">
        <v>316</v>
      </c>
      <c r="J22" s="298">
        <v>16</v>
      </c>
      <c r="K22" s="298">
        <v>5088</v>
      </c>
      <c r="L22" s="298">
        <v>2.0126582278481013</v>
      </c>
      <c r="M22" s="298">
        <v>318</v>
      </c>
      <c r="N22" s="298">
        <v>4</v>
      </c>
      <c r="O22" s="298">
        <v>1276</v>
      </c>
      <c r="P22" s="325">
        <v>0.504746835443038</v>
      </c>
      <c r="Q22" s="299">
        <v>319</v>
      </c>
    </row>
    <row r="23" spans="1:17" ht="14.4" customHeight="1" x14ac:dyDescent="0.3">
      <c r="A23" s="294" t="s">
        <v>388</v>
      </c>
      <c r="B23" s="295" t="s">
        <v>328</v>
      </c>
      <c r="C23" s="295" t="s">
        <v>329</v>
      </c>
      <c r="D23" s="295" t="s">
        <v>350</v>
      </c>
      <c r="E23" s="295" t="s">
        <v>351</v>
      </c>
      <c r="F23" s="298"/>
      <c r="G23" s="298"/>
      <c r="H23" s="298"/>
      <c r="I23" s="298"/>
      <c r="J23" s="298">
        <v>4</v>
      </c>
      <c r="K23" s="298">
        <v>1272</v>
      </c>
      <c r="L23" s="298"/>
      <c r="M23" s="298">
        <v>318</v>
      </c>
      <c r="N23" s="298"/>
      <c r="O23" s="298"/>
      <c r="P23" s="325"/>
      <c r="Q23" s="299"/>
    </row>
    <row r="24" spans="1:17" ht="14.4" customHeight="1" x14ac:dyDescent="0.3">
      <c r="A24" s="294" t="s">
        <v>389</v>
      </c>
      <c r="B24" s="295" t="s">
        <v>328</v>
      </c>
      <c r="C24" s="295" t="s">
        <v>329</v>
      </c>
      <c r="D24" s="295" t="s">
        <v>332</v>
      </c>
      <c r="E24" s="295" t="s">
        <v>333</v>
      </c>
      <c r="F24" s="298">
        <v>8</v>
      </c>
      <c r="G24" s="298">
        <v>544</v>
      </c>
      <c r="H24" s="298">
        <v>1</v>
      </c>
      <c r="I24" s="298">
        <v>68</v>
      </c>
      <c r="J24" s="298"/>
      <c r="K24" s="298"/>
      <c r="L24" s="298"/>
      <c r="M24" s="298"/>
      <c r="N24" s="298">
        <v>6</v>
      </c>
      <c r="O24" s="298">
        <v>414</v>
      </c>
      <c r="P24" s="325">
        <v>0.76102941176470584</v>
      </c>
      <c r="Q24" s="299">
        <v>69</v>
      </c>
    </row>
    <row r="25" spans="1:17" ht="14.4" customHeight="1" x14ac:dyDescent="0.3">
      <c r="A25" s="294" t="s">
        <v>389</v>
      </c>
      <c r="B25" s="295" t="s">
        <v>328</v>
      </c>
      <c r="C25" s="295" t="s">
        <v>329</v>
      </c>
      <c r="D25" s="295" t="s">
        <v>334</v>
      </c>
      <c r="E25" s="295" t="s">
        <v>335</v>
      </c>
      <c r="F25" s="298">
        <v>1499</v>
      </c>
      <c r="G25" s="298">
        <v>473684</v>
      </c>
      <c r="H25" s="298">
        <v>1</v>
      </c>
      <c r="I25" s="298">
        <v>316</v>
      </c>
      <c r="J25" s="298">
        <v>960</v>
      </c>
      <c r="K25" s="298">
        <v>305280</v>
      </c>
      <c r="L25" s="298">
        <v>0.64448028643568289</v>
      </c>
      <c r="M25" s="298">
        <v>318</v>
      </c>
      <c r="N25" s="298">
        <v>628</v>
      </c>
      <c r="O25" s="298">
        <v>200332</v>
      </c>
      <c r="P25" s="325">
        <v>0.42292329907702181</v>
      </c>
      <c r="Q25" s="299">
        <v>319</v>
      </c>
    </row>
    <row r="26" spans="1:17" ht="14.4" customHeight="1" x14ac:dyDescent="0.3">
      <c r="A26" s="294" t="s">
        <v>389</v>
      </c>
      <c r="B26" s="295" t="s">
        <v>328</v>
      </c>
      <c r="C26" s="295" t="s">
        <v>329</v>
      </c>
      <c r="D26" s="295" t="s">
        <v>336</v>
      </c>
      <c r="E26" s="295" t="s">
        <v>337</v>
      </c>
      <c r="F26" s="298">
        <v>4</v>
      </c>
      <c r="G26" s="298">
        <v>1264</v>
      </c>
      <c r="H26" s="298">
        <v>1</v>
      </c>
      <c r="I26" s="298">
        <v>316</v>
      </c>
      <c r="J26" s="298"/>
      <c r="K26" s="298"/>
      <c r="L26" s="298"/>
      <c r="M26" s="298"/>
      <c r="N26" s="298"/>
      <c r="O26" s="298"/>
      <c r="P26" s="325"/>
      <c r="Q26" s="299"/>
    </row>
    <row r="27" spans="1:17" ht="14.4" customHeight="1" x14ac:dyDescent="0.3">
      <c r="A27" s="294" t="s">
        <v>389</v>
      </c>
      <c r="B27" s="295" t="s">
        <v>328</v>
      </c>
      <c r="C27" s="295" t="s">
        <v>329</v>
      </c>
      <c r="D27" s="295" t="s">
        <v>338</v>
      </c>
      <c r="E27" s="295" t="s">
        <v>339</v>
      </c>
      <c r="F27" s="298">
        <v>2</v>
      </c>
      <c r="G27" s="298">
        <v>648</v>
      </c>
      <c r="H27" s="298">
        <v>1</v>
      </c>
      <c r="I27" s="298">
        <v>324</v>
      </c>
      <c r="J27" s="298"/>
      <c r="K27" s="298"/>
      <c r="L27" s="298"/>
      <c r="M27" s="298"/>
      <c r="N27" s="298"/>
      <c r="O27" s="298"/>
      <c r="P27" s="325"/>
      <c r="Q27" s="299"/>
    </row>
    <row r="28" spans="1:17" ht="14.4" customHeight="1" x14ac:dyDescent="0.3">
      <c r="A28" s="294" t="s">
        <v>389</v>
      </c>
      <c r="B28" s="295" t="s">
        <v>328</v>
      </c>
      <c r="C28" s="295" t="s">
        <v>329</v>
      </c>
      <c r="D28" s="295" t="s">
        <v>342</v>
      </c>
      <c r="E28" s="295" t="s">
        <v>343</v>
      </c>
      <c r="F28" s="298">
        <v>3</v>
      </c>
      <c r="G28" s="298">
        <v>1572</v>
      </c>
      <c r="H28" s="298">
        <v>1</v>
      </c>
      <c r="I28" s="298">
        <v>524</v>
      </c>
      <c r="J28" s="298">
        <v>5</v>
      </c>
      <c r="K28" s="298">
        <v>2630</v>
      </c>
      <c r="L28" s="298">
        <v>1.6730279898218829</v>
      </c>
      <c r="M28" s="298">
        <v>526</v>
      </c>
      <c r="N28" s="298"/>
      <c r="O28" s="298"/>
      <c r="P28" s="325"/>
      <c r="Q28" s="299"/>
    </row>
    <row r="29" spans="1:17" ht="14.4" customHeight="1" x14ac:dyDescent="0.3">
      <c r="A29" s="294" t="s">
        <v>389</v>
      </c>
      <c r="B29" s="295" t="s">
        <v>328</v>
      </c>
      <c r="C29" s="295" t="s">
        <v>329</v>
      </c>
      <c r="D29" s="295" t="s">
        <v>350</v>
      </c>
      <c r="E29" s="295" t="s">
        <v>351</v>
      </c>
      <c r="F29" s="298">
        <v>190</v>
      </c>
      <c r="G29" s="298">
        <v>60040</v>
      </c>
      <c r="H29" s="298">
        <v>1</v>
      </c>
      <c r="I29" s="298">
        <v>316</v>
      </c>
      <c r="J29" s="298">
        <v>454</v>
      </c>
      <c r="K29" s="298">
        <v>144372</v>
      </c>
      <c r="L29" s="298">
        <v>2.4045969353764156</v>
      </c>
      <c r="M29" s="298">
        <v>318</v>
      </c>
      <c r="N29" s="298">
        <v>807</v>
      </c>
      <c r="O29" s="298">
        <v>257433</v>
      </c>
      <c r="P29" s="325">
        <v>4.2876915389740171</v>
      </c>
      <c r="Q29" s="299">
        <v>319</v>
      </c>
    </row>
    <row r="30" spans="1:17" ht="14.4" customHeight="1" x14ac:dyDescent="0.3">
      <c r="A30" s="294" t="s">
        <v>390</v>
      </c>
      <c r="B30" s="295" t="s">
        <v>328</v>
      </c>
      <c r="C30" s="295" t="s">
        <v>329</v>
      </c>
      <c r="D30" s="295" t="s">
        <v>334</v>
      </c>
      <c r="E30" s="295" t="s">
        <v>335</v>
      </c>
      <c r="F30" s="298"/>
      <c r="G30" s="298"/>
      <c r="H30" s="298"/>
      <c r="I30" s="298"/>
      <c r="J30" s="298">
        <v>8</v>
      </c>
      <c r="K30" s="298">
        <v>2544</v>
      </c>
      <c r="L30" s="298"/>
      <c r="M30" s="298">
        <v>318</v>
      </c>
      <c r="N30" s="298">
        <v>8</v>
      </c>
      <c r="O30" s="298">
        <v>2552</v>
      </c>
      <c r="P30" s="325"/>
      <c r="Q30" s="299">
        <v>319</v>
      </c>
    </row>
    <row r="31" spans="1:17" ht="14.4" customHeight="1" x14ac:dyDescent="0.3">
      <c r="A31" s="294" t="s">
        <v>391</v>
      </c>
      <c r="B31" s="295" t="s">
        <v>328</v>
      </c>
      <c r="C31" s="295" t="s">
        <v>329</v>
      </c>
      <c r="D31" s="295" t="s">
        <v>332</v>
      </c>
      <c r="E31" s="295" t="s">
        <v>333</v>
      </c>
      <c r="F31" s="298"/>
      <c r="G31" s="298"/>
      <c r="H31" s="298"/>
      <c r="I31" s="298"/>
      <c r="J31" s="298">
        <v>2</v>
      </c>
      <c r="K31" s="298">
        <v>136</v>
      </c>
      <c r="L31" s="298"/>
      <c r="M31" s="298">
        <v>68</v>
      </c>
      <c r="N31" s="298">
        <v>2</v>
      </c>
      <c r="O31" s="298">
        <v>138</v>
      </c>
      <c r="P31" s="325"/>
      <c r="Q31" s="299">
        <v>69</v>
      </c>
    </row>
    <row r="32" spans="1:17" ht="14.4" customHeight="1" x14ac:dyDescent="0.3">
      <c r="A32" s="294" t="s">
        <v>391</v>
      </c>
      <c r="B32" s="295" t="s">
        <v>328</v>
      </c>
      <c r="C32" s="295" t="s">
        <v>329</v>
      </c>
      <c r="D32" s="295" t="s">
        <v>334</v>
      </c>
      <c r="E32" s="295" t="s">
        <v>335</v>
      </c>
      <c r="F32" s="298">
        <v>1813</v>
      </c>
      <c r="G32" s="298">
        <v>572908</v>
      </c>
      <c r="H32" s="298">
        <v>1</v>
      </c>
      <c r="I32" s="298">
        <v>316</v>
      </c>
      <c r="J32" s="298">
        <v>1035</v>
      </c>
      <c r="K32" s="298">
        <v>329130</v>
      </c>
      <c r="L32" s="298">
        <v>0.57449014501455731</v>
      </c>
      <c r="M32" s="298">
        <v>318</v>
      </c>
      <c r="N32" s="298">
        <v>781</v>
      </c>
      <c r="O32" s="298">
        <v>249139</v>
      </c>
      <c r="P32" s="325">
        <v>0.43486737835743261</v>
      </c>
      <c r="Q32" s="299">
        <v>319</v>
      </c>
    </row>
    <row r="33" spans="1:17" ht="14.4" customHeight="1" x14ac:dyDescent="0.3">
      <c r="A33" s="294" t="s">
        <v>391</v>
      </c>
      <c r="B33" s="295" t="s">
        <v>328</v>
      </c>
      <c r="C33" s="295" t="s">
        <v>329</v>
      </c>
      <c r="D33" s="295" t="s">
        <v>336</v>
      </c>
      <c r="E33" s="295" t="s">
        <v>337</v>
      </c>
      <c r="F33" s="298">
        <v>278</v>
      </c>
      <c r="G33" s="298">
        <v>87848</v>
      </c>
      <c r="H33" s="298">
        <v>1</v>
      </c>
      <c r="I33" s="298">
        <v>316</v>
      </c>
      <c r="J33" s="298">
        <v>199</v>
      </c>
      <c r="K33" s="298">
        <v>63282</v>
      </c>
      <c r="L33" s="298">
        <v>0.72035789090246793</v>
      </c>
      <c r="M33" s="298">
        <v>318</v>
      </c>
      <c r="N33" s="298">
        <v>166</v>
      </c>
      <c r="O33" s="298">
        <v>52954</v>
      </c>
      <c r="P33" s="325">
        <v>0.60279118477369997</v>
      </c>
      <c r="Q33" s="299">
        <v>319</v>
      </c>
    </row>
    <row r="34" spans="1:17" ht="14.4" customHeight="1" x14ac:dyDescent="0.3">
      <c r="A34" s="294" t="s">
        <v>391</v>
      </c>
      <c r="B34" s="295" t="s">
        <v>328</v>
      </c>
      <c r="C34" s="295" t="s">
        <v>329</v>
      </c>
      <c r="D34" s="295" t="s">
        <v>342</v>
      </c>
      <c r="E34" s="295" t="s">
        <v>343</v>
      </c>
      <c r="F34" s="298"/>
      <c r="G34" s="298"/>
      <c r="H34" s="298"/>
      <c r="I34" s="298"/>
      <c r="J34" s="298">
        <v>4</v>
      </c>
      <c r="K34" s="298">
        <v>2104</v>
      </c>
      <c r="L34" s="298"/>
      <c r="M34" s="298">
        <v>526</v>
      </c>
      <c r="N34" s="298"/>
      <c r="O34" s="298"/>
      <c r="P34" s="325"/>
      <c r="Q34" s="299"/>
    </row>
    <row r="35" spans="1:17" ht="14.4" customHeight="1" x14ac:dyDescent="0.3">
      <c r="A35" s="294" t="s">
        <v>391</v>
      </c>
      <c r="B35" s="295" t="s">
        <v>328</v>
      </c>
      <c r="C35" s="295" t="s">
        <v>329</v>
      </c>
      <c r="D35" s="295" t="s">
        <v>344</v>
      </c>
      <c r="E35" s="295" t="s">
        <v>345</v>
      </c>
      <c r="F35" s="298">
        <v>17</v>
      </c>
      <c r="G35" s="298">
        <v>9010</v>
      </c>
      <c r="H35" s="298">
        <v>1</v>
      </c>
      <c r="I35" s="298">
        <v>530</v>
      </c>
      <c r="J35" s="298">
        <v>31</v>
      </c>
      <c r="K35" s="298">
        <v>16492</v>
      </c>
      <c r="L35" s="298">
        <v>1.8304106548279688</v>
      </c>
      <c r="M35" s="298">
        <v>532</v>
      </c>
      <c r="N35" s="298">
        <v>43</v>
      </c>
      <c r="O35" s="298">
        <v>23177</v>
      </c>
      <c r="P35" s="325">
        <v>2.5723640399556049</v>
      </c>
      <c r="Q35" s="299">
        <v>539</v>
      </c>
    </row>
    <row r="36" spans="1:17" ht="14.4" customHeight="1" x14ac:dyDescent="0.3">
      <c r="A36" s="294" t="s">
        <v>391</v>
      </c>
      <c r="B36" s="295" t="s">
        <v>328</v>
      </c>
      <c r="C36" s="295" t="s">
        <v>329</v>
      </c>
      <c r="D36" s="295" t="s">
        <v>346</v>
      </c>
      <c r="E36" s="295" t="s">
        <v>347</v>
      </c>
      <c r="F36" s="298">
        <v>146</v>
      </c>
      <c r="G36" s="298">
        <v>77380</v>
      </c>
      <c r="H36" s="298">
        <v>1</v>
      </c>
      <c r="I36" s="298">
        <v>530</v>
      </c>
      <c r="J36" s="298">
        <v>133</v>
      </c>
      <c r="K36" s="298">
        <v>70756</v>
      </c>
      <c r="L36" s="298">
        <v>0.91439648487981395</v>
      </c>
      <c r="M36" s="298">
        <v>532</v>
      </c>
      <c r="N36" s="298">
        <v>131</v>
      </c>
      <c r="O36" s="298">
        <v>70609</v>
      </c>
      <c r="P36" s="325">
        <v>0.91249676919100542</v>
      </c>
      <c r="Q36" s="299">
        <v>539</v>
      </c>
    </row>
    <row r="37" spans="1:17" ht="14.4" customHeight="1" x14ac:dyDescent="0.3">
      <c r="A37" s="294" t="s">
        <v>391</v>
      </c>
      <c r="B37" s="295" t="s">
        <v>328</v>
      </c>
      <c r="C37" s="295" t="s">
        <v>329</v>
      </c>
      <c r="D37" s="295" t="s">
        <v>350</v>
      </c>
      <c r="E37" s="295" t="s">
        <v>351</v>
      </c>
      <c r="F37" s="298">
        <v>265</v>
      </c>
      <c r="G37" s="298">
        <v>83740</v>
      </c>
      <c r="H37" s="298">
        <v>1</v>
      </c>
      <c r="I37" s="298">
        <v>316</v>
      </c>
      <c r="J37" s="298">
        <v>266</v>
      </c>
      <c r="K37" s="298">
        <v>84588</v>
      </c>
      <c r="L37" s="298">
        <v>1.0101265822784811</v>
      </c>
      <c r="M37" s="298">
        <v>318</v>
      </c>
      <c r="N37" s="298">
        <v>247</v>
      </c>
      <c r="O37" s="298">
        <v>78793</v>
      </c>
      <c r="P37" s="325">
        <v>0.94092428946739914</v>
      </c>
      <c r="Q37" s="299">
        <v>319</v>
      </c>
    </row>
    <row r="38" spans="1:17" ht="14.4" customHeight="1" x14ac:dyDescent="0.3">
      <c r="A38" s="294" t="s">
        <v>391</v>
      </c>
      <c r="B38" s="295" t="s">
        <v>328</v>
      </c>
      <c r="C38" s="295" t="s">
        <v>329</v>
      </c>
      <c r="D38" s="295" t="s">
        <v>352</v>
      </c>
      <c r="E38" s="295" t="s">
        <v>353</v>
      </c>
      <c r="F38" s="298"/>
      <c r="G38" s="298"/>
      <c r="H38" s="298"/>
      <c r="I38" s="298"/>
      <c r="J38" s="298">
        <v>1</v>
      </c>
      <c r="K38" s="298">
        <v>0</v>
      </c>
      <c r="L38" s="298"/>
      <c r="M38" s="298">
        <v>0</v>
      </c>
      <c r="N38" s="298">
        <v>2</v>
      </c>
      <c r="O38" s="298">
        <v>0</v>
      </c>
      <c r="P38" s="325"/>
      <c r="Q38" s="299">
        <v>0</v>
      </c>
    </row>
    <row r="39" spans="1:17" ht="14.4" customHeight="1" x14ac:dyDescent="0.3">
      <c r="A39" s="294" t="s">
        <v>392</v>
      </c>
      <c r="B39" s="295" t="s">
        <v>328</v>
      </c>
      <c r="C39" s="295" t="s">
        <v>329</v>
      </c>
      <c r="D39" s="295" t="s">
        <v>334</v>
      </c>
      <c r="E39" s="295" t="s">
        <v>335</v>
      </c>
      <c r="F39" s="298"/>
      <c r="G39" s="298"/>
      <c r="H39" s="298"/>
      <c r="I39" s="298"/>
      <c r="J39" s="298"/>
      <c r="K39" s="298"/>
      <c r="L39" s="298"/>
      <c r="M39" s="298"/>
      <c r="N39" s="298">
        <v>4</v>
      </c>
      <c r="O39" s="298">
        <v>1276</v>
      </c>
      <c r="P39" s="325"/>
      <c r="Q39" s="299">
        <v>319</v>
      </c>
    </row>
    <row r="40" spans="1:17" ht="14.4" customHeight="1" x14ac:dyDescent="0.3">
      <c r="A40" s="294" t="s">
        <v>393</v>
      </c>
      <c r="B40" s="295" t="s">
        <v>328</v>
      </c>
      <c r="C40" s="295" t="s">
        <v>329</v>
      </c>
      <c r="D40" s="295" t="s">
        <v>334</v>
      </c>
      <c r="E40" s="295" t="s">
        <v>335</v>
      </c>
      <c r="F40" s="298"/>
      <c r="G40" s="298"/>
      <c r="H40" s="298"/>
      <c r="I40" s="298"/>
      <c r="J40" s="298"/>
      <c r="K40" s="298"/>
      <c r="L40" s="298"/>
      <c r="M40" s="298"/>
      <c r="N40" s="298">
        <v>38</v>
      </c>
      <c r="O40" s="298">
        <v>12122</v>
      </c>
      <c r="P40" s="325"/>
      <c r="Q40" s="299">
        <v>319</v>
      </c>
    </row>
    <row r="41" spans="1:17" ht="14.4" customHeight="1" x14ac:dyDescent="0.3">
      <c r="A41" s="294" t="s">
        <v>393</v>
      </c>
      <c r="B41" s="295" t="s">
        <v>328</v>
      </c>
      <c r="C41" s="295" t="s">
        <v>329</v>
      </c>
      <c r="D41" s="295" t="s">
        <v>342</v>
      </c>
      <c r="E41" s="295" t="s">
        <v>343</v>
      </c>
      <c r="F41" s="298"/>
      <c r="G41" s="298"/>
      <c r="H41" s="298"/>
      <c r="I41" s="298"/>
      <c r="J41" s="298"/>
      <c r="K41" s="298"/>
      <c r="L41" s="298"/>
      <c r="M41" s="298"/>
      <c r="N41" s="298">
        <v>4</v>
      </c>
      <c r="O41" s="298">
        <v>2152</v>
      </c>
      <c r="P41" s="325"/>
      <c r="Q41" s="299">
        <v>538</v>
      </c>
    </row>
    <row r="42" spans="1:17" ht="14.4" customHeight="1" x14ac:dyDescent="0.3">
      <c r="A42" s="294" t="s">
        <v>394</v>
      </c>
      <c r="B42" s="295" t="s">
        <v>328</v>
      </c>
      <c r="C42" s="295" t="s">
        <v>329</v>
      </c>
      <c r="D42" s="295" t="s">
        <v>334</v>
      </c>
      <c r="E42" s="295" t="s">
        <v>335</v>
      </c>
      <c r="F42" s="298">
        <v>32</v>
      </c>
      <c r="G42" s="298">
        <v>10112</v>
      </c>
      <c r="H42" s="298">
        <v>1</v>
      </c>
      <c r="I42" s="298">
        <v>316</v>
      </c>
      <c r="J42" s="298">
        <v>16</v>
      </c>
      <c r="K42" s="298">
        <v>5088</v>
      </c>
      <c r="L42" s="298">
        <v>0.50316455696202533</v>
      </c>
      <c r="M42" s="298">
        <v>318</v>
      </c>
      <c r="N42" s="298">
        <v>26</v>
      </c>
      <c r="O42" s="298">
        <v>8294</v>
      </c>
      <c r="P42" s="325">
        <v>0.82021360759493667</v>
      </c>
      <c r="Q42" s="299">
        <v>319</v>
      </c>
    </row>
    <row r="43" spans="1:17" ht="14.4" customHeight="1" x14ac:dyDescent="0.3">
      <c r="A43" s="294" t="s">
        <v>394</v>
      </c>
      <c r="B43" s="295" t="s">
        <v>328</v>
      </c>
      <c r="C43" s="295" t="s">
        <v>329</v>
      </c>
      <c r="D43" s="295" t="s">
        <v>336</v>
      </c>
      <c r="E43" s="295" t="s">
        <v>337</v>
      </c>
      <c r="F43" s="298"/>
      <c r="G43" s="298"/>
      <c r="H43" s="298"/>
      <c r="I43" s="298"/>
      <c r="J43" s="298"/>
      <c r="K43" s="298"/>
      <c r="L43" s="298"/>
      <c r="M43" s="298"/>
      <c r="N43" s="298">
        <v>4</v>
      </c>
      <c r="O43" s="298">
        <v>1276</v>
      </c>
      <c r="P43" s="325"/>
      <c r="Q43" s="299">
        <v>319</v>
      </c>
    </row>
    <row r="44" spans="1:17" ht="14.4" customHeight="1" x14ac:dyDescent="0.3">
      <c r="A44" s="294" t="s">
        <v>395</v>
      </c>
      <c r="B44" s="295" t="s">
        <v>328</v>
      </c>
      <c r="C44" s="295" t="s">
        <v>329</v>
      </c>
      <c r="D44" s="295" t="s">
        <v>334</v>
      </c>
      <c r="E44" s="295" t="s">
        <v>335</v>
      </c>
      <c r="F44" s="298">
        <v>3272</v>
      </c>
      <c r="G44" s="298">
        <v>1033952</v>
      </c>
      <c r="H44" s="298">
        <v>1</v>
      </c>
      <c r="I44" s="298">
        <v>316</v>
      </c>
      <c r="J44" s="298">
        <v>1886</v>
      </c>
      <c r="K44" s="298">
        <v>599748</v>
      </c>
      <c r="L44" s="298">
        <v>0.58005400637553772</v>
      </c>
      <c r="M44" s="298">
        <v>318</v>
      </c>
      <c r="N44" s="298">
        <v>2593</v>
      </c>
      <c r="O44" s="298">
        <v>827167</v>
      </c>
      <c r="P44" s="325">
        <v>0.80000522267958285</v>
      </c>
      <c r="Q44" s="299">
        <v>319</v>
      </c>
    </row>
    <row r="45" spans="1:17" ht="14.4" customHeight="1" x14ac:dyDescent="0.3">
      <c r="A45" s="294" t="s">
        <v>395</v>
      </c>
      <c r="B45" s="295" t="s">
        <v>328</v>
      </c>
      <c r="C45" s="295" t="s">
        <v>329</v>
      </c>
      <c r="D45" s="295" t="s">
        <v>336</v>
      </c>
      <c r="E45" s="295" t="s">
        <v>337</v>
      </c>
      <c r="F45" s="298">
        <v>4</v>
      </c>
      <c r="G45" s="298">
        <v>1264</v>
      </c>
      <c r="H45" s="298">
        <v>1</v>
      </c>
      <c r="I45" s="298">
        <v>316</v>
      </c>
      <c r="J45" s="298"/>
      <c r="K45" s="298"/>
      <c r="L45" s="298"/>
      <c r="M45" s="298"/>
      <c r="N45" s="298">
        <v>4</v>
      </c>
      <c r="O45" s="298">
        <v>1276</v>
      </c>
      <c r="P45" s="325">
        <v>1.009493670886076</v>
      </c>
      <c r="Q45" s="299">
        <v>319</v>
      </c>
    </row>
    <row r="46" spans="1:17" ht="14.4" customHeight="1" x14ac:dyDescent="0.3">
      <c r="A46" s="294" t="s">
        <v>395</v>
      </c>
      <c r="B46" s="295" t="s">
        <v>328</v>
      </c>
      <c r="C46" s="295" t="s">
        <v>329</v>
      </c>
      <c r="D46" s="295" t="s">
        <v>342</v>
      </c>
      <c r="E46" s="295" t="s">
        <v>343</v>
      </c>
      <c r="F46" s="298">
        <v>51</v>
      </c>
      <c r="G46" s="298">
        <v>26724</v>
      </c>
      <c r="H46" s="298">
        <v>1</v>
      </c>
      <c r="I46" s="298">
        <v>524</v>
      </c>
      <c r="J46" s="298">
        <v>43</v>
      </c>
      <c r="K46" s="298">
        <v>22618</v>
      </c>
      <c r="L46" s="298">
        <v>0.84635533602754076</v>
      </c>
      <c r="M46" s="298">
        <v>526</v>
      </c>
      <c r="N46" s="298">
        <v>79</v>
      </c>
      <c r="O46" s="298">
        <v>42502</v>
      </c>
      <c r="P46" s="325">
        <v>1.5904056279000149</v>
      </c>
      <c r="Q46" s="299">
        <v>538</v>
      </c>
    </row>
    <row r="47" spans="1:17" ht="14.4" customHeight="1" x14ac:dyDescent="0.3">
      <c r="A47" s="294" t="s">
        <v>395</v>
      </c>
      <c r="B47" s="295" t="s">
        <v>328</v>
      </c>
      <c r="C47" s="295" t="s">
        <v>329</v>
      </c>
      <c r="D47" s="295" t="s">
        <v>350</v>
      </c>
      <c r="E47" s="295" t="s">
        <v>351</v>
      </c>
      <c r="F47" s="298"/>
      <c r="G47" s="298"/>
      <c r="H47" s="298"/>
      <c r="I47" s="298"/>
      <c r="J47" s="298">
        <v>4</v>
      </c>
      <c r="K47" s="298">
        <v>1272</v>
      </c>
      <c r="L47" s="298"/>
      <c r="M47" s="298">
        <v>318</v>
      </c>
      <c r="N47" s="298">
        <v>6</v>
      </c>
      <c r="O47" s="298">
        <v>1914</v>
      </c>
      <c r="P47" s="325"/>
      <c r="Q47" s="299">
        <v>319</v>
      </c>
    </row>
    <row r="48" spans="1:17" ht="14.4" customHeight="1" x14ac:dyDescent="0.3">
      <c r="A48" s="294" t="s">
        <v>395</v>
      </c>
      <c r="B48" s="295" t="s">
        <v>328</v>
      </c>
      <c r="C48" s="295" t="s">
        <v>329</v>
      </c>
      <c r="D48" s="295" t="s">
        <v>352</v>
      </c>
      <c r="E48" s="295" t="s">
        <v>353</v>
      </c>
      <c r="F48" s="298">
        <v>1</v>
      </c>
      <c r="G48" s="298">
        <v>0</v>
      </c>
      <c r="H48" s="298"/>
      <c r="I48" s="298">
        <v>0</v>
      </c>
      <c r="J48" s="298"/>
      <c r="K48" s="298"/>
      <c r="L48" s="298"/>
      <c r="M48" s="298"/>
      <c r="N48" s="298"/>
      <c r="O48" s="298"/>
      <c r="P48" s="325"/>
      <c r="Q48" s="299"/>
    </row>
    <row r="49" spans="1:17" ht="14.4" customHeight="1" x14ac:dyDescent="0.3">
      <c r="A49" s="294" t="s">
        <v>396</v>
      </c>
      <c r="B49" s="295" t="s">
        <v>328</v>
      </c>
      <c r="C49" s="295" t="s">
        <v>329</v>
      </c>
      <c r="D49" s="295" t="s">
        <v>334</v>
      </c>
      <c r="E49" s="295" t="s">
        <v>335</v>
      </c>
      <c r="F49" s="298">
        <v>216</v>
      </c>
      <c r="G49" s="298">
        <v>68256</v>
      </c>
      <c r="H49" s="298">
        <v>1</v>
      </c>
      <c r="I49" s="298">
        <v>316</v>
      </c>
      <c r="J49" s="298">
        <v>38</v>
      </c>
      <c r="K49" s="298">
        <v>12084</v>
      </c>
      <c r="L49" s="298">
        <v>0.1770393811533052</v>
      </c>
      <c r="M49" s="298">
        <v>318</v>
      </c>
      <c r="N49" s="298">
        <v>77</v>
      </c>
      <c r="O49" s="298">
        <v>24563</v>
      </c>
      <c r="P49" s="325">
        <v>0.35986579934364743</v>
      </c>
      <c r="Q49" s="299">
        <v>319</v>
      </c>
    </row>
    <row r="50" spans="1:17" ht="14.4" customHeight="1" x14ac:dyDescent="0.3">
      <c r="A50" s="294" t="s">
        <v>396</v>
      </c>
      <c r="B50" s="295" t="s">
        <v>328</v>
      </c>
      <c r="C50" s="295" t="s">
        <v>329</v>
      </c>
      <c r="D50" s="295" t="s">
        <v>340</v>
      </c>
      <c r="E50" s="295" t="s">
        <v>341</v>
      </c>
      <c r="F50" s="298">
        <v>338</v>
      </c>
      <c r="G50" s="298">
        <v>177112</v>
      </c>
      <c r="H50" s="298">
        <v>1</v>
      </c>
      <c r="I50" s="298">
        <v>524</v>
      </c>
      <c r="J50" s="298">
        <v>150</v>
      </c>
      <c r="K50" s="298">
        <v>78900</v>
      </c>
      <c r="L50" s="298">
        <v>0.44548082569221736</v>
      </c>
      <c r="M50" s="298">
        <v>526</v>
      </c>
      <c r="N50" s="298">
        <v>72</v>
      </c>
      <c r="O50" s="298">
        <v>38736</v>
      </c>
      <c r="P50" s="325">
        <v>0.21870906545011065</v>
      </c>
      <c r="Q50" s="299">
        <v>538</v>
      </c>
    </row>
    <row r="51" spans="1:17" ht="14.4" customHeight="1" x14ac:dyDescent="0.3">
      <c r="A51" s="294" t="s">
        <v>396</v>
      </c>
      <c r="B51" s="295" t="s">
        <v>328</v>
      </c>
      <c r="C51" s="295" t="s">
        <v>329</v>
      </c>
      <c r="D51" s="295" t="s">
        <v>342</v>
      </c>
      <c r="E51" s="295" t="s">
        <v>343</v>
      </c>
      <c r="F51" s="298">
        <v>769</v>
      </c>
      <c r="G51" s="298">
        <v>402956</v>
      </c>
      <c r="H51" s="298">
        <v>1</v>
      </c>
      <c r="I51" s="298">
        <v>524</v>
      </c>
      <c r="J51" s="298">
        <v>744</v>
      </c>
      <c r="K51" s="298">
        <v>391344</v>
      </c>
      <c r="L51" s="298">
        <v>0.97118295794081733</v>
      </c>
      <c r="M51" s="298">
        <v>526</v>
      </c>
      <c r="N51" s="298">
        <v>704</v>
      </c>
      <c r="O51" s="298">
        <v>378752</v>
      </c>
      <c r="P51" s="325">
        <v>0.93993388856351567</v>
      </c>
      <c r="Q51" s="299">
        <v>538</v>
      </c>
    </row>
    <row r="52" spans="1:17" ht="14.4" customHeight="1" x14ac:dyDescent="0.3">
      <c r="A52" s="294" t="s">
        <v>396</v>
      </c>
      <c r="B52" s="295" t="s">
        <v>328</v>
      </c>
      <c r="C52" s="295" t="s">
        <v>329</v>
      </c>
      <c r="D52" s="295" t="s">
        <v>350</v>
      </c>
      <c r="E52" s="295" t="s">
        <v>351</v>
      </c>
      <c r="F52" s="298"/>
      <c r="G52" s="298"/>
      <c r="H52" s="298"/>
      <c r="I52" s="298"/>
      <c r="J52" s="298"/>
      <c r="K52" s="298"/>
      <c r="L52" s="298"/>
      <c r="M52" s="298"/>
      <c r="N52" s="298">
        <v>12</v>
      </c>
      <c r="O52" s="298">
        <v>3828</v>
      </c>
      <c r="P52" s="325"/>
      <c r="Q52" s="299">
        <v>319</v>
      </c>
    </row>
    <row r="53" spans="1:17" ht="14.4" customHeight="1" x14ac:dyDescent="0.3">
      <c r="A53" s="294" t="s">
        <v>396</v>
      </c>
      <c r="B53" s="295" t="s">
        <v>328</v>
      </c>
      <c r="C53" s="295" t="s">
        <v>329</v>
      </c>
      <c r="D53" s="295" t="s">
        <v>352</v>
      </c>
      <c r="E53" s="295" t="s">
        <v>353</v>
      </c>
      <c r="F53" s="298">
        <v>2</v>
      </c>
      <c r="G53" s="298">
        <v>0</v>
      </c>
      <c r="H53" s="298"/>
      <c r="I53" s="298">
        <v>0</v>
      </c>
      <c r="J53" s="298">
        <v>2</v>
      </c>
      <c r="K53" s="298">
        <v>0</v>
      </c>
      <c r="L53" s="298"/>
      <c r="M53" s="298">
        <v>0</v>
      </c>
      <c r="N53" s="298"/>
      <c r="O53" s="298"/>
      <c r="P53" s="325"/>
      <c r="Q53" s="299"/>
    </row>
    <row r="54" spans="1:17" ht="14.4" customHeight="1" x14ac:dyDescent="0.3">
      <c r="A54" s="294" t="s">
        <v>397</v>
      </c>
      <c r="B54" s="295" t="s">
        <v>328</v>
      </c>
      <c r="C54" s="295" t="s">
        <v>329</v>
      </c>
      <c r="D54" s="295" t="s">
        <v>334</v>
      </c>
      <c r="E54" s="295" t="s">
        <v>335</v>
      </c>
      <c r="F54" s="298">
        <v>153</v>
      </c>
      <c r="G54" s="298">
        <v>48348</v>
      </c>
      <c r="H54" s="298">
        <v>1</v>
      </c>
      <c r="I54" s="298">
        <v>316</v>
      </c>
      <c r="J54" s="298">
        <v>78</v>
      </c>
      <c r="K54" s="298">
        <v>24804</v>
      </c>
      <c r="L54" s="298">
        <v>0.51303052866716303</v>
      </c>
      <c r="M54" s="298">
        <v>318</v>
      </c>
      <c r="N54" s="298"/>
      <c r="O54" s="298"/>
      <c r="P54" s="325"/>
      <c r="Q54" s="299"/>
    </row>
    <row r="55" spans="1:17" ht="14.4" customHeight="1" x14ac:dyDescent="0.3">
      <c r="A55" s="294" t="s">
        <v>397</v>
      </c>
      <c r="B55" s="295" t="s">
        <v>328</v>
      </c>
      <c r="C55" s="295" t="s">
        <v>329</v>
      </c>
      <c r="D55" s="295" t="s">
        <v>340</v>
      </c>
      <c r="E55" s="295" t="s">
        <v>341</v>
      </c>
      <c r="F55" s="298">
        <v>110</v>
      </c>
      <c r="G55" s="298">
        <v>57640</v>
      </c>
      <c r="H55" s="298">
        <v>1</v>
      </c>
      <c r="I55" s="298">
        <v>524</v>
      </c>
      <c r="J55" s="298">
        <v>48</v>
      </c>
      <c r="K55" s="298">
        <v>25248</v>
      </c>
      <c r="L55" s="298">
        <v>0.43802914642609297</v>
      </c>
      <c r="M55" s="298">
        <v>526</v>
      </c>
      <c r="N55" s="298">
        <v>12</v>
      </c>
      <c r="O55" s="298">
        <v>6456</v>
      </c>
      <c r="P55" s="325">
        <v>0.11200555170020819</v>
      </c>
      <c r="Q55" s="299">
        <v>538</v>
      </c>
    </row>
    <row r="56" spans="1:17" ht="14.4" customHeight="1" x14ac:dyDescent="0.3">
      <c r="A56" s="294" t="s">
        <v>397</v>
      </c>
      <c r="B56" s="295" t="s">
        <v>328</v>
      </c>
      <c r="C56" s="295" t="s">
        <v>329</v>
      </c>
      <c r="D56" s="295" t="s">
        <v>342</v>
      </c>
      <c r="E56" s="295" t="s">
        <v>343</v>
      </c>
      <c r="F56" s="298">
        <v>14</v>
      </c>
      <c r="G56" s="298">
        <v>7336</v>
      </c>
      <c r="H56" s="298">
        <v>1</v>
      </c>
      <c r="I56" s="298">
        <v>524</v>
      </c>
      <c r="J56" s="298">
        <v>4</v>
      </c>
      <c r="K56" s="298">
        <v>2104</v>
      </c>
      <c r="L56" s="298">
        <v>0.28680479825517996</v>
      </c>
      <c r="M56" s="298">
        <v>526</v>
      </c>
      <c r="N56" s="298">
        <v>2</v>
      </c>
      <c r="O56" s="298">
        <v>1076</v>
      </c>
      <c r="P56" s="325">
        <v>0.14667393675027263</v>
      </c>
      <c r="Q56" s="299">
        <v>538</v>
      </c>
    </row>
    <row r="57" spans="1:17" ht="14.4" customHeight="1" x14ac:dyDescent="0.3">
      <c r="A57" s="294" t="s">
        <v>397</v>
      </c>
      <c r="B57" s="295" t="s">
        <v>328</v>
      </c>
      <c r="C57" s="295" t="s">
        <v>329</v>
      </c>
      <c r="D57" s="295" t="s">
        <v>350</v>
      </c>
      <c r="E57" s="295" t="s">
        <v>351</v>
      </c>
      <c r="F57" s="298">
        <v>3</v>
      </c>
      <c r="G57" s="298">
        <v>948</v>
      </c>
      <c r="H57" s="298">
        <v>1</v>
      </c>
      <c r="I57" s="298">
        <v>316</v>
      </c>
      <c r="J57" s="298"/>
      <c r="K57" s="298"/>
      <c r="L57" s="298"/>
      <c r="M57" s="298"/>
      <c r="N57" s="298"/>
      <c r="O57" s="298"/>
      <c r="P57" s="325"/>
      <c r="Q57" s="299"/>
    </row>
    <row r="58" spans="1:17" ht="14.4" customHeight="1" x14ac:dyDescent="0.3">
      <c r="A58" s="294" t="s">
        <v>398</v>
      </c>
      <c r="B58" s="295" t="s">
        <v>328</v>
      </c>
      <c r="C58" s="295" t="s">
        <v>329</v>
      </c>
      <c r="D58" s="295" t="s">
        <v>332</v>
      </c>
      <c r="E58" s="295" t="s">
        <v>333</v>
      </c>
      <c r="F58" s="298">
        <v>2</v>
      </c>
      <c r="G58" s="298">
        <v>136</v>
      </c>
      <c r="H58" s="298">
        <v>1</v>
      </c>
      <c r="I58" s="298">
        <v>68</v>
      </c>
      <c r="J58" s="298"/>
      <c r="K58" s="298"/>
      <c r="L58" s="298"/>
      <c r="M58" s="298"/>
      <c r="N58" s="298"/>
      <c r="O58" s="298"/>
      <c r="P58" s="325"/>
      <c r="Q58" s="299"/>
    </row>
    <row r="59" spans="1:17" ht="14.4" customHeight="1" x14ac:dyDescent="0.3">
      <c r="A59" s="294" t="s">
        <v>398</v>
      </c>
      <c r="B59" s="295" t="s">
        <v>328</v>
      </c>
      <c r="C59" s="295" t="s">
        <v>329</v>
      </c>
      <c r="D59" s="295" t="s">
        <v>334</v>
      </c>
      <c r="E59" s="295" t="s">
        <v>335</v>
      </c>
      <c r="F59" s="298">
        <v>16</v>
      </c>
      <c r="G59" s="298">
        <v>5056</v>
      </c>
      <c r="H59" s="298">
        <v>1</v>
      </c>
      <c r="I59" s="298">
        <v>316</v>
      </c>
      <c r="J59" s="298"/>
      <c r="K59" s="298"/>
      <c r="L59" s="298"/>
      <c r="M59" s="298"/>
      <c r="N59" s="298">
        <v>12</v>
      </c>
      <c r="O59" s="298">
        <v>3828</v>
      </c>
      <c r="P59" s="325">
        <v>0.757120253164557</v>
      </c>
      <c r="Q59" s="299">
        <v>319</v>
      </c>
    </row>
    <row r="60" spans="1:17" ht="14.4" customHeight="1" x14ac:dyDescent="0.3">
      <c r="A60" s="294" t="s">
        <v>398</v>
      </c>
      <c r="B60" s="295" t="s">
        <v>328</v>
      </c>
      <c r="C60" s="295" t="s">
        <v>329</v>
      </c>
      <c r="D60" s="295" t="s">
        <v>342</v>
      </c>
      <c r="E60" s="295" t="s">
        <v>343</v>
      </c>
      <c r="F60" s="298"/>
      <c r="G60" s="298"/>
      <c r="H60" s="298"/>
      <c r="I60" s="298"/>
      <c r="J60" s="298"/>
      <c r="K60" s="298"/>
      <c r="L60" s="298"/>
      <c r="M60" s="298"/>
      <c r="N60" s="298">
        <v>6</v>
      </c>
      <c r="O60" s="298">
        <v>3228</v>
      </c>
      <c r="P60" s="325"/>
      <c r="Q60" s="299">
        <v>538</v>
      </c>
    </row>
    <row r="61" spans="1:17" ht="14.4" customHeight="1" x14ac:dyDescent="0.3">
      <c r="A61" s="294" t="s">
        <v>398</v>
      </c>
      <c r="B61" s="295" t="s">
        <v>328</v>
      </c>
      <c r="C61" s="295" t="s">
        <v>329</v>
      </c>
      <c r="D61" s="295" t="s">
        <v>350</v>
      </c>
      <c r="E61" s="295" t="s">
        <v>351</v>
      </c>
      <c r="F61" s="298">
        <v>6</v>
      </c>
      <c r="G61" s="298">
        <v>1896</v>
      </c>
      <c r="H61" s="298">
        <v>1</v>
      </c>
      <c r="I61" s="298">
        <v>316</v>
      </c>
      <c r="J61" s="298"/>
      <c r="K61" s="298"/>
      <c r="L61" s="298"/>
      <c r="M61" s="298"/>
      <c r="N61" s="298"/>
      <c r="O61" s="298"/>
      <c r="P61" s="325"/>
      <c r="Q61" s="299"/>
    </row>
    <row r="62" spans="1:17" ht="14.4" customHeight="1" x14ac:dyDescent="0.3">
      <c r="A62" s="294" t="s">
        <v>399</v>
      </c>
      <c r="B62" s="295" t="s">
        <v>328</v>
      </c>
      <c r="C62" s="295" t="s">
        <v>329</v>
      </c>
      <c r="D62" s="295" t="s">
        <v>334</v>
      </c>
      <c r="E62" s="295" t="s">
        <v>335</v>
      </c>
      <c r="F62" s="298">
        <v>862</v>
      </c>
      <c r="G62" s="298">
        <v>272392</v>
      </c>
      <c r="H62" s="298">
        <v>1</v>
      </c>
      <c r="I62" s="298">
        <v>316</v>
      </c>
      <c r="J62" s="298">
        <v>754</v>
      </c>
      <c r="K62" s="298">
        <v>239772</v>
      </c>
      <c r="L62" s="298">
        <v>0.88024611589180302</v>
      </c>
      <c r="M62" s="298">
        <v>318</v>
      </c>
      <c r="N62" s="298">
        <v>525</v>
      </c>
      <c r="O62" s="298">
        <v>167475</v>
      </c>
      <c r="P62" s="325">
        <v>0.61483083203618316</v>
      </c>
      <c r="Q62" s="299">
        <v>319</v>
      </c>
    </row>
    <row r="63" spans="1:17" ht="14.4" customHeight="1" x14ac:dyDescent="0.3">
      <c r="A63" s="294" t="s">
        <v>399</v>
      </c>
      <c r="B63" s="295" t="s">
        <v>328</v>
      </c>
      <c r="C63" s="295" t="s">
        <v>329</v>
      </c>
      <c r="D63" s="295" t="s">
        <v>336</v>
      </c>
      <c r="E63" s="295" t="s">
        <v>337</v>
      </c>
      <c r="F63" s="298">
        <v>8</v>
      </c>
      <c r="G63" s="298">
        <v>2528</v>
      </c>
      <c r="H63" s="298">
        <v>1</v>
      </c>
      <c r="I63" s="298">
        <v>316</v>
      </c>
      <c r="J63" s="298">
        <v>19</v>
      </c>
      <c r="K63" s="298">
        <v>6042</v>
      </c>
      <c r="L63" s="298">
        <v>2.3900316455696204</v>
      </c>
      <c r="M63" s="298">
        <v>318</v>
      </c>
      <c r="N63" s="298">
        <v>44</v>
      </c>
      <c r="O63" s="298">
        <v>14036</v>
      </c>
      <c r="P63" s="325">
        <v>5.5522151898734178</v>
      </c>
      <c r="Q63" s="299">
        <v>319</v>
      </c>
    </row>
    <row r="64" spans="1:17" ht="14.4" customHeight="1" x14ac:dyDescent="0.3">
      <c r="A64" s="294" t="s">
        <v>399</v>
      </c>
      <c r="B64" s="295" t="s">
        <v>328</v>
      </c>
      <c r="C64" s="295" t="s">
        <v>329</v>
      </c>
      <c r="D64" s="295" t="s">
        <v>342</v>
      </c>
      <c r="E64" s="295" t="s">
        <v>343</v>
      </c>
      <c r="F64" s="298">
        <v>2</v>
      </c>
      <c r="G64" s="298">
        <v>1048</v>
      </c>
      <c r="H64" s="298">
        <v>1</v>
      </c>
      <c r="I64" s="298">
        <v>524</v>
      </c>
      <c r="J64" s="298"/>
      <c r="K64" s="298"/>
      <c r="L64" s="298"/>
      <c r="M64" s="298"/>
      <c r="N64" s="298">
        <v>4</v>
      </c>
      <c r="O64" s="298">
        <v>2152</v>
      </c>
      <c r="P64" s="325">
        <v>2.053435114503817</v>
      </c>
      <c r="Q64" s="299">
        <v>538</v>
      </c>
    </row>
    <row r="65" spans="1:17" ht="14.4" customHeight="1" x14ac:dyDescent="0.3">
      <c r="A65" s="294" t="s">
        <v>399</v>
      </c>
      <c r="B65" s="295" t="s">
        <v>328</v>
      </c>
      <c r="C65" s="295" t="s">
        <v>329</v>
      </c>
      <c r="D65" s="295" t="s">
        <v>350</v>
      </c>
      <c r="E65" s="295" t="s">
        <v>351</v>
      </c>
      <c r="F65" s="298">
        <v>12</v>
      </c>
      <c r="G65" s="298">
        <v>3792</v>
      </c>
      <c r="H65" s="298">
        <v>1</v>
      </c>
      <c r="I65" s="298">
        <v>316</v>
      </c>
      <c r="J65" s="298">
        <v>18</v>
      </c>
      <c r="K65" s="298">
        <v>5724</v>
      </c>
      <c r="L65" s="298">
        <v>1.509493670886076</v>
      </c>
      <c r="M65" s="298">
        <v>318</v>
      </c>
      <c r="N65" s="298">
        <v>32</v>
      </c>
      <c r="O65" s="298">
        <v>10208</v>
      </c>
      <c r="P65" s="325">
        <v>2.6919831223628692</v>
      </c>
      <c r="Q65" s="299">
        <v>319</v>
      </c>
    </row>
    <row r="66" spans="1:17" ht="14.4" customHeight="1" x14ac:dyDescent="0.3">
      <c r="A66" s="294" t="s">
        <v>400</v>
      </c>
      <c r="B66" s="295" t="s">
        <v>328</v>
      </c>
      <c r="C66" s="295" t="s">
        <v>329</v>
      </c>
      <c r="D66" s="295" t="s">
        <v>334</v>
      </c>
      <c r="E66" s="295" t="s">
        <v>335</v>
      </c>
      <c r="F66" s="298">
        <v>32</v>
      </c>
      <c r="G66" s="298">
        <v>10112</v>
      </c>
      <c r="H66" s="298">
        <v>1</v>
      </c>
      <c r="I66" s="298">
        <v>316</v>
      </c>
      <c r="J66" s="298"/>
      <c r="K66" s="298"/>
      <c r="L66" s="298"/>
      <c r="M66" s="298"/>
      <c r="N66" s="298">
        <v>4</v>
      </c>
      <c r="O66" s="298">
        <v>1276</v>
      </c>
      <c r="P66" s="325">
        <v>0.1261867088607595</v>
      </c>
      <c r="Q66" s="299">
        <v>319</v>
      </c>
    </row>
    <row r="67" spans="1:17" ht="14.4" customHeight="1" x14ac:dyDescent="0.3">
      <c r="A67" s="294" t="s">
        <v>400</v>
      </c>
      <c r="B67" s="295" t="s">
        <v>328</v>
      </c>
      <c r="C67" s="295" t="s">
        <v>329</v>
      </c>
      <c r="D67" s="295" t="s">
        <v>350</v>
      </c>
      <c r="E67" s="295" t="s">
        <v>351</v>
      </c>
      <c r="F67" s="298">
        <v>12</v>
      </c>
      <c r="G67" s="298">
        <v>3792</v>
      </c>
      <c r="H67" s="298">
        <v>1</v>
      </c>
      <c r="I67" s="298">
        <v>316</v>
      </c>
      <c r="J67" s="298"/>
      <c r="K67" s="298"/>
      <c r="L67" s="298"/>
      <c r="M67" s="298"/>
      <c r="N67" s="298"/>
      <c r="O67" s="298"/>
      <c r="P67" s="325"/>
      <c r="Q67" s="299"/>
    </row>
    <row r="68" spans="1:17" ht="14.4" customHeight="1" x14ac:dyDescent="0.3">
      <c r="A68" s="294" t="s">
        <v>401</v>
      </c>
      <c r="B68" s="295" t="s">
        <v>328</v>
      </c>
      <c r="C68" s="295" t="s">
        <v>329</v>
      </c>
      <c r="D68" s="295" t="s">
        <v>332</v>
      </c>
      <c r="E68" s="295" t="s">
        <v>333</v>
      </c>
      <c r="F68" s="298"/>
      <c r="G68" s="298"/>
      <c r="H68" s="298"/>
      <c r="I68" s="298"/>
      <c r="J68" s="298">
        <v>1</v>
      </c>
      <c r="K68" s="298">
        <v>68</v>
      </c>
      <c r="L68" s="298"/>
      <c r="M68" s="298">
        <v>68</v>
      </c>
      <c r="N68" s="298"/>
      <c r="O68" s="298"/>
      <c r="P68" s="325"/>
      <c r="Q68" s="299"/>
    </row>
    <row r="69" spans="1:17" ht="14.4" customHeight="1" x14ac:dyDescent="0.3">
      <c r="A69" s="294" t="s">
        <v>401</v>
      </c>
      <c r="B69" s="295" t="s">
        <v>328</v>
      </c>
      <c r="C69" s="295" t="s">
        <v>329</v>
      </c>
      <c r="D69" s="295" t="s">
        <v>334</v>
      </c>
      <c r="E69" s="295" t="s">
        <v>335</v>
      </c>
      <c r="F69" s="298">
        <v>668</v>
      </c>
      <c r="G69" s="298">
        <v>211088</v>
      </c>
      <c r="H69" s="298">
        <v>1</v>
      </c>
      <c r="I69" s="298">
        <v>316</v>
      </c>
      <c r="J69" s="298">
        <v>348</v>
      </c>
      <c r="K69" s="298">
        <v>110664</v>
      </c>
      <c r="L69" s="298">
        <v>0.52425528689456535</v>
      </c>
      <c r="M69" s="298">
        <v>318</v>
      </c>
      <c r="N69" s="298">
        <v>82</v>
      </c>
      <c r="O69" s="298">
        <v>26158</v>
      </c>
      <c r="P69" s="325">
        <v>0.12391988175547639</v>
      </c>
      <c r="Q69" s="299">
        <v>319</v>
      </c>
    </row>
    <row r="70" spans="1:17" ht="14.4" customHeight="1" x14ac:dyDescent="0.3">
      <c r="A70" s="294" t="s">
        <v>401</v>
      </c>
      <c r="B70" s="295" t="s">
        <v>328</v>
      </c>
      <c r="C70" s="295" t="s">
        <v>329</v>
      </c>
      <c r="D70" s="295" t="s">
        <v>336</v>
      </c>
      <c r="E70" s="295" t="s">
        <v>337</v>
      </c>
      <c r="F70" s="298">
        <v>8</v>
      </c>
      <c r="G70" s="298">
        <v>2528</v>
      </c>
      <c r="H70" s="298">
        <v>1</v>
      </c>
      <c r="I70" s="298">
        <v>316</v>
      </c>
      <c r="J70" s="298">
        <v>24</v>
      </c>
      <c r="K70" s="298">
        <v>7632</v>
      </c>
      <c r="L70" s="298">
        <v>3.018987341772152</v>
      </c>
      <c r="M70" s="298">
        <v>318</v>
      </c>
      <c r="N70" s="298"/>
      <c r="O70" s="298"/>
      <c r="P70" s="325"/>
      <c r="Q70" s="299"/>
    </row>
    <row r="71" spans="1:17" ht="14.4" customHeight="1" x14ac:dyDescent="0.3">
      <c r="A71" s="294" t="s">
        <v>401</v>
      </c>
      <c r="B71" s="295" t="s">
        <v>328</v>
      </c>
      <c r="C71" s="295" t="s">
        <v>329</v>
      </c>
      <c r="D71" s="295" t="s">
        <v>342</v>
      </c>
      <c r="E71" s="295" t="s">
        <v>343</v>
      </c>
      <c r="F71" s="298">
        <v>40</v>
      </c>
      <c r="G71" s="298">
        <v>20960</v>
      </c>
      <c r="H71" s="298">
        <v>1</v>
      </c>
      <c r="I71" s="298">
        <v>524</v>
      </c>
      <c r="J71" s="298">
        <v>40</v>
      </c>
      <c r="K71" s="298">
        <v>21040</v>
      </c>
      <c r="L71" s="298">
        <v>1.0038167938931297</v>
      </c>
      <c r="M71" s="298">
        <v>526</v>
      </c>
      <c r="N71" s="298">
        <v>12</v>
      </c>
      <c r="O71" s="298">
        <v>6456</v>
      </c>
      <c r="P71" s="325">
        <v>0.30801526717557254</v>
      </c>
      <c r="Q71" s="299">
        <v>538</v>
      </c>
    </row>
    <row r="72" spans="1:17" ht="14.4" customHeight="1" x14ac:dyDescent="0.3">
      <c r="A72" s="294" t="s">
        <v>401</v>
      </c>
      <c r="B72" s="295" t="s">
        <v>328</v>
      </c>
      <c r="C72" s="295" t="s">
        <v>329</v>
      </c>
      <c r="D72" s="295" t="s">
        <v>350</v>
      </c>
      <c r="E72" s="295" t="s">
        <v>351</v>
      </c>
      <c r="F72" s="298">
        <v>16</v>
      </c>
      <c r="G72" s="298">
        <v>5056</v>
      </c>
      <c r="H72" s="298">
        <v>1</v>
      </c>
      <c r="I72" s="298">
        <v>316</v>
      </c>
      <c r="J72" s="298"/>
      <c r="K72" s="298"/>
      <c r="L72" s="298"/>
      <c r="M72" s="298"/>
      <c r="N72" s="298"/>
      <c r="O72" s="298"/>
      <c r="P72" s="325"/>
      <c r="Q72" s="299"/>
    </row>
    <row r="73" spans="1:17" ht="14.4" customHeight="1" x14ac:dyDescent="0.3">
      <c r="A73" s="294" t="s">
        <v>402</v>
      </c>
      <c r="B73" s="295" t="s">
        <v>328</v>
      </c>
      <c r="C73" s="295" t="s">
        <v>329</v>
      </c>
      <c r="D73" s="295" t="s">
        <v>334</v>
      </c>
      <c r="E73" s="295" t="s">
        <v>335</v>
      </c>
      <c r="F73" s="298">
        <v>96</v>
      </c>
      <c r="G73" s="298">
        <v>30336</v>
      </c>
      <c r="H73" s="298">
        <v>1</v>
      </c>
      <c r="I73" s="298">
        <v>316</v>
      </c>
      <c r="J73" s="298">
        <v>16</v>
      </c>
      <c r="K73" s="298">
        <v>5088</v>
      </c>
      <c r="L73" s="298">
        <v>0.16772151898734178</v>
      </c>
      <c r="M73" s="298">
        <v>318</v>
      </c>
      <c r="N73" s="298"/>
      <c r="O73" s="298"/>
      <c r="P73" s="325"/>
      <c r="Q73" s="299"/>
    </row>
    <row r="74" spans="1:17" ht="14.4" customHeight="1" x14ac:dyDescent="0.3">
      <c r="A74" s="294" t="s">
        <v>402</v>
      </c>
      <c r="B74" s="295" t="s">
        <v>328</v>
      </c>
      <c r="C74" s="295" t="s">
        <v>329</v>
      </c>
      <c r="D74" s="295" t="s">
        <v>350</v>
      </c>
      <c r="E74" s="295" t="s">
        <v>351</v>
      </c>
      <c r="F74" s="298">
        <v>6</v>
      </c>
      <c r="G74" s="298">
        <v>1896</v>
      </c>
      <c r="H74" s="298">
        <v>1</v>
      </c>
      <c r="I74" s="298">
        <v>316</v>
      </c>
      <c r="J74" s="298"/>
      <c r="K74" s="298"/>
      <c r="L74" s="298"/>
      <c r="M74" s="298"/>
      <c r="N74" s="298"/>
      <c r="O74" s="298"/>
      <c r="P74" s="325"/>
      <c r="Q74" s="299"/>
    </row>
    <row r="75" spans="1:17" ht="14.4" customHeight="1" x14ac:dyDescent="0.3">
      <c r="A75" s="294" t="s">
        <v>403</v>
      </c>
      <c r="B75" s="295" t="s">
        <v>328</v>
      </c>
      <c r="C75" s="295" t="s">
        <v>329</v>
      </c>
      <c r="D75" s="295" t="s">
        <v>334</v>
      </c>
      <c r="E75" s="295" t="s">
        <v>335</v>
      </c>
      <c r="F75" s="298">
        <v>32</v>
      </c>
      <c r="G75" s="298">
        <v>10112</v>
      </c>
      <c r="H75" s="298">
        <v>1</v>
      </c>
      <c r="I75" s="298">
        <v>316</v>
      </c>
      <c r="J75" s="298">
        <v>36</v>
      </c>
      <c r="K75" s="298">
        <v>11448</v>
      </c>
      <c r="L75" s="298">
        <v>1.1321202531645569</v>
      </c>
      <c r="M75" s="298">
        <v>318</v>
      </c>
      <c r="N75" s="298">
        <v>24</v>
      </c>
      <c r="O75" s="298">
        <v>7656</v>
      </c>
      <c r="P75" s="325">
        <v>0.757120253164557</v>
      </c>
      <c r="Q75" s="299">
        <v>319</v>
      </c>
    </row>
    <row r="76" spans="1:17" ht="14.4" customHeight="1" x14ac:dyDescent="0.3">
      <c r="A76" s="294" t="s">
        <v>403</v>
      </c>
      <c r="B76" s="295" t="s">
        <v>328</v>
      </c>
      <c r="C76" s="295" t="s">
        <v>329</v>
      </c>
      <c r="D76" s="295" t="s">
        <v>336</v>
      </c>
      <c r="E76" s="295" t="s">
        <v>337</v>
      </c>
      <c r="F76" s="298"/>
      <c r="G76" s="298"/>
      <c r="H76" s="298"/>
      <c r="I76" s="298"/>
      <c r="J76" s="298"/>
      <c r="K76" s="298"/>
      <c r="L76" s="298"/>
      <c r="M76" s="298"/>
      <c r="N76" s="298">
        <v>2</v>
      </c>
      <c r="O76" s="298">
        <v>638</v>
      </c>
      <c r="P76" s="325"/>
      <c r="Q76" s="299">
        <v>319</v>
      </c>
    </row>
    <row r="77" spans="1:17" ht="14.4" customHeight="1" x14ac:dyDescent="0.3">
      <c r="A77" s="294" t="s">
        <v>403</v>
      </c>
      <c r="B77" s="295" t="s">
        <v>328</v>
      </c>
      <c r="C77" s="295" t="s">
        <v>329</v>
      </c>
      <c r="D77" s="295" t="s">
        <v>342</v>
      </c>
      <c r="E77" s="295" t="s">
        <v>343</v>
      </c>
      <c r="F77" s="298">
        <v>16</v>
      </c>
      <c r="G77" s="298">
        <v>8384</v>
      </c>
      <c r="H77" s="298">
        <v>1</v>
      </c>
      <c r="I77" s="298">
        <v>524</v>
      </c>
      <c r="J77" s="298">
        <v>11</v>
      </c>
      <c r="K77" s="298">
        <v>5786</v>
      </c>
      <c r="L77" s="298">
        <v>0.69012404580152675</v>
      </c>
      <c r="M77" s="298">
        <v>526</v>
      </c>
      <c r="N77" s="298">
        <v>19</v>
      </c>
      <c r="O77" s="298">
        <v>10222</v>
      </c>
      <c r="P77" s="325">
        <v>1.2192270992366412</v>
      </c>
      <c r="Q77" s="299">
        <v>538</v>
      </c>
    </row>
    <row r="78" spans="1:17" ht="14.4" customHeight="1" x14ac:dyDescent="0.3">
      <c r="A78" s="294" t="s">
        <v>404</v>
      </c>
      <c r="B78" s="295" t="s">
        <v>328</v>
      </c>
      <c r="C78" s="295" t="s">
        <v>329</v>
      </c>
      <c r="D78" s="295" t="s">
        <v>334</v>
      </c>
      <c r="E78" s="295" t="s">
        <v>335</v>
      </c>
      <c r="F78" s="298">
        <v>248</v>
      </c>
      <c r="G78" s="298">
        <v>78368</v>
      </c>
      <c r="H78" s="298">
        <v>1</v>
      </c>
      <c r="I78" s="298">
        <v>316</v>
      </c>
      <c r="J78" s="298">
        <v>221</v>
      </c>
      <c r="K78" s="298">
        <v>70278</v>
      </c>
      <c r="L78" s="298">
        <v>0.89676908942425482</v>
      </c>
      <c r="M78" s="298">
        <v>318</v>
      </c>
      <c r="N78" s="298">
        <v>158</v>
      </c>
      <c r="O78" s="298">
        <v>50402</v>
      </c>
      <c r="P78" s="325">
        <v>0.64314516129032262</v>
      </c>
      <c r="Q78" s="299">
        <v>319</v>
      </c>
    </row>
    <row r="79" spans="1:17" ht="14.4" customHeight="1" x14ac:dyDescent="0.3">
      <c r="A79" s="294" t="s">
        <v>404</v>
      </c>
      <c r="B79" s="295" t="s">
        <v>328</v>
      </c>
      <c r="C79" s="295" t="s">
        <v>329</v>
      </c>
      <c r="D79" s="295" t="s">
        <v>342</v>
      </c>
      <c r="E79" s="295" t="s">
        <v>343</v>
      </c>
      <c r="F79" s="298">
        <v>6</v>
      </c>
      <c r="G79" s="298">
        <v>3144</v>
      </c>
      <c r="H79" s="298">
        <v>1</v>
      </c>
      <c r="I79" s="298">
        <v>524</v>
      </c>
      <c r="J79" s="298"/>
      <c r="K79" s="298"/>
      <c r="L79" s="298"/>
      <c r="M79" s="298"/>
      <c r="N79" s="298">
        <v>3</v>
      </c>
      <c r="O79" s="298">
        <v>1614</v>
      </c>
      <c r="P79" s="325">
        <v>0.51335877862595425</v>
      </c>
      <c r="Q79" s="299">
        <v>538</v>
      </c>
    </row>
    <row r="80" spans="1:17" ht="14.4" customHeight="1" x14ac:dyDescent="0.3">
      <c r="A80" s="294" t="s">
        <v>404</v>
      </c>
      <c r="B80" s="295" t="s">
        <v>328</v>
      </c>
      <c r="C80" s="295" t="s">
        <v>329</v>
      </c>
      <c r="D80" s="295" t="s">
        <v>350</v>
      </c>
      <c r="E80" s="295" t="s">
        <v>351</v>
      </c>
      <c r="F80" s="298">
        <v>48</v>
      </c>
      <c r="G80" s="298">
        <v>15168</v>
      </c>
      <c r="H80" s="298">
        <v>1</v>
      </c>
      <c r="I80" s="298">
        <v>316</v>
      </c>
      <c r="J80" s="298"/>
      <c r="K80" s="298"/>
      <c r="L80" s="298"/>
      <c r="M80" s="298"/>
      <c r="N80" s="298"/>
      <c r="O80" s="298"/>
      <c r="P80" s="325"/>
      <c r="Q80" s="299"/>
    </row>
    <row r="81" spans="1:17" ht="14.4" customHeight="1" x14ac:dyDescent="0.3">
      <c r="A81" s="294" t="s">
        <v>405</v>
      </c>
      <c r="B81" s="295" t="s">
        <v>328</v>
      </c>
      <c r="C81" s="295" t="s">
        <v>329</v>
      </c>
      <c r="D81" s="295" t="s">
        <v>334</v>
      </c>
      <c r="E81" s="295" t="s">
        <v>335</v>
      </c>
      <c r="F81" s="298">
        <v>1205</v>
      </c>
      <c r="G81" s="298">
        <v>380780</v>
      </c>
      <c r="H81" s="298">
        <v>1</v>
      </c>
      <c r="I81" s="298">
        <v>316</v>
      </c>
      <c r="J81" s="298">
        <v>1017</v>
      </c>
      <c r="K81" s="298">
        <v>323406</v>
      </c>
      <c r="L81" s="298">
        <v>0.84932506959399123</v>
      </c>
      <c r="M81" s="298">
        <v>318</v>
      </c>
      <c r="N81" s="298">
        <v>1267</v>
      </c>
      <c r="O81" s="298">
        <v>404173</v>
      </c>
      <c r="P81" s="325">
        <v>1.0614344240768947</v>
      </c>
      <c r="Q81" s="299">
        <v>319</v>
      </c>
    </row>
    <row r="82" spans="1:17" ht="14.4" customHeight="1" x14ac:dyDescent="0.3">
      <c r="A82" s="294" t="s">
        <v>405</v>
      </c>
      <c r="B82" s="295" t="s">
        <v>328</v>
      </c>
      <c r="C82" s="295" t="s">
        <v>329</v>
      </c>
      <c r="D82" s="295" t="s">
        <v>350</v>
      </c>
      <c r="E82" s="295" t="s">
        <v>351</v>
      </c>
      <c r="F82" s="298">
        <v>10</v>
      </c>
      <c r="G82" s="298">
        <v>3160</v>
      </c>
      <c r="H82" s="298">
        <v>1</v>
      </c>
      <c r="I82" s="298">
        <v>316</v>
      </c>
      <c r="J82" s="298"/>
      <c r="K82" s="298"/>
      <c r="L82" s="298"/>
      <c r="M82" s="298"/>
      <c r="N82" s="298"/>
      <c r="O82" s="298"/>
      <c r="P82" s="325"/>
      <c r="Q82" s="299"/>
    </row>
    <row r="83" spans="1:17" ht="14.4" customHeight="1" x14ac:dyDescent="0.3">
      <c r="A83" s="294" t="s">
        <v>406</v>
      </c>
      <c r="B83" s="295" t="s">
        <v>328</v>
      </c>
      <c r="C83" s="295" t="s">
        <v>329</v>
      </c>
      <c r="D83" s="295" t="s">
        <v>334</v>
      </c>
      <c r="E83" s="295" t="s">
        <v>335</v>
      </c>
      <c r="F83" s="298">
        <v>68</v>
      </c>
      <c r="G83" s="298">
        <v>21488</v>
      </c>
      <c r="H83" s="298">
        <v>1</v>
      </c>
      <c r="I83" s="298">
        <v>316</v>
      </c>
      <c r="J83" s="298">
        <v>28</v>
      </c>
      <c r="K83" s="298">
        <v>8904</v>
      </c>
      <c r="L83" s="298">
        <v>0.41437081161578554</v>
      </c>
      <c r="M83" s="298">
        <v>318</v>
      </c>
      <c r="N83" s="298">
        <v>44</v>
      </c>
      <c r="O83" s="298">
        <v>14036</v>
      </c>
      <c r="P83" s="325">
        <v>0.6532017870439315</v>
      </c>
      <c r="Q83" s="299">
        <v>319</v>
      </c>
    </row>
    <row r="84" spans="1:17" ht="14.4" customHeight="1" x14ac:dyDescent="0.3">
      <c r="A84" s="294" t="s">
        <v>407</v>
      </c>
      <c r="B84" s="295" t="s">
        <v>328</v>
      </c>
      <c r="C84" s="295" t="s">
        <v>329</v>
      </c>
      <c r="D84" s="295" t="s">
        <v>334</v>
      </c>
      <c r="E84" s="295" t="s">
        <v>335</v>
      </c>
      <c r="F84" s="298">
        <v>32</v>
      </c>
      <c r="G84" s="298">
        <v>10112</v>
      </c>
      <c r="H84" s="298">
        <v>1</v>
      </c>
      <c r="I84" s="298">
        <v>316</v>
      </c>
      <c r="J84" s="298">
        <v>16</v>
      </c>
      <c r="K84" s="298">
        <v>5088</v>
      </c>
      <c r="L84" s="298">
        <v>0.50316455696202533</v>
      </c>
      <c r="M84" s="298">
        <v>318</v>
      </c>
      <c r="N84" s="298">
        <v>28</v>
      </c>
      <c r="O84" s="298">
        <v>8932</v>
      </c>
      <c r="P84" s="325">
        <v>0.88330696202531644</v>
      </c>
      <c r="Q84" s="299">
        <v>319</v>
      </c>
    </row>
    <row r="85" spans="1:17" ht="14.4" customHeight="1" thickBot="1" x14ac:dyDescent="0.35">
      <c r="A85" s="300" t="s">
        <v>407</v>
      </c>
      <c r="B85" s="301" t="s">
        <v>328</v>
      </c>
      <c r="C85" s="301" t="s">
        <v>329</v>
      </c>
      <c r="D85" s="301" t="s">
        <v>350</v>
      </c>
      <c r="E85" s="301" t="s">
        <v>351</v>
      </c>
      <c r="F85" s="304">
        <v>9</v>
      </c>
      <c r="G85" s="304">
        <v>2844</v>
      </c>
      <c r="H85" s="304">
        <v>1</v>
      </c>
      <c r="I85" s="304">
        <v>316</v>
      </c>
      <c r="J85" s="304">
        <v>30</v>
      </c>
      <c r="K85" s="304">
        <v>9540</v>
      </c>
      <c r="L85" s="304">
        <v>3.3544303797468356</v>
      </c>
      <c r="M85" s="304">
        <v>318</v>
      </c>
      <c r="N85" s="304">
        <v>28</v>
      </c>
      <c r="O85" s="304">
        <v>8932</v>
      </c>
      <c r="P85" s="326">
        <v>3.140646976090014</v>
      </c>
      <c r="Q85" s="305">
        <v>319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39" customWidth="1"/>
    <col min="5" max="5" width="11" style="140" customWidth="1"/>
  </cols>
  <sheetData>
    <row r="1" spans="1:7" ht="18.600000000000001" thickBot="1" x14ac:dyDescent="0.4">
      <c r="A1" s="199" t="s">
        <v>124</v>
      </c>
      <c r="B1" s="200"/>
      <c r="C1" s="201"/>
      <c r="D1" s="201"/>
      <c r="E1" s="201"/>
      <c r="F1" s="90"/>
      <c r="G1" s="90"/>
    </row>
    <row r="2" spans="1:7" ht="14.4" customHeight="1" thickBot="1" x14ac:dyDescent="0.35">
      <c r="A2" s="250" t="s">
        <v>150</v>
      </c>
      <c r="B2" s="122"/>
    </row>
    <row r="3" spans="1:7" ht="14.4" customHeight="1" thickBot="1" x14ac:dyDescent="0.35">
      <c r="A3" s="141"/>
      <c r="C3" s="142" t="s">
        <v>115</v>
      </c>
      <c r="D3" s="143" t="s">
        <v>79</v>
      </c>
      <c r="E3" s="144" t="s">
        <v>81</v>
      </c>
    </row>
    <row r="4" spans="1:7" ht="14.4" customHeight="1" thickBot="1" x14ac:dyDescent="0.35">
      <c r="A4" s="186" t="str">
        <f>HYPERLINK("#HI!A1","NÁKLADY CELKEM (v tisících Kč)")</f>
        <v>NÁKLADY CELKEM (v tisících Kč)</v>
      </c>
      <c r="B4" s="155"/>
      <c r="C4" s="165">
        <f ca="1">IF(ISERROR(VLOOKUP("Náklady celkem",INDIRECT("HI!$A:$G"),6,0)),0,VLOOKUP("Náklady celkem",INDIRECT("HI!$A:$G"),6,0))</f>
        <v>5220</v>
      </c>
      <c r="D4" s="165">
        <f ca="1">IF(ISERROR(VLOOKUP("Náklady celkem",INDIRECT("HI!$A:$G"),4,0)),0,VLOOKUP("Náklady celkem",INDIRECT("HI!$A:$G"),4,0))</f>
        <v>5562.1182699999999</v>
      </c>
      <c r="E4" s="158">
        <f ca="1">IF(C4=0,0,D4/C4)</f>
        <v>1.0655398984674329</v>
      </c>
    </row>
    <row r="5" spans="1:7" ht="14.4" customHeight="1" x14ac:dyDescent="0.3">
      <c r="A5" s="151" t="s">
        <v>142</v>
      </c>
      <c r="B5" s="146"/>
      <c r="C5" s="166"/>
      <c r="D5" s="166"/>
      <c r="E5" s="159"/>
    </row>
    <row r="6" spans="1:7" ht="14.4" customHeight="1" x14ac:dyDescent="0.3">
      <c r="A6" s="181" t="s">
        <v>147</v>
      </c>
      <c r="B6" s="147"/>
      <c r="C6" s="157"/>
      <c r="D6" s="157"/>
      <c r="E6" s="159"/>
    </row>
    <row r="7" spans="1:7" ht="14.4" customHeight="1" x14ac:dyDescent="0.3">
      <c r="A7" s="1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7" t="s">
        <v>119</v>
      </c>
      <c r="C7" s="157">
        <f>IF(ISERROR(HI!F5),"",HI!F5)</f>
        <v>0</v>
      </c>
      <c r="D7" s="157">
        <f>IF(ISERROR(HI!D5),"",HI!D5)</f>
        <v>0.56330000000000002</v>
      </c>
      <c r="E7" s="159">
        <f t="shared" ref="E7:E11" si="0">IF(C7=0,0,D7/C7)</f>
        <v>0</v>
      </c>
    </row>
    <row r="8" spans="1:7" ht="14.4" customHeight="1" x14ac:dyDescent="0.3">
      <c r="A8" s="152" t="s">
        <v>143</v>
      </c>
      <c r="B8" s="147"/>
      <c r="C8" s="157"/>
      <c r="D8" s="157"/>
      <c r="E8" s="159"/>
    </row>
    <row r="9" spans="1:7" ht="14.4" customHeight="1" x14ac:dyDescent="0.3">
      <c r="A9" s="152" t="s">
        <v>144</v>
      </c>
      <c r="B9" s="147"/>
      <c r="C9" s="157"/>
      <c r="D9" s="157"/>
      <c r="E9" s="159"/>
    </row>
    <row r="10" spans="1:7" ht="14.4" customHeight="1" x14ac:dyDescent="0.3">
      <c r="A10" s="182" t="s">
        <v>148</v>
      </c>
      <c r="B10" s="147"/>
      <c r="C10" s="166"/>
      <c r="D10" s="166"/>
      <c r="E10" s="159"/>
    </row>
    <row r="11" spans="1:7" ht="14.4" customHeight="1" x14ac:dyDescent="0.3">
      <c r="A11" s="1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7" t="s">
        <v>119</v>
      </c>
      <c r="C11" s="157">
        <f>IF(ISERROR(HI!F6),"",HI!F6)</f>
        <v>0</v>
      </c>
      <c r="D11" s="157">
        <f>IF(ISERROR(HI!D6),"",HI!D6)</f>
        <v>0.23154</v>
      </c>
      <c r="E11" s="159">
        <f t="shared" si="0"/>
        <v>0</v>
      </c>
    </row>
    <row r="12" spans="1:7" ht="14.4" customHeight="1" thickBot="1" x14ac:dyDescent="0.35">
      <c r="A12" s="184" t="str">
        <f>HYPERLINK("#HI!A1","Osobní náklady")</f>
        <v>Osobní náklady</v>
      </c>
      <c r="B12" s="147"/>
      <c r="C12" s="166">
        <f ca="1">IF(ISERROR(VLOOKUP("Osobní náklady (Kč)",INDIRECT("HI!$A:$G"),6,0)),0,VLOOKUP("Osobní náklady (Kč)",INDIRECT("HI!$A:$G"),6,0))</f>
        <v>5010</v>
      </c>
      <c r="D12" s="166">
        <f ca="1">IF(ISERROR(VLOOKUP("Osobní náklady (Kč)",INDIRECT("HI!$A:$G"),4,0)),0,VLOOKUP("Osobní náklady (Kč)",INDIRECT("HI!$A:$G"),4,0))</f>
        <v>5365.8336099999997</v>
      </c>
      <c r="E12" s="159">
        <f t="shared" ref="E12" ca="1" si="1">IF(C12=0,0,D12/C12)</f>
        <v>1.0710246726546906</v>
      </c>
    </row>
    <row r="13" spans="1:7" ht="14.4" customHeight="1" thickBot="1" x14ac:dyDescent="0.35">
      <c r="A13" s="171"/>
      <c r="B13" s="172"/>
      <c r="C13" s="173"/>
      <c r="D13" s="173"/>
      <c r="E13" s="161"/>
    </row>
    <row r="14" spans="1:7" ht="14.4" customHeight="1" thickBot="1" x14ac:dyDescent="0.35">
      <c r="A14" s="185" t="str">
        <f>HYPERLINK("#HI!A1","VÝNOSY CELKEM (v tisících; ""Ambulace-body"" + ""Hospitalizace-casemix""*29500)")</f>
        <v>VÝNOSY CELKEM (v tisících; "Ambulace-body" + "Hospitalizace-casemix"*29500)</v>
      </c>
      <c r="B14" s="149"/>
      <c r="C14" s="169">
        <f ca="1">IF(ISERROR(VLOOKUP("Výnosy celkem",INDIRECT("HI!$A:$G"),6,0)),0,VLOOKUP("Výnosy celkem",INDIRECT("HI!$A:$G"),6,0))</f>
        <v>2475.36436</v>
      </c>
      <c r="D14" s="169">
        <f ca="1">IF(ISERROR(VLOOKUP("Výnosy celkem",INDIRECT("HI!$A:$G"),4,0)),0,VLOOKUP("Výnosy celkem",INDIRECT("HI!$A:$G"),4,0))</f>
        <v>3143.556</v>
      </c>
      <c r="E14" s="162">
        <f t="shared" ref="E14:E17" ca="1" si="2">IF(C14=0,0,D14/C14)</f>
        <v>1.2699366811599404</v>
      </c>
    </row>
    <row r="15" spans="1:7" ht="14.4" customHeight="1" x14ac:dyDescent="0.3">
      <c r="A15" s="187" t="str">
        <f>HYPERLINK("#HI!A1","Ambulance (body)")</f>
        <v>Ambulance (body)</v>
      </c>
      <c r="B15" s="146"/>
      <c r="C15" s="166">
        <f ca="1">IF(ISERROR(VLOOKUP("Ambulance (body)",INDIRECT("HI!$A:$G"),6,0)),0,VLOOKUP("Ambulance (body)",INDIRECT("HI!$A:$G"),6,0))</f>
        <v>2475.36436</v>
      </c>
      <c r="D15" s="166">
        <f ca="1">IF(ISERROR(VLOOKUP("Ambulance (body)",INDIRECT("HI!$A:$G"),4,0)),0,VLOOKUP("Ambulance (body)",INDIRECT("HI!$A:$G"),4,0))</f>
        <v>3143.556</v>
      </c>
      <c r="E15" s="159">
        <f t="shared" ca="1" si="2"/>
        <v>1.2699366811599404</v>
      </c>
    </row>
    <row r="16" spans="1:7" ht="14.4" customHeight="1" x14ac:dyDescent="0.3">
      <c r="A16" s="180" t="str">
        <f>HYPERLINK("#'ZV Vykáz.-A'!A1","Zdravotní výkony vykázané u ambulantních pacientů (min. 100 %)")</f>
        <v>Zdravotní výkony vykázané u ambulantních pacientů (min. 100 %)</v>
      </c>
      <c r="B16" t="s">
        <v>126</v>
      </c>
      <c r="C16" s="156">
        <v>1</v>
      </c>
      <c r="D16" s="156">
        <f>IF(ISERROR(VLOOKUP("Celkem:",'ZV Vykáz.-A'!$A:$S,7,0)),"",VLOOKUP("Celkem:",'ZV Vykáz.-A'!$A:$S,7,0))</f>
        <v>1.2445379475367415</v>
      </c>
      <c r="E16" s="159">
        <f t="shared" si="2"/>
        <v>1.2445379475367415</v>
      </c>
    </row>
    <row r="17" spans="1:5" ht="14.4" customHeight="1" x14ac:dyDescent="0.3">
      <c r="A17" s="180" t="str">
        <f>HYPERLINK("#'ZV Vykáz.-H'!A1","Zdravotní výkony vykázané u hospitalizovaných pacientů (max. 85 %)")</f>
        <v>Zdravotní výkony vykázané u hospitalizovaných pacientů (max. 85 %)</v>
      </c>
      <c r="B17" t="s">
        <v>128</v>
      </c>
      <c r="C17" s="156">
        <v>0.85</v>
      </c>
      <c r="D17" s="156">
        <f>IF(ISERROR(VLOOKUP("Celkem:",'ZV Vykáz.-H'!$A:$S,7,0)),"",VLOOKUP("Celkem:",'ZV Vykáz.-H'!$A:$S,7,0))</f>
        <v>0.72541643278277845</v>
      </c>
      <c r="E17" s="159">
        <f t="shared" si="2"/>
        <v>0.85343109739150413</v>
      </c>
    </row>
    <row r="18" spans="1:5" ht="14.4" customHeight="1" x14ac:dyDescent="0.3">
      <c r="A18" s="188" t="str">
        <f>HYPERLINK("#HI!A1","Hospitalizace (casemix * 29500)")</f>
        <v>Hospitalizace (casemix * 29500)</v>
      </c>
      <c r="B18" s="147"/>
      <c r="C18" s="166">
        <f ca="1">IF(ISERROR(VLOOKUP("Hospitalizace (casemix * 29500)",INDIRECT("HI!$A:$G"),6,0)),0,VLOOKUP("Hospitalizace (casemix * 29500)",INDIRECT("HI!$A:$G"),6,0))</f>
        <v>0</v>
      </c>
      <c r="D18" s="166">
        <f ca="1">IF(ISERROR(VLOOKUP("Hospitalizace (casemix * 29500)",INDIRECT("HI!$A:$G"),4,0)),0,VLOOKUP("Hospitalizace (casemix * 29500)",INDIRECT("HI!$A:$G"),4,0))</f>
        <v>0</v>
      </c>
      <c r="E18" s="159">
        <f t="shared" ref="E18" ca="1" si="3">IF(C18=0,0,D18/C18)</f>
        <v>0</v>
      </c>
    </row>
    <row r="19" spans="1:5" ht="14.4" customHeight="1" thickBot="1" x14ac:dyDescent="0.35">
      <c r="A19" s="153" t="s">
        <v>145</v>
      </c>
      <c r="B19" s="148"/>
      <c r="C19" s="167"/>
      <c r="D19" s="167"/>
      <c r="E19" s="160"/>
    </row>
    <row r="20" spans="1:5" ht="14.4" customHeight="1" thickBot="1" x14ac:dyDescent="0.35">
      <c r="A20" s="145"/>
      <c r="B20" s="114"/>
      <c r="C20" s="168"/>
      <c r="D20" s="168"/>
      <c r="E20" s="163"/>
    </row>
    <row r="21" spans="1:5" ht="14.4" customHeight="1" thickBot="1" x14ac:dyDescent="0.35">
      <c r="A21" s="154" t="s">
        <v>146</v>
      </c>
      <c r="B21" s="150"/>
      <c r="C21" s="170"/>
      <c r="D21" s="170"/>
      <c r="E21" s="164"/>
    </row>
  </sheetData>
  <mergeCells count="1">
    <mergeCell ref="A1:E1"/>
  </mergeCells>
  <conditionalFormatting sqref="E5">
    <cfRule type="cellIs" dxfId="29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7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6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25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24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23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22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99" t="s">
        <v>135</v>
      </c>
      <c r="B1" s="199"/>
      <c r="C1" s="199"/>
      <c r="D1" s="199"/>
      <c r="E1" s="199"/>
      <c r="F1" s="199"/>
      <c r="G1" s="199"/>
    </row>
    <row r="2" spans="1:7" ht="14.4" customHeight="1" thickBot="1" x14ac:dyDescent="0.35">
      <c r="A2" s="250" t="s">
        <v>150</v>
      </c>
      <c r="B2" s="61"/>
      <c r="C2" s="61"/>
      <c r="D2" s="61"/>
      <c r="E2" s="61"/>
      <c r="F2" s="61"/>
      <c r="G2" s="61"/>
    </row>
    <row r="3" spans="1:7" ht="14.4" customHeight="1" x14ac:dyDescent="0.3">
      <c r="A3" s="202"/>
      <c r="B3" s="204" t="s">
        <v>79</v>
      </c>
      <c r="C3" s="205"/>
      <c r="D3" s="206"/>
      <c r="E3" s="10"/>
      <c r="F3" s="48" t="s">
        <v>80</v>
      </c>
      <c r="G3" s="49" t="s">
        <v>81</v>
      </c>
    </row>
    <row r="4" spans="1:7" ht="14.4" customHeight="1" thickBot="1" x14ac:dyDescent="0.35">
      <c r="A4" s="203"/>
      <c r="B4" s="50">
        <v>2011</v>
      </c>
      <c r="C4" s="46">
        <v>2012</v>
      </c>
      <c r="D4" s="47">
        <v>2013</v>
      </c>
      <c r="E4" s="10"/>
      <c r="F4" s="207">
        <v>2013</v>
      </c>
      <c r="G4" s="208"/>
    </row>
    <row r="5" spans="1:7" ht="14.4" customHeight="1" x14ac:dyDescent="0.3">
      <c r="A5" s="174" t="str">
        <f>HYPERLINK("#'Léky Žádanky'!A1","Léky (Kč)")</f>
        <v>Léky (Kč)</v>
      </c>
      <c r="B5" s="33">
        <v>0</v>
      </c>
      <c r="C5" s="34">
        <v>0</v>
      </c>
      <c r="D5" s="35">
        <v>0.56330000000000002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74" t="str">
        <f>HYPERLINK("#'Materiál Žádanky'!A1","Materiál - SZM (Kč)")</f>
        <v>Materiál - SZM (Kč)</v>
      </c>
      <c r="B6" s="14">
        <v>0</v>
      </c>
      <c r="C6" s="36">
        <v>0</v>
      </c>
      <c r="D6" s="37">
        <v>0.23154</v>
      </c>
      <c r="E6" s="11"/>
      <c r="F6" s="14">
        <v>0</v>
      </c>
      <c r="G6" s="15" t="str">
        <f>IF(F6&lt;0.00000001,"",D6/F6)</f>
        <v/>
      </c>
    </row>
    <row r="7" spans="1:7" ht="14.4" customHeight="1" x14ac:dyDescent="0.3">
      <c r="A7" s="174" t="str">
        <f>HYPERLINK("#'Osobní náklady'!A1","Osobní náklady (Kč)")</f>
        <v>Osobní náklady (Kč)</v>
      </c>
      <c r="B7" s="14">
        <v>5142.8547326402604</v>
      </c>
      <c r="C7" s="36">
        <v>5148.0210500000003</v>
      </c>
      <c r="D7" s="37">
        <v>5365.8336099999997</v>
      </c>
      <c r="E7" s="11"/>
      <c r="F7" s="14">
        <v>5010</v>
      </c>
      <c r="G7" s="15">
        <f>IF(F7&lt;0.00000001,"",D7/F7)</f>
        <v>1.0710246726546906</v>
      </c>
    </row>
    <row r="8" spans="1:7" ht="14.4" customHeight="1" thickBot="1" x14ac:dyDescent="0.35">
      <c r="A8" s="1" t="s">
        <v>82</v>
      </c>
      <c r="B8" s="16">
        <v>421.19829793128099</v>
      </c>
      <c r="C8" s="38">
        <v>316.61673000000002</v>
      </c>
      <c r="D8" s="39">
        <v>195.489820000001</v>
      </c>
      <c r="E8" s="11"/>
      <c r="F8" s="16">
        <v>210</v>
      </c>
      <c r="G8" s="17">
        <f>IF(F8&lt;0.00000001,"",D8/F8)</f>
        <v>0.93090390476190954</v>
      </c>
    </row>
    <row r="9" spans="1:7" ht="14.4" customHeight="1" thickBot="1" x14ac:dyDescent="0.35">
      <c r="A9" s="2" t="s">
        <v>83</v>
      </c>
      <c r="B9" s="3">
        <v>5564.0530305715401</v>
      </c>
      <c r="C9" s="40">
        <v>5464.63778</v>
      </c>
      <c r="D9" s="41">
        <v>5562.1182699999999</v>
      </c>
      <c r="E9" s="11"/>
      <c r="F9" s="3">
        <v>5220</v>
      </c>
      <c r="G9" s="4">
        <f>IF(F9&lt;0.00000001,"",D9/F9)</f>
        <v>1.0655398984674329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76" t="str">
        <f>HYPERLINK("#'ZV Vykáz.-A'!A1","Ambulance (body)")</f>
        <v>Ambulance (body)</v>
      </c>
      <c r="B11" s="12">
        <f>IF(ISERROR(VLOOKUP("Celkem:",'ZV Vykáz.-A'!A:F,2,0)),0,VLOOKUP("Celkem:",'ZV Vykáz.-A'!A:F,2,0)/1000)</f>
        <v>2525.8820000000001</v>
      </c>
      <c r="C11" s="34">
        <f>IF(ISERROR(VLOOKUP("Celkem:",'ZV Vykáz.-A'!A:F,4,0)),0,VLOOKUP("Celkem:",'ZV Vykáz.-A'!A:F,4,0)/1000)</f>
        <v>2842.308</v>
      </c>
      <c r="D11" s="35">
        <f>IF(ISERROR(VLOOKUP("Celkem:",'ZV Vykáz.-A'!A:F,6,0)),0,VLOOKUP("Celkem:",'ZV Vykáz.-A'!A:F,6,0)/1000)</f>
        <v>3143.556</v>
      </c>
      <c r="E11" s="11"/>
      <c r="F11" s="12">
        <f>B11*0.98</f>
        <v>2475.36436</v>
      </c>
      <c r="G11" s="13">
        <f>IF(F11=0,"",D11/F11)</f>
        <v>1.2699366811599404</v>
      </c>
    </row>
    <row r="12" spans="1:7" ht="14.4" customHeight="1" thickBot="1" x14ac:dyDescent="0.35">
      <c r="A12" s="177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86</v>
      </c>
      <c r="B13" s="6">
        <f>SUM(B11:B12)</f>
        <v>2525.8820000000001</v>
      </c>
      <c r="C13" s="42">
        <f>SUM(C11:C12)</f>
        <v>2842.308</v>
      </c>
      <c r="D13" s="43">
        <f>SUM(D11:D12)</f>
        <v>3143.556</v>
      </c>
      <c r="E13" s="11"/>
      <c r="F13" s="6">
        <f>SUM(F11:F12)</f>
        <v>2475.36436</v>
      </c>
      <c r="G13" s="7">
        <f>IF(F13=0,"",D13/F13)</f>
        <v>1.2699366811599404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83" t="str">
        <f>HYPERLINK("#'HI Graf'!A1","Hospodářský index (Výnosy / Náklady)")</f>
        <v>Hospodářský index (Výnosy / Náklady)</v>
      </c>
      <c r="B15" s="8">
        <f>IF(B9=0,"",B13/B9)</f>
        <v>0.45396440079230177</v>
      </c>
      <c r="C15" s="44">
        <f>IF(C9=0,"",C13/C9)</f>
        <v>0.52012742919623123</v>
      </c>
      <c r="D15" s="45">
        <f>IF(D9=0,"",D13/D9)</f>
        <v>0.565172448229872</v>
      </c>
      <c r="E15" s="11"/>
      <c r="F15" s="8">
        <f>IF(F9=0,"",F13/F9)</f>
        <v>0.47420773180076631</v>
      </c>
      <c r="G15" s="9">
        <f>IF(OR(F15=0,F15=""),"",D15/F15)</f>
        <v>1.1918246167848727</v>
      </c>
    </row>
    <row r="17" spans="1:1" ht="14.4" customHeight="1" x14ac:dyDescent="0.3">
      <c r="A17" s="175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21" priority="6" operator="greaterThan">
      <formula>1</formula>
    </cfRule>
  </conditionalFormatting>
  <conditionalFormatting sqref="G11:G15">
    <cfRule type="cellIs" dxfId="20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89"/>
    <col min="2" max="13" width="8.88671875" style="89" customWidth="1"/>
    <col min="14" max="16384" width="8.88671875" style="89"/>
  </cols>
  <sheetData>
    <row r="1" spans="1:13" ht="18.600000000000001" customHeight="1" thickBot="1" x14ac:dyDescent="0.4">
      <c r="A1" s="199" t="s">
        <v>113</v>
      </c>
      <c r="B1" s="199"/>
      <c r="C1" s="199"/>
      <c r="D1" s="199"/>
      <c r="E1" s="199"/>
      <c r="F1" s="199"/>
      <c r="G1" s="199"/>
      <c r="H1" s="209"/>
      <c r="I1" s="209"/>
      <c r="J1" s="209"/>
      <c r="K1" s="209"/>
      <c r="L1" s="209"/>
      <c r="M1" s="209"/>
    </row>
    <row r="2" spans="1:13" ht="14.4" customHeight="1" x14ac:dyDescent="0.3">
      <c r="A2" s="250" t="s">
        <v>150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4.4" customHeight="1" x14ac:dyDescent="0.3">
      <c r="A3" s="125"/>
      <c r="B3" s="126" t="s">
        <v>88</v>
      </c>
      <c r="C3" s="127" t="s">
        <v>89</v>
      </c>
      <c r="D3" s="127" t="s">
        <v>90</v>
      </c>
      <c r="E3" s="126" t="s">
        <v>91</v>
      </c>
      <c r="F3" s="127" t="s">
        <v>92</v>
      </c>
      <c r="G3" s="127" t="s">
        <v>93</v>
      </c>
      <c r="H3" s="127" t="s">
        <v>94</v>
      </c>
      <c r="I3" s="127" t="s">
        <v>95</v>
      </c>
      <c r="J3" s="127" t="s">
        <v>96</v>
      </c>
      <c r="K3" s="127" t="s">
        <v>97</v>
      </c>
      <c r="L3" s="127" t="s">
        <v>98</v>
      </c>
      <c r="M3" s="127" t="s">
        <v>99</v>
      </c>
    </row>
    <row r="4" spans="1:13" ht="14.4" customHeight="1" x14ac:dyDescent="0.3">
      <c r="A4" s="125" t="s">
        <v>87</v>
      </c>
      <c r="B4" s="128">
        <f>(B10+B8)/B6</f>
        <v>0.57817709257491301</v>
      </c>
      <c r="C4" s="128">
        <f t="shared" ref="C4:M4" si="0">(C10+C8)/C6</f>
        <v>0.60145994580708173</v>
      </c>
      <c r="D4" s="128">
        <f t="shared" si="0"/>
        <v>0.60767922359588089</v>
      </c>
      <c r="E4" s="128">
        <f t="shared" si="0"/>
        <v>0.63240553403228972</v>
      </c>
      <c r="F4" s="128">
        <f t="shared" si="0"/>
        <v>0.63021396265885299</v>
      </c>
      <c r="G4" s="128">
        <f t="shared" si="0"/>
        <v>0.61304163509655052</v>
      </c>
      <c r="H4" s="128">
        <f t="shared" si="0"/>
        <v>0.55199866941873776</v>
      </c>
      <c r="I4" s="128">
        <f t="shared" si="0"/>
        <v>0.53791129989536901</v>
      </c>
      <c r="J4" s="128">
        <f t="shared" si="0"/>
        <v>0.55242853215512933</v>
      </c>
      <c r="K4" s="128">
        <f t="shared" si="0"/>
        <v>0.565172448229872</v>
      </c>
      <c r="L4" s="128">
        <f t="shared" si="0"/>
        <v>0.565172448229872</v>
      </c>
      <c r="M4" s="128">
        <f t="shared" si="0"/>
        <v>0.565172448229872</v>
      </c>
    </row>
    <row r="5" spans="1:13" ht="14.4" customHeight="1" x14ac:dyDescent="0.3">
      <c r="A5" s="129" t="s">
        <v>55</v>
      </c>
      <c r="B5" s="128">
        <f>IF(ISERROR(VLOOKUP($A5,'Man Tab'!$A:$Q,COLUMN()+2,0)),0,VLOOKUP($A5,'Man Tab'!$A:$Q,COLUMN()+2,0))</f>
        <v>548.07775000000004</v>
      </c>
      <c r="C5" s="128">
        <f>IF(ISERROR(VLOOKUP($A5,'Man Tab'!$A:$Q,COLUMN()+2,0)),0,VLOOKUP($A5,'Man Tab'!$A:$Q,COLUMN()+2,0))</f>
        <v>514.93568000000005</v>
      </c>
      <c r="D5" s="128">
        <f>IF(ISERROR(VLOOKUP($A5,'Man Tab'!$A:$Q,COLUMN()+2,0)),0,VLOOKUP($A5,'Man Tab'!$A:$Q,COLUMN()+2,0))</f>
        <v>548.11455000000001</v>
      </c>
      <c r="E5" s="128">
        <f>IF(ISERROR(VLOOKUP($A5,'Man Tab'!$A:$Q,COLUMN()+2,0)),0,VLOOKUP($A5,'Man Tab'!$A:$Q,COLUMN()+2,0))</f>
        <v>548.04192999999896</v>
      </c>
      <c r="F5" s="128">
        <f>IF(ISERROR(VLOOKUP($A5,'Man Tab'!$A:$Q,COLUMN()+2,0)),0,VLOOKUP($A5,'Man Tab'!$A:$Q,COLUMN()+2,0))</f>
        <v>544.51026999999999</v>
      </c>
      <c r="G5" s="128">
        <f>IF(ISERROR(VLOOKUP($A5,'Man Tab'!$A:$Q,COLUMN()+2,0)),0,VLOOKUP($A5,'Man Tab'!$A:$Q,COLUMN()+2,0))</f>
        <v>512.81097999999997</v>
      </c>
      <c r="H5" s="128">
        <f>IF(ISERROR(VLOOKUP($A5,'Man Tab'!$A:$Q,COLUMN()+2,0)),0,VLOOKUP($A5,'Man Tab'!$A:$Q,COLUMN()+2,0))</f>
        <v>721.09622999999999</v>
      </c>
      <c r="I5" s="128">
        <f>IF(ISERROR(VLOOKUP($A5,'Man Tab'!$A:$Q,COLUMN()+2,0)),0,VLOOKUP($A5,'Man Tab'!$A:$Q,COLUMN()+2,0))</f>
        <v>548.49051999999995</v>
      </c>
      <c r="J5" s="128">
        <f>IF(ISERROR(VLOOKUP($A5,'Man Tab'!$A:$Q,COLUMN()+2,0)),0,VLOOKUP($A5,'Man Tab'!$A:$Q,COLUMN()+2,0))</f>
        <v>526.72436000000005</v>
      </c>
      <c r="K5" s="128">
        <f>IF(ISERROR(VLOOKUP($A5,'Man Tab'!$A:$Q,COLUMN()+2,0)),0,VLOOKUP($A5,'Man Tab'!$A:$Q,COLUMN()+2,0))</f>
        <v>549.31600000000003</v>
      </c>
      <c r="L5" s="128">
        <f>IF(ISERROR(VLOOKUP($A5,'Man Tab'!$A:$Q,COLUMN()+2,0)),0,VLOOKUP($A5,'Man Tab'!$A:$Q,COLUMN()+2,0))</f>
        <v>4.9406564584124654E-324</v>
      </c>
      <c r="M5" s="128">
        <f>IF(ISERROR(VLOOKUP($A5,'Man Tab'!$A:$Q,COLUMN()+2,0)),0,VLOOKUP($A5,'Man Tab'!$A:$Q,COLUMN()+2,0))</f>
        <v>4.9406564584124654E-324</v>
      </c>
    </row>
    <row r="6" spans="1:13" ht="14.4" customHeight="1" x14ac:dyDescent="0.3">
      <c r="A6" s="129" t="s">
        <v>83</v>
      </c>
      <c r="B6" s="130">
        <f>B5</f>
        <v>548.07775000000004</v>
      </c>
      <c r="C6" s="130">
        <f t="shared" ref="C6:M6" si="1">C5+B6</f>
        <v>1063.01343</v>
      </c>
      <c r="D6" s="130">
        <f t="shared" si="1"/>
        <v>1611.12798</v>
      </c>
      <c r="E6" s="130">
        <f t="shared" si="1"/>
        <v>2159.1699099999987</v>
      </c>
      <c r="F6" s="130">
        <f t="shared" si="1"/>
        <v>2703.6801799999985</v>
      </c>
      <c r="G6" s="130">
        <f t="shared" si="1"/>
        <v>3216.4911599999987</v>
      </c>
      <c r="H6" s="130">
        <f t="shared" si="1"/>
        <v>3937.5873899999988</v>
      </c>
      <c r="I6" s="130">
        <f t="shared" si="1"/>
        <v>4486.0779099999991</v>
      </c>
      <c r="J6" s="130">
        <f t="shared" si="1"/>
        <v>5012.8022699999992</v>
      </c>
      <c r="K6" s="130">
        <f t="shared" si="1"/>
        <v>5562.118269999999</v>
      </c>
      <c r="L6" s="130">
        <f t="shared" si="1"/>
        <v>5562.118269999999</v>
      </c>
      <c r="M6" s="130">
        <f t="shared" si="1"/>
        <v>5562.118269999999</v>
      </c>
    </row>
    <row r="7" spans="1:13" ht="14.4" customHeight="1" x14ac:dyDescent="0.3">
      <c r="A7" s="129" t="s">
        <v>111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t="14.4" customHeight="1" x14ac:dyDescent="0.3">
      <c r="A8" s="129" t="s">
        <v>84</v>
      </c>
      <c r="B8" s="130">
        <f>B7*29.5</f>
        <v>0</v>
      </c>
      <c r="C8" s="130">
        <f t="shared" ref="C8:M8" si="2">C7*29.5</f>
        <v>0</v>
      </c>
      <c r="D8" s="130">
        <f t="shared" si="2"/>
        <v>0</v>
      </c>
      <c r="E8" s="130">
        <f t="shared" si="2"/>
        <v>0</v>
      </c>
      <c r="F8" s="130">
        <f t="shared" si="2"/>
        <v>0</v>
      </c>
      <c r="G8" s="130">
        <f t="shared" si="2"/>
        <v>0</v>
      </c>
      <c r="H8" s="130">
        <f t="shared" si="2"/>
        <v>0</v>
      </c>
      <c r="I8" s="130">
        <f t="shared" si="2"/>
        <v>0</v>
      </c>
      <c r="J8" s="130">
        <f t="shared" si="2"/>
        <v>0</v>
      </c>
      <c r="K8" s="130">
        <f t="shared" si="2"/>
        <v>0</v>
      </c>
      <c r="L8" s="130">
        <f t="shared" si="2"/>
        <v>0</v>
      </c>
      <c r="M8" s="130">
        <f t="shared" si="2"/>
        <v>0</v>
      </c>
    </row>
    <row r="9" spans="1:13" ht="14.4" customHeight="1" x14ac:dyDescent="0.3">
      <c r="A9" s="129" t="s">
        <v>112</v>
      </c>
      <c r="B9" s="129">
        <v>316886</v>
      </c>
      <c r="C9" s="129">
        <v>322474</v>
      </c>
      <c r="D9" s="129">
        <v>339689</v>
      </c>
      <c r="E9" s="129">
        <v>386422</v>
      </c>
      <c r="F9" s="129">
        <v>338426</v>
      </c>
      <c r="G9" s="129">
        <v>267946</v>
      </c>
      <c r="H9" s="129">
        <v>201700</v>
      </c>
      <c r="I9" s="129">
        <v>239569</v>
      </c>
      <c r="J9" s="129">
        <v>356103</v>
      </c>
      <c r="K9" s="129">
        <v>374341</v>
      </c>
      <c r="L9" s="129">
        <v>0</v>
      </c>
      <c r="M9" s="129">
        <v>0</v>
      </c>
    </row>
    <row r="10" spans="1:13" ht="14.4" customHeight="1" x14ac:dyDescent="0.3">
      <c r="A10" s="129" t="s">
        <v>85</v>
      </c>
      <c r="B10" s="130">
        <f>B9/1000</f>
        <v>316.88600000000002</v>
      </c>
      <c r="C10" s="130">
        <f t="shared" ref="C10:M10" si="3">C9/1000+B10</f>
        <v>639.36</v>
      </c>
      <c r="D10" s="130">
        <f t="shared" si="3"/>
        <v>979.04899999999998</v>
      </c>
      <c r="E10" s="130">
        <f t="shared" si="3"/>
        <v>1365.471</v>
      </c>
      <c r="F10" s="130">
        <f t="shared" si="3"/>
        <v>1703.8969999999999</v>
      </c>
      <c r="G10" s="130">
        <f t="shared" si="3"/>
        <v>1971.8429999999998</v>
      </c>
      <c r="H10" s="130">
        <f t="shared" si="3"/>
        <v>2173.5429999999997</v>
      </c>
      <c r="I10" s="130">
        <f t="shared" si="3"/>
        <v>2413.1119999999996</v>
      </c>
      <c r="J10" s="130">
        <f t="shared" si="3"/>
        <v>2769.2149999999997</v>
      </c>
      <c r="K10" s="130">
        <f t="shared" si="3"/>
        <v>3143.5559999999996</v>
      </c>
      <c r="L10" s="130">
        <f t="shared" si="3"/>
        <v>3143.5559999999996</v>
      </c>
      <c r="M10" s="130">
        <f t="shared" si="3"/>
        <v>3143.5559999999996</v>
      </c>
    </row>
    <row r="11" spans="1:13" ht="14.4" customHeight="1" x14ac:dyDescent="0.3">
      <c r="A11" s="125"/>
      <c r="B11" s="125" t="s">
        <v>100</v>
      </c>
      <c r="C11" s="125">
        <f>COUNTIF(B7:M7,"&lt;&gt;")</f>
        <v>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ht="14.4" customHeight="1" x14ac:dyDescent="0.3">
      <c r="A12" s="125">
        <v>0</v>
      </c>
      <c r="B12" s="128">
        <f>IF(ISERROR(HI!F15),#REF!,HI!F15)</f>
        <v>0.47420773180076631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ht="14.4" customHeight="1" x14ac:dyDescent="0.3">
      <c r="A13" s="125">
        <v>1</v>
      </c>
      <c r="B13" s="128">
        <f>IF(ISERROR(HI!F15),#REF!,HI!F15)</f>
        <v>0.47420773180076631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211" t="s">
        <v>152</v>
      </c>
      <c r="B1" s="211"/>
      <c r="C1" s="211"/>
      <c r="D1" s="211"/>
      <c r="E1" s="211"/>
      <c r="F1" s="211"/>
      <c r="G1" s="211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17" s="62" customFormat="1" ht="14.4" customHeight="1" thickBot="1" x14ac:dyDescent="0.35">
      <c r="A2" s="250" t="s">
        <v>150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91"/>
      <c r="B3" s="212" t="s">
        <v>18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51"/>
      <c r="Q3" s="53"/>
    </row>
    <row r="4" spans="1:17" ht="14.4" customHeight="1" x14ac:dyDescent="0.3">
      <c r="A4" s="92"/>
      <c r="B4" s="26" t="s">
        <v>19</v>
      </c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2" t="s">
        <v>25</v>
      </c>
      <c r="I4" s="52" t="s">
        <v>26</v>
      </c>
      <c r="J4" s="52" t="s">
        <v>27</v>
      </c>
      <c r="K4" s="52" t="s">
        <v>28</v>
      </c>
      <c r="L4" s="52" t="s">
        <v>29</v>
      </c>
      <c r="M4" s="52" t="s">
        <v>30</v>
      </c>
      <c r="N4" s="52" t="s">
        <v>31</v>
      </c>
      <c r="O4" s="52" t="s">
        <v>32</v>
      </c>
      <c r="P4" s="214" t="s">
        <v>6</v>
      </c>
      <c r="Q4" s="215"/>
    </row>
    <row r="5" spans="1:17" ht="14.4" customHeight="1" thickBot="1" x14ac:dyDescent="0.35">
      <c r="A5" s="93"/>
      <c r="B5" s="27" t="s">
        <v>33</v>
      </c>
      <c r="C5" s="28" t="s">
        <v>33</v>
      </c>
      <c r="D5" s="28" t="s">
        <v>34</v>
      </c>
      <c r="E5" s="28" t="s">
        <v>34</v>
      </c>
      <c r="F5" s="28" t="s">
        <v>34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 t="s">
        <v>34</v>
      </c>
      <c r="M5" s="28" t="s">
        <v>34</v>
      </c>
      <c r="N5" s="28" t="s">
        <v>34</v>
      </c>
      <c r="O5" s="28" t="s">
        <v>34</v>
      </c>
      <c r="P5" s="28" t="s">
        <v>34</v>
      </c>
      <c r="Q5" s="29" t="s">
        <v>35</v>
      </c>
    </row>
    <row r="6" spans="1:17" ht="14.4" customHeight="1" x14ac:dyDescent="0.3">
      <c r="A6" s="20" t="s">
        <v>36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4.9406564584124654E-323</v>
      </c>
      <c r="Q6" s="109" t="s">
        <v>151</v>
      </c>
    </row>
    <row r="7" spans="1:17" ht="14.4" customHeight="1" x14ac:dyDescent="0.3">
      <c r="A7" s="21" t="s">
        <v>37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0.56330000000000002</v>
      </c>
      <c r="G7" s="68">
        <v>4.9406564584124654E-324</v>
      </c>
      <c r="H7" s="68">
        <v>4.9406564584124654E-324</v>
      </c>
      <c r="I7" s="68">
        <v>4.9406564584124654E-324</v>
      </c>
      <c r="J7" s="68">
        <v>4.9406564584124654E-324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0.56330000000000002</v>
      </c>
      <c r="Q7" s="110" t="s">
        <v>151</v>
      </c>
    </row>
    <row r="8" spans="1:17" ht="14.4" customHeight="1" x14ac:dyDescent="0.3">
      <c r="A8" s="21" t="s">
        <v>38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4.9406564584124654E-323</v>
      </c>
      <c r="Q8" s="110" t="s">
        <v>151</v>
      </c>
    </row>
    <row r="9" spans="1:17" ht="14.4" customHeight="1" x14ac:dyDescent="0.3">
      <c r="A9" s="21" t="s">
        <v>39</v>
      </c>
      <c r="B9" s="67">
        <v>0</v>
      </c>
      <c r="C9" s="68">
        <v>0</v>
      </c>
      <c r="D9" s="68">
        <v>4.9406564584124654E-324</v>
      </c>
      <c r="E9" s="68">
        <v>4.9406564584124654E-324</v>
      </c>
      <c r="F9" s="68">
        <v>0.23154</v>
      </c>
      <c r="G9" s="68">
        <v>4.9406564584124654E-324</v>
      </c>
      <c r="H9" s="68">
        <v>4.9406564584124654E-324</v>
      </c>
      <c r="I9" s="68">
        <v>4.9406564584124654E-324</v>
      </c>
      <c r="J9" s="68">
        <v>4.9406564584124654E-324</v>
      </c>
      <c r="K9" s="68">
        <v>4.9406564584124654E-324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0.23154</v>
      </c>
      <c r="Q9" s="110" t="s">
        <v>151</v>
      </c>
    </row>
    <row r="10" spans="1:17" ht="14.4" customHeight="1" x14ac:dyDescent="0.3">
      <c r="A10" s="21" t="s">
        <v>40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4.9406564584124654E-323</v>
      </c>
      <c r="Q10" s="110" t="s">
        <v>151</v>
      </c>
    </row>
    <row r="11" spans="1:17" ht="14.4" customHeight="1" x14ac:dyDescent="0.3">
      <c r="A11" s="21" t="s">
        <v>41</v>
      </c>
      <c r="B11" s="67">
        <v>55.016524255577004</v>
      </c>
      <c r="C11" s="68">
        <v>4.5847103546310004</v>
      </c>
      <c r="D11" s="68">
        <v>0.46089999999999998</v>
      </c>
      <c r="E11" s="68">
        <v>0.60499999999999998</v>
      </c>
      <c r="F11" s="68">
        <v>0.86890999999999996</v>
      </c>
      <c r="G11" s="68">
        <v>4.6794799999989998</v>
      </c>
      <c r="H11" s="68">
        <v>1.1000000000000001</v>
      </c>
      <c r="I11" s="68">
        <v>4.9406564584124654E-324</v>
      </c>
      <c r="J11" s="68">
        <v>4.9406564584124654E-324</v>
      </c>
      <c r="K11" s="68">
        <v>2.4995400000000001</v>
      </c>
      <c r="L11" s="68">
        <v>0.25412000000000001</v>
      </c>
      <c r="M11" s="68">
        <v>0.20974999999999999</v>
      </c>
      <c r="N11" s="68">
        <v>4.9406564584124654E-324</v>
      </c>
      <c r="O11" s="68">
        <v>4.9406564584124654E-324</v>
      </c>
      <c r="P11" s="69">
        <v>10.6777</v>
      </c>
      <c r="Q11" s="110">
        <v>0.232898027881</v>
      </c>
    </row>
    <row r="12" spans="1:17" ht="14.4" customHeight="1" x14ac:dyDescent="0.3">
      <c r="A12" s="21" t="s">
        <v>42</v>
      </c>
      <c r="B12" s="67">
        <v>0.32354443690099999</v>
      </c>
      <c r="C12" s="68">
        <v>2.6962036408E-2</v>
      </c>
      <c r="D12" s="68">
        <v>8.3199999999999993E-3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4.9406564584124654E-324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8.3199999999999993E-3</v>
      </c>
      <c r="Q12" s="110">
        <v>3.0858203266999999E-2</v>
      </c>
    </row>
    <row r="13" spans="1:17" ht="14.4" customHeight="1" x14ac:dyDescent="0.3">
      <c r="A13" s="21" t="s">
        <v>43</v>
      </c>
      <c r="B13" s="67">
        <v>1.1182466858919999</v>
      </c>
      <c r="C13" s="68">
        <v>9.3187223824000007E-2</v>
      </c>
      <c r="D13" s="68">
        <v>4.9406564584124654E-324</v>
      </c>
      <c r="E13" s="68">
        <v>0.48954999999999999</v>
      </c>
      <c r="F13" s="68">
        <v>0.1633</v>
      </c>
      <c r="G13" s="68">
        <v>0.53524999999900003</v>
      </c>
      <c r="H13" s="68">
        <v>0.53520000000000001</v>
      </c>
      <c r="I13" s="68">
        <v>0.16325999999999999</v>
      </c>
      <c r="J13" s="68">
        <v>4.9406564584124654E-324</v>
      </c>
      <c r="K13" s="68">
        <v>-0.67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1.2165600000000001</v>
      </c>
      <c r="Q13" s="110">
        <v>1.3055008509449999</v>
      </c>
    </row>
    <row r="14" spans="1:17" ht="14.4" customHeight="1" x14ac:dyDescent="0.3">
      <c r="A14" s="21" t="s">
        <v>44</v>
      </c>
      <c r="B14" s="67">
        <v>92.125526522339996</v>
      </c>
      <c r="C14" s="68">
        <v>7.6771272101949997</v>
      </c>
      <c r="D14" s="68">
        <v>11.326000000000001</v>
      </c>
      <c r="E14" s="68">
        <v>9.51</v>
      </c>
      <c r="F14" s="68">
        <v>10.114000000000001</v>
      </c>
      <c r="G14" s="68">
        <v>6.6239999999989996</v>
      </c>
      <c r="H14" s="68">
        <v>4.9459999999999997</v>
      </c>
      <c r="I14" s="68">
        <v>5.2880000000000003</v>
      </c>
      <c r="J14" s="68">
        <v>5.0190000000000001</v>
      </c>
      <c r="K14" s="68">
        <v>4.7069999999999999</v>
      </c>
      <c r="L14" s="68">
        <v>5.4820000000000002</v>
      </c>
      <c r="M14" s="68">
        <v>7.2809999999999997</v>
      </c>
      <c r="N14" s="68">
        <v>4.9406564584124654E-324</v>
      </c>
      <c r="O14" s="68">
        <v>4.9406564584124654E-324</v>
      </c>
      <c r="P14" s="69">
        <v>70.296999999999997</v>
      </c>
      <c r="Q14" s="110">
        <v>0.91566803669200003</v>
      </c>
    </row>
    <row r="15" spans="1:17" ht="14.4" customHeight="1" x14ac:dyDescent="0.3">
      <c r="A15" s="21" t="s">
        <v>45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4.9406564584124654E-323</v>
      </c>
      <c r="Q15" s="110" t="s">
        <v>151</v>
      </c>
    </row>
    <row r="16" spans="1:17" ht="14.4" customHeight="1" x14ac:dyDescent="0.3">
      <c r="A16" s="21" t="s">
        <v>46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4.9406564584124654E-323</v>
      </c>
      <c r="Q16" s="110" t="s">
        <v>151</v>
      </c>
    </row>
    <row r="17" spans="1:17" ht="14.4" customHeight="1" x14ac:dyDescent="0.3">
      <c r="A17" s="21" t="s">
        <v>47</v>
      </c>
      <c r="B17" s="67">
        <v>8.9992811129650008</v>
      </c>
      <c r="C17" s="68">
        <v>0.74994009274700002</v>
      </c>
      <c r="D17" s="68">
        <v>1.8149999999999999</v>
      </c>
      <c r="E17" s="68">
        <v>4.9406564584124654E-324</v>
      </c>
      <c r="F17" s="68">
        <v>4.9406564584124654E-324</v>
      </c>
      <c r="G17" s="68">
        <v>0.68243999999899996</v>
      </c>
      <c r="H17" s="68">
        <v>-0.68244000000000005</v>
      </c>
      <c r="I17" s="68">
        <v>0.39640999999999998</v>
      </c>
      <c r="J17" s="68">
        <v>4.9406564584124654E-324</v>
      </c>
      <c r="K17" s="68">
        <v>4.9406564584124654E-324</v>
      </c>
      <c r="L17" s="68">
        <v>4.9406564584124654E-324</v>
      </c>
      <c r="M17" s="68">
        <v>4.9406564584124654E-324</v>
      </c>
      <c r="N17" s="68">
        <v>4.9406564584124654E-324</v>
      </c>
      <c r="O17" s="68">
        <v>4.9406564584124654E-324</v>
      </c>
      <c r="P17" s="69">
        <v>2.2114099999999999</v>
      </c>
      <c r="Q17" s="110">
        <v>0.294878220458</v>
      </c>
    </row>
    <row r="18" spans="1:17" ht="14.4" customHeight="1" x14ac:dyDescent="0.3">
      <c r="A18" s="21" t="s">
        <v>48</v>
      </c>
      <c r="B18" s="67">
        <v>0</v>
      </c>
      <c r="C18" s="68">
        <v>0</v>
      </c>
      <c r="D18" s="68">
        <v>0.94</v>
      </c>
      <c r="E18" s="68">
        <v>0.21199999999999999</v>
      </c>
      <c r="F18" s="68">
        <v>0.28199999999999997</v>
      </c>
      <c r="G18" s="68">
        <v>1.44</v>
      </c>
      <c r="H18" s="68">
        <v>0.45200000000000001</v>
      </c>
      <c r="I18" s="68">
        <v>4.9406564584124654E-324</v>
      </c>
      <c r="J18" s="68">
        <v>4.9406564584124654E-324</v>
      </c>
      <c r="K18" s="68">
        <v>4.9406564584124654E-324</v>
      </c>
      <c r="L18" s="68">
        <v>1.0029999999999999</v>
      </c>
      <c r="M18" s="68">
        <v>0.96899999999999997</v>
      </c>
      <c r="N18" s="68">
        <v>4.9406564584124654E-324</v>
      </c>
      <c r="O18" s="68">
        <v>4.9406564584124654E-324</v>
      </c>
      <c r="P18" s="69">
        <v>5.298</v>
      </c>
      <c r="Q18" s="110" t="s">
        <v>151</v>
      </c>
    </row>
    <row r="19" spans="1:17" ht="14.4" customHeight="1" x14ac:dyDescent="0.3">
      <c r="A19" s="21" t="s">
        <v>49</v>
      </c>
      <c r="B19" s="67">
        <v>55.857476454905999</v>
      </c>
      <c r="C19" s="68">
        <v>4.6547897045750002</v>
      </c>
      <c r="D19" s="68">
        <v>5.3619300000000001</v>
      </c>
      <c r="E19" s="68">
        <v>4.0788399999999996</v>
      </c>
      <c r="F19" s="68">
        <v>4.94672</v>
      </c>
      <c r="G19" s="68">
        <v>5.969169999999</v>
      </c>
      <c r="H19" s="68">
        <v>4.7227199999999998</v>
      </c>
      <c r="I19" s="68">
        <v>4.4008099999999999</v>
      </c>
      <c r="J19" s="68">
        <v>4.0700500000000002</v>
      </c>
      <c r="K19" s="68">
        <v>4.3402000000000003</v>
      </c>
      <c r="L19" s="68">
        <v>4.3816899999999999</v>
      </c>
      <c r="M19" s="68">
        <v>5.7807000000000004</v>
      </c>
      <c r="N19" s="68">
        <v>4.9406564584124654E-324</v>
      </c>
      <c r="O19" s="68">
        <v>4.9406564584124654E-324</v>
      </c>
      <c r="P19" s="69">
        <v>48.05283</v>
      </c>
      <c r="Q19" s="110">
        <v>1.032330847358</v>
      </c>
    </row>
    <row r="20" spans="1:17" ht="14.4" customHeight="1" x14ac:dyDescent="0.3">
      <c r="A20" s="21" t="s">
        <v>50</v>
      </c>
      <c r="B20" s="67">
        <v>6009.9983753778297</v>
      </c>
      <c r="C20" s="68">
        <v>500.83319794815202</v>
      </c>
      <c r="D20" s="68">
        <v>523.98860000000002</v>
      </c>
      <c r="E20" s="68">
        <v>496.72329000000002</v>
      </c>
      <c r="F20" s="68">
        <v>527.38477999999998</v>
      </c>
      <c r="G20" s="68">
        <v>524.83158999999898</v>
      </c>
      <c r="H20" s="68">
        <v>529.05678999999998</v>
      </c>
      <c r="I20" s="68">
        <v>494.20249999999999</v>
      </c>
      <c r="J20" s="68">
        <v>708.72717999999998</v>
      </c>
      <c r="K20" s="68">
        <v>534.33378000000005</v>
      </c>
      <c r="L20" s="68">
        <v>511.22354999999999</v>
      </c>
      <c r="M20" s="68">
        <v>515.36154999999997</v>
      </c>
      <c r="N20" s="68">
        <v>4.9406564584124654E-324</v>
      </c>
      <c r="O20" s="68">
        <v>4.9406564584124654E-324</v>
      </c>
      <c r="P20" s="69">
        <v>5365.8336099999997</v>
      </c>
      <c r="Q20" s="110">
        <v>1.07138137647</v>
      </c>
    </row>
    <row r="21" spans="1:17" ht="14.4" customHeight="1" x14ac:dyDescent="0.3">
      <c r="A21" s="22" t="s">
        <v>51</v>
      </c>
      <c r="B21" s="67">
        <v>37.999999999997002</v>
      </c>
      <c r="C21" s="68">
        <v>3.1666666666659999</v>
      </c>
      <c r="D21" s="68">
        <v>3.177</v>
      </c>
      <c r="E21" s="68">
        <v>3.3170000000000002</v>
      </c>
      <c r="F21" s="68">
        <v>3.28</v>
      </c>
      <c r="G21" s="68">
        <v>3.28</v>
      </c>
      <c r="H21" s="68">
        <v>3.28</v>
      </c>
      <c r="I21" s="68">
        <v>3.28</v>
      </c>
      <c r="J21" s="68">
        <v>3.28</v>
      </c>
      <c r="K21" s="68">
        <v>3.28</v>
      </c>
      <c r="L21" s="68">
        <v>3.28</v>
      </c>
      <c r="M21" s="68">
        <v>3.28</v>
      </c>
      <c r="N21" s="68">
        <v>1.4821969375237396E-323</v>
      </c>
      <c r="O21" s="68">
        <v>1.4821969375237396E-323</v>
      </c>
      <c r="P21" s="69">
        <v>32.734000000000002</v>
      </c>
      <c r="Q21" s="110">
        <v>1.0337052631570001</v>
      </c>
    </row>
    <row r="22" spans="1:17" ht="14.4" customHeight="1" x14ac:dyDescent="0.3">
      <c r="A22" s="21" t="s">
        <v>52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4.9406564584124654E-324</v>
      </c>
      <c r="L22" s="68">
        <v>4.9406564584124654E-324</v>
      </c>
      <c r="M22" s="68">
        <v>1.034</v>
      </c>
      <c r="N22" s="68">
        <v>4.9406564584124654E-324</v>
      </c>
      <c r="O22" s="68">
        <v>4.9406564584124654E-324</v>
      </c>
      <c r="P22" s="69">
        <v>1.034</v>
      </c>
      <c r="Q22" s="110" t="s">
        <v>151</v>
      </c>
    </row>
    <row r="23" spans="1:17" ht="14.4" customHeight="1" x14ac:dyDescent="0.3">
      <c r="A23" s="22" t="s">
        <v>53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1.9762625833649862E-322</v>
      </c>
      <c r="Q23" s="110" t="s">
        <v>151</v>
      </c>
    </row>
    <row r="24" spans="1:17" ht="14.4" customHeight="1" x14ac:dyDescent="0.3">
      <c r="A24" s="22" t="s">
        <v>54</v>
      </c>
      <c r="B24" s="67">
        <v>0</v>
      </c>
      <c r="C24" s="68">
        <v>0</v>
      </c>
      <c r="D24" s="68">
        <v>1</v>
      </c>
      <c r="E24" s="68">
        <v>1.13686837721616E-13</v>
      </c>
      <c r="F24" s="68">
        <v>0.27999999999899999</v>
      </c>
      <c r="G24" s="68">
        <v>0</v>
      </c>
      <c r="H24" s="68">
        <v>1.1000000000000001</v>
      </c>
      <c r="I24" s="68">
        <v>5.079999999999</v>
      </c>
      <c r="J24" s="68">
        <v>0</v>
      </c>
      <c r="K24" s="68">
        <v>-1.13686837721616E-13</v>
      </c>
      <c r="L24" s="68">
        <v>1.1000000000000001</v>
      </c>
      <c r="M24" s="68">
        <v>15.4</v>
      </c>
      <c r="N24" s="68">
        <v>-1.0869444208507424E-322</v>
      </c>
      <c r="O24" s="68">
        <v>-1.0869444208507424E-322</v>
      </c>
      <c r="P24" s="69">
        <v>23.96</v>
      </c>
      <c r="Q24" s="110"/>
    </row>
    <row r="25" spans="1:17" ht="14.4" customHeight="1" x14ac:dyDescent="0.3">
      <c r="A25" s="23" t="s">
        <v>55</v>
      </c>
      <c r="B25" s="70">
        <v>6261.43897484641</v>
      </c>
      <c r="C25" s="71">
        <v>521.78658123720095</v>
      </c>
      <c r="D25" s="71">
        <v>548.07775000000004</v>
      </c>
      <c r="E25" s="71">
        <v>514.93568000000005</v>
      </c>
      <c r="F25" s="71">
        <v>548.11455000000001</v>
      </c>
      <c r="G25" s="71">
        <v>548.04192999999896</v>
      </c>
      <c r="H25" s="71">
        <v>544.51026999999999</v>
      </c>
      <c r="I25" s="71">
        <v>512.81097999999997</v>
      </c>
      <c r="J25" s="71">
        <v>721.09622999999999</v>
      </c>
      <c r="K25" s="71">
        <v>548.49051999999995</v>
      </c>
      <c r="L25" s="71">
        <v>526.72436000000005</v>
      </c>
      <c r="M25" s="71">
        <v>549.31600000000003</v>
      </c>
      <c r="N25" s="71">
        <v>4.9406564584124654E-324</v>
      </c>
      <c r="O25" s="71">
        <v>4.9406564584124654E-324</v>
      </c>
      <c r="P25" s="72">
        <v>5562.1182699999999</v>
      </c>
      <c r="Q25" s="111">
        <v>1.065975720727</v>
      </c>
    </row>
    <row r="26" spans="1:17" ht="14.4" customHeight="1" x14ac:dyDescent="0.3">
      <c r="A26" s="21" t="s">
        <v>56</v>
      </c>
      <c r="B26" s="67">
        <v>1109.6533070524499</v>
      </c>
      <c r="C26" s="68">
        <v>92.471108921037001</v>
      </c>
      <c r="D26" s="68">
        <v>24.10173</v>
      </c>
      <c r="E26" s="68">
        <v>67.017340000000004</v>
      </c>
      <c r="F26" s="68">
        <v>68.043689999999998</v>
      </c>
      <c r="G26" s="68">
        <v>72.943430000000006</v>
      </c>
      <c r="H26" s="68">
        <v>73.868449999999996</v>
      </c>
      <c r="I26" s="68">
        <v>105.48417000000001</v>
      </c>
      <c r="J26" s="68">
        <v>95.395579999999995</v>
      </c>
      <c r="K26" s="68">
        <v>68.447590000000005</v>
      </c>
      <c r="L26" s="68">
        <v>69.764539999999997</v>
      </c>
      <c r="M26" s="68">
        <v>81.398409999999998</v>
      </c>
      <c r="N26" s="68">
        <v>4.9406564584124654E-324</v>
      </c>
      <c r="O26" s="68">
        <v>4.9406564584124654E-324</v>
      </c>
      <c r="P26" s="69">
        <v>726.46492999999998</v>
      </c>
      <c r="Q26" s="110">
        <v>0.78561286706300004</v>
      </c>
    </row>
    <row r="27" spans="1:17" ht="14.4" customHeight="1" x14ac:dyDescent="0.3">
      <c r="A27" s="24" t="s">
        <v>57</v>
      </c>
      <c r="B27" s="70">
        <v>7371.0922818988602</v>
      </c>
      <c r="C27" s="71">
        <v>614.25769015823801</v>
      </c>
      <c r="D27" s="71">
        <v>572.17948000000001</v>
      </c>
      <c r="E27" s="71">
        <v>581.95302000000004</v>
      </c>
      <c r="F27" s="71">
        <v>616.15823999999998</v>
      </c>
      <c r="G27" s="71">
        <v>620.98535999999899</v>
      </c>
      <c r="H27" s="71">
        <v>618.37872000000004</v>
      </c>
      <c r="I27" s="71">
        <v>618.29515000000004</v>
      </c>
      <c r="J27" s="71">
        <v>816.49180999999999</v>
      </c>
      <c r="K27" s="71">
        <v>616.93811000000005</v>
      </c>
      <c r="L27" s="71">
        <v>596.48889999999994</v>
      </c>
      <c r="M27" s="71">
        <v>630.71441000000004</v>
      </c>
      <c r="N27" s="71">
        <v>9.8813129168249309E-324</v>
      </c>
      <c r="O27" s="71">
        <v>9.8813129168249309E-324</v>
      </c>
      <c r="P27" s="72">
        <v>6288.5832</v>
      </c>
      <c r="Q27" s="111">
        <v>1.023769551567</v>
      </c>
    </row>
    <row r="28" spans="1:17" ht="14.4" customHeight="1" x14ac:dyDescent="0.3">
      <c r="A28" s="22" t="s">
        <v>58</v>
      </c>
      <c r="B28" s="67">
        <v>16.361912648484001</v>
      </c>
      <c r="C28" s="68">
        <v>1.363492720707</v>
      </c>
      <c r="D28" s="68">
        <v>1.2351641146031164E-322</v>
      </c>
      <c r="E28" s="68">
        <v>7.3357900000000003</v>
      </c>
      <c r="F28" s="68">
        <v>3.14391</v>
      </c>
      <c r="G28" s="68">
        <v>1.2351641146031164E-322</v>
      </c>
      <c r="H28" s="68">
        <v>1.2351641146031164E-322</v>
      </c>
      <c r="I28" s="68">
        <v>1.2351641146031164E-322</v>
      </c>
      <c r="J28" s="68">
        <v>2.0959400000000001</v>
      </c>
      <c r="K28" s="68">
        <v>3.08778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15.66342</v>
      </c>
      <c r="Q28" s="110">
        <v>1.1487718094949999</v>
      </c>
    </row>
    <row r="29" spans="1:17" ht="14.4" customHeight="1" x14ac:dyDescent="0.3">
      <c r="A29" s="22" t="s">
        <v>59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9.8813129168249309E-323</v>
      </c>
      <c r="Q29" s="110" t="s">
        <v>151</v>
      </c>
    </row>
    <row r="30" spans="1:17" ht="14.4" customHeight="1" x14ac:dyDescent="0.3">
      <c r="A30" s="22" t="s">
        <v>60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4.9406564584124654E-322</v>
      </c>
      <c r="Q30" s="110">
        <v>0</v>
      </c>
    </row>
    <row r="31" spans="1:17" ht="14.4" customHeight="1" thickBot="1" x14ac:dyDescent="0.35">
      <c r="A31" s="25" t="s">
        <v>61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2.4703282292062327E-322</v>
      </c>
      <c r="Q31" s="112" t="s">
        <v>151</v>
      </c>
    </row>
    <row r="32" spans="1:17" ht="14.4" customHeight="1" x14ac:dyDescent="0.3">
      <c r="A32" s="216" t="s">
        <v>62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</row>
    <row r="33" spans="1:17" ht="14.4" customHeight="1" x14ac:dyDescent="0.3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</row>
    <row r="34" spans="1:17" ht="14.4" customHeight="1" x14ac:dyDescent="0.3">
      <c r="A34" s="216" t="s">
        <v>63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</row>
    <row r="35" spans="1:17" ht="14.4" customHeight="1" x14ac:dyDescent="0.3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210"/>
      <c r="Q36" s="210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211" t="s">
        <v>64</v>
      </c>
      <c r="B1" s="211"/>
      <c r="C1" s="211"/>
      <c r="D1" s="211"/>
      <c r="E1" s="211"/>
      <c r="F1" s="211"/>
      <c r="G1" s="211"/>
      <c r="H1" s="217"/>
      <c r="I1" s="217"/>
      <c r="J1" s="217"/>
      <c r="K1" s="217"/>
    </row>
    <row r="2" spans="1:11" s="76" customFormat="1" ht="14.4" customHeight="1" thickBot="1" x14ac:dyDescent="0.35">
      <c r="A2" s="250" t="s">
        <v>150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91"/>
      <c r="B3" s="212" t="s">
        <v>65</v>
      </c>
      <c r="C3" s="213"/>
      <c r="D3" s="213"/>
      <c r="E3" s="213"/>
      <c r="F3" s="220" t="s">
        <v>66</v>
      </c>
      <c r="G3" s="213"/>
      <c r="H3" s="213"/>
      <c r="I3" s="213"/>
      <c r="J3" s="213"/>
      <c r="K3" s="221"/>
    </row>
    <row r="4" spans="1:11" ht="14.4" customHeight="1" x14ac:dyDescent="0.3">
      <c r="A4" s="92"/>
      <c r="B4" s="218"/>
      <c r="C4" s="219"/>
      <c r="D4" s="219"/>
      <c r="E4" s="219"/>
      <c r="F4" s="222" t="s">
        <v>109</v>
      </c>
      <c r="G4" s="224" t="s">
        <v>67</v>
      </c>
      <c r="H4" s="54" t="s">
        <v>139</v>
      </c>
      <c r="I4" s="222" t="s">
        <v>68</v>
      </c>
      <c r="J4" s="224" t="s">
        <v>69</v>
      </c>
      <c r="K4" s="225" t="s">
        <v>70</v>
      </c>
    </row>
    <row r="5" spans="1:11" ht="42" thickBot="1" x14ac:dyDescent="0.35">
      <c r="A5" s="93"/>
      <c r="B5" s="30" t="s">
        <v>110</v>
      </c>
      <c r="C5" s="31" t="s">
        <v>71</v>
      </c>
      <c r="D5" s="32" t="s">
        <v>72</v>
      </c>
      <c r="E5" s="32" t="s">
        <v>73</v>
      </c>
      <c r="F5" s="223"/>
      <c r="G5" s="223"/>
      <c r="H5" s="31" t="s">
        <v>74</v>
      </c>
      <c r="I5" s="223"/>
      <c r="J5" s="223"/>
      <c r="K5" s="226"/>
    </row>
    <row r="6" spans="1:11" ht="14.4" customHeight="1" thickBot="1" x14ac:dyDescent="0.35">
      <c r="A6" s="269" t="s">
        <v>153</v>
      </c>
      <c r="B6" s="251">
        <v>6840.6391881171803</v>
      </c>
      <c r="C6" s="251">
        <v>6643.62745</v>
      </c>
      <c r="D6" s="252">
        <v>-197.01173811717601</v>
      </c>
      <c r="E6" s="253">
        <v>0.97119980564599995</v>
      </c>
      <c r="F6" s="251">
        <v>6261.43897484641</v>
      </c>
      <c r="G6" s="252">
        <v>5217.8658123720097</v>
      </c>
      <c r="H6" s="254">
        <v>549.31600000000003</v>
      </c>
      <c r="I6" s="251">
        <v>5562.1182699999999</v>
      </c>
      <c r="J6" s="252">
        <v>344.25245762799398</v>
      </c>
      <c r="K6" s="255">
        <v>0.88831310060500002</v>
      </c>
    </row>
    <row r="7" spans="1:11" ht="14.4" customHeight="1" thickBot="1" x14ac:dyDescent="0.35">
      <c r="A7" s="270" t="s">
        <v>154</v>
      </c>
      <c r="B7" s="251">
        <v>190.27174854351699</v>
      </c>
      <c r="C7" s="251">
        <v>148.96906999999999</v>
      </c>
      <c r="D7" s="252">
        <v>-41.302678543516997</v>
      </c>
      <c r="E7" s="253">
        <v>0.782927949841</v>
      </c>
      <c r="F7" s="251">
        <v>148.58384190071101</v>
      </c>
      <c r="G7" s="252">
        <v>123.81986825059199</v>
      </c>
      <c r="H7" s="254">
        <v>7.4907500000000002</v>
      </c>
      <c r="I7" s="251">
        <v>83.274420000000006</v>
      </c>
      <c r="J7" s="252">
        <v>-40.545448250592003</v>
      </c>
      <c r="K7" s="255">
        <v>0.56045407720399998</v>
      </c>
    </row>
    <row r="8" spans="1:11" ht="14.4" customHeight="1" thickBot="1" x14ac:dyDescent="0.35">
      <c r="A8" s="271" t="s">
        <v>155</v>
      </c>
      <c r="B8" s="251">
        <v>94.000074340146</v>
      </c>
      <c r="C8" s="251">
        <v>59.334069999999997</v>
      </c>
      <c r="D8" s="252">
        <v>-34.666004340146003</v>
      </c>
      <c r="E8" s="253">
        <v>0.63121301144099995</v>
      </c>
      <c r="F8" s="251">
        <v>56.458315378370003</v>
      </c>
      <c r="G8" s="252">
        <v>47.048596148641998</v>
      </c>
      <c r="H8" s="254">
        <v>0.20974999999999999</v>
      </c>
      <c r="I8" s="251">
        <v>12.97742</v>
      </c>
      <c r="J8" s="252">
        <v>-34.071176148642003</v>
      </c>
      <c r="K8" s="255">
        <v>0.22985843472299999</v>
      </c>
    </row>
    <row r="9" spans="1:11" ht="14.4" customHeight="1" thickBot="1" x14ac:dyDescent="0.35">
      <c r="A9" s="272" t="s">
        <v>156</v>
      </c>
      <c r="B9" s="256">
        <v>4.9406564584124654E-324</v>
      </c>
      <c r="C9" s="256">
        <v>4.9406564584124654E-324</v>
      </c>
      <c r="D9" s="257">
        <v>0</v>
      </c>
      <c r="E9" s="258">
        <v>1</v>
      </c>
      <c r="F9" s="256">
        <v>4.9406564584124654E-324</v>
      </c>
      <c r="G9" s="257">
        <v>0</v>
      </c>
      <c r="H9" s="259">
        <v>4.9406564584124654E-324</v>
      </c>
      <c r="I9" s="256">
        <v>0.56330000000000002</v>
      </c>
      <c r="J9" s="257">
        <v>0.56330000000000002</v>
      </c>
      <c r="K9" s="260" t="s">
        <v>157</v>
      </c>
    </row>
    <row r="10" spans="1:11" ht="14.4" customHeight="1" thickBot="1" x14ac:dyDescent="0.35">
      <c r="A10" s="273" t="s">
        <v>158</v>
      </c>
      <c r="B10" s="251">
        <v>4.9406564584124654E-324</v>
      </c>
      <c r="C10" s="251">
        <v>4.9406564584124654E-324</v>
      </c>
      <c r="D10" s="252">
        <v>0</v>
      </c>
      <c r="E10" s="253">
        <v>1</v>
      </c>
      <c r="F10" s="251">
        <v>4.9406564584124654E-324</v>
      </c>
      <c r="G10" s="252">
        <v>0</v>
      </c>
      <c r="H10" s="254">
        <v>4.9406564584124654E-324</v>
      </c>
      <c r="I10" s="251">
        <v>0.56330000000000002</v>
      </c>
      <c r="J10" s="252">
        <v>0.56330000000000002</v>
      </c>
      <c r="K10" s="261" t="s">
        <v>157</v>
      </c>
    </row>
    <row r="11" spans="1:11" ht="14.4" customHeight="1" thickBot="1" x14ac:dyDescent="0.35">
      <c r="A11" s="272" t="s">
        <v>159</v>
      </c>
      <c r="B11" s="256">
        <v>4.9406564584124654E-324</v>
      </c>
      <c r="C11" s="256">
        <v>4.9406564584124654E-324</v>
      </c>
      <c r="D11" s="257">
        <v>0</v>
      </c>
      <c r="E11" s="258">
        <v>1</v>
      </c>
      <c r="F11" s="256">
        <v>0</v>
      </c>
      <c r="G11" s="257">
        <v>0</v>
      </c>
      <c r="H11" s="259">
        <v>4.9406564584124654E-324</v>
      </c>
      <c r="I11" s="256">
        <v>0.23154</v>
      </c>
      <c r="J11" s="257">
        <v>0.23154</v>
      </c>
      <c r="K11" s="260" t="s">
        <v>151</v>
      </c>
    </row>
    <row r="12" spans="1:11" ht="14.4" customHeight="1" thickBot="1" x14ac:dyDescent="0.35">
      <c r="A12" s="273" t="s">
        <v>160</v>
      </c>
      <c r="B12" s="251">
        <v>4.9406564584124654E-324</v>
      </c>
      <c r="C12" s="251">
        <v>4.9406564584124654E-324</v>
      </c>
      <c r="D12" s="252">
        <v>0</v>
      </c>
      <c r="E12" s="253">
        <v>1</v>
      </c>
      <c r="F12" s="251">
        <v>4.9406564584124654E-324</v>
      </c>
      <c r="G12" s="252">
        <v>0</v>
      </c>
      <c r="H12" s="254">
        <v>4.9406564584124654E-324</v>
      </c>
      <c r="I12" s="251">
        <v>0.18515999999999999</v>
      </c>
      <c r="J12" s="252">
        <v>0.18515999999999999</v>
      </c>
      <c r="K12" s="261" t="s">
        <v>157</v>
      </c>
    </row>
    <row r="13" spans="1:11" ht="14.4" customHeight="1" thickBot="1" x14ac:dyDescent="0.35">
      <c r="A13" s="273" t="s">
        <v>161</v>
      </c>
      <c r="B13" s="251">
        <v>4.9406564584124654E-324</v>
      </c>
      <c r="C13" s="251">
        <v>4.9406564584124654E-324</v>
      </c>
      <c r="D13" s="252">
        <v>0</v>
      </c>
      <c r="E13" s="253">
        <v>1</v>
      </c>
      <c r="F13" s="251">
        <v>4.9406564584124654E-324</v>
      </c>
      <c r="G13" s="252">
        <v>0</v>
      </c>
      <c r="H13" s="254">
        <v>4.9406564584124654E-324</v>
      </c>
      <c r="I13" s="251">
        <v>4.6379999999999998E-2</v>
      </c>
      <c r="J13" s="252">
        <v>4.6379999999999998E-2</v>
      </c>
      <c r="K13" s="261" t="s">
        <v>157</v>
      </c>
    </row>
    <row r="14" spans="1:11" ht="14.4" customHeight="1" thickBot="1" x14ac:dyDescent="0.35">
      <c r="A14" s="272" t="s">
        <v>162</v>
      </c>
      <c r="B14" s="256">
        <v>86.000034821838</v>
      </c>
      <c r="C14" s="256">
        <v>57.552700000000002</v>
      </c>
      <c r="D14" s="257">
        <v>-28.447334821838002</v>
      </c>
      <c r="E14" s="258">
        <v>0.66921717089099997</v>
      </c>
      <c r="F14" s="256">
        <v>55.016524255577004</v>
      </c>
      <c r="G14" s="257">
        <v>45.847103546314003</v>
      </c>
      <c r="H14" s="259">
        <v>0.20974999999999999</v>
      </c>
      <c r="I14" s="256">
        <v>10.6777</v>
      </c>
      <c r="J14" s="257">
        <v>-35.169403546314001</v>
      </c>
      <c r="K14" s="262">
        <v>0.19408168989999999</v>
      </c>
    </row>
    <row r="15" spans="1:11" ht="14.4" customHeight="1" thickBot="1" x14ac:dyDescent="0.35">
      <c r="A15" s="273" t="s">
        <v>163</v>
      </c>
      <c r="B15" s="251">
        <v>3.999959759157</v>
      </c>
      <c r="C15" s="251">
        <v>2.31094</v>
      </c>
      <c r="D15" s="252">
        <v>-1.689019759157</v>
      </c>
      <c r="E15" s="253">
        <v>0.57774081219399998</v>
      </c>
      <c r="F15" s="251">
        <v>2.3196337005559999</v>
      </c>
      <c r="G15" s="252">
        <v>1.9330280837960001</v>
      </c>
      <c r="H15" s="254">
        <v>0</v>
      </c>
      <c r="I15" s="251">
        <v>4.4465908125712189E-323</v>
      </c>
      <c r="J15" s="252">
        <v>-1.9330280837960001</v>
      </c>
      <c r="K15" s="255">
        <v>1.9762625833649862E-323</v>
      </c>
    </row>
    <row r="16" spans="1:11" ht="14.4" customHeight="1" thickBot="1" x14ac:dyDescent="0.35">
      <c r="A16" s="273" t="s">
        <v>164</v>
      </c>
      <c r="B16" s="251">
        <v>2.0000398795750001</v>
      </c>
      <c r="C16" s="251">
        <v>0.28832000000000002</v>
      </c>
      <c r="D16" s="252">
        <v>-1.7117198795749999</v>
      </c>
      <c r="E16" s="253">
        <v>0.144157125537</v>
      </c>
      <c r="F16" s="251">
        <v>0.27081734102799998</v>
      </c>
      <c r="G16" s="252">
        <v>0.225681117524</v>
      </c>
      <c r="H16" s="254">
        <v>4.9406564584124654E-324</v>
      </c>
      <c r="I16" s="251">
        <v>0.10326</v>
      </c>
      <c r="J16" s="252">
        <v>-0.12242111752400001</v>
      </c>
      <c r="K16" s="255">
        <v>0.38129020692499999</v>
      </c>
    </row>
    <row r="17" spans="1:11" ht="14.4" customHeight="1" thickBot="1" x14ac:dyDescent="0.35">
      <c r="A17" s="273" t="s">
        <v>165</v>
      </c>
      <c r="B17" s="251">
        <v>4.9406564584124654E-324</v>
      </c>
      <c r="C17" s="251">
        <v>6.4681100000000002</v>
      </c>
      <c r="D17" s="252">
        <v>6.4681100000000002</v>
      </c>
      <c r="E17" s="263" t="s">
        <v>157</v>
      </c>
      <c r="F17" s="251">
        <v>4.3179229693229999</v>
      </c>
      <c r="G17" s="252">
        <v>3.598269141102</v>
      </c>
      <c r="H17" s="254">
        <v>4.9406564584124654E-324</v>
      </c>
      <c r="I17" s="251">
        <v>4.9406564584124654E-323</v>
      </c>
      <c r="J17" s="252">
        <v>-3.598269141102</v>
      </c>
      <c r="K17" s="255">
        <v>9.8813129168249309E-324</v>
      </c>
    </row>
    <row r="18" spans="1:11" ht="14.4" customHeight="1" thickBot="1" x14ac:dyDescent="0.35">
      <c r="A18" s="273" t="s">
        <v>166</v>
      </c>
      <c r="B18" s="251">
        <v>71.999995664796003</v>
      </c>
      <c r="C18" s="251">
        <v>45.603400000000001</v>
      </c>
      <c r="D18" s="252">
        <v>-26.396595664795999</v>
      </c>
      <c r="E18" s="253">
        <v>0.63338059369199995</v>
      </c>
      <c r="F18" s="251">
        <v>45.537908232696999</v>
      </c>
      <c r="G18" s="252">
        <v>37.948256860580997</v>
      </c>
      <c r="H18" s="254">
        <v>4.9406564584124654E-324</v>
      </c>
      <c r="I18" s="251">
        <v>8.2458499999990007</v>
      </c>
      <c r="J18" s="252">
        <v>-29.702406860581</v>
      </c>
      <c r="K18" s="255">
        <v>0.18107660891800001</v>
      </c>
    </row>
    <row r="19" spans="1:11" ht="14.4" customHeight="1" thickBot="1" x14ac:dyDescent="0.35">
      <c r="A19" s="273" t="s">
        <v>167</v>
      </c>
      <c r="B19" s="251">
        <v>4.9406564584124654E-324</v>
      </c>
      <c r="C19" s="251">
        <v>0.11193</v>
      </c>
      <c r="D19" s="252">
        <v>0.11193</v>
      </c>
      <c r="E19" s="263" t="s">
        <v>157</v>
      </c>
      <c r="F19" s="251">
        <v>0.109155691429</v>
      </c>
      <c r="G19" s="252">
        <v>9.0963076190999997E-2</v>
      </c>
      <c r="H19" s="254">
        <v>4.9406564584124654E-324</v>
      </c>
      <c r="I19" s="251">
        <v>0.1489</v>
      </c>
      <c r="J19" s="252">
        <v>5.7936923808000002E-2</v>
      </c>
      <c r="K19" s="255">
        <v>1.36410660818</v>
      </c>
    </row>
    <row r="20" spans="1:11" ht="14.4" customHeight="1" thickBot="1" x14ac:dyDescent="0.35">
      <c r="A20" s="273" t="s">
        <v>168</v>
      </c>
      <c r="B20" s="251">
        <v>8.0000395183080002</v>
      </c>
      <c r="C20" s="251">
        <v>2.77</v>
      </c>
      <c r="D20" s="252">
        <v>-5.2300395183079997</v>
      </c>
      <c r="E20" s="253">
        <v>0.34624828960600001</v>
      </c>
      <c r="F20" s="251">
        <v>2.4610863205409998</v>
      </c>
      <c r="G20" s="252">
        <v>2.0509052671169998</v>
      </c>
      <c r="H20" s="254">
        <v>0.20974999999999999</v>
      </c>
      <c r="I20" s="251">
        <v>1.9841599999999999</v>
      </c>
      <c r="J20" s="252">
        <v>-6.6745267117000004E-2</v>
      </c>
      <c r="K20" s="255">
        <v>0.80621308705799999</v>
      </c>
    </row>
    <row r="21" spans="1:11" ht="14.4" customHeight="1" thickBot="1" x14ac:dyDescent="0.35">
      <c r="A21" s="273" t="s">
        <v>169</v>
      </c>
      <c r="B21" s="251">
        <v>4.9406564584124654E-324</v>
      </c>
      <c r="C21" s="251">
        <v>4.9406564584124654E-324</v>
      </c>
      <c r="D21" s="252">
        <v>0</v>
      </c>
      <c r="E21" s="253">
        <v>1</v>
      </c>
      <c r="F21" s="251">
        <v>4.9406564584124654E-324</v>
      </c>
      <c r="G21" s="252">
        <v>0</v>
      </c>
      <c r="H21" s="254">
        <v>4.9406564584124654E-324</v>
      </c>
      <c r="I21" s="251">
        <v>0.19553000000000001</v>
      </c>
      <c r="J21" s="252">
        <v>0.19553000000000001</v>
      </c>
      <c r="K21" s="261" t="s">
        <v>157</v>
      </c>
    </row>
    <row r="22" spans="1:11" ht="14.4" customHeight="1" thickBot="1" x14ac:dyDescent="0.35">
      <c r="A22" s="272" t="s">
        <v>170</v>
      </c>
      <c r="B22" s="256">
        <v>4.9406564584124654E-324</v>
      </c>
      <c r="C22" s="256">
        <v>0.30973000000000001</v>
      </c>
      <c r="D22" s="257">
        <v>0.30973000000000001</v>
      </c>
      <c r="E22" s="264" t="s">
        <v>157</v>
      </c>
      <c r="F22" s="256">
        <v>0.32354443690099999</v>
      </c>
      <c r="G22" s="257">
        <v>0.26962036408399997</v>
      </c>
      <c r="H22" s="259">
        <v>4.9406564584124654E-324</v>
      </c>
      <c r="I22" s="256">
        <v>8.3199999999999993E-3</v>
      </c>
      <c r="J22" s="257">
        <v>-0.26130036408399998</v>
      </c>
      <c r="K22" s="262">
        <v>2.5715169388999998E-2</v>
      </c>
    </row>
    <row r="23" spans="1:11" ht="14.4" customHeight="1" thickBot="1" x14ac:dyDescent="0.35">
      <c r="A23" s="273" t="s">
        <v>171</v>
      </c>
      <c r="B23" s="251">
        <v>4.9406564584124654E-324</v>
      </c>
      <c r="C23" s="251">
        <v>0.30973000000000001</v>
      </c>
      <c r="D23" s="252">
        <v>0.30973000000000001</v>
      </c>
      <c r="E23" s="263" t="s">
        <v>157</v>
      </c>
      <c r="F23" s="251">
        <v>0.32354443690099999</v>
      </c>
      <c r="G23" s="252">
        <v>0.26962036408399997</v>
      </c>
      <c r="H23" s="254">
        <v>4.9406564584124654E-324</v>
      </c>
      <c r="I23" s="251">
        <v>8.3199999999999993E-3</v>
      </c>
      <c r="J23" s="252">
        <v>-0.26130036408399998</v>
      </c>
      <c r="K23" s="255">
        <v>2.5715169388999998E-2</v>
      </c>
    </row>
    <row r="24" spans="1:11" ht="14.4" customHeight="1" thickBot="1" x14ac:dyDescent="0.35">
      <c r="A24" s="272" t="s">
        <v>172</v>
      </c>
      <c r="B24" s="256">
        <v>8.0000395183080002</v>
      </c>
      <c r="C24" s="256">
        <v>1.19164</v>
      </c>
      <c r="D24" s="257">
        <v>-6.8083995183079997</v>
      </c>
      <c r="E24" s="258">
        <v>0.148954264197</v>
      </c>
      <c r="F24" s="256">
        <v>1.1182466858919999</v>
      </c>
      <c r="G24" s="257">
        <v>0.93187223824300003</v>
      </c>
      <c r="H24" s="259">
        <v>4.9406564584124654E-324</v>
      </c>
      <c r="I24" s="256">
        <v>1.2165600000000001</v>
      </c>
      <c r="J24" s="257">
        <v>0.28468776175600002</v>
      </c>
      <c r="K24" s="262">
        <v>1.0879173757880001</v>
      </c>
    </row>
    <row r="25" spans="1:11" ht="14.4" customHeight="1" thickBot="1" x14ac:dyDescent="0.35">
      <c r="A25" s="273" t="s">
        <v>173</v>
      </c>
      <c r="B25" s="251">
        <v>8.0000395183080002</v>
      </c>
      <c r="C25" s="251">
        <v>1.19164</v>
      </c>
      <c r="D25" s="252">
        <v>-6.8083995183079997</v>
      </c>
      <c r="E25" s="253">
        <v>0.148954264197</v>
      </c>
      <c r="F25" s="251">
        <v>1.1182466858919999</v>
      </c>
      <c r="G25" s="252">
        <v>0.93187223824300003</v>
      </c>
      <c r="H25" s="254">
        <v>4.9406564584124654E-324</v>
      </c>
      <c r="I25" s="251">
        <v>1.2165600000000001</v>
      </c>
      <c r="J25" s="252">
        <v>0.28468776175600002</v>
      </c>
      <c r="K25" s="255">
        <v>1.0879173757880001</v>
      </c>
    </row>
    <row r="26" spans="1:11" ht="14.4" customHeight="1" thickBot="1" x14ac:dyDescent="0.35">
      <c r="A26" s="272" t="s">
        <v>174</v>
      </c>
      <c r="B26" s="256">
        <v>4.9406564584124654E-324</v>
      </c>
      <c r="C26" s="256">
        <v>0.28000000000000003</v>
      </c>
      <c r="D26" s="257">
        <v>0.28000000000000003</v>
      </c>
      <c r="E26" s="264" t="s">
        <v>157</v>
      </c>
      <c r="F26" s="256">
        <v>0</v>
      </c>
      <c r="G26" s="257">
        <v>0</v>
      </c>
      <c r="H26" s="259">
        <v>4.9406564584124654E-324</v>
      </c>
      <c r="I26" s="256">
        <v>0.28000000000000003</v>
      </c>
      <c r="J26" s="257">
        <v>0.28000000000000003</v>
      </c>
      <c r="K26" s="260" t="s">
        <v>151</v>
      </c>
    </row>
    <row r="27" spans="1:11" ht="14.4" customHeight="1" thickBot="1" x14ac:dyDescent="0.35">
      <c r="A27" s="273" t="s">
        <v>175</v>
      </c>
      <c r="B27" s="251">
        <v>4.9406564584124654E-324</v>
      </c>
      <c r="C27" s="251">
        <v>0.28000000000000003</v>
      </c>
      <c r="D27" s="252">
        <v>0.28000000000000003</v>
      </c>
      <c r="E27" s="263" t="s">
        <v>157</v>
      </c>
      <c r="F27" s="251">
        <v>0</v>
      </c>
      <c r="G27" s="252">
        <v>0</v>
      </c>
      <c r="H27" s="254">
        <v>4.9406564584124654E-324</v>
      </c>
      <c r="I27" s="251">
        <v>0.28000000000000003</v>
      </c>
      <c r="J27" s="252">
        <v>0.28000000000000003</v>
      </c>
      <c r="K27" s="261" t="s">
        <v>151</v>
      </c>
    </row>
    <row r="28" spans="1:11" ht="14.4" customHeight="1" thickBot="1" x14ac:dyDescent="0.35">
      <c r="A28" s="271" t="s">
        <v>44</v>
      </c>
      <c r="B28" s="251">
        <v>96.271674203369997</v>
      </c>
      <c r="C28" s="251">
        <v>89.635000000000005</v>
      </c>
      <c r="D28" s="252">
        <v>-6.6366742033700001</v>
      </c>
      <c r="E28" s="253">
        <v>0.93106306441300002</v>
      </c>
      <c r="F28" s="251">
        <v>92.125526522339996</v>
      </c>
      <c r="G28" s="252">
        <v>76.771272101950004</v>
      </c>
      <c r="H28" s="254">
        <v>7.2809999999999997</v>
      </c>
      <c r="I28" s="251">
        <v>70.296999999999997</v>
      </c>
      <c r="J28" s="252">
        <v>-6.4742721019490004</v>
      </c>
      <c r="K28" s="255">
        <v>0.76305669724299996</v>
      </c>
    </row>
    <row r="29" spans="1:11" ht="14.4" customHeight="1" thickBot="1" x14ac:dyDescent="0.35">
      <c r="A29" s="272" t="s">
        <v>176</v>
      </c>
      <c r="B29" s="256">
        <v>96.271674203369997</v>
      </c>
      <c r="C29" s="256">
        <v>89.635000000000005</v>
      </c>
      <c r="D29" s="257">
        <v>-6.6366742033700001</v>
      </c>
      <c r="E29" s="258">
        <v>0.93106306441300002</v>
      </c>
      <c r="F29" s="256">
        <v>92.125526522339996</v>
      </c>
      <c r="G29" s="257">
        <v>76.771272101950004</v>
      </c>
      <c r="H29" s="259">
        <v>7.2809999999999997</v>
      </c>
      <c r="I29" s="256">
        <v>70.296999999999997</v>
      </c>
      <c r="J29" s="257">
        <v>-6.4742721019490004</v>
      </c>
      <c r="K29" s="262">
        <v>0.76305669724299996</v>
      </c>
    </row>
    <row r="30" spans="1:11" ht="14.4" customHeight="1" thickBot="1" x14ac:dyDescent="0.35">
      <c r="A30" s="273" t="s">
        <v>177</v>
      </c>
      <c r="B30" s="251">
        <v>17.272678959992</v>
      </c>
      <c r="C30" s="251">
        <v>18.439</v>
      </c>
      <c r="D30" s="252">
        <v>1.166321040008</v>
      </c>
      <c r="E30" s="253">
        <v>1.067524038553</v>
      </c>
      <c r="F30" s="251">
        <v>18.120367464866</v>
      </c>
      <c r="G30" s="252">
        <v>15.100306220722</v>
      </c>
      <c r="H30" s="254">
        <v>1.5229999999999999</v>
      </c>
      <c r="I30" s="251">
        <v>15.372</v>
      </c>
      <c r="J30" s="252">
        <v>0.271693779277</v>
      </c>
      <c r="K30" s="255">
        <v>0.84832716719400003</v>
      </c>
    </row>
    <row r="31" spans="1:11" ht="14.4" customHeight="1" thickBot="1" x14ac:dyDescent="0.35">
      <c r="A31" s="273" t="s">
        <v>178</v>
      </c>
      <c r="B31" s="251">
        <v>14.999999096831999</v>
      </c>
      <c r="C31" s="251">
        <v>15.444000000000001</v>
      </c>
      <c r="D31" s="252">
        <v>0.44400090316700003</v>
      </c>
      <c r="E31" s="253">
        <v>1.0296000619929999</v>
      </c>
      <c r="F31" s="251">
        <v>15.000644699174</v>
      </c>
      <c r="G31" s="252">
        <v>12.500537249312</v>
      </c>
      <c r="H31" s="254">
        <v>1.258</v>
      </c>
      <c r="I31" s="251">
        <v>12.62</v>
      </c>
      <c r="J31" s="252">
        <v>0.119462750687</v>
      </c>
      <c r="K31" s="255">
        <v>0.84129717442700003</v>
      </c>
    </row>
    <row r="32" spans="1:11" ht="14.4" customHeight="1" thickBot="1" x14ac:dyDescent="0.35">
      <c r="A32" s="273" t="s">
        <v>179</v>
      </c>
      <c r="B32" s="251">
        <v>63.998996146545998</v>
      </c>
      <c r="C32" s="251">
        <v>55.752000000000002</v>
      </c>
      <c r="D32" s="252">
        <v>-8.2469961465459996</v>
      </c>
      <c r="E32" s="253">
        <v>0.871138663993</v>
      </c>
      <c r="F32" s="251">
        <v>59.004514358298003</v>
      </c>
      <c r="G32" s="252">
        <v>49.170428631915001</v>
      </c>
      <c r="H32" s="254">
        <v>4.5</v>
      </c>
      <c r="I32" s="251">
        <v>42.305</v>
      </c>
      <c r="J32" s="252">
        <v>-6.865428631915</v>
      </c>
      <c r="K32" s="255">
        <v>0.71697903897799997</v>
      </c>
    </row>
    <row r="33" spans="1:11" ht="14.4" customHeight="1" thickBot="1" x14ac:dyDescent="0.35">
      <c r="A33" s="274" t="s">
        <v>180</v>
      </c>
      <c r="B33" s="256">
        <v>67.367875943702003</v>
      </c>
      <c r="C33" s="256">
        <v>98.095219999999998</v>
      </c>
      <c r="D33" s="257">
        <v>30.727344056298001</v>
      </c>
      <c r="E33" s="258">
        <v>1.456112703953</v>
      </c>
      <c r="F33" s="256">
        <v>64.856757567871</v>
      </c>
      <c r="G33" s="257">
        <v>54.047297973226001</v>
      </c>
      <c r="H33" s="259">
        <v>6.7496999999999998</v>
      </c>
      <c r="I33" s="256">
        <v>55.562240000000003</v>
      </c>
      <c r="J33" s="257">
        <v>1.514942026773</v>
      </c>
      <c r="K33" s="262">
        <v>0.85669160907099995</v>
      </c>
    </row>
    <row r="34" spans="1:11" ht="14.4" customHeight="1" thickBot="1" x14ac:dyDescent="0.35">
      <c r="A34" s="271" t="s">
        <v>47</v>
      </c>
      <c r="B34" s="251">
        <v>0.99995993979099995</v>
      </c>
      <c r="C34" s="251">
        <v>13.49222</v>
      </c>
      <c r="D34" s="252">
        <v>12.492260060208</v>
      </c>
      <c r="E34" s="253">
        <v>13.492760522803</v>
      </c>
      <c r="F34" s="251">
        <v>8.9992811129650008</v>
      </c>
      <c r="G34" s="252">
        <v>7.49940092747</v>
      </c>
      <c r="H34" s="254">
        <v>4.9406564584124654E-324</v>
      </c>
      <c r="I34" s="251">
        <v>2.2114099999999999</v>
      </c>
      <c r="J34" s="252">
        <v>-5.2879909274700001</v>
      </c>
      <c r="K34" s="255">
        <v>0.24573185038199999</v>
      </c>
    </row>
    <row r="35" spans="1:11" ht="14.4" customHeight="1" thickBot="1" x14ac:dyDescent="0.35">
      <c r="A35" s="272" t="s">
        <v>181</v>
      </c>
      <c r="B35" s="256">
        <v>0.99995993979099995</v>
      </c>
      <c r="C35" s="256">
        <v>13.49222</v>
      </c>
      <c r="D35" s="257">
        <v>12.492260060208</v>
      </c>
      <c r="E35" s="258">
        <v>13.492760522803</v>
      </c>
      <c r="F35" s="256">
        <v>8.9992811129650008</v>
      </c>
      <c r="G35" s="257">
        <v>7.49940092747</v>
      </c>
      <c r="H35" s="259">
        <v>4.9406564584124654E-324</v>
      </c>
      <c r="I35" s="256">
        <v>2.2114099999999999</v>
      </c>
      <c r="J35" s="257">
        <v>-5.2879909274700001</v>
      </c>
      <c r="K35" s="262">
        <v>0.24573185038199999</v>
      </c>
    </row>
    <row r="36" spans="1:11" ht="14.4" customHeight="1" thickBot="1" x14ac:dyDescent="0.35">
      <c r="A36" s="273" t="s">
        <v>182</v>
      </c>
      <c r="B36" s="251">
        <v>4.9406564584124654E-324</v>
      </c>
      <c r="C36" s="251">
        <v>8.3853799999999996</v>
      </c>
      <c r="D36" s="252">
        <v>8.3853799999999996</v>
      </c>
      <c r="E36" s="263" t="s">
        <v>157</v>
      </c>
      <c r="F36" s="251">
        <v>7.9993548725509998</v>
      </c>
      <c r="G36" s="252">
        <v>6.6661290604590002</v>
      </c>
      <c r="H36" s="254">
        <v>4.9406564584124654E-324</v>
      </c>
      <c r="I36" s="251">
        <v>1.8149999999999999</v>
      </c>
      <c r="J36" s="252">
        <v>-4.8511290604589998</v>
      </c>
      <c r="K36" s="255">
        <v>0.22689329688599999</v>
      </c>
    </row>
    <row r="37" spans="1:11" ht="14.4" customHeight="1" thickBot="1" x14ac:dyDescent="0.35">
      <c r="A37" s="273" t="s">
        <v>183</v>
      </c>
      <c r="B37" s="251">
        <v>0.99995993979099995</v>
      </c>
      <c r="C37" s="251">
        <v>5.10684</v>
      </c>
      <c r="D37" s="252">
        <v>4.1068800602079998</v>
      </c>
      <c r="E37" s="253">
        <v>5.1070445892720002</v>
      </c>
      <c r="F37" s="251">
        <v>0.99992624041400002</v>
      </c>
      <c r="G37" s="252">
        <v>0.83327186701099998</v>
      </c>
      <c r="H37" s="254">
        <v>4.9406564584124654E-324</v>
      </c>
      <c r="I37" s="251">
        <v>0.39640999999999998</v>
      </c>
      <c r="J37" s="252">
        <v>-0.43686186701099999</v>
      </c>
      <c r="K37" s="255">
        <v>0.39643924119399998</v>
      </c>
    </row>
    <row r="38" spans="1:11" ht="14.4" customHeight="1" thickBot="1" x14ac:dyDescent="0.35">
      <c r="A38" s="275" t="s">
        <v>48</v>
      </c>
      <c r="B38" s="256">
        <v>17.999998916199001</v>
      </c>
      <c r="C38" s="256">
        <v>24.303999999999998</v>
      </c>
      <c r="D38" s="257">
        <v>6.3040010838000002</v>
      </c>
      <c r="E38" s="258">
        <v>1.3502223035200001</v>
      </c>
      <c r="F38" s="256">
        <v>0</v>
      </c>
      <c r="G38" s="257">
        <v>0</v>
      </c>
      <c r="H38" s="259">
        <v>0.96899999999999997</v>
      </c>
      <c r="I38" s="256">
        <v>5.298</v>
      </c>
      <c r="J38" s="257">
        <v>5.298</v>
      </c>
      <c r="K38" s="260" t="s">
        <v>151</v>
      </c>
    </row>
    <row r="39" spans="1:11" ht="14.4" customHeight="1" thickBot="1" x14ac:dyDescent="0.35">
      <c r="A39" s="272" t="s">
        <v>184</v>
      </c>
      <c r="B39" s="256">
        <v>17.999998916199001</v>
      </c>
      <c r="C39" s="256">
        <v>24.303999999999998</v>
      </c>
      <c r="D39" s="257">
        <v>6.3040010838000002</v>
      </c>
      <c r="E39" s="258">
        <v>1.3502223035200001</v>
      </c>
      <c r="F39" s="256">
        <v>0</v>
      </c>
      <c r="G39" s="257">
        <v>0</v>
      </c>
      <c r="H39" s="259">
        <v>0.96899999999999997</v>
      </c>
      <c r="I39" s="256">
        <v>5.298</v>
      </c>
      <c r="J39" s="257">
        <v>5.298</v>
      </c>
      <c r="K39" s="260" t="s">
        <v>151</v>
      </c>
    </row>
    <row r="40" spans="1:11" ht="14.4" customHeight="1" thickBot="1" x14ac:dyDescent="0.35">
      <c r="A40" s="273" t="s">
        <v>185</v>
      </c>
      <c r="B40" s="251">
        <v>17.999998916199001</v>
      </c>
      <c r="C40" s="251">
        <v>24.303999999999998</v>
      </c>
      <c r="D40" s="252">
        <v>6.3040010838000002</v>
      </c>
      <c r="E40" s="253">
        <v>1.3502223035200001</v>
      </c>
      <c r="F40" s="251">
        <v>0</v>
      </c>
      <c r="G40" s="252">
        <v>0</v>
      </c>
      <c r="H40" s="254">
        <v>0.96899999999999997</v>
      </c>
      <c r="I40" s="251">
        <v>5.298</v>
      </c>
      <c r="J40" s="252">
        <v>5.298</v>
      </c>
      <c r="K40" s="261" t="s">
        <v>151</v>
      </c>
    </row>
    <row r="41" spans="1:11" ht="14.4" customHeight="1" thickBot="1" x14ac:dyDescent="0.35">
      <c r="A41" s="271" t="s">
        <v>49</v>
      </c>
      <c r="B41" s="251">
        <v>48.367917087711</v>
      </c>
      <c r="C41" s="251">
        <v>60.298999999999999</v>
      </c>
      <c r="D41" s="252">
        <v>11.931082912288</v>
      </c>
      <c r="E41" s="253">
        <v>1.246673490004</v>
      </c>
      <c r="F41" s="251">
        <v>55.857476454905999</v>
      </c>
      <c r="G41" s="252">
        <v>46.547897045755001</v>
      </c>
      <c r="H41" s="254">
        <v>5.7807000000000004</v>
      </c>
      <c r="I41" s="251">
        <v>48.05283</v>
      </c>
      <c r="J41" s="252">
        <v>1.504932954244</v>
      </c>
      <c r="K41" s="255">
        <v>0.860275706132</v>
      </c>
    </row>
    <row r="42" spans="1:11" ht="14.4" customHeight="1" thickBot="1" x14ac:dyDescent="0.35">
      <c r="A42" s="272" t="s">
        <v>186</v>
      </c>
      <c r="B42" s="256">
        <v>4.9406564584124654E-324</v>
      </c>
      <c r="C42" s="256">
        <v>0.23749999999999999</v>
      </c>
      <c r="D42" s="257">
        <v>0.23749999999999999</v>
      </c>
      <c r="E42" s="264" t="s">
        <v>157</v>
      </c>
      <c r="F42" s="256">
        <v>0.22782270761500001</v>
      </c>
      <c r="G42" s="257">
        <v>0.189852256346</v>
      </c>
      <c r="H42" s="259">
        <v>4.9406564584124654E-324</v>
      </c>
      <c r="I42" s="256">
        <v>4.9406564584124654E-323</v>
      </c>
      <c r="J42" s="257">
        <v>-0.189852256346</v>
      </c>
      <c r="K42" s="262">
        <v>2.1738888417014848E-322</v>
      </c>
    </row>
    <row r="43" spans="1:11" ht="14.4" customHeight="1" thickBot="1" x14ac:dyDescent="0.35">
      <c r="A43" s="273" t="s">
        <v>187</v>
      </c>
      <c r="B43" s="251">
        <v>4.9406564584124654E-324</v>
      </c>
      <c r="C43" s="251">
        <v>0.23749999999999999</v>
      </c>
      <c r="D43" s="252">
        <v>0.23749999999999999</v>
      </c>
      <c r="E43" s="263" t="s">
        <v>157</v>
      </c>
      <c r="F43" s="251">
        <v>0.22782270761500001</v>
      </c>
      <c r="G43" s="252">
        <v>0.189852256346</v>
      </c>
      <c r="H43" s="254">
        <v>4.9406564584124654E-324</v>
      </c>
      <c r="I43" s="251">
        <v>4.9406564584124654E-323</v>
      </c>
      <c r="J43" s="252">
        <v>-0.189852256346</v>
      </c>
      <c r="K43" s="255">
        <v>2.1738888417014848E-322</v>
      </c>
    </row>
    <row r="44" spans="1:11" ht="14.4" customHeight="1" thickBot="1" x14ac:dyDescent="0.35">
      <c r="A44" s="272" t="s">
        <v>188</v>
      </c>
      <c r="B44" s="256">
        <v>8.2492795033010005</v>
      </c>
      <c r="C44" s="256">
        <v>5.5536799999999999</v>
      </c>
      <c r="D44" s="257">
        <v>-2.6955995033010001</v>
      </c>
      <c r="E44" s="258">
        <v>0.67323212866899995</v>
      </c>
      <c r="F44" s="256">
        <v>5.4969751995629998</v>
      </c>
      <c r="G44" s="257">
        <v>4.5808126663020001</v>
      </c>
      <c r="H44" s="259">
        <v>0.92566999999999999</v>
      </c>
      <c r="I44" s="256">
        <v>6.2067800000000002</v>
      </c>
      <c r="J44" s="257">
        <v>1.625967333697</v>
      </c>
      <c r="K44" s="262">
        <v>1.1291264331140001</v>
      </c>
    </row>
    <row r="45" spans="1:11" ht="14.4" customHeight="1" thickBot="1" x14ac:dyDescent="0.35">
      <c r="A45" s="273" t="s">
        <v>189</v>
      </c>
      <c r="B45" s="251">
        <v>2.2492798645679999</v>
      </c>
      <c r="C45" s="251">
        <v>2.9622000000000002</v>
      </c>
      <c r="D45" s="252">
        <v>0.71292013543099997</v>
      </c>
      <c r="E45" s="253">
        <v>1.3169548381509999</v>
      </c>
      <c r="F45" s="251">
        <v>3.4204159218369998</v>
      </c>
      <c r="G45" s="252">
        <v>2.8503466015310002</v>
      </c>
      <c r="H45" s="254">
        <v>0.73440000000000005</v>
      </c>
      <c r="I45" s="251">
        <v>3.8029000000000002</v>
      </c>
      <c r="J45" s="252">
        <v>0.95255339846800002</v>
      </c>
      <c r="K45" s="255">
        <v>1.111823850345</v>
      </c>
    </row>
    <row r="46" spans="1:11" ht="14.4" customHeight="1" thickBot="1" x14ac:dyDescent="0.35">
      <c r="A46" s="273" t="s">
        <v>190</v>
      </c>
      <c r="B46" s="251">
        <v>5.9999996387329997</v>
      </c>
      <c r="C46" s="251">
        <v>2.5914799999999998</v>
      </c>
      <c r="D46" s="252">
        <v>-3.4085196387329999</v>
      </c>
      <c r="E46" s="253">
        <v>0.43191335933899999</v>
      </c>
      <c r="F46" s="251">
        <v>2.0765592777249999</v>
      </c>
      <c r="G46" s="252">
        <v>1.730466064771</v>
      </c>
      <c r="H46" s="254">
        <v>0.19127</v>
      </c>
      <c r="I46" s="251">
        <v>2.40388</v>
      </c>
      <c r="J46" s="252">
        <v>0.67341393522799997</v>
      </c>
      <c r="K46" s="255">
        <v>1.1576264765399999</v>
      </c>
    </row>
    <row r="47" spans="1:11" ht="14.4" customHeight="1" thickBot="1" x14ac:dyDescent="0.35">
      <c r="A47" s="272" t="s">
        <v>191</v>
      </c>
      <c r="B47" s="256">
        <v>4.3743597366140001</v>
      </c>
      <c r="C47" s="256">
        <v>3.78</v>
      </c>
      <c r="D47" s="257">
        <v>-0.59435973661399999</v>
      </c>
      <c r="E47" s="258">
        <v>0.86412646137899995</v>
      </c>
      <c r="F47" s="256">
        <v>4.1326318384169998</v>
      </c>
      <c r="G47" s="257">
        <v>3.4438598653470001</v>
      </c>
      <c r="H47" s="259">
        <v>0.94499999999999995</v>
      </c>
      <c r="I47" s="256">
        <v>3.78</v>
      </c>
      <c r="J47" s="257">
        <v>0.33614013465199999</v>
      </c>
      <c r="K47" s="262">
        <v>0.91467136386500003</v>
      </c>
    </row>
    <row r="48" spans="1:11" ht="14.4" customHeight="1" thickBot="1" x14ac:dyDescent="0.35">
      <c r="A48" s="273" t="s">
        <v>192</v>
      </c>
      <c r="B48" s="251">
        <v>4.3743597366140001</v>
      </c>
      <c r="C48" s="251">
        <v>3.78</v>
      </c>
      <c r="D48" s="252">
        <v>-0.59435973661399999</v>
      </c>
      <c r="E48" s="253">
        <v>0.86412646137899995</v>
      </c>
      <c r="F48" s="251">
        <v>4.1326318384169998</v>
      </c>
      <c r="G48" s="252">
        <v>3.4438598653470001</v>
      </c>
      <c r="H48" s="254">
        <v>0.94499999999999995</v>
      </c>
      <c r="I48" s="251">
        <v>3.78</v>
      </c>
      <c r="J48" s="252">
        <v>0.33614013465199999</v>
      </c>
      <c r="K48" s="255">
        <v>0.91467136386500003</v>
      </c>
    </row>
    <row r="49" spans="1:11" ht="14.4" customHeight="1" thickBot="1" x14ac:dyDescent="0.35">
      <c r="A49" s="272" t="s">
        <v>193</v>
      </c>
      <c r="B49" s="256">
        <v>35.744277847794997</v>
      </c>
      <c r="C49" s="256">
        <v>47.852820000000001</v>
      </c>
      <c r="D49" s="257">
        <v>12.108542152204</v>
      </c>
      <c r="E49" s="258">
        <v>1.338754700927</v>
      </c>
      <c r="F49" s="256">
        <v>46.000046709309999</v>
      </c>
      <c r="G49" s="257">
        <v>38.333372257758001</v>
      </c>
      <c r="H49" s="259">
        <v>3.9100299999999999</v>
      </c>
      <c r="I49" s="256">
        <v>38.066049999999997</v>
      </c>
      <c r="J49" s="257">
        <v>-0.267322257758</v>
      </c>
      <c r="K49" s="262">
        <v>0.82752198580400005</v>
      </c>
    </row>
    <row r="50" spans="1:11" ht="14.4" customHeight="1" thickBot="1" x14ac:dyDescent="0.35">
      <c r="A50" s="273" t="s">
        <v>194</v>
      </c>
      <c r="B50" s="251">
        <v>35.000037892606997</v>
      </c>
      <c r="C50" s="251">
        <v>47.852820000000001</v>
      </c>
      <c r="D50" s="252">
        <v>12.852782107392001</v>
      </c>
      <c r="E50" s="253">
        <v>1.367221948354</v>
      </c>
      <c r="F50" s="251">
        <v>46.000046709309999</v>
      </c>
      <c r="G50" s="252">
        <v>38.333372257758001</v>
      </c>
      <c r="H50" s="254">
        <v>3.9100299999999999</v>
      </c>
      <c r="I50" s="251">
        <v>38.066049999999997</v>
      </c>
      <c r="J50" s="252">
        <v>-0.267322257758</v>
      </c>
      <c r="K50" s="255">
        <v>0.82752198580400005</v>
      </c>
    </row>
    <row r="51" spans="1:11" ht="14.4" customHeight="1" thickBot="1" x14ac:dyDescent="0.35">
      <c r="A51" s="272" t="s">
        <v>195</v>
      </c>
      <c r="B51" s="256">
        <v>4.9406564584124654E-324</v>
      </c>
      <c r="C51" s="256">
        <v>2.875</v>
      </c>
      <c r="D51" s="257">
        <v>2.875</v>
      </c>
      <c r="E51" s="264" t="s">
        <v>157</v>
      </c>
      <c r="F51" s="256">
        <v>0</v>
      </c>
      <c r="G51" s="257">
        <v>0</v>
      </c>
      <c r="H51" s="259">
        <v>4.9406564584124654E-324</v>
      </c>
      <c r="I51" s="256">
        <v>4.9406564584124654E-323</v>
      </c>
      <c r="J51" s="257">
        <v>4.9406564584124654E-323</v>
      </c>
      <c r="K51" s="260" t="s">
        <v>151</v>
      </c>
    </row>
    <row r="52" spans="1:11" ht="14.4" customHeight="1" thickBot="1" x14ac:dyDescent="0.35">
      <c r="A52" s="273" t="s">
        <v>196</v>
      </c>
      <c r="B52" s="251">
        <v>4.9406564584124654E-324</v>
      </c>
      <c r="C52" s="251">
        <v>2.875</v>
      </c>
      <c r="D52" s="252">
        <v>2.875</v>
      </c>
      <c r="E52" s="263" t="s">
        <v>157</v>
      </c>
      <c r="F52" s="251">
        <v>0</v>
      </c>
      <c r="G52" s="252">
        <v>0</v>
      </c>
      <c r="H52" s="254">
        <v>4.9406564584124654E-324</v>
      </c>
      <c r="I52" s="251">
        <v>4.9406564584124654E-323</v>
      </c>
      <c r="J52" s="252">
        <v>4.9406564584124654E-323</v>
      </c>
      <c r="K52" s="261" t="s">
        <v>151</v>
      </c>
    </row>
    <row r="53" spans="1:11" ht="14.4" customHeight="1" thickBot="1" x14ac:dyDescent="0.35">
      <c r="A53" s="270" t="s">
        <v>50</v>
      </c>
      <c r="B53" s="251">
        <v>6402.99957446797</v>
      </c>
      <c r="C53" s="251">
        <v>6199.6431599999996</v>
      </c>
      <c r="D53" s="252">
        <v>-203.35641446796501</v>
      </c>
      <c r="E53" s="253">
        <v>0.96824044541800003</v>
      </c>
      <c r="F53" s="251">
        <v>6009.9983753778297</v>
      </c>
      <c r="G53" s="252">
        <v>5008.3319794815197</v>
      </c>
      <c r="H53" s="254">
        <v>515.36154999999997</v>
      </c>
      <c r="I53" s="251">
        <v>5365.8336099999997</v>
      </c>
      <c r="J53" s="252">
        <v>357.50163051847602</v>
      </c>
      <c r="K53" s="255">
        <v>0.89281781372500002</v>
      </c>
    </row>
    <row r="54" spans="1:11" ht="14.4" customHeight="1" thickBot="1" x14ac:dyDescent="0.35">
      <c r="A54" s="275" t="s">
        <v>197</v>
      </c>
      <c r="B54" s="256">
        <v>4741.9997544786902</v>
      </c>
      <c r="C54" s="256">
        <v>4597.7299999999996</v>
      </c>
      <c r="D54" s="257">
        <v>-144.26975447869199</v>
      </c>
      <c r="E54" s="258">
        <v>0.96957617841599997</v>
      </c>
      <c r="F54" s="256">
        <v>4450.9999999997499</v>
      </c>
      <c r="G54" s="257">
        <v>3709.1666666664601</v>
      </c>
      <c r="H54" s="259">
        <v>381.75</v>
      </c>
      <c r="I54" s="256">
        <v>3976.0940000000001</v>
      </c>
      <c r="J54" s="257">
        <v>266.92733333353902</v>
      </c>
      <c r="K54" s="262">
        <v>0.89330352729700002</v>
      </c>
    </row>
    <row r="55" spans="1:11" ht="14.4" customHeight="1" thickBot="1" x14ac:dyDescent="0.35">
      <c r="A55" s="272" t="s">
        <v>198</v>
      </c>
      <c r="B55" s="256">
        <v>4726.9997553818603</v>
      </c>
      <c r="C55" s="256">
        <v>4576.28</v>
      </c>
      <c r="D55" s="257">
        <v>-150.71975538186101</v>
      </c>
      <c r="E55" s="258">
        <v>0.96811513366099999</v>
      </c>
      <c r="F55" s="256">
        <v>4450.9999999997499</v>
      </c>
      <c r="G55" s="257">
        <v>3709.1666666664601</v>
      </c>
      <c r="H55" s="259">
        <v>381.75</v>
      </c>
      <c r="I55" s="256">
        <v>3970.3290000000002</v>
      </c>
      <c r="J55" s="257">
        <v>261.16233333353898</v>
      </c>
      <c r="K55" s="262">
        <v>0.89200831273799996</v>
      </c>
    </row>
    <row r="56" spans="1:11" ht="14.4" customHeight="1" thickBot="1" x14ac:dyDescent="0.35">
      <c r="A56" s="273" t="s">
        <v>199</v>
      </c>
      <c r="B56" s="251">
        <v>4726.9997553818603</v>
      </c>
      <c r="C56" s="251">
        <v>4576.28</v>
      </c>
      <c r="D56" s="252">
        <v>-150.71975538186101</v>
      </c>
      <c r="E56" s="253">
        <v>0.96811513366099999</v>
      </c>
      <c r="F56" s="251">
        <v>4450.9999999997499</v>
      </c>
      <c r="G56" s="252">
        <v>3709.1666666664601</v>
      </c>
      <c r="H56" s="254">
        <v>381.75</v>
      </c>
      <c r="I56" s="251">
        <v>3970.3290000000002</v>
      </c>
      <c r="J56" s="252">
        <v>261.16233333353898</v>
      </c>
      <c r="K56" s="255">
        <v>0.89200831273799996</v>
      </c>
    </row>
    <row r="57" spans="1:11" ht="14.4" customHeight="1" thickBot="1" x14ac:dyDescent="0.35">
      <c r="A57" s="272" t="s">
        <v>200</v>
      </c>
      <c r="B57" s="256">
        <v>14.999999096831999</v>
      </c>
      <c r="C57" s="256">
        <v>21.45</v>
      </c>
      <c r="D57" s="257">
        <v>6.450000903167</v>
      </c>
      <c r="E57" s="258">
        <v>1.430000086101</v>
      </c>
      <c r="F57" s="256">
        <v>0</v>
      </c>
      <c r="G57" s="257">
        <v>0</v>
      </c>
      <c r="H57" s="259">
        <v>4.9406564584124654E-324</v>
      </c>
      <c r="I57" s="256">
        <v>5.7649999999999997</v>
      </c>
      <c r="J57" s="257">
        <v>5.7649999999999997</v>
      </c>
      <c r="K57" s="260" t="s">
        <v>151</v>
      </c>
    </row>
    <row r="58" spans="1:11" ht="14.4" customHeight="1" thickBot="1" x14ac:dyDescent="0.35">
      <c r="A58" s="273" t="s">
        <v>201</v>
      </c>
      <c r="B58" s="251">
        <v>14.999999096831999</v>
      </c>
      <c r="C58" s="251">
        <v>21.45</v>
      </c>
      <c r="D58" s="252">
        <v>6.450000903167</v>
      </c>
      <c r="E58" s="253">
        <v>1.430000086101</v>
      </c>
      <c r="F58" s="251">
        <v>0</v>
      </c>
      <c r="G58" s="252">
        <v>0</v>
      </c>
      <c r="H58" s="254">
        <v>4.9406564584124654E-324</v>
      </c>
      <c r="I58" s="251">
        <v>5.7649999999999997</v>
      </c>
      <c r="J58" s="252">
        <v>5.7649999999999997</v>
      </c>
      <c r="K58" s="261" t="s">
        <v>151</v>
      </c>
    </row>
    <row r="59" spans="1:11" ht="14.4" customHeight="1" thickBot="1" x14ac:dyDescent="0.35">
      <c r="A59" s="271" t="s">
        <v>202</v>
      </c>
      <c r="B59" s="251">
        <v>1612.99982287941</v>
      </c>
      <c r="C59" s="251">
        <v>1555.93641</v>
      </c>
      <c r="D59" s="252">
        <v>-57.063412879407998</v>
      </c>
      <c r="E59" s="253">
        <v>0.96462280276099999</v>
      </c>
      <c r="F59" s="251">
        <v>1513.99837537808</v>
      </c>
      <c r="G59" s="252">
        <v>1261.6653128150599</v>
      </c>
      <c r="H59" s="254">
        <v>129.79381000000001</v>
      </c>
      <c r="I59" s="251">
        <v>1349.97767</v>
      </c>
      <c r="J59" s="252">
        <v>88.312357184936005</v>
      </c>
      <c r="K59" s="255">
        <v>0.89166388283700004</v>
      </c>
    </row>
    <row r="60" spans="1:11" ht="14.4" customHeight="1" thickBot="1" x14ac:dyDescent="0.35">
      <c r="A60" s="272" t="s">
        <v>203</v>
      </c>
      <c r="B60" s="256">
        <v>426.99993428983902</v>
      </c>
      <c r="C60" s="256">
        <v>411.86631999999997</v>
      </c>
      <c r="D60" s="257">
        <v>-15.133614289838</v>
      </c>
      <c r="E60" s="258">
        <v>0.96455827489699997</v>
      </c>
      <c r="F60" s="256">
        <v>400.99999691353599</v>
      </c>
      <c r="G60" s="257">
        <v>334.16666409461402</v>
      </c>
      <c r="H60" s="259">
        <v>34.356310000000001</v>
      </c>
      <c r="I60" s="256">
        <v>357.39537000000001</v>
      </c>
      <c r="J60" s="257">
        <v>23.228705905386001</v>
      </c>
      <c r="K60" s="262">
        <v>0.89126028117400002</v>
      </c>
    </row>
    <row r="61" spans="1:11" ht="14.4" customHeight="1" thickBot="1" x14ac:dyDescent="0.35">
      <c r="A61" s="273" t="s">
        <v>204</v>
      </c>
      <c r="B61" s="251">
        <v>426.99993428983902</v>
      </c>
      <c r="C61" s="251">
        <v>411.86631999999997</v>
      </c>
      <c r="D61" s="252">
        <v>-15.133614289838</v>
      </c>
      <c r="E61" s="253">
        <v>0.96455827489699997</v>
      </c>
      <c r="F61" s="251">
        <v>400.99999691353599</v>
      </c>
      <c r="G61" s="252">
        <v>334.16666409461402</v>
      </c>
      <c r="H61" s="254">
        <v>34.356310000000001</v>
      </c>
      <c r="I61" s="251">
        <v>357.39537000000001</v>
      </c>
      <c r="J61" s="252">
        <v>23.228705905386001</v>
      </c>
      <c r="K61" s="255">
        <v>0.89126028117400002</v>
      </c>
    </row>
    <row r="62" spans="1:11" ht="14.4" customHeight="1" thickBot="1" x14ac:dyDescent="0.35">
      <c r="A62" s="272" t="s">
        <v>205</v>
      </c>
      <c r="B62" s="256">
        <v>1185.99988858957</v>
      </c>
      <c r="C62" s="256">
        <v>1144.0700899999999</v>
      </c>
      <c r="D62" s="257">
        <v>-41.929798589569998</v>
      </c>
      <c r="E62" s="258">
        <v>0.96464603496699997</v>
      </c>
      <c r="F62" s="256">
        <v>1112.9983784645401</v>
      </c>
      <c r="G62" s="257">
        <v>927.49864872044998</v>
      </c>
      <c r="H62" s="259">
        <v>95.4375</v>
      </c>
      <c r="I62" s="256">
        <v>992.58230000000003</v>
      </c>
      <c r="J62" s="257">
        <v>65.083651279549002</v>
      </c>
      <c r="K62" s="262">
        <v>0.89180929568699996</v>
      </c>
    </row>
    <row r="63" spans="1:11" ht="14.4" customHeight="1" thickBot="1" x14ac:dyDescent="0.35">
      <c r="A63" s="273" t="s">
        <v>206</v>
      </c>
      <c r="B63" s="251">
        <v>1185.99988858957</v>
      </c>
      <c r="C63" s="251">
        <v>1144.0700899999999</v>
      </c>
      <c r="D63" s="252">
        <v>-41.929798589569998</v>
      </c>
      <c r="E63" s="253">
        <v>0.96464603496699997</v>
      </c>
      <c r="F63" s="251">
        <v>1112.9983784645401</v>
      </c>
      <c r="G63" s="252">
        <v>927.49864872044998</v>
      </c>
      <c r="H63" s="254">
        <v>95.4375</v>
      </c>
      <c r="I63" s="251">
        <v>992.58230000000003</v>
      </c>
      <c r="J63" s="252">
        <v>65.083651279549002</v>
      </c>
      <c r="K63" s="255">
        <v>0.89180929568699996</v>
      </c>
    </row>
    <row r="64" spans="1:11" ht="14.4" customHeight="1" thickBot="1" x14ac:dyDescent="0.35">
      <c r="A64" s="271" t="s">
        <v>207</v>
      </c>
      <c r="B64" s="251">
        <v>47.999997109863997</v>
      </c>
      <c r="C64" s="251">
        <v>45.976750000000003</v>
      </c>
      <c r="D64" s="252">
        <v>-2.0232471098640001</v>
      </c>
      <c r="E64" s="253">
        <v>0.95784901600600003</v>
      </c>
      <c r="F64" s="251">
        <v>44.999999999997002</v>
      </c>
      <c r="G64" s="252">
        <v>37.499999999997002</v>
      </c>
      <c r="H64" s="254">
        <v>3.8177400000000001</v>
      </c>
      <c r="I64" s="251">
        <v>39.761940000000003</v>
      </c>
      <c r="J64" s="252">
        <v>2.2619400000019998</v>
      </c>
      <c r="K64" s="255">
        <v>0.88359866666599995</v>
      </c>
    </row>
    <row r="65" spans="1:11" ht="14.4" customHeight="1" thickBot="1" x14ac:dyDescent="0.35">
      <c r="A65" s="272" t="s">
        <v>208</v>
      </c>
      <c r="B65" s="256">
        <v>47.999997109863997</v>
      </c>
      <c r="C65" s="256">
        <v>45.976750000000003</v>
      </c>
      <c r="D65" s="257">
        <v>-2.0232471098640001</v>
      </c>
      <c r="E65" s="258">
        <v>0.95784901600600003</v>
      </c>
      <c r="F65" s="256">
        <v>44.999999999997002</v>
      </c>
      <c r="G65" s="257">
        <v>37.499999999997002</v>
      </c>
      <c r="H65" s="259">
        <v>3.8177400000000001</v>
      </c>
      <c r="I65" s="256">
        <v>39.761940000000003</v>
      </c>
      <c r="J65" s="257">
        <v>2.2619400000019998</v>
      </c>
      <c r="K65" s="262">
        <v>0.88359866666599995</v>
      </c>
    </row>
    <row r="66" spans="1:11" ht="14.4" customHeight="1" thickBot="1" x14ac:dyDescent="0.35">
      <c r="A66" s="273" t="s">
        <v>209</v>
      </c>
      <c r="B66" s="251">
        <v>47.999997109863997</v>
      </c>
      <c r="C66" s="251">
        <v>45.976750000000003</v>
      </c>
      <c r="D66" s="252">
        <v>-2.0232471098640001</v>
      </c>
      <c r="E66" s="253">
        <v>0.95784901600600003</v>
      </c>
      <c r="F66" s="251">
        <v>44.999999999997002</v>
      </c>
      <c r="G66" s="252">
        <v>37.499999999997002</v>
      </c>
      <c r="H66" s="254">
        <v>3.8177400000000001</v>
      </c>
      <c r="I66" s="251">
        <v>39.761940000000003</v>
      </c>
      <c r="J66" s="252">
        <v>2.2619400000019998</v>
      </c>
      <c r="K66" s="255">
        <v>0.88359866666599995</v>
      </c>
    </row>
    <row r="67" spans="1:11" ht="14.4" customHeight="1" thickBot="1" x14ac:dyDescent="0.35">
      <c r="A67" s="270" t="s">
        <v>210</v>
      </c>
      <c r="B67" s="251">
        <v>4.9406564584124654E-324</v>
      </c>
      <c r="C67" s="251">
        <v>14.236000000000001</v>
      </c>
      <c r="D67" s="252">
        <v>14.236000000000001</v>
      </c>
      <c r="E67" s="263" t="s">
        <v>157</v>
      </c>
      <c r="F67" s="251">
        <v>0</v>
      </c>
      <c r="G67" s="252">
        <v>0</v>
      </c>
      <c r="H67" s="254">
        <v>15.4</v>
      </c>
      <c r="I67" s="251">
        <v>23.68</v>
      </c>
      <c r="J67" s="252">
        <v>23.68</v>
      </c>
      <c r="K67" s="261" t="s">
        <v>151</v>
      </c>
    </row>
    <row r="68" spans="1:11" ht="14.4" customHeight="1" thickBot="1" x14ac:dyDescent="0.35">
      <c r="A68" s="271" t="s">
        <v>211</v>
      </c>
      <c r="B68" s="251">
        <v>4.9406564584124654E-324</v>
      </c>
      <c r="C68" s="251">
        <v>14.236000000000001</v>
      </c>
      <c r="D68" s="252">
        <v>14.236000000000001</v>
      </c>
      <c r="E68" s="263" t="s">
        <v>157</v>
      </c>
      <c r="F68" s="251">
        <v>0</v>
      </c>
      <c r="G68" s="252">
        <v>0</v>
      </c>
      <c r="H68" s="254">
        <v>15.4</v>
      </c>
      <c r="I68" s="251">
        <v>23.68</v>
      </c>
      <c r="J68" s="252">
        <v>23.68</v>
      </c>
      <c r="K68" s="261" t="s">
        <v>151</v>
      </c>
    </row>
    <row r="69" spans="1:11" ht="14.4" customHeight="1" thickBot="1" x14ac:dyDescent="0.35">
      <c r="A69" s="272" t="s">
        <v>212</v>
      </c>
      <c r="B69" s="256">
        <v>4.9406564584124654E-324</v>
      </c>
      <c r="C69" s="256">
        <v>2.3359999999999999</v>
      </c>
      <c r="D69" s="257">
        <v>2.3359999999999999</v>
      </c>
      <c r="E69" s="264" t="s">
        <v>157</v>
      </c>
      <c r="F69" s="256">
        <v>0</v>
      </c>
      <c r="G69" s="257">
        <v>0</v>
      </c>
      <c r="H69" s="259">
        <v>4.9406564584124654E-324</v>
      </c>
      <c r="I69" s="256">
        <v>4.9406564584124654E-323</v>
      </c>
      <c r="J69" s="257">
        <v>4.9406564584124654E-323</v>
      </c>
      <c r="K69" s="260" t="s">
        <v>151</v>
      </c>
    </row>
    <row r="70" spans="1:11" ht="14.4" customHeight="1" thickBot="1" x14ac:dyDescent="0.35">
      <c r="A70" s="273" t="s">
        <v>213</v>
      </c>
      <c r="B70" s="251">
        <v>4.9406564584124654E-324</v>
      </c>
      <c r="C70" s="251">
        <v>0.33600000000000002</v>
      </c>
      <c r="D70" s="252">
        <v>0.33600000000000002</v>
      </c>
      <c r="E70" s="263" t="s">
        <v>157</v>
      </c>
      <c r="F70" s="251">
        <v>0</v>
      </c>
      <c r="G70" s="252">
        <v>0</v>
      </c>
      <c r="H70" s="254">
        <v>4.9406564584124654E-324</v>
      </c>
      <c r="I70" s="251">
        <v>4.9406564584124654E-323</v>
      </c>
      <c r="J70" s="252">
        <v>4.9406564584124654E-323</v>
      </c>
      <c r="K70" s="261" t="s">
        <v>151</v>
      </c>
    </row>
    <row r="71" spans="1:11" ht="14.4" customHeight="1" thickBot="1" x14ac:dyDescent="0.35">
      <c r="A71" s="273" t="s">
        <v>214</v>
      </c>
      <c r="B71" s="251">
        <v>4.9406564584124654E-324</v>
      </c>
      <c r="C71" s="251">
        <v>2</v>
      </c>
      <c r="D71" s="252">
        <v>2</v>
      </c>
      <c r="E71" s="263" t="s">
        <v>157</v>
      </c>
      <c r="F71" s="251">
        <v>0</v>
      </c>
      <c r="G71" s="252">
        <v>0</v>
      </c>
      <c r="H71" s="254">
        <v>4.9406564584124654E-324</v>
      </c>
      <c r="I71" s="251">
        <v>4.9406564584124654E-323</v>
      </c>
      <c r="J71" s="252">
        <v>4.9406564584124654E-323</v>
      </c>
      <c r="K71" s="261" t="s">
        <v>151</v>
      </c>
    </row>
    <row r="72" spans="1:11" ht="14.4" customHeight="1" thickBot="1" x14ac:dyDescent="0.35">
      <c r="A72" s="272" t="s">
        <v>215</v>
      </c>
      <c r="B72" s="256">
        <v>4.9406564584124654E-324</v>
      </c>
      <c r="C72" s="256">
        <v>4.9406564584124654E-324</v>
      </c>
      <c r="D72" s="257">
        <v>0</v>
      </c>
      <c r="E72" s="258">
        <v>1</v>
      </c>
      <c r="F72" s="256">
        <v>4.9406564584124654E-324</v>
      </c>
      <c r="G72" s="257">
        <v>0</v>
      </c>
      <c r="H72" s="259">
        <v>4.9406564584124654E-324</v>
      </c>
      <c r="I72" s="256">
        <v>5.08</v>
      </c>
      <c r="J72" s="257">
        <v>5.08</v>
      </c>
      <c r="K72" s="260" t="s">
        <v>157</v>
      </c>
    </row>
    <row r="73" spans="1:11" ht="14.4" customHeight="1" thickBot="1" x14ac:dyDescent="0.35">
      <c r="A73" s="273" t="s">
        <v>216</v>
      </c>
      <c r="B73" s="251">
        <v>4.9406564584124654E-324</v>
      </c>
      <c r="C73" s="251">
        <v>4.9406564584124654E-324</v>
      </c>
      <c r="D73" s="252">
        <v>0</v>
      </c>
      <c r="E73" s="253">
        <v>1</v>
      </c>
      <c r="F73" s="251">
        <v>4.9406564584124654E-324</v>
      </c>
      <c r="G73" s="252">
        <v>0</v>
      </c>
      <c r="H73" s="254">
        <v>4.9406564584124654E-324</v>
      </c>
      <c r="I73" s="251">
        <v>5.08</v>
      </c>
      <c r="J73" s="252">
        <v>5.08</v>
      </c>
      <c r="K73" s="261" t="s">
        <v>157</v>
      </c>
    </row>
    <row r="74" spans="1:11" ht="14.4" customHeight="1" thickBot="1" x14ac:dyDescent="0.35">
      <c r="A74" s="276" t="s">
        <v>217</v>
      </c>
      <c r="B74" s="251">
        <v>4.9406564584124654E-324</v>
      </c>
      <c r="C74" s="251">
        <v>9.9</v>
      </c>
      <c r="D74" s="252">
        <v>9.9</v>
      </c>
      <c r="E74" s="263" t="s">
        <v>157</v>
      </c>
      <c r="F74" s="251">
        <v>0</v>
      </c>
      <c r="G74" s="252">
        <v>0</v>
      </c>
      <c r="H74" s="254">
        <v>4.9406564584124654E-324</v>
      </c>
      <c r="I74" s="251">
        <v>4.9406564584124654E-323</v>
      </c>
      <c r="J74" s="252">
        <v>4.9406564584124654E-323</v>
      </c>
      <c r="K74" s="261" t="s">
        <v>151</v>
      </c>
    </row>
    <row r="75" spans="1:11" ht="14.4" customHeight="1" thickBot="1" x14ac:dyDescent="0.35">
      <c r="A75" s="273" t="s">
        <v>218</v>
      </c>
      <c r="B75" s="251">
        <v>4.9406564584124654E-324</v>
      </c>
      <c r="C75" s="251">
        <v>9.9</v>
      </c>
      <c r="D75" s="252">
        <v>9.9</v>
      </c>
      <c r="E75" s="263" t="s">
        <v>157</v>
      </c>
      <c r="F75" s="251">
        <v>0</v>
      </c>
      <c r="G75" s="252">
        <v>0</v>
      </c>
      <c r="H75" s="254">
        <v>4.9406564584124654E-324</v>
      </c>
      <c r="I75" s="251">
        <v>4.9406564584124654E-323</v>
      </c>
      <c r="J75" s="252">
        <v>4.9406564584124654E-323</v>
      </c>
      <c r="K75" s="261" t="s">
        <v>151</v>
      </c>
    </row>
    <row r="76" spans="1:11" ht="14.4" customHeight="1" thickBot="1" x14ac:dyDescent="0.35">
      <c r="A76" s="276" t="s">
        <v>219</v>
      </c>
      <c r="B76" s="251">
        <v>4.9406564584124654E-324</v>
      </c>
      <c r="C76" s="251">
        <v>2</v>
      </c>
      <c r="D76" s="252">
        <v>2</v>
      </c>
      <c r="E76" s="263" t="s">
        <v>157</v>
      </c>
      <c r="F76" s="251">
        <v>0</v>
      </c>
      <c r="G76" s="252">
        <v>0</v>
      </c>
      <c r="H76" s="254">
        <v>15.4</v>
      </c>
      <c r="I76" s="251">
        <v>18.600000000000001</v>
      </c>
      <c r="J76" s="252">
        <v>18.600000000000001</v>
      </c>
      <c r="K76" s="261" t="s">
        <v>151</v>
      </c>
    </row>
    <row r="77" spans="1:11" ht="14.4" customHeight="1" thickBot="1" x14ac:dyDescent="0.35">
      <c r="A77" s="273" t="s">
        <v>220</v>
      </c>
      <c r="B77" s="251">
        <v>4.9406564584124654E-324</v>
      </c>
      <c r="C77" s="251">
        <v>2</v>
      </c>
      <c r="D77" s="252">
        <v>2</v>
      </c>
      <c r="E77" s="263" t="s">
        <v>157</v>
      </c>
      <c r="F77" s="251">
        <v>0</v>
      </c>
      <c r="G77" s="252">
        <v>0</v>
      </c>
      <c r="H77" s="254">
        <v>15.4</v>
      </c>
      <c r="I77" s="251">
        <v>18.600000000000001</v>
      </c>
      <c r="J77" s="252">
        <v>18.600000000000001</v>
      </c>
      <c r="K77" s="261" t="s">
        <v>151</v>
      </c>
    </row>
    <row r="78" spans="1:11" ht="14.4" customHeight="1" thickBot="1" x14ac:dyDescent="0.35">
      <c r="A78" s="270" t="s">
        <v>221</v>
      </c>
      <c r="B78" s="251">
        <v>179.999989161992</v>
      </c>
      <c r="C78" s="251">
        <v>182.684</v>
      </c>
      <c r="D78" s="252">
        <v>2.6840108380080001</v>
      </c>
      <c r="E78" s="253">
        <v>1.0149111722199999</v>
      </c>
      <c r="F78" s="251">
        <v>37.999999999997002</v>
      </c>
      <c r="G78" s="252">
        <v>31.666666666664</v>
      </c>
      <c r="H78" s="254">
        <v>4.3140000000000001</v>
      </c>
      <c r="I78" s="251">
        <v>33.768000000000001</v>
      </c>
      <c r="J78" s="252">
        <v>2.1013333333349999</v>
      </c>
      <c r="K78" s="255">
        <v>0.88863157894699996</v>
      </c>
    </row>
    <row r="79" spans="1:11" ht="14.4" customHeight="1" thickBot="1" x14ac:dyDescent="0.35">
      <c r="A79" s="271" t="s">
        <v>222</v>
      </c>
      <c r="B79" s="251">
        <v>179.999989161992</v>
      </c>
      <c r="C79" s="251">
        <v>182.684</v>
      </c>
      <c r="D79" s="252">
        <v>2.6840108380080001</v>
      </c>
      <c r="E79" s="253">
        <v>1.0149111722199999</v>
      </c>
      <c r="F79" s="251">
        <v>37.999999999997002</v>
      </c>
      <c r="G79" s="252">
        <v>31.666666666664</v>
      </c>
      <c r="H79" s="254">
        <v>3.28</v>
      </c>
      <c r="I79" s="251">
        <v>32.734000000000002</v>
      </c>
      <c r="J79" s="252">
        <v>1.0673333333349999</v>
      </c>
      <c r="K79" s="255">
        <v>0.86142105263099999</v>
      </c>
    </row>
    <row r="80" spans="1:11" ht="14.4" customHeight="1" thickBot="1" x14ac:dyDescent="0.35">
      <c r="A80" s="272" t="s">
        <v>223</v>
      </c>
      <c r="B80" s="256">
        <v>179.999989161992</v>
      </c>
      <c r="C80" s="256">
        <v>182.684</v>
      </c>
      <c r="D80" s="257">
        <v>2.6840108380080001</v>
      </c>
      <c r="E80" s="258">
        <v>1.0149111722199999</v>
      </c>
      <c r="F80" s="256">
        <v>37.999999999997002</v>
      </c>
      <c r="G80" s="257">
        <v>31.666666666664</v>
      </c>
      <c r="H80" s="259">
        <v>3.28</v>
      </c>
      <c r="I80" s="256">
        <v>32.734000000000002</v>
      </c>
      <c r="J80" s="257">
        <v>1.0673333333349999</v>
      </c>
      <c r="K80" s="262">
        <v>0.86142105263099999</v>
      </c>
    </row>
    <row r="81" spans="1:11" ht="14.4" customHeight="1" thickBot="1" x14ac:dyDescent="0.35">
      <c r="A81" s="273" t="s">
        <v>224</v>
      </c>
      <c r="B81" s="251">
        <v>84.999954882053999</v>
      </c>
      <c r="C81" s="251">
        <v>85.566000000000003</v>
      </c>
      <c r="D81" s="252">
        <v>0.56604511794500001</v>
      </c>
      <c r="E81" s="253">
        <v>1.0066593578630001</v>
      </c>
      <c r="F81" s="251">
        <v>20.999999999998</v>
      </c>
      <c r="G81" s="252">
        <v>17.499999999999002</v>
      </c>
      <c r="H81" s="254">
        <v>1.827</v>
      </c>
      <c r="I81" s="251">
        <v>18.25</v>
      </c>
      <c r="J81" s="252">
        <v>0.75</v>
      </c>
      <c r="K81" s="255">
        <v>0.86904761904700001</v>
      </c>
    </row>
    <row r="82" spans="1:11" ht="14.4" customHeight="1" thickBot="1" x14ac:dyDescent="0.35">
      <c r="A82" s="273" t="s">
        <v>225</v>
      </c>
      <c r="B82" s="251">
        <v>4.9406564584124654E-324</v>
      </c>
      <c r="C82" s="251">
        <v>1.6659999999999999</v>
      </c>
      <c r="D82" s="252">
        <v>1.6659999999999999</v>
      </c>
      <c r="E82" s="263" t="s">
        <v>157</v>
      </c>
      <c r="F82" s="251">
        <v>9.9999999999989999</v>
      </c>
      <c r="G82" s="252">
        <v>8.3333333333319999</v>
      </c>
      <c r="H82" s="254">
        <v>0.82599999999999996</v>
      </c>
      <c r="I82" s="251">
        <v>8.26</v>
      </c>
      <c r="J82" s="252">
        <v>-7.3333333331999997E-2</v>
      </c>
      <c r="K82" s="255">
        <v>0.82599999999999996</v>
      </c>
    </row>
    <row r="83" spans="1:11" ht="14.4" customHeight="1" thickBot="1" x14ac:dyDescent="0.35">
      <c r="A83" s="273" t="s">
        <v>226</v>
      </c>
      <c r="B83" s="251">
        <v>95.000034279936997</v>
      </c>
      <c r="C83" s="251">
        <v>95.451999999999998</v>
      </c>
      <c r="D83" s="252">
        <v>0.45196572006199998</v>
      </c>
      <c r="E83" s="253">
        <v>1.004757532178</v>
      </c>
      <c r="F83" s="251">
        <v>6.9999999999989999</v>
      </c>
      <c r="G83" s="252">
        <v>5.833333333333</v>
      </c>
      <c r="H83" s="254">
        <v>0.627</v>
      </c>
      <c r="I83" s="251">
        <v>6.2240000000000002</v>
      </c>
      <c r="J83" s="252">
        <v>0.39066666666599997</v>
      </c>
      <c r="K83" s="255">
        <v>0.88914285714200003</v>
      </c>
    </row>
    <row r="84" spans="1:11" ht="14.4" customHeight="1" thickBot="1" x14ac:dyDescent="0.35">
      <c r="A84" s="271" t="s">
        <v>227</v>
      </c>
      <c r="B84" s="251">
        <v>4.9406564584124654E-324</v>
      </c>
      <c r="C84" s="251">
        <v>4.9406564584124654E-324</v>
      </c>
      <c r="D84" s="252">
        <v>0</v>
      </c>
      <c r="E84" s="253">
        <v>1</v>
      </c>
      <c r="F84" s="251">
        <v>0</v>
      </c>
      <c r="G84" s="252">
        <v>0</v>
      </c>
      <c r="H84" s="254">
        <v>1.034</v>
      </c>
      <c r="I84" s="251">
        <v>1.034</v>
      </c>
      <c r="J84" s="252">
        <v>1.034</v>
      </c>
      <c r="K84" s="261" t="s">
        <v>151</v>
      </c>
    </row>
    <row r="85" spans="1:11" ht="14.4" customHeight="1" thickBot="1" x14ac:dyDescent="0.35">
      <c r="A85" s="272" t="s">
        <v>228</v>
      </c>
      <c r="B85" s="256">
        <v>4.9406564584124654E-324</v>
      </c>
      <c r="C85" s="256">
        <v>4.9406564584124654E-324</v>
      </c>
      <c r="D85" s="257">
        <v>0</v>
      </c>
      <c r="E85" s="258">
        <v>1</v>
      </c>
      <c r="F85" s="256">
        <v>4.9406564584124654E-324</v>
      </c>
      <c r="G85" s="257">
        <v>0</v>
      </c>
      <c r="H85" s="259">
        <v>1.034</v>
      </c>
      <c r="I85" s="256">
        <v>1.034</v>
      </c>
      <c r="J85" s="257">
        <v>1.034</v>
      </c>
      <c r="K85" s="260" t="s">
        <v>157</v>
      </c>
    </row>
    <row r="86" spans="1:11" ht="14.4" customHeight="1" thickBot="1" x14ac:dyDescent="0.35">
      <c r="A86" s="273" t="s">
        <v>229</v>
      </c>
      <c r="B86" s="251">
        <v>4.9406564584124654E-324</v>
      </c>
      <c r="C86" s="251">
        <v>4.9406564584124654E-324</v>
      </c>
      <c r="D86" s="252">
        <v>0</v>
      </c>
      <c r="E86" s="253">
        <v>1</v>
      </c>
      <c r="F86" s="251">
        <v>4.9406564584124654E-324</v>
      </c>
      <c r="G86" s="252">
        <v>0</v>
      </c>
      <c r="H86" s="254">
        <v>1.034</v>
      </c>
      <c r="I86" s="251">
        <v>1.034</v>
      </c>
      <c r="J86" s="252">
        <v>1.034</v>
      </c>
      <c r="K86" s="261" t="s">
        <v>157</v>
      </c>
    </row>
    <row r="87" spans="1:11" ht="14.4" customHeight="1" thickBot="1" x14ac:dyDescent="0.35">
      <c r="A87" s="269" t="s">
        <v>230</v>
      </c>
      <c r="B87" s="251">
        <v>7193.0643979121196</v>
      </c>
      <c r="C87" s="251">
        <v>6047.4943181267699</v>
      </c>
      <c r="D87" s="252">
        <v>-1145.5700797853499</v>
      </c>
      <c r="E87" s="253">
        <v>0.84073963245500005</v>
      </c>
      <c r="F87" s="251">
        <v>7524.2164956824199</v>
      </c>
      <c r="G87" s="252">
        <v>6270.1804130686796</v>
      </c>
      <c r="H87" s="254">
        <v>597.42776000000003</v>
      </c>
      <c r="I87" s="251">
        <v>5750.2882</v>
      </c>
      <c r="J87" s="252">
        <v>-519.89221306868296</v>
      </c>
      <c r="K87" s="255">
        <v>0.76423747287099997</v>
      </c>
    </row>
    <row r="88" spans="1:11" ht="14.4" customHeight="1" thickBot="1" x14ac:dyDescent="0.35">
      <c r="A88" s="270" t="s">
        <v>231</v>
      </c>
      <c r="B88" s="251">
        <v>7174.57616683797</v>
      </c>
      <c r="C88" s="251">
        <v>5994.7682418036302</v>
      </c>
      <c r="D88" s="252">
        <v>-1179.8079250343401</v>
      </c>
      <c r="E88" s="253">
        <v>0.83555712593999998</v>
      </c>
      <c r="F88" s="251">
        <v>7469.3623792708404</v>
      </c>
      <c r="G88" s="252">
        <v>6224.46864939237</v>
      </c>
      <c r="H88" s="254">
        <v>591.88121999999998</v>
      </c>
      <c r="I88" s="251">
        <v>5695.0643600000003</v>
      </c>
      <c r="J88" s="252">
        <v>-529.40428939236699</v>
      </c>
      <c r="K88" s="255">
        <v>0.762456561995</v>
      </c>
    </row>
    <row r="89" spans="1:11" ht="14.4" customHeight="1" thickBot="1" x14ac:dyDescent="0.35">
      <c r="A89" s="271" t="s">
        <v>232</v>
      </c>
      <c r="B89" s="251">
        <v>7174.57616683797</v>
      </c>
      <c r="C89" s="251">
        <v>5994.7682418036302</v>
      </c>
      <c r="D89" s="252">
        <v>-1179.8079250343401</v>
      </c>
      <c r="E89" s="253">
        <v>0.83555712593999998</v>
      </c>
      <c r="F89" s="251">
        <v>7469.3623792708404</v>
      </c>
      <c r="G89" s="252">
        <v>6224.46864939237</v>
      </c>
      <c r="H89" s="254">
        <v>591.88121999999998</v>
      </c>
      <c r="I89" s="251">
        <v>5695.0643600000003</v>
      </c>
      <c r="J89" s="252">
        <v>-529.40428939236699</v>
      </c>
      <c r="K89" s="255">
        <v>0.762456561995</v>
      </c>
    </row>
    <row r="90" spans="1:11" ht="14.4" customHeight="1" thickBot="1" x14ac:dyDescent="0.35">
      <c r="A90" s="272" t="s">
        <v>233</v>
      </c>
      <c r="B90" s="256">
        <v>21.575791253538</v>
      </c>
      <c r="C90" s="256">
        <v>16.933958449336998</v>
      </c>
      <c r="D90" s="257">
        <v>-4.6418328041999999</v>
      </c>
      <c r="E90" s="258">
        <v>0.78485920865400005</v>
      </c>
      <c r="F90" s="256">
        <v>16.361912648484001</v>
      </c>
      <c r="G90" s="257">
        <v>13.63492720707</v>
      </c>
      <c r="H90" s="259">
        <v>4.9406564584124654E-324</v>
      </c>
      <c r="I90" s="256">
        <v>15.66342</v>
      </c>
      <c r="J90" s="257">
        <v>2.0284927929290002</v>
      </c>
      <c r="K90" s="262">
        <v>0.95730984124499996</v>
      </c>
    </row>
    <row r="91" spans="1:11" ht="14.4" customHeight="1" thickBot="1" x14ac:dyDescent="0.35">
      <c r="A91" s="273" t="s">
        <v>234</v>
      </c>
      <c r="B91" s="251">
        <v>21.575791253538</v>
      </c>
      <c r="C91" s="251">
        <v>16.933958449336998</v>
      </c>
      <c r="D91" s="252">
        <v>-4.6418328041999999</v>
      </c>
      <c r="E91" s="253">
        <v>0.78485920865400005</v>
      </c>
      <c r="F91" s="251">
        <v>16.361912648484001</v>
      </c>
      <c r="G91" s="252">
        <v>13.63492720707</v>
      </c>
      <c r="H91" s="254">
        <v>4.9406564584124654E-324</v>
      </c>
      <c r="I91" s="251">
        <v>15.66342</v>
      </c>
      <c r="J91" s="252">
        <v>2.0284927929290002</v>
      </c>
      <c r="K91" s="255">
        <v>0.95730984124499996</v>
      </c>
    </row>
    <row r="92" spans="1:11" ht="14.4" customHeight="1" thickBot="1" x14ac:dyDescent="0.35">
      <c r="A92" s="272" t="s">
        <v>235</v>
      </c>
      <c r="B92" s="256">
        <v>9.000000522893</v>
      </c>
      <c r="C92" s="256">
        <v>2.946209790338</v>
      </c>
      <c r="D92" s="257">
        <v>-6.053790732555</v>
      </c>
      <c r="E92" s="258">
        <v>0.32735662435099999</v>
      </c>
      <c r="F92" s="256">
        <v>13.000067426026</v>
      </c>
      <c r="G92" s="257">
        <v>10.833389521688</v>
      </c>
      <c r="H92" s="259">
        <v>0.70926</v>
      </c>
      <c r="I92" s="256">
        <v>7.5944200000000004</v>
      </c>
      <c r="J92" s="257">
        <v>-3.2389695216879999</v>
      </c>
      <c r="K92" s="262">
        <v>0.58418312391100002</v>
      </c>
    </row>
    <row r="93" spans="1:11" ht="14.4" customHeight="1" thickBot="1" x14ac:dyDescent="0.35">
      <c r="A93" s="273" t="s">
        <v>236</v>
      </c>
      <c r="B93" s="251">
        <v>9.000000522893</v>
      </c>
      <c r="C93" s="251">
        <v>2.946209790338</v>
      </c>
      <c r="D93" s="252">
        <v>-6.053790732555</v>
      </c>
      <c r="E93" s="253">
        <v>0.32735662435099999</v>
      </c>
      <c r="F93" s="251">
        <v>5.0000697404340002</v>
      </c>
      <c r="G93" s="252">
        <v>4.1667247836949999</v>
      </c>
      <c r="H93" s="254">
        <v>0.70926</v>
      </c>
      <c r="I93" s="251">
        <v>7.5944200000000004</v>
      </c>
      <c r="J93" s="252">
        <v>3.427695216304</v>
      </c>
      <c r="K93" s="255">
        <v>1.518862814769</v>
      </c>
    </row>
    <row r="94" spans="1:11" ht="14.4" customHeight="1" thickBot="1" x14ac:dyDescent="0.35">
      <c r="A94" s="272" t="s">
        <v>237</v>
      </c>
      <c r="B94" s="256">
        <v>6.000000348595</v>
      </c>
      <c r="C94" s="256">
        <v>4.9406564584124654E-324</v>
      </c>
      <c r="D94" s="257">
        <v>-6.000000348595</v>
      </c>
      <c r="E94" s="258">
        <v>0</v>
      </c>
      <c r="F94" s="256">
        <v>8.0004244643270006</v>
      </c>
      <c r="G94" s="257">
        <v>6.6670203869389999</v>
      </c>
      <c r="H94" s="259">
        <v>4.9406564584124654E-324</v>
      </c>
      <c r="I94" s="256">
        <v>2.9051999999999998</v>
      </c>
      <c r="J94" s="257">
        <v>-3.7618203869390001</v>
      </c>
      <c r="K94" s="262">
        <v>0.36313073299400001</v>
      </c>
    </row>
    <row r="95" spans="1:11" ht="14.4" customHeight="1" thickBot="1" x14ac:dyDescent="0.35">
      <c r="A95" s="273" t="s">
        <v>238</v>
      </c>
      <c r="B95" s="251">
        <v>4.9406564584124654E-324</v>
      </c>
      <c r="C95" s="251">
        <v>4.9406564584124654E-324</v>
      </c>
      <c r="D95" s="252">
        <v>0</v>
      </c>
      <c r="E95" s="253">
        <v>1</v>
      </c>
      <c r="F95" s="251">
        <v>4.9998308612600004</v>
      </c>
      <c r="G95" s="252">
        <v>4.1665257177169996</v>
      </c>
      <c r="H95" s="254">
        <v>4.9406564584124654E-324</v>
      </c>
      <c r="I95" s="251">
        <v>2.9051999999999998</v>
      </c>
      <c r="J95" s="252">
        <v>-1.2613257177170001</v>
      </c>
      <c r="K95" s="255">
        <v>0.581059655939</v>
      </c>
    </row>
    <row r="96" spans="1:11" ht="14.4" customHeight="1" thickBot="1" x14ac:dyDescent="0.35">
      <c r="A96" s="272" t="s">
        <v>239</v>
      </c>
      <c r="B96" s="256">
        <v>4.9406564584124654E-324</v>
      </c>
      <c r="C96" s="256">
        <v>4.9406564584124654E-324</v>
      </c>
      <c r="D96" s="257">
        <v>0</v>
      </c>
      <c r="E96" s="258">
        <v>1</v>
      </c>
      <c r="F96" s="256">
        <v>4.9406564584124654E-324</v>
      </c>
      <c r="G96" s="257">
        <v>0</v>
      </c>
      <c r="H96" s="259">
        <v>-0.15060999999999999</v>
      </c>
      <c r="I96" s="256">
        <v>-0.15060999999999999</v>
      </c>
      <c r="J96" s="257">
        <v>-0.15060999999999999</v>
      </c>
      <c r="K96" s="260" t="s">
        <v>157</v>
      </c>
    </row>
    <row r="97" spans="1:11" ht="14.4" customHeight="1" thickBot="1" x14ac:dyDescent="0.35">
      <c r="A97" s="273" t="s">
        <v>240</v>
      </c>
      <c r="B97" s="251">
        <v>4.9406564584124654E-324</v>
      </c>
      <c r="C97" s="251">
        <v>4.9406564584124654E-324</v>
      </c>
      <c r="D97" s="252">
        <v>0</v>
      </c>
      <c r="E97" s="253">
        <v>1</v>
      </c>
      <c r="F97" s="251">
        <v>4.9406564584124654E-324</v>
      </c>
      <c r="G97" s="252">
        <v>0</v>
      </c>
      <c r="H97" s="254">
        <v>-0.15060999999999999</v>
      </c>
      <c r="I97" s="251">
        <v>-0.15060999999999999</v>
      </c>
      <c r="J97" s="252">
        <v>-0.15060999999999999</v>
      </c>
      <c r="K97" s="261" t="s">
        <v>157</v>
      </c>
    </row>
    <row r="98" spans="1:11" ht="14.4" customHeight="1" thickBot="1" x14ac:dyDescent="0.35">
      <c r="A98" s="272" t="s">
        <v>241</v>
      </c>
      <c r="B98" s="256">
        <v>7138.0003747129404</v>
      </c>
      <c r="C98" s="256">
        <v>5893.3971252682504</v>
      </c>
      <c r="D98" s="257">
        <v>-1244.6032494446899</v>
      </c>
      <c r="E98" s="258">
        <v>0.825636987376</v>
      </c>
      <c r="F98" s="256">
        <v>7431.9999747319998</v>
      </c>
      <c r="G98" s="257">
        <v>6193.3333122766699</v>
      </c>
      <c r="H98" s="259">
        <v>591.32257000000004</v>
      </c>
      <c r="I98" s="256">
        <v>5381.0783300000003</v>
      </c>
      <c r="J98" s="257">
        <v>-812.25498227666799</v>
      </c>
      <c r="K98" s="262">
        <v>0.72404175838200002</v>
      </c>
    </row>
    <row r="99" spans="1:11" ht="14.4" customHeight="1" thickBot="1" x14ac:dyDescent="0.35">
      <c r="A99" s="273" t="s">
        <v>242</v>
      </c>
      <c r="B99" s="251">
        <v>3505.0001636381098</v>
      </c>
      <c r="C99" s="251">
        <v>2045.6251294895101</v>
      </c>
      <c r="D99" s="252">
        <v>-1459.3750341486</v>
      </c>
      <c r="E99" s="253">
        <v>0.58363053751299998</v>
      </c>
      <c r="F99" s="251">
        <v>2724.9999917847999</v>
      </c>
      <c r="G99" s="252">
        <v>2270.8333264873299</v>
      </c>
      <c r="H99" s="254">
        <v>189.35856999999999</v>
      </c>
      <c r="I99" s="251">
        <v>1949.22246</v>
      </c>
      <c r="J99" s="252">
        <v>-321.61086648733198</v>
      </c>
      <c r="K99" s="255">
        <v>0.71531099665099995</v>
      </c>
    </row>
    <row r="100" spans="1:11" ht="14.4" customHeight="1" thickBot="1" x14ac:dyDescent="0.35">
      <c r="A100" s="273" t="s">
        <v>243</v>
      </c>
      <c r="B100" s="251">
        <v>3633.0002110748301</v>
      </c>
      <c r="C100" s="251">
        <v>3847.7719957787299</v>
      </c>
      <c r="D100" s="252">
        <v>214.77178470390601</v>
      </c>
      <c r="E100" s="253">
        <v>1.059116920513</v>
      </c>
      <c r="F100" s="251">
        <v>4706.9999829471999</v>
      </c>
      <c r="G100" s="252">
        <v>3922.4999857893399</v>
      </c>
      <c r="H100" s="254">
        <v>401.964</v>
      </c>
      <c r="I100" s="251">
        <v>3431.8558699999999</v>
      </c>
      <c r="J100" s="252">
        <v>-490.64411578933601</v>
      </c>
      <c r="K100" s="255">
        <v>0.72909621466600005</v>
      </c>
    </row>
    <row r="101" spans="1:11" ht="14.4" customHeight="1" thickBot="1" x14ac:dyDescent="0.35">
      <c r="A101" s="272" t="s">
        <v>244</v>
      </c>
      <c r="B101" s="256">
        <v>4.9406564584124654E-324</v>
      </c>
      <c r="C101" s="256">
        <v>81.490948295703006</v>
      </c>
      <c r="D101" s="257">
        <v>81.490948295703006</v>
      </c>
      <c r="E101" s="264" t="s">
        <v>157</v>
      </c>
      <c r="F101" s="256">
        <v>0</v>
      </c>
      <c r="G101" s="257">
        <v>0</v>
      </c>
      <c r="H101" s="259">
        <v>4.9406564584124654E-324</v>
      </c>
      <c r="I101" s="256">
        <v>287.97359999999998</v>
      </c>
      <c r="J101" s="257">
        <v>287.97359999999998</v>
      </c>
      <c r="K101" s="260" t="s">
        <v>151</v>
      </c>
    </row>
    <row r="102" spans="1:11" ht="14.4" customHeight="1" thickBot="1" x14ac:dyDescent="0.35">
      <c r="A102" s="273" t="s">
        <v>245</v>
      </c>
      <c r="B102" s="251">
        <v>4.9406564584124654E-324</v>
      </c>
      <c r="C102" s="251">
        <v>4.9406564584124654E-324</v>
      </c>
      <c r="D102" s="252">
        <v>0</v>
      </c>
      <c r="E102" s="253">
        <v>1</v>
      </c>
      <c r="F102" s="251">
        <v>4.9406564584124654E-324</v>
      </c>
      <c r="G102" s="252">
        <v>0</v>
      </c>
      <c r="H102" s="254">
        <v>4.9406564584124654E-324</v>
      </c>
      <c r="I102" s="251">
        <v>157.53128000000001</v>
      </c>
      <c r="J102" s="252">
        <v>157.53128000000001</v>
      </c>
      <c r="K102" s="261" t="s">
        <v>157</v>
      </c>
    </row>
    <row r="103" spans="1:11" ht="14.4" customHeight="1" thickBot="1" x14ac:dyDescent="0.35">
      <c r="A103" s="273" t="s">
        <v>246</v>
      </c>
      <c r="B103" s="251">
        <v>4.9406564584124654E-324</v>
      </c>
      <c r="C103" s="251">
        <v>81.490948295703006</v>
      </c>
      <c r="D103" s="252">
        <v>81.490948295703006</v>
      </c>
      <c r="E103" s="263" t="s">
        <v>157</v>
      </c>
      <c r="F103" s="251">
        <v>0</v>
      </c>
      <c r="G103" s="252">
        <v>0</v>
      </c>
      <c r="H103" s="254">
        <v>4.9406564584124654E-324</v>
      </c>
      <c r="I103" s="251">
        <v>130.44232</v>
      </c>
      <c r="J103" s="252">
        <v>130.44232</v>
      </c>
      <c r="K103" s="261" t="s">
        <v>151</v>
      </c>
    </row>
    <row r="104" spans="1:11" ht="14.4" customHeight="1" thickBot="1" x14ac:dyDescent="0.35">
      <c r="A104" s="270" t="s">
        <v>247</v>
      </c>
      <c r="B104" s="251">
        <v>18.488231074152999</v>
      </c>
      <c r="C104" s="251">
        <v>52.726076323138997</v>
      </c>
      <c r="D104" s="252">
        <v>34.237845248985003</v>
      </c>
      <c r="E104" s="253">
        <v>2.8518724215229998</v>
      </c>
      <c r="F104" s="251">
        <v>54.854116411581998</v>
      </c>
      <c r="G104" s="252">
        <v>45.711763676318</v>
      </c>
      <c r="H104" s="254">
        <v>5.5465400000000002</v>
      </c>
      <c r="I104" s="251">
        <v>55.223840000000003</v>
      </c>
      <c r="J104" s="252">
        <v>9.5120763236810006</v>
      </c>
      <c r="K104" s="255">
        <v>1.0067401247629999</v>
      </c>
    </row>
    <row r="105" spans="1:11" ht="14.4" customHeight="1" thickBot="1" x14ac:dyDescent="0.35">
      <c r="A105" s="271" t="s">
        <v>248</v>
      </c>
      <c r="B105" s="251">
        <v>0.99996005809599997</v>
      </c>
      <c r="C105" s="251">
        <v>4.5407196388689997</v>
      </c>
      <c r="D105" s="252">
        <v>3.5407595807719998</v>
      </c>
      <c r="E105" s="253">
        <v>4.5409010110960004</v>
      </c>
      <c r="F105" s="251">
        <v>8.999178482064</v>
      </c>
      <c r="G105" s="252">
        <v>7.4993154017199997</v>
      </c>
      <c r="H105" s="254">
        <v>4.9406564584124654E-324</v>
      </c>
      <c r="I105" s="251">
        <v>2.2114099999999999</v>
      </c>
      <c r="J105" s="252">
        <v>-5.2879054017199998</v>
      </c>
      <c r="K105" s="255">
        <v>0.245734652824</v>
      </c>
    </row>
    <row r="106" spans="1:11" ht="14.4" customHeight="1" thickBot="1" x14ac:dyDescent="0.35">
      <c r="A106" s="272" t="s">
        <v>249</v>
      </c>
      <c r="B106" s="256">
        <v>0.99996005809599997</v>
      </c>
      <c r="C106" s="256">
        <v>4.5407196388689997</v>
      </c>
      <c r="D106" s="257">
        <v>3.5407595807719998</v>
      </c>
      <c r="E106" s="258">
        <v>4.5409010110960004</v>
      </c>
      <c r="F106" s="256">
        <v>8.999178482064</v>
      </c>
      <c r="G106" s="257">
        <v>7.4993154017199997</v>
      </c>
      <c r="H106" s="259">
        <v>4.9406564584124654E-324</v>
      </c>
      <c r="I106" s="256">
        <v>2.2114099999999999</v>
      </c>
      <c r="J106" s="257">
        <v>-5.2879054017199998</v>
      </c>
      <c r="K106" s="262">
        <v>0.245734652824</v>
      </c>
    </row>
    <row r="107" spans="1:11" ht="14.4" customHeight="1" thickBot="1" x14ac:dyDescent="0.35">
      <c r="A107" s="273" t="s">
        <v>250</v>
      </c>
      <c r="B107" s="251">
        <v>4.9406564584124654E-324</v>
      </c>
      <c r="C107" s="251">
        <v>0.59699999999999998</v>
      </c>
      <c r="D107" s="252">
        <v>0.59699999999999998</v>
      </c>
      <c r="E107" s="263" t="s">
        <v>157</v>
      </c>
      <c r="F107" s="251">
        <v>0</v>
      </c>
      <c r="G107" s="252">
        <v>0</v>
      </c>
      <c r="H107" s="254">
        <v>4.9406564584124654E-324</v>
      </c>
      <c r="I107" s="251">
        <v>1.8149999999999999</v>
      </c>
      <c r="J107" s="252">
        <v>1.8149999999999999</v>
      </c>
      <c r="K107" s="261" t="s">
        <v>151</v>
      </c>
    </row>
    <row r="108" spans="1:11" ht="14.4" customHeight="1" thickBot="1" x14ac:dyDescent="0.35">
      <c r="A108" s="273" t="s">
        <v>251</v>
      </c>
      <c r="B108" s="251">
        <v>4.9406564584124654E-324</v>
      </c>
      <c r="C108" s="251">
        <v>3.9437196388690001</v>
      </c>
      <c r="D108" s="252">
        <v>3.9437196388690001</v>
      </c>
      <c r="E108" s="263" t="s">
        <v>157</v>
      </c>
      <c r="F108" s="251">
        <v>0</v>
      </c>
      <c r="G108" s="252">
        <v>0</v>
      </c>
      <c r="H108" s="254">
        <v>4.9406564584124654E-324</v>
      </c>
      <c r="I108" s="251">
        <v>0.39640999999999998</v>
      </c>
      <c r="J108" s="252">
        <v>0.39640999999999998</v>
      </c>
      <c r="K108" s="261" t="s">
        <v>151</v>
      </c>
    </row>
    <row r="109" spans="1:11" ht="14.4" customHeight="1" thickBot="1" x14ac:dyDescent="0.35">
      <c r="A109" s="275" t="s">
        <v>252</v>
      </c>
      <c r="B109" s="256">
        <v>17.488271016056</v>
      </c>
      <c r="C109" s="256">
        <v>48.185356684269998</v>
      </c>
      <c r="D109" s="257">
        <v>30.697085668212999</v>
      </c>
      <c r="E109" s="258">
        <v>2.755295628711</v>
      </c>
      <c r="F109" s="256">
        <v>45.854937929517</v>
      </c>
      <c r="G109" s="257">
        <v>38.212448274598003</v>
      </c>
      <c r="H109" s="259">
        <v>5.5465400000000002</v>
      </c>
      <c r="I109" s="256">
        <v>53.012430000000002</v>
      </c>
      <c r="J109" s="257">
        <v>14.799981725401</v>
      </c>
      <c r="K109" s="262">
        <v>1.1560898867960001</v>
      </c>
    </row>
    <row r="110" spans="1:11" ht="14.4" customHeight="1" thickBot="1" x14ac:dyDescent="0.35">
      <c r="A110" s="272" t="s">
        <v>253</v>
      </c>
      <c r="B110" s="256">
        <v>4.9406564584124654E-324</v>
      </c>
      <c r="C110" s="256">
        <v>4.9406564584124654E-324</v>
      </c>
      <c r="D110" s="257">
        <v>0</v>
      </c>
      <c r="E110" s="258">
        <v>1</v>
      </c>
      <c r="F110" s="256">
        <v>4.9406564584124654E-324</v>
      </c>
      <c r="G110" s="257">
        <v>0</v>
      </c>
      <c r="H110" s="259">
        <v>0.34</v>
      </c>
      <c r="I110" s="256">
        <v>0.34</v>
      </c>
      <c r="J110" s="257">
        <v>0.34</v>
      </c>
      <c r="K110" s="260" t="s">
        <v>157</v>
      </c>
    </row>
    <row r="111" spans="1:11" ht="14.4" customHeight="1" thickBot="1" x14ac:dyDescent="0.35">
      <c r="A111" s="273" t="s">
        <v>254</v>
      </c>
      <c r="B111" s="251">
        <v>4.9406564584124654E-324</v>
      </c>
      <c r="C111" s="251">
        <v>4.9406564584124654E-324</v>
      </c>
      <c r="D111" s="252">
        <v>0</v>
      </c>
      <c r="E111" s="253">
        <v>1</v>
      </c>
      <c r="F111" s="251">
        <v>4.9406564584124654E-324</v>
      </c>
      <c r="G111" s="252">
        <v>0</v>
      </c>
      <c r="H111" s="254">
        <v>0.34</v>
      </c>
      <c r="I111" s="251">
        <v>0.34</v>
      </c>
      <c r="J111" s="252">
        <v>0.34</v>
      </c>
      <c r="K111" s="261" t="s">
        <v>157</v>
      </c>
    </row>
    <row r="112" spans="1:11" ht="14.4" customHeight="1" thickBot="1" x14ac:dyDescent="0.35">
      <c r="A112" s="272" t="s">
        <v>255</v>
      </c>
      <c r="B112" s="256">
        <v>4.9406564584124654E-324</v>
      </c>
      <c r="C112" s="256">
        <v>-1.79999983E-4</v>
      </c>
      <c r="D112" s="257">
        <v>-1.79999983E-4</v>
      </c>
      <c r="E112" s="264" t="s">
        <v>157</v>
      </c>
      <c r="F112" s="256">
        <v>0</v>
      </c>
      <c r="G112" s="257">
        <v>0</v>
      </c>
      <c r="H112" s="259">
        <v>1.0000000000000001E-5</v>
      </c>
      <c r="I112" s="256">
        <v>5.0801400000000001</v>
      </c>
      <c r="J112" s="257">
        <v>5.0801400000000001</v>
      </c>
      <c r="K112" s="260" t="s">
        <v>151</v>
      </c>
    </row>
    <row r="113" spans="1:11" ht="14.4" customHeight="1" thickBot="1" x14ac:dyDescent="0.35">
      <c r="A113" s="273" t="s">
        <v>256</v>
      </c>
      <c r="B113" s="251">
        <v>4.9406564584124654E-324</v>
      </c>
      <c r="C113" s="251">
        <v>-1.79999983E-4</v>
      </c>
      <c r="D113" s="252">
        <v>-1.79999983E-4</v>
      </c>
      <c r="E113" s="263" t="s">
        <v>157</v>
      </c>
      <c r="F113" s="251">
        <v>0</v>
      </c>
      <c r="G113" s="252">
        <v>0</v>
      </c>
      <c r="H113" s="254">
        <v>1.0000000000000001E-5</v>
      </c>
      <c r="I113" s="251">
        <v>1.3999999999999999E-4</v>
      </c>
      <c r="J113" s="252">
        <v>1.3999999999999999E-4</v>
      </c>
      <c r="K113" s="261" t="s">
        <v>151</v>
      </c>
    </row>
    <row r="114" spans="1:11" ht="14.4" customHeight="1" thickBot="1" x14ac:dyDescent="0.35">
      <c r="A114" s="273" t="s">
        <v>257</v>
      </c>
      <c r="B114" s="251">
        <v>4.9406564584124654E-324</v>
      </c>
      <c r="C114" s="251">
        <v>4.9406564584124654E-324</v>
      </c>
      <c r="D114" s="252">
        <v>0</v>
      </c>
      <c r="E114" s="253">
        <v>1</v>
      </c>
      <c r="F114" s="251">
        <v>4.9406564584124654E-324</v>
      </c>
      <c r="G114" s="252">
        <v>0</v>
      </c>
      <c r="H114" s="254">
        <v>4.9406564584124654E-324</v>
      </c>
      <c r="I114" s="251">
        <v>5.08</v>
      </c>
      <c r="J114" s="252">
        <v>5.08</v>
      </c>
      <c r="K114" s="261" t="s">
        <v>157</v>
      </c>
    </row>
    <row r="115" spans="1:11" ht="14.4" customHeight="1" thickBot="1" x14ac:dyDescent="0.35">
      <c r="A115" s="272" t="s">
        <v>258</v>
      </c>
      <c r="B115" s="256">
        <v>17.488271016056</v>
      </c>
      <c r="C115" s="256">
        <v>48.185536684253002</v>
      </c>
      <c r="D115" s="257">
        <v>30.697265668197002</v>
      </c>
      <c r="E115" s="258">
        <v>2.755305921323</v>
      </c>
      <c r="F115" s="256">
        <v>45.854937929517</v>
      </c>
      <c r="G115" s="257">
        <v>38.212448274598003</v>
      </c>
      <c r="H115" s="259">
        <v>5.2065299999999999</v>
      </c>
      <c r="I115" s="256">
        <v>47.592289999999998</v>
      </c>
      <c r="J115" s="257">
        <v>9.3798417254010005</v>
      </c>
      <c r="K115" s="262">
        <v>1.0378880039730001</v>
      </c>
    </row>
    <row r="116" spans="1:11" ht="14.4" customHeight="1" thickBot="1" x14ac:dyDescent="0.35">
      <c r="A116" s="273" t="s">
        <v>259</v>
      </c>
      <c r="B116" s="251">
        <v>4.9406564584124654E-324</v>
      </c>
      <c r="C116" s="251">
        <v>6.7999993773000006E-2</v>
      </c>
      <c r="D116" s="252">
        <v>6.7999993773000006E-2</v>
      </c>
      <c r="E116" s="263" t="s">
        <v>157</v>
      </c>
      <c r="F116" s="251">
        <v>0</v>
      </c>
      <c r="G116" s="252">
        <v>0</v>
      </c>
      <c r="H116" s="254">
        <v>4.9406564584124654E-324</v>
      </c>
      <c r="I116" s="251">
        <v>4.9406564584124654E-323</v>
      </c>
      <c r="J116" s="252">
        <v>4.9406564584124654E-323</v>
      </c>
      <c r="K116" s="261" t="s">
        <v>151</v>
      </c>
    </row>
    <row r="117" spans="1:11" ht="14.4" customHeight="1" thickBot="1" x14ac:dyDescent="0.35">
      <c r="A117" s="273" t="s">
        <v>260</v>
      </c>
      <c r="B117" s="251">
        <v>17.488271016056</v>
      </c>
      <c r="C117" s="251">
        <v>48.117536690480001</v>
      </c>
      <c r="D117" s="252">
        <v>30.629265674422999</v>
      </c>
      <c r="E117" s="253">
        <v>2.7514176013339999</v>
      </c>
      <c r="F117" s="251">
        <v>45.854937929517</v>
      </c>
      <c r="G117" s="252">
        <v>38.212448274598003</v>
      </c>
      <c r="H117" s="254">
        <v>5.2065299999999999</v>
      </c>
      <c r="I117" s="251">
        <v>47.592289999999998</v>
      </c>
      <c r="J117" s="252">
        <v>9.3798417254010005</v>
      </c>
      <c r="K117" s="255">
        <v>1.0378880039730001</v>
      </c>
    </row>
    <row r="118" spans="1:11" ht="14.4" customHeight="1" thickBot="1" x14ac:dyDescent="0.35">
      <c r="A118" s="269" t="s">
        <v>261</v>
      </c>
      <c r="B118" s="251">
        <v>1051.9993113768501</v>
      </c>
      <c r="C118" s="251">
        <v>989.42449265616403</v>
      </c>
      <c r="D118" s="252">
        <v>-62.574818720685002</v>
      </c>
      <c r="E118" s="253">
        <v>0.94051819421899996</v>
      </c>
      <c r="F118" s="251">
        <v>1109.6533070524499</v>
      </c>
      <c r="G118" s="252">
        <v>924.71108921037501</v>
      </c>
      <c r="H118" s="254">
        <v>81.398409999999998</v>
      </c>
      <c r="I118" s="251">
        <v>726.46492999999998</v>
      </c>
      <c r="J118" s="252">
        <v>-198.246159210375</v>
      </c>
      <c r="K118" s="255">
        <v>0.65467738921899998</v>
      </c>
    </row>
    <row r="119" spans="1:11" ht="14.4" customHeight="1" thickBot="1" x14ac:dyDescent="0.35">
      <c r="A119" s="274" t="s">
        <v>262</v>
      </c>
      <c r="B119" s="256">
        <v>1051.9993113768501</v>
      </c>
      <c r="C119" s="256">
        <v>989.42449265616403</v>
      </c>
      <c r="D119" s="257">
        <v>-62.574818720685002</v>
      </c>
      <c r="E119" s="258">
        <v>0.94051819421899996</v>
      </c>
      <c r="F119" s="256">
        <v>1109.6533070524499</v>
      </c>
      <c r="G119" s="257">
        <v>924.71108921037501</v>
      </c>
      <c r="H119" s="259">
        <v>81.398409999999998</v>
      </c>
      <c r="I119" s="256">
        <v>726.46492999999998</v>
      </c>
      <c r="J119" s="257">
        <v>-198.246159210375</v>
      </c>
      <c r="K119" s="262">
        <v>0.65467738921899998</v>
      </c>
    </row>
    <row r="120" spans="1:11" ht="14.4" customHeight="1" thickBot="1" x14ac:dyDescent="0.35">
      <c r="A120" s="275" t="s">
        <v>56</v>
      </c>
      <c r="B120" s="256">
        <v>1051.9993113768501</v>
      </c>
      <c r="C120" s="256">
        <v>989.42449265616403</v>
      </c>
      <c r="D120" s="257">
        <v>-62.574818720685002</v>
      </c>
      <c r="E120" s="258">
        <v>0.94051819421899996</v>
      </c>
      <c r="F120" s="256">
        <v>1109.6533070524499</v>
      </c>
      <c r="G120" s="257">
        <v>924.71108921037501</v>
      </c>
      <c r="H120" s="259">
        <v>81.398409999999998</v>
      </c>
      <c r="I120" s="256">
        <v>726.46492999999998</v>
      </c>
      <c r="J120" s="257">
        <v>-198.246159210375</v>
      </c>
      <c r="K120" s="262">
        <v>0.65467738921899998</v>
      </c>
    </row>
    <row r="121" spans="1:11" ht="14.4" customHeight="1" thickBot="1" x14ac:dyDescent="0.35">
      <c r="A121" s="272" t="s">
        <v>263</v>
      </c>
      <c r="B121" s="256">
        <v>5.0000365369340001</v>
      </c>
      <c r="C121" s="256">
        <v>5.1791996524749999</v>
      </c>
      <c r="D121" s="257">
        <v>0.17916311554100001</v>
      </c>
      <c r="E121" s="258">
        <v>1.035832361267</v>
      </c>
      <c r="F121" s="256">
        <v>4.9999999999989999</v>
      </c>
      <c r="G121" s="257">
        <v>4.1666666666659999</v>
      </c>
      <c r="H121" s="259">
        <v>0.43159999999999998</v>
      </c>
      <c r="I121" s="256">
        <v>4.3159999999999998</v>
      </c>
      <c r="J121" s="257">
        <v>0.149333333333</v>
      </c>
      <c r="K121" s="262">
        <v>0.86319999999999997</v>
      </c>
    </row>
    <row r="122" spans="1:11" ht="14.4" customHeight="1" thickBot="1" x14ac:dyDescent="0.35">
      <c r="A122" s="273" t="s">
        <v>264</v>
      </c>
      <c r="B122" s="251">
        <v>5.0000365369340001</v>
      </c>
      <c r="C122" s="251">
        <v>5.1791996524749999</v>
      </c>
      <c r="D122" s="252">
        <v>0.17916311554100001</v>
      </c>
      <c r="E122" s="253">
        <v>1.035832361267</v>
      </c>
      <c r="F122" s="251">
        <v>4.9999999999989999</v>
      </c>
      <c r="G122" s="252">
        <v>4.1666666666659999</v>
      </c>
      <c r="H122" s="254">
        <v>0.43159999999999998</v>
      </c>
      <c r="I122" s="251">
        <v>4.3159999999999998</v>
      </c>
      <c r="J122" s="252">
        <v>0.149333333333</v>
      </c>
      <c r="K122" s="255">
        <v>0.86319999999999997</v>
      </c>
    </row>
    <row r="123" spans="1:11" ht="14.4" customHeight="1" thickBot="1" x14ac:dyDescent="0.35">
      <c r="A123" s="272" t="s">
        <v>265</v>
      </c>
      <c r="B123" s="256">
        <v>2.9999979221770001</v>
      </c>
      <c r="C123" s="256">
        <v>0.59999996779200004</v>
      </c>
      <c r="D123" s="257">
        <v>-2.3999979543849999</v>
      </c>
      <c r="E123" s="258">
        <v>0.20000012778500001</v>
      </c>
      <c r="F123" s="256">
        <v>2.8827012321969998</v>
      </c>
      <c r="G123" s="257">
        <v>2.4022510268300001</v>
      </c>
      <c r="H123" s="259">
        <v>0.1</v>
      </c>
      <c r="I123" s="256">
        <v>1.1000000000000001</v>
      </c>
      <c r="J123" s="257">
        <v>-1.30225102683</v>
      </c>
      <c r="K123" s="262">
        <v>0.38158654379899998</v>
      </c>
    </row>
    <row r="124" spans="1:11" ht="14.4" customHeight="1" thickBot="1" x14ac:dyDescent="0.35">
      <c r="A124" s="273" t="s">
        <v>266</v>
      </c>
      <c r="B124" s="251">
        <v>2.9999979221770001</v>
      </c>
      <c r="C124" s="251">
        <v>0.59999996779200004</v>
      </c>
      <c r="D124" s="252">
        <v>-2.3999979543849999</v>
      </c>
      <c r="E124" s="253">
        <v>0.20000012778500001</v>
      </c>
      <c r="F124" s="251">
        <v>2.8827012321969998</v>
      </c>
      <c r="G124" s="252">
        <v>2.4022510268300001</v>
      </c>
      <c r="H124" s="254">
        <v>0.1</v>
      </c>
      <c r="I124" s="251">
        <v>1.1000000000000001</v>
      </c>
      <c r="J124" s="252">
        <v>-1.30225102683</v>
      </c>
      <c r="K124" s="255">
        <v>0.38158654379899998</v>
      </c>
    </row>
    <row r="125" spans="1:11" ht="14.4" customHeight="1" thickBot="1" x14ac:dyDescent="0.35">
      <c r="A125" s="272" t="s">
        <v>267</v>
      </c>
      <c r="B125" s="256">
        <v>4.9406564584124654E-324</v>
      </c>
      <c r="C125" s="256">
        <v>5.2899995739999997E-2</v>
      </c>
      <c r="D125" s="257">
        <v>5.2899995739999997E-2</v>
      </c>
      <c r="E125" s="264" t="s">
        <v>157</v>
      </c>
      <c r="F125" s="256">
        <v>1.7706058202670001</v>
      </c>
      <c r="G125" s="257">
        <v>1.4755048502220001</v>
      </c>
      <c r="H125" s="259">
        <v>4.9406564584124654E-324</v>
      </c>
      <c r="I125" s="256">
        <v>4.9406564584124654E-323</v>
      </c>
      <c r="J125" s="257">
        <v>-1.4755048502220001</v>
      </c>
      <c r="K125" s="262">
        <v>2.9643938750474793E-323</v>
      </c>
    </row>
    <row r="126" spans="1:11" ht="14.4" customHeight="1" thickBot="1" x14ac:dyDescent="0.35">
      <c r="A126" s="273" t="s">
        <v>268</v>
      </c>
      <c r="B126" s="251">
        <v>4.9406564584124654E-324</v>
      </c>
      <c r="C126" s="251">
        <v>5.2899995739999997E-2</v>
      </c>
      <c r="D126" s="252">
        <v>5.2899995739999997E-2</v>
      </c>
      <c r="E126" s="263" t="s">
        <v>157</v>
      </c>
      <c r="F126" s="251">
        <v>1.7706058202670001</v>
      </c>
      <c r="G126" s="252">
        <v>1.4755048502220001</v>
      </c>
      <c r="H126" s="254">
        <v>4.9406564584124654E-324</v>
      </c>
      <c r="I126" s="251">
        <v>4.9406564584124654E-323</v>
      </c>
      <c r="J126" s="252">
        <v>-1.4755048502220001</v>
      </c>
      <c r="K126" s="255">
        <v>2.9643938750474793E-323</v>
      </c>
    </row>
    <row r="127" spans="1:11" ht="14.4" customHeight="1" thickBot="1" x14ac:dyDescent="0.35">
      <c r="A127" s="272" t="s">
        <v>269</v>
      </c>
      <c r="B127" s="256">
        <v>4.9406564584124654E-324</v>
      </c>
      <c r="C127" s="256">
        <v>0.28199997729300003</v>
      </c>
      <c r="D127" s="257">
        <v>0.28199997729300003</v>
      </c>
      <c r="E127" s="264" t="s">
        <v>157</v>
      </c>
      <c r="F127" s="256">
        <v>0</v>
      </c>
      <c r="G127" s="257">
        <v>0</v>
      </c>
      <c r="H127" s="259">
        <v>0.17599999999999999</v>
      </c>
      <c r="I127" s="256">
        <v>0.34399999999999997</v>
      </c>
      <c r="J127" s="257">
        <v>0.34399999999999997</v>
      </c>
      <c r="K127" s="260" t="s">
        <v>151</v>
      </c>
    </row>
    <row r="128" spans="1:11" ht="14.4" customHeight="1" thickBot="1" x14ac:dyDescent="0.35">
      <c r="A128" s="273" t="s">
        <v>270</v>
      </c>
      <c r="B128" s="251">
        <v>4.9406564584124654E-324</v>
      </c>
      <c r="C128" s="251">
        <v>0.28199997729300003</v>
      </c>
      <c r="D128" s="252">
        <v>0.28199997729300003</v>
      </c>
      <c r="E128" s="263" t="s">
        <v>157</v>
      </c>
      <c r="F128" s="251">
        <v>0</v>
      </c>
      <c r="G128" s="252">
        <v>0</v>
      </c>
      <c r="H128" s="254">
        <v>0.17599999999999999</v>
      </c>
      <c r="I128" s="251">
        <v>0.34399999999999997</v>
      </c>
      <c r="J128" s="252">
        <v>0.34399999999999997</v>
      </c>
      <c r="K128" s="261" t="s">
        <v>151</v>
      </c>
    </row>
    <row r="129" spans="1:11" ht="14.4" customHeight="1" thickBot="1" x14ac:dyDescent="0.35">
      <c r="A129" s="272" t="s">
        <v>271</v>
      </c>
      <c r="B129" s="256">
        <v>317.99977975080498</v>
      </c>
      <c r="C129" s="256">
        <v>283.00030133538502</v>
      </c>
      <c r="D129" s="257">
        <v>-34.99947841542</v>
      </c>
      <c r="E129" s="258">
        <v>0.88993867089199996</v>
      </c>
      <c r="F129" s="256">
        <v>282.99999999999602</v>
      </c>
      <c r="G129" s="257">
        <v>235.83333333332999</v>
      </c>
      <c r="H129" s="259">
        <v>25.145759999999999</v>
      </c>
      <c r="I129" s="256">
        <v>212.19624999999999</v>
      </c>
      <c r="J129" s="257">
        <v>-23.637083333330001</v>
      </c>
      <c r="K129" s="262">
        <v>0.74981007067100003</v>
      </c>
    </row>
    <row r="130" spans="1:11" ht="14.4" customHeight="1" thickBot="1" x14ac:dyDescent="0.35">
      <c r="A130" s="273" t="s">
        <v>272</v>
      </c>
      <c r="B130" s="251">
        <v>317.99977975080498</v>
      </c>
      <c r="C130" s="251">
        <v>283.00030133538502</v>
      </c>
      <c r="D130" s="252">
        <v>-34.99947841542</v>
      </c>
      <c r="E130" s="253">
        <v>0.88993867089199996</v>
      </c>
      <c r="F130" s="251">
        <v>282.99999999999602</v>
      </c>
      <c r="G130" s="252">
        <v>235.83333333332999</v>
      </c>
      <c r="H130" s="254">
        <v>25.145759999999999</v>
      </c>
      <c r="I130" s="251">
        <v>212.19624999999999</v>
      </c>
      <c r="J130" s="252">
        <v>-23.637083333330001</v>
      </c>
      <c r="K130" s="255">
        <v>0.74981007067100003</v>
      </c>
    </row>
    <row r="131" spans="1:11" ht="14.4" customHeight="1" thickBot="1" x14ac:dyDescent="0.35">
      <c r="A131" s="272" t="s">
        <v>273</v>
      </c>
      <c r="B131" s="256">
        <v>725.999497166933</v>
      </c>
      <c r="C131" s="256">
        <v>700.31009172747702</v>
      </c>
      <c r="D131" s="257">
        <v>-25.689405439455001</v>
      </c>
      <c r="E131" s="258">
        <v>0.96461511951400003</v>
      </c>
      <c r="F131" s="256">
        <v>816.99999999999</v>
      </c>
      <c r="G131" s="257">
        <v>680.83333333332496</v>
      </c>
      <c r="H131" s="259">
        <v>55.545050000000003</v>
      </c>
      <c r="I131" s="256">
        <v>508.50868000000003</v>
      </c>
      <c r="J131" s="257">
        <v>-172.32465333332499</v>
      </c>
      <c r="K131" s="262">
        <v>0.62240964504200003</v>
      </c>
    </row>
    <row r="132" spans="1:11" ht="14.4" customHeight="1" thickBot="1" x14ac:dyDescent="0.35">
      <c r="A132" s="273" t="s">
        <v>274</v>
      </c>
      <c r="B132" s="251">
        <v>725.999497166933</v>
      </c>
      <c r="C132" s="251">
        <v>700.31009172747702</v>
      </c>
      <c r="D132" s="252">
        <v>-25.689405439455001</v>
      </c>
      <c r="E132" s="253">
        <v>0.96461511951400003</v>
      </c>
      <c r="F132" s="251">
        <v>816.99999999999</v>
      </c>
      <c r="G132" s="252">
        <v>680.83333333332496</v>
      </c>
      <c r="H132" s="254">
        <v>55.545050000000003</v>
      </c>
      <c r="I132" s="251">
        <v>508.50868000000003</v>
      </c>
      <c r="J132" s="252">
        <v>-172.32465333332499</v>
      </c>
      <c r="K132" s="255">
        <v>0.62240964504200003</v>
      </c>
    </row>
    <row r="133" spans="1:11" ht="14.4" customHeight="1" thickBot="1" x14ac:dyDescent="0.35">
      <c r="A133" s="277"/>
      <c r="B133" s="251">
        <v>-699.57410158190396</v>
      </c>
      <c r="C133" s="251">
        <v>4.9406564584124654E-324</v>
      </c>
      <c r="D133" s="252">
        <v>699.57410158190396</v>
      </c>
      <c r="E133" s="253">
        <v>0</v>
      </c>
      <c r="F133" s="251">
        <v>153.12421378356399</v>
      </c>
      <c r="G133" s="252">
        <v>127.603511486304</v>
      </c>
      <c r="H133" s="254">
        <v>-33.286649999999</v>
      </c>
      <c r="I133" s="251">
        <v>-538.29499999999905</v>
      </c>
      <c r="J133" s="252">
        <v>-665.89851148630305</v>
      </c>
      <c r="K133" s="255">
        <v>-3.5154139681709999</v>
      </c>
    </row>
    <row r="134" spans="1:11" ht="14.4" customHeight="1" thickBot="1" x14ac:dyDescent="0.35">
      <c r="A134" s="278" t="s">
        <v>75</v>
      </c>
      <c r="B134" s="265">
        <v>-699.57410158190396</v>
      </c>
      <c r="C134" s="265">
        <v>-1585.5576245294001</v>
      </c>
      <c r="D134" s="266">
        <v>-885.98352294749304</v>
      </c>
      <c r="E134" s="267">
        <v>-1.0709783674110001</v>
      </c>
      <c r="F134" s="265">
        <v>153.12421378356399</v>
      </c>
      <c r="G134" s="266">
        <v>127.60351148630301</v>
      </c>
      <c r="H134" s="265">
        <v>-33.286649999999</v>
      </c>
      <c r="I134" s="265">
        <v>-538.29499999999905</v>
      </c>
      <c r="J134" s="266">
        <v>-665.89851148630203</v>
      </c>
      <c r="K134" s="268">
        <v>-3.5154139681709999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7" t="s">
        <v>137</v>
      </c>
      <c r="B1" s="228"/>
      <c r="C1" s="228"/>
      <c r="D1" s="228"/>
      <c r="E1" s="228"/>
      <c r="F1" s="228"/>
      <c r="G1" s="201"/>
    </row>
    <row r="2" spans="1:8" ht="14.4" customHeight="1" thickBot="1" x14ac:dyDescent="0.35">
      <c r="A2" s="250" t="s">
        <v>150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140</v>
      </c>
    </row>
    <row r="4" spans="1:8" ht="14.4" customHeight="1" x14ac:dyDescent="0.3">
      <c r="A4" s="279" t="s">
        <v>275</v>
      </c>
      <c r="B4" s="280" t="s">
        <v>276</v>
      </c>
      <c r="C4" s="281" t="s">
        <v>277</v>
      </c>
      <c r="D4" s="281" t="s">
        <v>276</v>
      </c>
      <c r="E4" s="281" t="s">
        <v>276</v>
      </c>
      <c r="F4" s="282" t="s">
        <v>276</v>
      </c>
      <c r="G4" s="281" t="s">
        <v>276</v>
      </c>
      <c r="H4" s="281" t="s">
        <v>76</v>
      </c>
    </row>
    <row r="5" spans="1:8" ht="14.4" customHeight="1" x14ac:dyDescent="0.3">
      <c r="A5" s="279" t="s">
        <v>275</v>
      </c>
      <c r="B5" s="280" t="s">
        <v>278</v>
      </c>
      <c r="C5" s="281" t="s">
        <v>279</v>
      </c>
      <c r="D5" s="281">
        <v>0</v>
      </c>
      <c r="E5" s="281">
        <v>563.30201967785229</v>
      </c>
      <c r="F5" s="282" t="s">
        <v>276</v>
      </c>
      <c r="G5" s="281">
        <v>563.30201967785229</v>
      </c>
      <c r="H5" s="281" t="s">
        <v>2</v>
      </c>
    </row>
    <row r="6" spans="1:8" ht="14.4" customHeight="1" x14ac:dyDescent="0.3">
      <c r="A6" s="279" t="s">
        <v>275</v>
      </c>
      <c r="B6" s="280" t="s">
        <v>6</v>
      </c>
      <c r="C6" s="281" t="s">
        <v>277</v>
      </c>
      <c r="D6" s="281">
        <v>0</v>
      </c>
      <c r="E6" s="281">
        <v>563.30201967785229</v>
      </c>
      <c r="F6" s="282" t="s">
        <v>276</v>
      </c>
      <c r="G6" s="281">
        <v>563.30201967785229</v>
      </c>
      <c r="H6" s="281" t="s">
        <v>280</v>
      </c>
    </row>
    <row r="8" spans="1:8" ht="14.4" customHeight="1" x14ac:dyDescent="0.3">
      <c r="A8" s="279" t="s">
        <v>275</v>
      </c>
      <c r="B8" s="280" t="s">
        <v>276</v>
      </c>
      <c r="C8" s="281" t="s">
        <v>277</v>
      </c>
      <c r="D8" s="281" t="s">
        <v>276</v>
      </c>
      <c r="E8" s="281" t="s">
        <v>276</v>
      </c>
      <c r="F8" s="282" t="s">
        <v>276</v>
      </c>
      <c r="G8" s="281" t="s">
        <v>276</v>
      </c>
      <c r="H8" s="281" t="s">
        <v>76</v>
      </c>
    </row>
    <row r="9" spans="1:8" ht="14.4" customHeight="1" x14ac:dyDescent="0.3">
      <c r="A9" s="279" t="s">
        <v>281</v>
      </c>
      <c r="B9" s="280" t="s">
        <v>278</v>
      </c>
      <c r="C9" s="281" t="s">
        <v>279</v>
      </c>
      <c r="D9" s="281">
        <v>0</v>
      </c>
      <c r="E9" s="281">
        <v>563.30201967785229</v>
      </c>
      <c r="F9" s="282" t="s">
        <v>276</v>
      </c>
      <c r="G9" s="281">
        <v>563.30201967785229</v>
      </c>
      <c r="H9" s="281" t="s">
        <v>2</v>
      </c>
    </row>
    <row r="10" spans="1:8" ht="14.4" customHeight="1" x14ac:dyDescent="0.3">
      <c r="A10" s="279" t="s">
        <v>281</v>
      </c>
      <c r="B10" s="280" t="s">
        <v>6</v>
      </c>
      <c r="C10" s="281" t="s">
        <v>282</v>
      </c>
      <c r="D10" s="281">
        <v>0</v>
      </c>
      <c r="E10" s="281">
        <v>563.30201967785229</v>
      </c>
      <c r="F10" s="282" t="s">
        <v>276</v>
      </c>
      <c r="G10" s="281">
        <v>563.30201967785229</v>
      </c>
      <c r="H10" s="281" t="s">
        <v>283</v>
      </c>
    </row>
    <row r="11" spans="1:8" ht="14.4" customHeight="1" x14ac:dyDescent="0.3">
      <c r="A11" s="279" t="s">
        <v>276</v>
      </c>
      <c r="B11" s="280" t="s">
        <v>276</v>
      </c>
      <c r="C11" s="281" t="s">
        <v>276</v>
      </c>
      <c r="D11" s="281" t="s">
        <v>276</v>
      </c>
      <c r="E11" s="281" t="s">
        <v>276</v>
      </c>
      <c r="F11" s="282" t="s">
        <v>276</v>
      </c>
      <c r="G11" s="281" t="s">
        <v>276</v>
      </c>
      <c r="H11" s="281" t="s">
        <v>284</v>
      </c>
    </row>
    <row r="12" spans="1:8" ht="14.4" customHeight="1" x14ac:dyDescent="0.3">
      <c r="A12" s="279" t="s">
        <v>275</v>
      </c>
      <c r="B12" s="280" t="s">
        <v>6</v>
      </c>
      <c r="C12" s="281" t="s">
        <v>277</v>
      </c>
      <c r="D12" s="281">
        <v>0</v>
      </c>
      <c r="E12" s="281">
        <v>563.30201967785229</v>
      </c>
      <c r="F12" s="282" t="s">
        <v>276</v>
      </c>
      <c r="G12" s="281">
        <v>563.30201967785229</v>
      </c>
      <c r="H12" s="281" t="s">
        <v>280</v>
      </c>
    </row>
  </sheetData>
  <autoFilter ref="A3:G3"/>
  <mergeCells count="1">
    <mergeCell ref="A1:G1"/>
  </mergeCells>
  <conditionalFormatting sqref="F7 F13:F65536">
    <cfRule type="cellIs" dxfId="19" priority="19" stopIfTrue="1" operator="greaterThan">
      <formula>1</formula>
    </cfRule>
  </conditionalFormatting>
  <conditionalFormatting sqref="F4:F6">
    <cfRule type="cellIs" dxfId="18" priority="14" operator="greaterThan">
      <formula>1</formula>
    </cfRule>
  </conditionalFormatting>
  <conditionalFormatting sqref="B4:B6">
    <cfRule type="expression" dxfId="17" priority="18">
      <formula>AND(LEFT(H4,6)&lt;&gt;"mezera",H4&lt;&gt;"")</formula>
    </cfRule>
  </conditionalFormatting>
  <conditionalFormatting sqref="A4:A6">
    <cfRule type="expression" dxfId="16" priority="15">
      <formula>AND(H4&lt;&gt;"",H4&lt;&gt;"mezeraKL")</formula>
    </cfRule>
  </conditionalFormatting>
  <conditionalFormatting sqref="B4:G6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6">
    <cfRule type="expression" dxfId="13" priority="13">
      <formula>$H4&lt;&gt;""</formula>
    </cfRule>
  </conditionalFormatting>
  <conditionalFormatting sqref="G4:G6">
    <cfRule type="cellIs" dxfId="12" priority="12" operator="greaterThan">
      <formula>0</formula>
    </cfRule>
  </conditionalFormatting>
  <conditionalFormatting sqref="F4:F6">
    <cfRule type="cellIs" dxfId="11" priority="9" operator="greaterThan">
      <formula>1</formula>
    </cfRule>
  </conditionalFormatting>
  <conditionalFormatting sqref="F4:F6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6">
    <cfRule type="expression" dxfId="8" priority="8">
      <formula>$H4&lt;&gt;""</formula>
    </cfRule>
  </conditionalFormatting>
  <conditionalFormatting sqref="F8:F12">
    <cfRule type="cellIs" dxfId="7" priority="3" operator="greaterThan">
      <formula>1</formula>
    </cfRule>
  </conditionalFormatting>
  <conditionalFormatting sqref="B8:B12">
    <cfRule type="expression" dxfId="6" priority="7">
      <formula>AND(LEFT(H8,6)&lt;&gt;"mezera",H8&lt;&gt;"")</formula>
    </cfRule>
  </conditionalFormatting>
  <conditionalFormatting sqref="A8:A12">
    <cfRule type="expression" dxfId="5" priority="4">
      <formula>AND(H8&lt;&gt;"",H8&lt;&gt;"mezeraKL")</formula>
    </cfRule>
  </conditionalFormatting>
  <conditionalFormatting sqref="B8:G12">
    <cfRule type="expression" dxfId="4" priority="5">
      <formula>$H8="SumaNS"</formula>
    </cfRule>
    <cfRule type="expression" dxfId="3" priority="6">
      <formula>OR($H8="KL",$H8="SumaKL")</formula>
    </cfRule>
  </conditionalFormatting>
  <conditionalFormatting sqref="A8:G12">
    <cfRule type="expression" dxfId="2" priority="2">
      <formula>$H8&lt;&gt;""</formula>
    </cfRule>
  </conditionalFormatting>
  <conditionalFormatting sqref="G8:G12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33" t="s">
        <v>136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4.4" customHeight="1" thickBot="1" x14ac:dyDescent="0.35">
      <c r="A2" s="250" t="s">
        <v>150</v>
      </c>
      <c r="B2" s="7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</row>
    <row r="3" spans="1:14" ht="14.4" customHeight="1" thickBot="1" x14ac:dyDescent="0.35">
      <c r="A3" s="78"/>
      <c r="B3" s="78"/>
      <c r="C3" s="229"/>
      <c r="D3" s="230"/>
      <c r="E3" s="230"/>
      <c r="F3" s="230"/>
      <c r="G3" s="230"/>
      <c r="H3" s="230"/>
      <c r="I3" s="230"/>
      <c r="J3" s="231" t="s">
        <v>134</v>
      </c>
      <c r="K3" s="232"/>
      <c r="L3" s="120">
        <f>IF(M3&lt;&gt;0,N3/M3,0)</f>
        <v>20.863037765846389</v>
      </c>
      <c r="M3" s="120">
        <f>SUBTOTAL(9,M5:M1048576)</f>
        <v>27</v>
      </c>
      <c r="N3" s="121">
        <f>SUBTOTAL(9,N5:N1048576)</f>
        <v>563.30201967785251</v>
      </c>
    </row>
    <row r="4" spans="1:14" s="79" customFormat="1" ht="14.4" customHeight="1" thickBot="1" x14ac:dyDescent="0.35">
      <c r="A4" s="283" t="s">
        <v>7</v>
      </c>
      <c r="B4" s="284" t="s">
        <v>8</v>
      </c>
      <c r="C4" s="284" t="s">
        <v>0</v>
      </c>
      <c r="D4" s="284" t="s">
        <v>9</v>
      </c>
      <c r="E4" s="284" t="s">
        <v>10</v>
      </c>
      <c r="F4" s="284" t="s">
        <v>2</v>
      </c>
      <c r="G4" s="284" t="s">
        <v>11</v>
      </c>
      <c r="H4" s="284" t="s">
        <v>12</v>
      </c>
      <c r="I4" s="284" t="s">
        <v>13</v>
      </c>
      <c r="J4" s="285" t="s">
        <v>14</v>
      </c>
      <c r="K4" s="285" t="s">
        <v>15</v>
      </c>
      <c r="L4" s="286" t="s">
        <v>141</v>
      </c>
      <c r="M4" s="286" t="s">
        <v>16</v>
      </c>
      <c r="N4" s="287" t="s">
        <v>149</v>
      </c>
    </row>
    <row r="5" spans="1:14" ht="14.4" customHeight="1" x14ac:dyDescent="0.3">
      <c r="A5" s="288" t="s">
        <v>275</v>
      </c>
      <c r="B5" s="289" t="s">
        <v>277</v>
      </c>
      <c r="C5" s="290" t="s">
        <v>281</v>
      </c>
      <c r="D5" s="291" t="s">
        <v>282</v>
      </c>
      <c r="E5" s="290" t="s">
        <v>278</v>
      </c>
      <c r="F5" s="291" t="s">
        <v>279</v>
      </c>
      <c r="G5" s="290" t="s">
        <v>285</v>
      </c>
      <c r="H5" s="290" t="s">
        <v>286</v>
      </c>
      <c r="I5" s="290" t="s">
        <v>287</v>
      </c>
      <c r="J5" s="290" t="s">
        <v>288</v>
      </c>
      <c r="K5" s="290"/>
      <c r="L5" s="292">
        <v>102.010563254792</v>
      </c>
      <c r="M5" s="292">
        <v>1</v>
      </c>
      <c r="N5" s="293">
        <v>102.010563254792</v>
      </c>
    </row>
    <row r="6" spans="1:14" ht="14.4" customHeight="1" x14ac:dyDescent="0.3">
      <c r="A6" s="294" t="s">
        <v>275</v>
      </c>
      <c r="B6" s="295" t="s">
        <v>277</v>
      </c>
      <c r="C6" s="296" t="s">
        <v>281</v>
      </c>
      <c r="D6" s="297" t="s">
        <v>282</v>
      </c>
      <c r="E6" s="296" t="s">
        <v>278</v>
      </c>
      <c r="F6" s="297" t="s">
        <v>279</v>
      </c>
      <c r="G6" s="296" t="s">
        <v>285</v>
      </c>
      <c r="H6" s="296" t="s">
        <v>289</v>
      </c>
      <c r="I6" s="296" t="s">
        <v>290</v>
      </c>
      <c r="J6" s="296" t="s">
        <v>291</v>
      </c>
      <c r="K6" s="296"/>
      <c r="L6" s="298">
        <v>45.470251065536502</v>
      </c>
      <c r="M6" s="298">
        <v>1</v>
      </c>
      <c r="N6" s="299">
        <v>45.470251065536502</v>
      </c>
    </row>
    <row r="7" spans="1:14" ht="14.4" customHeight="1" x14ac:dyDescent="0.3">
      <c r="A7" s="294" t="s">
        <v>275</v>
      </c>
      <c r="B7" s="295" t="s">
        <v>277</v>
      </c>
      <c r="C7" s="296" t="s">
        <v>281</v>
      </c>
      <c r="D7" s="297" t="s">
        <v>282</v>
      </c>
      <c r="E7" s="296" t="s">
        <v>278</v>
      </c>
      <c r="F7" s="297" t="s">
        <v>279</v>
      </c>
      <c r="G7" s="296" t="s">
        <v>285</v>
      </c>
      <c r="H7" s="296" t="s">
        <v>292</v>
      </c>
      <c r="I7" s="296" t="s">
        <v>293</v>
      </c>
      <c r="J7" s="296" t="s">
        <v>294</v>
      </c>
      <c r="K7" s="296" t="s">
        <v>295</v>
      </c>
      <c r="L7" s="298">
        <v>8.500046933298</v>
      </c>
      <c r="M7" s="298">
        <v>2</v>
      </c>
      <c r="N7" s="299">
        <v>17.000093866596</v>
      </c>
    </row>
    <row r="8" spans="1:14" ht="14.4" customHeight="1" x14ac:dyDescent="0.3">
      <c r="A8" s="294" t="s">
        <v>275</v>
      </c>
      <c r="B8" s="295" t="s">
        <v>277</v>
      </c>
      <c r="C8" s="296" t="s">
        <v>281</v>
      </c>
      <c r="D8" s="297" t="s">
        <v>282</v>
      </c>
      <c r="E8" s="296" t="s">
        <v>278</v>
      </c>
      <c r="F8" s="297" t="s">
        <v>279</v>
      </c>
      <c r="G8" s="296" t="s">
        <v>285</v>
      </c>
      <c r="H8" s="296" t="s">
        <v>296</v>
      </c>
      <c r="I8" s="296" t="s">
        <v>297</v>
      </c>
      <c r="J8" s="296" t="s">
        <v>298</v>
      </c>
      <c r="K8" s="296" t="s">
        <v>299</v>
      </c>
      <c r="L8" s="298">
        <v>10.039999999999999</v>
      </c>
      <c r="M8" s="298">
        <v>2</v>
      </c>
      <c r="N8" s="299">
        <v>20.079999999999998</v>
      </c>
    </row>
    <row r="9" spans="1:14" ht="14.4" customHeight="1" x14ac:dyDescent="0.3">
      <c r="A9" s="294" t="s">
        <v>275</v>
      </c>
      <c r="B9" s="295" t="s">
        <v>277</v>
      </c>
      <c r="C9" s="296" t="s">
        <v>281</v>
      </c>
      <c r="D9" s="297" t="s">
        <v>282</v>
      </c>
      <c r="E9" s="296" t="s">
        <v>278</v>
      </c>
      <c r="F9" s="297" t="s">
        <v>279</v>
      </c>
      <c r="G9" s="296" t="s">
        <v>285</v>
      </c>
      <c r="H9" s="296" t="s">
        <v>300</v>
      </c>
      <c r="I9" s="296" t="s">
        <v>290</v>
      </c>
      <c r="J9" s="296" t="s">
        <v>301</v>
      </c>
      <c r="K9" s="296" t="s">
        <v>302</v>
      </c>
      <c r="L9" s="298">
        <v>7.2799999999999994</v>
      </c>
      <c r="M9" s="298">
        <v>5</v>
      </c>
      <c r="N9" s="299">
        <v>36.4</v>
      </c>
    </row>
    <row r="10" spans="1:14" ht="14.4" customHeight="1" x14ac:dyDescent="0.3">
      <c r="A10" s="294" t="s">
        <v>275</v>
      </c>
      <c r="B10" s="295" t="s">
        <v>277</v>
      </c>
      <c r="C10" s="296" t="s">
        <v>281</v>
      </c>
      <c r="D10" s="297" t="s">
        <v>282</v>
      </c>
      <c r="E10" s="296" t="s">
        <v>278</v>
      </c>
      <c r="F10" s="297" t="s">
        <v>279</v>
      </c>
      <c r="G10" s="296" t="s">
        <v>285</v>
      </c>
      <c r="H10" s="296" t="s">
        <v>303</v>
      </c>
      <c r="I10" s="296" t="s">
        <v>290</v>
      </c>
      <c r="J10" s="296" t="s">
        <v>304</v>
      </c>
      <c r="K10" s="296" t="s">
        <v>305</v>
      </c>
      <c r="L10" s="298">
        <v>6.45</v>
      </c>
      <c r="M10" s="298">
        <v>5</v>
      </c>
      <c r="N10" s="299">
        <v>32.25</v>
      </c>
    </row>
    <row r="11" spans="1:14" ht="14.4" customHeight="1" x14ac:dyDescent="0.3">
      <c r="A11" s="294" t="s">
        <v>275</v>
      </c>
      <c r="B11" s="295" t="s">
        <v>277</v>
      </c>
      <c r="C11" s="296" t="s">
        <v>281</v>
      </c>
      <c r="D11" s="297" t="s">
        <v>282</v>
      </c>
      <c r="E11" s="296" t="s">
        <v>278</v>
      </c>
      <c r="F11" s="297" t="s">
        <v>279</v>
      </c>
      <c r="G11" s="296" t="s">
        <v>285</v>
      </c>
      <c r="H11" s="296" t="s">
        <v>306</v>
      </c>
      <c r="I11" s="296" t="s">
        <v>290</v>
      </c>
      <c r="J11" s="296" t="s">
        <v>307</v>
      </c>
      <c r="K11" s="296" t="s">
        <v>308</v>
      </c>
      <c r="L11" s="298">
        <v>32.26</v>
      </c>
      <c r="M11" s="298">
        <v>1</v>
      </c>
      <c r="N11" s="299">
        <v>32.26</v>
      </c>
    </row>
    <row r="12" spans="1:14" ht="14.4" customHeight="1" x14ac:dyDescent="0.3">
      <c r="A12" s="294" t="s">
        <v>275</v>
      </c>
      <c r="B12" s="295" t="s">
        <v>277</v>
      </c>
      <c r="C12" s="296" t="s">
        <v>281</v>
      </c>
      <c r="D12" s="297" t="s">
        <v>282</v>
      </c>
      <c r="E12" s="296" t="s">
        <v>278</v>
      </c>
      <c r="F12" s="297" t="s">
        <v>279</v>
      </c>
      <c r="G12" s="296" t="s">
        <v>285</v>
      </c>
      <c r="H12" s="296" t="s">
        <v>309</v>
      </c>
      <c r="I12" s="296" t="s">
        <v>310</v>
      </c>
      <c r="J12" s="296" t="s">
        <v>311</v>
      </c>
      <c r="K12" s="296" t="s">
        <v>312</v>
      </c>
      <c r="L12" s="298">
        <v>63.630351337147196</v>
      </c>
      <c r="M12" s="298">
        <v>2</v>
      </c>
      <c r="N12" s="299">
        <v>127.26070267429439</v>
      </c>
    </row>
    <row r="13" spans="1:14" ht="14.4" customHeight="1" x14ac:dyDescent="0.3">
      <c r="A13" s="294" t="s">
        <v>275</v>
      </c>
      <c r="B13" s="295" t="s">
        <v>277</v>
      </c>
      <c r="C13" s="296" t="s">
        <v>281</v>
      </c>
      <c r="D13" s="297" t="s">
        <v>282</v>
      </c>
      <c r="E13" s="296" t="s">
        <v>278</v>
      </c>
      <c r="F13" s="297" t="s">
        <v>279</v>
      </c>
      <c r="G13" s="296" t="s">
        <v>285</v>
      </c>
      <c r="H13" s="296" t="s">
        <v>313</v>
      </c>
      <c r="I13" s="296" t="s">
        <v>290</v>
      </c>
      <c r="J13" s="296" t="s">
        <v>314</v>
      </c>
      <c r="K13" s="296"/>
      <c r="L13" s="298">
        <v>9.23</v>
      </c>
      <c r="M13" s="298">
        <v>1</v>
      </c>
      <c r="N13" s="299">
        <v>9.23</v>
      </c>
    </row>
    <row r="14" spans="1:14" ht="14.4" customHeight="1" x14ac:dyDescent="0.3">
      <c r="A14" s="294" t="s">
        <v>275</v>
      </c>
      <c r="B14" s="295" t="s">
        <v>277</v>
      </c>
      <c r="C14" s="296" t="s">
        <v>281</v>
      </c>
      <c r="D14" s="297" t="s">
        <v>282</v>
      </c>
      <c r="E14" s="296" t="s">
        <v>278</v>
      </c>
      <c r="F14" s="297" t="s">
        <v>279</v>
      </c>
      <c r="G14" s="296" t="s">
        <v>285</v>
      </c>
      <c r="H14" s="296" t="s">
        <v>315</v>
      </c>
      <c r="I14" s="296" t="s">
        <v>290</v>
      </c>
      <c r="J14" s="296" t="s">
        <v>316</v>
      </c>
      <c r="K14" s="296"/>
      <c r="L14" s="298">
        <v>8.2600456081225193</v>
      </c>
      <c r="M14" s="298">
        <v>1</v>
      </c>
      <c r="N14" s="299">
        <v>8.2600456081225193</v>
      </c>
    </row>
    <row r="15" spans="1:14" ht="14.4" customHeight="1" x14ac:dyDescent="0.3">
      <c r="A15" s="294" t="s">
        <v>275</v>
      </c>
      <c r="B15" s="295" t="s">
        <v>277</v>
      </c>
      <c r="C15" s="296" t="s">
        <v>281</v>
      </c>
      <c r="D15" s="297" t="s">
        <v>282</v>
      </c>
      <c r="E15" s="296" t="s">
        <v>278</v>
      </c>
      <c r="F15" s="297" t="s">
        <v>279</v>
      </c>
      <c r="G15" s="296" t="s">
        <v>285</v>
      </c>
      <c r="H15" s="296" t="s">
        <v>317</v>
      </c>
      <c r="I15" s="296" t="s">
        <v>290</v>
      </c>
      <c r="J15" s="296" t="s">
        <v>318</v>
      </c>
      <c r="K15" s="296"/>
      <c r="L15" s="298">
        <v>10.660058859877299</v>
      </c>
      <c r="M15" s="298">
        <v>2</v>
      </c>
      <c r="N15" s="299">
        <v>21.320117719754599</v>
      </c>
    </row>
    <row r="16" spans="1:14" ht="14.4" customHeight="1" x14ac:dyDescent="0.3">
      <c r="A16" s="294" t="s">
        <v>275</v>
      </c>
      <c r="B16" s="295" t="s">
        <v>277</v>
      </c>
      <c r="C16" s="296" t="s">
        <v>281</v>
      </c>
      <c r="D16" s="297" t="s">
        <v>282</v>
      </c>
      <c r="E16" s="296" t="s">
        <v>278</v>
      </c>
      <c r="F16" s="297" t="s">
        <v>279</v>
      </c>
      <c r="G16" s="296" t="s">
        <v>285</v>
      </c>
      <c r="H16" s="296" t="s">
        <v>319</v>
      </c>
      <c r="I16" s="296" t="s">
        <v>290</v>
      </c>
      <c r="J16" s="296" t="s">
        <v>320</v>
      </c>
      <c r="K16" s="296"/>
      <c r="L16" s="298">
        <v>4.5700252335496296</v>
      </c>
      <c r="M16" s="298">
        <v>1</v>
      </c>
      <c r="N16" s="299">
        <v>4.5700252335496296</v>
      </c>
    </row>
    <row r="17" spans="1:14" ht="14.4" customHeight="1" x14ac:dyDescent="0.3">
      <c r="A17" s="294" t="s">
        <v>275</v>
      </c>
      <c r="B17" s="295" t="s">
        <v>277</v>
      </c>
      <c r="C17" s="296" t="s">
        <v>281</v>
      </c>
      <c r="D17" s="297" t="s">
        <v>282</v>
      </c>
      <c r="E17" s="296" t="s">
        <v>278</v>
      </c>
      <c r="F17" s="297" t="s">
        <v>279</v>
      </c>
      <c r="G17" s="296" t="s">
        <v>285</v>
      </c>
      <c r="H17" s="296" t="s">
        <v>321</v>
      </c>
      <c r="I17" s="296" t="s">
        <v>290</v>
      </c>
      <c r="J17" s="296" t="s">
        <v>322</v>
      </c>
      <c r="K17" s="296"/>
      <c r="L17" s="298">
        <v>5.05</v>
      </c>
      <c r="M17" s="298">
        <v>1</v>
      </c>
      <c r="N17" s="299">
        <v>5.05</v>
      </c>
    </row>
    <row r="18" spans="1:14" ht="14.4" customHeight="1" x14ac:dyDescent="0.3">
      <c r="A18" s="294" t="s">
        <v>275</v>
      </c>
      <c r="B18" s="295" t="s">
        <v>277</v>
      </c>
      <c r="C18" s="296" t="s">
        <v>281</v>
      </c>
      <c r="D18" s="297" t="s">
        <v>282</v>
      </c>
      <c r="E18" s="296" t="s">
        <v>278</v>
      </c>
      <c r="F18" s="297" t="s">
        <v>279</v>
      </c>
      <c r="G18" s="296" t="s">
        <v>285</v>
      </c>
      <c r="H18" s="296" t="s">
        <v>323</v>
      </c>
      <c r="I18" s="296" t="s">
        <v>290</v>
      </c>
      <c r="J18" s="296" t="s">
        <v>324</v>
      </c>
      <c r="K18" s="296"/>
      <c r="L18" s="298">
        <v>39.8902202552067</v>
      </c>
      <c r="M18" s="298">
        <v>1</v>
      </c>
      <c r="N18" s="299">
        <v>39.8902202552067</v>
      </c>
    </row>
    <row r="19" spans="1:14" ht="14.4" customHeight="1" thickBot="1" x14ac:dyDescent="0.35">
      <c r="A19" s="300" t="s">
        <v>275</v>
      </c>
      <c r="B19" s="301" t="s">
        <v>277</v>
      </c>
      <c r="C19" s="302" t="s">
        <v>281</v>
      </c>
      <c r="D19" s="303" t="s">
        <v>282</v>
      </c>
      <c r="E19" s="302" t="s">
        <v>278</v>
      </c>
      <c r="F19" s="303" t="s">
        <v>279</v>
      </c>
      <c r="G19" s="302" t="s">
        <v>285</v>
      </c>
      <c r="H19" s="302" t="s">
        <v>325</v>
      </c>
      <c r="I19" s="302" t="s">
        <v>290</v>
      </c>
      <c r="J19" s="302" t="s">
        <v>326</v>
      </c>
      <c r="K19" s="302"/>
      <c r="L19" s="304">
        <v>62.25</v>
      </c>
      <c r="M19" s="304">
        <v>1</v>
      </c>
      <c r="N19" s="305">
        <v>62.25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2" customWidth="1"/>
    <col min="3" max="3" width="5.44140625" style="60" hidden="1" customWidth="1"/>
    <col min="4" max="4" width="7.77734375" style="132" customWidth="1"/>
    <col min="5" max="5" width="5.44140625" style="60" hidden="1" customWidth="1"/>
    <col min="6" max="6" width="7.77734375" style="132" customWidth="1"/>
    <col min="7" max="7" width="7.77734375" style="81" customWidth="1"/>
    <col min="8" max="8" width="7.77734375" style="132" customWidth="1"/>
    <col min="9" max="9" width="5.44140625" style="60" hidden="1" customWidth="1"/>
    <col min="10" max="10" width="7.77734375" style="132" customWidth="1"/>
    <col min="11" max="11" width="5.44140625" style="60" hidden="1" customWidth="1"/>
    <col min="12" max="12" width="7.77734375" style="132" customWidth="1"/>
    <col min="13" max="13" width="7.77734375" style="81" customWidth="1"/>
    <col min="14" max="14" width="7.77734375" style="132" customWidth="1"/>
    <col min="15" max="15" width="5" style="60" hidden="1" customWidth="1"/>
    <col min="16" max="16" width="7.77734375" style="132" customWidth="1"/>
    <col min="17" max="17" width="5" style="60" hidden="1" customWidth="1"/>
    <col min="18" max="18" width="7.77734375" style="132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34" t="s">
        <v>130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4.4" customHeight="1" thickBot="1" x14ac:dyDescent="0.35">
      <c r="A2" s="250" t="s">
        <v>150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4.4" customHeight="1" thickBot="1" x14ac:dyDescent="0.35">
      <c r="A3" s="189" t="s">
        <v>134</v>
      </c>
      <c r="B3" s="190">
        <f>SUBTOTAL(9,B6:B1048576)</f>
        <v>2525882</v>
      </c>
      <c r="C3" s="191">
        <f t="shared" ref="C3:R3" si="0">SUBTOTAL(9,C6:C1048576)</f>
        <v>1</v>
      </c>
      <c r="D3" s="191">
        <f t="shared" si="0"/>
        <v>2842308</v>
      </c>
      <c r="E3" s="191">
        <f t="shared" si="0"/>
        <v>1.1252734688318773</v>
      </c>
      <c r="F3" s="191">
        <f t="shared" si="0"/>
        <v>3143556</v>
      </c>
      <c r="G3" s="193">
        <f>IF(B3&lt;&gt;0,F3/B3,"")</f>
        <v>1.2445379475367415</v>
      </c>
      <c r="H3" s="194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3" t="str">
        <f>IF(N3&lt;&gt;0,R3/N3,"")</f>
        <v/>
      </c>
    </row>
    <row r="4" spans="1:19" ht="14.4" customHeight="1" x14ac:dyDescent="0.3">
      <c r="A4" s="235" t="s">
        <v>105</v>
      </c>
      <c r="B4" s="236" t="s">
        <v>106</v>
      </c>
      <c r="C4" s="237"/>
      <c r="D4" s="237"/>
      <c r="E4" s="237"/>
      <c r="F4" s="237"/>
      <c r="G4" s="238"/>
      <c r="H4" s="236" t="s">
        <v>107</v>
      </c>
      <c r="I4" s="237"/>
      <c r="J4" s="237"/>
      <c r="K4" s="237"/>
      <c r="L4" s="237"/>
      <c r="M4" s="238"/>
      <c r="N4" s="236" t="s">
        <v>108</v>
      </c>
      <c r="O4" s="237"/>
      <c r="P4" s="237"/>
      <c r="Q4" s="237"/>
      <c r="R4" s="237"/>
      <c r="S4" s="238"/>
    </row>
    <row r="5" spans="1:19" ht="14.4" customHeight="1" thickBot="1" x14ac:dyDescent="0.35">
      <c r="A5" s="306"/>
      <c r="B5" s="307">
        <v>2011</v>
      </c>
      <c r="C5" s="308"/>
      <c r="D5" s="308">
        <v>2012</v>
      </c>
      <c r="E5" s="308"/>
      <c r="F5" s="308">
        <v>2013</v>
      </c>
      <c r="G5" s="309" t="s">
        <v>5</v>
      </c>
      <c r="H5" s="307">
        <v>2011</v>
      </c>
      <c r="I5" s="308"/>
      <c r="J5" s="308">
        <v>2012</v>
      </c>
      <c r="K5" s="308"/>
      <c r="L5" s="308">
        <v>2013</v>
      </c>
      <c r="M5" s="309" t="s">
        <v>5</v>
      </c>
      <c r="N5" s="307">
        <v>2011</v>
      </c>
      <c r="O5" s="308"/>
      <c r="P5" s="308">
        <v>2012</v>
      </c>
      <c r="Q5" s="308"/>
      <c r="R5" s="308">
        <v>2013</v>
      </c>
      <c r="S5" s="309" t="s">
        <v>5</v>
      </c>
    </row>
    <row r="6" spans="1:19" ht="14.4" customHeight="1" thickBot="1" x14ac:dyDescent="0.35">
      <c r="A6" s="314" t="s">
        <v>327</v>
      </c>
      <c r="B6" s="310">
        <v>2525882</v>
      </c>
      <c r="C6" s="311">
        <v>1</v>
      </c>
      <c r="D6" s="310">
        <v>2842308</v>
      </c>
      <c r="E6" s="311">
        <v>1.1252734688318773</v>
      </c>
      <c r="F6" s="310">
        <v>3143556</v>
      </c>
      <c r="G6" s="312">
        <v>1.2445379475367415</v>
      </c>
      <c r="H6" s="310"/>
      <c r="I6" s="311"/>
      <c r="J6" s="310"/>
      <c r="K6" s="311"/>
      <c r="L6" s="310"/>
      <c r="M6" s="312"/>
      <c r="N6" s="310"/>
      <c r="O6" s="311"/>
      <c r="P6" s="310"/>
      <c r="Q6" s="311"/>
      <c r="R6" s="310"/>
      <c r="S6" s="313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2013-11-19T09:04:52Z</dcterms:modified>
</cp:coreProperties>
</file>