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Osobní náklady" sheetId="419" r:id="rId9"/>
    <sheet name="ON Data" sheetId="418" state="hidden" r:id="rId10"/>
    <sheet name="ZV Vykáz.-A" sheetId="344" r:id="rId11"/>
    <sheet name="ZV Vykáz.-A Lékaři" sheetId="429" r:id="rId12"/>
    <sheet name="ZV Vykáz.-A Detail" sheetId="345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12" hidden="1">'ZV Vykáz.-A Detail'!$A$5:$Q$5</definedName>
    <definedName name="_xlnm._FilterDatabase" localSheetId="11" hidden="1">'ZV Vykáz.-A Lékaři'!$A$4:$A$5</definedName>
    <definedName name="_xlnm._FilterDatabase" localSheetId="1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J22" i="419" l="1"/>
  <c r="V22" i="419"/>
  <c r="AG22" i="419"/>
  <c r="E22" i="419"/>
  <c r="H22" i="419"/>
  <c r="L22" i="419"/>
  <c r="P22" i="419"/>
  <c r="T22" i="419"/>
  <c r="X22" i="419"/>
  <c r="AB22" i="419"/>
  <c r="AF22" i="419"/>
  <c r="C22" i="419"/>
  <c r="N22" i="419"/>
  <c r="Z22" i="419"/>
  <c r="B22" i="419"/>
  <c r="I22" i="419"/>
  <c r="M22" i="419"/>
  <c r="Q22" i="419"/>
  <c r="U22" i="419"/>
  <c r="Y22" i="419"/>
  <c r="AC22" i="419"/>
  <c r="F22" i="419"/>
  <c r="R22" i="419"/>
  <c r="AD22" i="419"/>
  <c r="D22" i="419"/>
  <c r="G22" i="419"/>
  <c r="K22" i="419"/>
  <c r="O22" i="419"/>
  <c r="S22" i="419"/>
  <c r="W22" i="419"/>
  <c r="AA22" i="419"/>
  <c r="AE22" i="419"/>
  <c r="A17" i="383"/>
  <c r="G3" i="429"/>
  <c r="F3" i="429"/>
  <c r="E3" i="429"/>
  <c r="D3" i="429"/>
  <c r="C3" i="429"/>
  <c r="B3" i="429"/>
  <c r="AG26" i="419" l="1"/>
  <c r="AG25" i="419"/>
  <c r="C11" i="340" l="1"/>
  <c r="A12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D4" i="414"/>
  <c r="C15" i="414"/>
  <c r="D15" i="414"/>
  <c r="C12" i="414"/>
  <c r="D12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D18" i="414"/>
  <c r="C18" i="414"/>
  <c r="F13" i="339" l="1"/>
  <c r="E13" i="339"/>
  <c r="E15" i="339" s="1"/>
  <c r="H12" i="339"/>
  <c r="G12" i="339"/>
  <c r="A4" i="383"/>
  <c r="A20" i="383"/>
  <c r="A19" i="383"/>
  <c r="A18" i="383"/>
  <c r="A16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4" i="414"/>
  <c r="C4" i="414"/>
  <c r="H13" i="339" l="1"/>
  <c r="F15" i="339"/>
  <c r="E12" i="414"/>
  <c r="E4" i="414"/>
  <c r="C6" i="340"/>
  <c r="D6" i="340" s="1"/>
  <c r="B4" i="340"/>
  <c r="G13" i="339"/>
  <c r="B13" i="340" l="1"/>
  <c r="B12" i="340"/>
  <c r="H15" i="339"/>
  <c r="G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<sst xmlns="http://schemas.openxmlformats.org/spreadsheetml/2006/main" count="1509" uniqueCount="460">
  <si>
    <t>NS</t>
  </si>
  <si>
    <t>Účet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</si>
  <si>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</si>
  <si>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</si>
  <si>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</si>
  <si>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</si>
  <si>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</si>
  <si>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</si>
  <si>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</si>
  <si>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</si>
  <si>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</si>
  <si>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</si>
  <si>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</si>
  <si>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</si>
  <si>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</si>
  <si>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</si>
  <si>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</si>
  <si>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</si>
  <si>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</si>
  <si>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</si>
  <si>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</si>
  <si>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</si>
  <si>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</si>
  <si>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</si>
  <si>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</si>
  <si>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</si>
  <si>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</si>
  <si>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</si>
  <si>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</si>
  <si>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</si>
  <si>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</si>
  <si>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</si>
  <si>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</si>
  <si>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</si>
  <si>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</si>
  <si>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</si>
  <si>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</si>
  <si>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</si>
  <si>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</si>
  <si>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</si>
  <si>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</si>
  <si>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</si>
  <si>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</si>
  <si>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</si>
  <si>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</si>
  <si>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</si>
  <si>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</si>
  <si>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</si>
  <si>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</si>
  <si>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</si>
  <si>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</si>
  <si>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</si>
  <si>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</si>
  <si>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</si>
  <si>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</si>
  <si>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</si>
  <si>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</si>
  <si>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</si>
  <si>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</si>
  <si>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</si>
  <si>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</si>
  <si>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</si>
  <si>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</si>
  <si>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</si>
  <si>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</si>
  <si>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</si>
  <si>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</si>
  <si>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</si>
  <si>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</si>
  <si>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</si>
  <si>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</si>
  <si>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</si>
  <si>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</si>
  <si>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</si>
  <si>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</si>
  <si>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</si>
  <si>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</si>
  <si>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</si>
  <si>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</si>
  <si>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</si>
  <si>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</si>
  <si>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</si>
  <si>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</si>
  <si>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</si>
  <si>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</si>
  <si>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</si>
  <si>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</si>
  <si>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</si>
  <si>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</si>
  <si>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</si>
  <si>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</si>
  <si>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</si>
  <si>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</si>
  <si>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</si>
  <si>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</si>
  <si>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</si>
  <si>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</si>
  <si>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</si>
  <si>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</si>
  <si>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</si>
  <si>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</si>
  <si>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</si>
  <si>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</si>
  <si>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</si>
  <si>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</si>
  <si>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</si>
  <si>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</si>
  <si>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</si>
  <si>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</si>
  <si>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</si>
  <si>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</si>
  <si>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</si>
  <si>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</si>
  <si>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</si>
  <si>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</si>
  <si>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</si>
  <si>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</si>
  <si>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</si>
  <si>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</si>
  <si>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</si>
  <si>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</si>
  <si>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</si>
  <si>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</si>
  <si>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</si>
  <si>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</si>
  <si>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</si>
  <si>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</si>
  <si>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</si>
  <si>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</si>
  <si>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</si>
  <si>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</si>
  <si>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</si>
  <si>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</si>
  <si>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</si>
  <si>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</si>
  <si>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</si>
  <si>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</si>
  <si>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</si>
  <si>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</si>
  <si>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</si>
  <si>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</si>
  <si>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</si>
  <si>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</si>
  <si>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</si>
  <si>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</si>
  <si>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</si>
  <si>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</si>
  <si>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</si>
  <si>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</si>
  <si>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</si>
  <si>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</si>
  <si>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</si>
  <si>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</si>
  <si>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</si>
  <si>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</si>
  <si>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</si>
  <si>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</si>
  <si>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</si>
  <si>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</si>
  <si>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</si>
  <si>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</si>
  <si>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</si>
  <si>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</si>
  <si>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</si>
  <si>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</si>
  <si>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</si>
  <si>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</si>
  <si>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</si>
  <si>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</si>
  <si>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</si>
  <si>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</si>
  <si>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</si>
  <si>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</si>
  <si>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</si>
  <si>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</si>
  <si>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</si>
  <si>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</si>
  <si>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</si>
  <si>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</si>
  <si>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</si>
  <si>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</si>
  <si>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</si>
  <si>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</si>
  <si>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</si>
  <si>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</si>
  <si>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</si>
  <si>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</si>
  <si>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</si>
  <si>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</si>
  <si>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</si>
  <si>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</si>
  <si>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</si>
  <si>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</si>
  <si>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</si>
  <si>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</si>
  <si>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</si>
  <si>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</si>
  <si>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</si>
  <si>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</si>
  <si>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</si>
  <si>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</si>
  <si>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</si>
  <si>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</si>
  <si>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</si>
  <si>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</si>
  <si>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</si>
  <si>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</si>
  <si>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</si>
  <si>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</si>
  <si>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</si>
  <si>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</si>
  <si>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</si>
  <si>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</si>
  <si>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</si>
  <si>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</si>
  <si>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</si>
  <si>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</si>
  <si>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</si>
  <si>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</si>
  <si>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</si>
  <si>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</si>
  <si>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</si>
  <si>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</si>
  <si>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</si>
  <si>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</si>
  <si>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</si>
  <si>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</si>
  <si>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</si>
  <si>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</si>
  <si>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</si>
  <si>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</si>
  <si>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50115050     obvazový materiál (sk.Z_502)</t>
  </si>
  <si>
    <t>50115060     ostatní ZPr - mimo níže uvedené (sk.Z_503)</t>
  </si>
  <si>
    <t>50117     Všeobecný materiál</t>
  </si>
  <si>
    <t>50117001     všeobecný materiál (sk.V30,32,33,34,42,43,Z510)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</si>
  <si>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</si>
  <si>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</si>
  <si>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</si>
  <si>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</si>
  <si>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</si>
  <si>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</si>
  <si>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</si>
  <si>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</si>
  <si>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</si>
  <si>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</si>
  <si>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</si>
  <si>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</si>
  <si>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</si>
  <si>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</si>
  <si>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</si>
  <si>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</si>
  <si>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</si>
  <si>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</si>
  <si>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</si>
  <si>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</si>
  <si>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</si>
  <si>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</si>
  <si>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</si>
  <si>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</si>
  <si>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</si>
  <si>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</si>
  <si>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</si>
  <si>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</si>
  <si>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</si>
  <si>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</si>
  <si>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</si>
  <si>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</si>
  <si>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</si>
  <si>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</si>
  <si>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</si>
  <si>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</si>
  <si>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</si>
  <si>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</si>
  <si>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</si>
  <si>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</si>
  <si>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</si>
  <si>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</si>
  <si>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</si>
  <si>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</si>
  <si>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</si>
  <si>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</si>
  <si>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</si>
  <si>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</si>
  <si>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</si>
  <si>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</si>
  <si>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</si>
  <si>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</si>
  <si>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</si>
  <si>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</si>
  <si>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</si>
  <si>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</si>
  <si>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</si>
  <si>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</si>
  <si>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</si>
  <si>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</si>
  <si>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</si>
  <si>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</si>
  <si>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</si>
  <si>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</si>
  <si>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</si>
  <si>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</si>
  <si>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</si>
  <si>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</si>
  <si>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</si>
  <si>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</si>
  <si>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</si>
  <si>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</si>
  <si>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</si>
  <si>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</si>
  <si>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</si>
  <si>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</si>
  <si>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</si>
  <si>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</si>
  <si>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</si>
  <si>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</si>
  <si>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</si>
  <si>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</si>
  <si>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</si>
  <si>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</si>
  <si>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</si>
  <si>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</si>
  <si>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</si>
  <si>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</si>
  <si>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</si>
  <si>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</si>
  <si>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</si>
  <si>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</si>
  <si>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</si>
  <si>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</si>
  <si>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64924446     Teoretické ústavy - poplatky za vjezd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</si>
  <si>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</si>
  <si>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</si>
  <si>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</si>
  <si>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</si>
  <si>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</si>
  <si>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</si>
  <si>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</si>
  <si>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</si>
  <si>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</si>
  <si>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</si>
  <si>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</si>
  <si>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</si>
  <si>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</si>
  <si>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</si>
  <si>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Oddělení klinické psychologie</t>
  </si>
  <si>
    <t/>
  </si>
  <si>
    <t>Oddělení klinické psychologie Celkem</t>
  </si>
  <si>
    <t>SumaKL</t>
  </si>
  <si>
    <t>3921</t>
  </si>
  <si>
    <t>ambulance - odborná poradna</t>
  </si>
  <si>
    <t>ambulance - odborná poradna Celkem</t>
  </si>
  <si>
    <t>SumaNS</t>
  </si>
  <si>
    <t>mezeraNS</t>
  </si>
  <si>
    <t>ON Data</t>
  </si>
  <si>
    <t>901 - Pracoviště klinické psychologie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</si>
  <si>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</si>
  <si>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</si>
  <si>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</si>
  <si>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</si>
  <si>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</si>
  <si>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Dařílková Naděžda</t>
  </si>
  <si>
    <t>Dlabačová Marie</t>
  </si>
  <si>
    <t>Halířová Monika</t>
  </si>
  <si>
    <t>Hradilová Michaela</t>
  </si>
  <si>
    <t>Hubáčková Lia</t>
  </si>
  <si>
    <t>Kasalová Petra</t>
  </si>
  <si>
    <t>Kolářová Jana</t>
  </si>
  <si>
    <t>Kreiselová Silvie</t>
  </si>
  <si>
    <t>Kubíček Zdenek</t>
  </si>
  <si>
    <t>Machová Karolína</t>
  </si>
  <si>
    <t>Svozilová Simona</t>
  </si>
  <si>
    <t>Škrobánková Alexandra</t>
  </si>
  <si>
    <t>Šmídová Magdaléna</t>
  </si>
  <si>
    <t>Štecková Tereza</t>
  </si>
  <si>
    <t>Tenglerová Petra</t>
  </si>
  <si>
    <t>Zdravotní výkony vykázané na pracovišti v rámci ambulantní péče dle lékařů *</t>
  </si>
  <si>
    <t>901</t>
  </si>
  <si>
    <t>V</t>
  </si>
  <si>
    <t>35520</t>
  </si>
  <si>
    <t>PSYCHOTERAPIE INDIVIDUÁLNÍ SYSTEMATICKÁ, PROVÁDĚNÁ</t>
  </si>
  <si>
    <t>09543</t>
  </si>
  <si>
    <t>REGULAČNÍ POPLATEK ZA NÁVŠTĚVU -- POPLATEK UHRAZEN</t>
  </si>
  <si>
    <t>37022</t>
  </si>
  <si>
    <t>CÍLENÉ PSYCHOLOGICKÉ VYŠETŘENÍ (Á 60 MINUT)</t>
  </si>
  <si>
    <t>37021</t>
  </si>
  <si>
    <t>KOMPLEXNÍ PSYCHOLOGICKÉ VYŠETŘENÍ (Á 60 MINUT)</t>
  </si>
  <si>
    <t>35050</t>
  </si>
  <si>
    <t xml:space="preserve">TELEFONICKÁ KONZULTACE PSYCHIATRA NEBO KLINICKÉHO </t>
  </si>
  <si>
    <t>35650</t>
  </si>
  <si>
    <t>RODINNÁ SYSTEMATICKÁ PSYCHOTERAPIE Á 30 MINUT</t>
  </si>
  <si>
    <t>37115</t>
  </si>
  <si>
    <t>KRIZOVÁ INTERVENCE(Á 30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</si>
  <si>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</si>
  <si>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</si>
  <si>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</si>
  <si>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</si>
  <si>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</si>
  <si>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</si>
  <si>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37023</t>
  </si>
  <si>
    <t>KONTROLNÍ PSYCHOLOGICKÉ VYŠETŘENÍ (Á 30 MINUT)</t>
  </si>
  <si>
    <t>09511</t>
  </si>
  <si>
    <t>MINIMÁLNÍ KONTAKT LÉKAŘE S PACIENTEM</t>
  </si>
  <si>
    <t>09547</t>
  </si>
  <si>
    <t>REGULAČNÍ POPLATEK -- POJIŠTĚNEC OD ÚHRADY POPLATK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</si>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</sst>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3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7" xfId="1" applyFont="1" applyFill="1" applyBorder="1"/>
    <xf numFmtId="0" fontId="44" fillId="2" borderId="3" xfId="1" applyFont="1" applyFill="1" applyBorder="1"/>
    <xf numFmtId="0" fontId="44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6" xfId="1" applyFont="1" applyFill="1" applyBorder="1" applyAlignment="1">
      <alignment horizontal="left"/>
    </xf>
    <xf numFmtId="0" fontId="44" fillId="4" borderId="33" xfId="1" applyFont="1" applyFill="1" applyBorder="1" applyAlignment="1">
      <alignment horizontal="left" indent="2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1" fillId="8" borderId="58" xfId="0" applyNumberFormat="1" applyFont="1" applyFill="1" applyBorder="1"/>
    <xf numFmtId="3" fontId="51" fillId="8" borderId="57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3" fillId="2" borderId="64" xfId="0" applyNumberFormat="1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3" fontId="39" fillId="4" borderId="68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70" xfId="0" applyNumberFormat="1" applyFont="1" applyBorder="1"/>
    <xf numFmtId="173" fontId="32" fillId="0" borderId="74" xfId="0" applyNumberFormat="1" applyFont="1" applyBorder="1"/>
    <xf numFmtId="173" fontId="32" fillId="0" borderId="72" xfId="0" applyNumberFormat="1" applyFont="1" applyBorder="1"/>
    <xf numFmtId="173" fontId="39" fillId="0" borderId="80" xfId="0" applyNumberFormat="1" applyFont="1" applyBorder="1"/>
    <xf numFmtId="173" fontId="32" fillId="0" borderId="81" xfId="0" applyNumberFormat="1" applyFont="1" applyBorder="1"/>
    <xf numFmtId="173" fontId="32" fillId="0" borderId="65" xfId="0" applyNumberFormat="1" applyFont="1" applyBorder="1"/>
    <xf numFmtId="173" fontId="39" fillId="2" borderId="82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8" xfId="0" applyNumberFormat="1" applyFont="1" applyBorder="1"/>
    <xf numFmtId="173" fontId="32" fillId="0" borderId="83" xfId="0" applyNumberFormat="1" applyFont="1" applyBorder="1"/>
    <xf numFmtId="173" fontId="32" fillId="0" borderId="62" xfId="0" applyNumberFormat="1" applyFont="1" applyBorder="1"/>
    <xf numFmtId="174" fontId="39" fillId="2" borderId="68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4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8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0" fontId="31" fillId="2" borderId="90" xfId="74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32" fillId="0" borderId="84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0" xfId="80" applyFont="1" applyFill="1" applyBorder="1" applyAlignment="1">
      <alignment horizontal="center"/>
    </xf>
    <xf numFmtId="0" fontId="31" fillId="2" borderId="88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89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0" fontId="2" fillId="0" borderId="1" xfId="26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91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2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0" fontId="42" fillId="2" borderId="42" xfId="0" applyNumberFormat="1" applyFont="1" applyFill="1" applyBorder="1" applyAlignment="1">
      <alignment horizontal="center" vertical="top"/>
    </xf>
    <xf numFmtId="3" fontId="33" fillId="9" borderId="93" xfId="0" applyNumberFormat="1" applyFont="1" applyFill="1" applyBorder="1" applyAlignment="1">
      <alignment horizontal="right" vertical="top"/>
    </xf>
    <xf numFmtId="3" fontId="33" fillId="9" borderId="94" xfId="0" applyNumberFormat="1" applyFont="1" applyFill="1" applyBorder="1" applyAlignment="1">
      <alignment horizontal="right" vertical="top"/>
    </xf>
    <xf numFmtId="176" fontId="33" fillId="9" borderId="95" xfId="0" applyNumberFormat="1" applyFont="1" applyFill="1" applyBorder="1" applyAlignment="1">
      <alignment horizontal="right" vertical="top"/>
    </xf>
    <xf numFmtId="3" fontId="33" fillId="0" borderId="93" xfId="0" applyNumberFormat="1" applyFont="1" applyBorder="1" applyAlignment="1">
      <alignment horizontal="right" vertical="top"/>
    </xf>
    <xf numFmtId="176" fontId="33" fillId="9" borderId="96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3" fontId="35" fillId="9" borderId="99" xfId="0" applyNumberFormat="1" applyFont="1" applyFill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176" fontId="35" fillId="9" borderId="101" xfId="0" applyNumberFormat="1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5" fillId="9" borderId="101" xfId="0" applyFont="1" applyFill="1" applyBorder="1" applyAlignment="1">
      <alignment horizontal="right" vertical="top"/>
    </xf>
    <xf numFmtId="0" fontId="33" fillId="9" borderId="96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0" fontId="37" fillId="10" borderId="92" xfId="0" applyFont="1" applyFill="1" applyBorder="1" applyAlignment="1">
      <alignment vertical="top"/>
    </xf>
    <xf numFmtId="0" fontId="37" fillId="10" borderId="92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4"/>
    </xf>
    <xf numFmtId="0" fontId="38" fillId="10" borderId="97" xfId="0" applyFont="1" applyFill="1" applyBorder="1" applyAlignment="1">
      <alignment vertical="top" indent="6"/>
    </xf>
    <xf numFmtId="0" fontId="37" fillId="10" borderId="92" xfId="0" applyFont="1" applyFill="1" applyBorder="1" applyAlignment="1">
      <alignment vertical="top" indent="8"/>
    </xf>
    <xf numFmtId="0" fontId="38" fillId="10" borderId="97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6"/>
    </xf>
    <xf numFmtId="0" fontId="38" fillId="10" borderId="97" xfId="0" applyFont="1" applyFill="1" applyBorder="1" applyAlignment="1">
      <alignment vertical="top" indent="4"/>
    </xf>
    <xf numFmtId="0" fontId="32" fillId="10" borderId="9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73" fontId="39" fillId="4" borderId="106" xfId="0" applyNumberFormat="1" applyFont="1" applyFill="1" applyBorder="1" applyAlignment="1">
      <alignment horizontal="center"/>
    </xf>
    <xf numFmtId="173" fontId="39" fillId="4" borderId="107" xfId="0" applyNumberFormat="1" applyFont="1" applyFill="1" applyBorder="1" applyAlignment="1">
      <alignment horizontal="center"/>
    </xf>
    <xf numFmtId="173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 wrapText="1"/>
    </xf>
    <xf numFmtId="175" fontId="32" fillId="0" borderId="108" xfId="0" applyNumberFormat="1" applyFont="1" applyBorder="1" applyAlignment="1">
      <alignment horizontal="right"/>
    </xf>
    <xf numFmtId="175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173" fontId="32" fillId="0" borderId="111" xfId="0" applyNumberFormat="1" applyFont="1" applyBorder="1" applyAlignment="1">
      <alignment horizontal="right"/>
    </xf>
    <xf numFmtId="0" fontId="39" fillId="2" borderId="87" xfId="0" applyFont="1" applyFill="1" applyBorder="1" applyAlignment="1">
      <alignment horizontal="center" vertical="center"/>
    </xf>
    <xf numFmtId="0" fontId="53" fillId="2" borderId="86" xfId="0" applyFont="1" applyFill="1" applyBorder="1" applyAlignment="1">
      <alignment horizontal="center" vertical="center" wrapText="1"/>
    </xf>
    <xf numFmtId="174" fontId="32" fillId="2" borderId="87" xfId="0" applyNumberFormat="1" applyFont="1" applyFill="1" applyBorder="1" applyAlignment="1"/>
    <xf numFmtId="174" fontId="32" fillId="0" borderId="85" xfId="0" applyNumberFormat="1" applyFont="1" applyBorder="1"/>
    <xf numFmtId="174" fontId="32" fillId="0" borderId="112" xfId="0" applyNumberFormat="1" applyFont="1" applyBorder="1"/>
    <xf numFmtId="173" fontId="39" fillId="4" borderId="87" xfId="0" applyNumberFormat="1" applyFont="1" applyFill="1" applyBorder="1" applyAlignment="1"/>
    <xf numFmtId="173" fontId="32" fillId="0" borderId="85" xfId="0" applyNumberFormat="1" applyFont="1" applyBorder="1"/>
    <xf numFmtId="173" fontId="32" fillId="0" borderId="86" xfId="0" applyNumberFormat="1" applyFont="1" applyBorder="1"/>
    <xf numFmtId="173" fontId="39" fillId="2" borderId="87" xfId="0" applyNumberFormat="1" applyFont="1" applyFill="1" applyBorder="1" applyAlignment="1"/>
    <xf numFmtId="173" fontId="32" fillId="0" borderId="112" xfId="0" applyNumberFormat="1" applyFont="1" applyBorder="1"/>
    <xf numFmtId="173" fontId="32" fillId="0" borderId="87" xfId="0" applyNumberFormat="1" applyFont="1" applyBorder="1"/>
    <xf numFmtId="9" fontId="32" fillId="0" borderId="85" xfId="0" applyNumberFormat="1" applyFont="1" applyBorder="1"/>
    <xf numFmtId="173" fontId="39" fillId="4" borderId="113" xfId="0" applyNumberFormat="1" applyFont="1" applyFill="1" applyBorder="1" applyAlignment="1">
      <alignment horizontal="center"/>
    </xf>
    <xf numFmtId="173" fontId="32" fillId="0" borderId="114" xfId="0" applyNumberFormat="1" applyFont="1" applyBorder="1" applyAlignment="1">
      <alignment horizontal="right"/>
    </xf>
    <xf numFmtId="175" fontId="32" fillId="0" borderId="114" xfId="0" applyNumberFormat="1" applyFont="1" applyBorder="1" applyAlignment="1">
      <alignment horizontal="right"/>
    </xf>
    <xf numFmtId="173" fontId="32" fillId="0" borderId="115" xfId="0" applyNumberFormat="1" applyFont="1" applyBorder="1" applyAlignment="1">
      <alignment horizontal="right"/>
    </xf>
    <xf numFmtId="0" fontId="0" fillId="0" borderId="14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9" xfId="0" applyNumberFormat="1" applyFont="1" applyBorder="1" applyAlignment="1">
      <alignment horizontal="right"/>
    </xf>
    <xf numFmtId="175" fontId="32" fillId="0" borderId="69" xfId="0" applyNumberFormat="1" applyFont="1" applyBorder="1" applyAlignment="1">
      <alignment horizontal="right"/>
    </xf>
    <xf numFmtId="173" fontId="32" fillId="0" borderId="79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7" fillId="0" borderId="0" xfId="0" applyFont="1" applyFill="1"/>
    <xf numFmtId="0" fontId="58" fillId="0" borderId="0" xfId="0" applyFont="1" applyFill="1"/>
    <xf numFmtId="0" fontId="31" fillId="2" borderId="15" xfId="26" applyNumberFormat="1" applyFont="1" applyFill="1" applyBorder="1"/>
    <xf numFmtId="0" fontId="32" fillId="0" borderId="23" xfId="0" applyFont="1" applyFill="1" applyBorder="1"/>
    <xf numFmtId="3" fontId="32" fillId="0" borderId="62" xfId="0" applyNumberFormat="1" applyFont="1" applyFill="1" applyBorder="1"/>
    <xf numFmtId="169" fontId="32" fillId="0" borderId="62" xfId="0" applyNumberFormat="1" applyFont="1" applyFill="1" applyBorder="1"/>
    <xf numFmtId="169" fontId="32" fillId="0" borderId="63" xfId="0" applyNumberFormat="1" applyFont="1" applyFill="1" applyBorder="1"/>
    <xf numFmtId="0" fontId="32" fillId="0" borderId="71" xfId="0" applyFont="1" applyFill="1" applyBorder="1"/>
    <xf numFmtId="3" fontId="32" fillId="0" borderId="72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0" fontId="32" fillId="0" borderId="64" xfId="0" applyFont="1" applyFill="1" applyBorder="1"/>
    <xf numFmtId="3" fontId="32" fillId="0" borderId="65" xfId="0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0" fontId="39" fillId="0" borderId="23" xfId="0" applyFont="1" applyFill="1" applyBorder="1"/>
    <xf numFmtId="0" fontId="39" fillId="0" borderId="71" xfId="0" applyFont="1" applyFill="1" applyBorder="1"/>
    <xf numFmtId="0" fontId="39" fillId="0" borderId="64" xfId="0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2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0" fontId="32" fillId="0" borderId="62" xfId="0" applyFont="1" applyFill="1" applyBorder="1"/>
    <xf numFmtId="9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2" fillId="0" borderId="72" xfId="0" applyFont="1" applyFill="1" applyBorder="1"/>
    <xf numFmtId="9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5" xfId="0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9" fontId="32" fillId="0" borderId="63" xfId="0" applyNumberFormat="1" applyFont="1" applyFill="1" applyBorder="1"/>
    <xf numFmtId="9" fontId="32" fillId="0" borderId="73" xfId="0" applyNumberFormat="1" applyFont="1" applyFill="1" applyBorder="1"/>
    <xf numFmtId="9" fontId="32" fillId="0" borderId="66" xfId="0" applyNumberFormat="1" applyFont="1" applyFill="1" applyBorder="1"/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2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9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0.6001961374563286</c:v>
                </c:pt>
                <c:pt idx="1">
                  <c:v>0.62930821251256364</c:v>
                </c:pt>
                <c:pt idx="2">
                  <c:v>0.68105122210226798</c:v>
                </c:pt>
                <c:pt idx="3">
                  <c:v>0.72165802968250603</c:v>
                </c:pt>
                <c:pt idx="4">
                  <c:v>0.73376548160318267</c:v>
                </c:pt>
                <c:pt idx="5">
                  <c:v>0.72971607383517412</c:v>
                </c:pt>
                <c:pt idx="6">
                  <c:v>0.66119765836110667</c:v>
                </c:pt>
                <c:pt idx="7">
                  <c:v>0.62869789667266718</c:v>
                </c:pt>
                <c:pt idx="8">
                  <c:v>0.61687715655883757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573032"/>
        <c:axId val="17915659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0.46611371199003887</c:v>
                </c:pt>
                <c:pt idx="1">
                  <c:v>0.46611371199003887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1587928"/>
        <c:axId val="1791584008"/>
      </c:scatterChart>
      <c:catAx>
        <c:axId val="1791573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91565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1565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91573032"/>
        <c:crosses val="autoZero"/>
        <c:crossBetween val="between"/>
      </c:valAx>
      <c:valAx>
        <c:axId val="17915879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791584008"/>
        <c:crosses val="max"/>
        <c:crossBetween val="midCat"/>
      </c:valAx>
      <c:valAx>
        <c:axId val="17915840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915879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74" t="s">
        <v>86</v>
      </c>
      <c r="B1" s="274"/>
    </row>
    <row r="2" spans="1:3" ht="14.4" customHeight="1" thickBot="1" x14ac:dyDescent="0.35">
      <c r="A2" s="195" t="s">
        <v>221</v>
      </c>
      <c r="B2" s="41"/>
    </row>
    <row r="3" spans="1:3" ht="14.4" customHeight="1" thickBot="1" x14ac:dyDescent="0.35">
      <c r="A3" s="270" t="s">
        <v>107</v>
      </c>
      <c r="B3" s="271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95</v>
      </c>
      <c r="C4" s="42" t="s">
        <v>96</v>
      </c>
    </row>
    <row r="5" spans="1:3" ht="14.4" customHeight="1" x14ac:dyDescent="0.3">
      <c r="A5" s="115" t="str">
        <f t="shared" si="0"/>
        <v>HI</v>
      </c>
      <c r="B5" s="64" t="s">
        <v>104</v>
      </c>
      <c r="C5" s="42" t="s">
        <v>89</v>
      </c>
    </row>
    <row r="6" spans="1:3" ht="14.4" customHeight="1" x14ac:dyDescent="0.3">
      <c r="A6" s="116" t="str">
        <f t="shared" si="0"/>
        <v>HI Graf</v>
      </c>
      <c r="B6" s="65" t="s">
        <v>82</v>
      </c>
      <c r="C6" s="42" t="s">
        <v>90</v>
      </c>
    </row>
    <row r="7" spans="1:3" ht="14.4" customHeight="1" x14ac:dyDescent="0.3">
      <c r="A7" s="116" t="str">
        <f t="shared" si="0"/>
        <v>Man Tab</v>
      </c>
      <c r="B7" s="65" t="s">
        <v>223</v>
      </c>
      <c r="C7" s="42" t="s">
        <v>91</v>
      </c>
    </row>
    <row r="8" spans="1:3" ht="14.4" customHeight="1" thickBot="1" x14ac:dyDescent="0.35">
      <c r="A8" s="117" t="str">
        <f t="shared" si="0"/>
        <v>HV</v>
      </c>
      <c r="B8" s="66" t="s">
        <v>38</v>
      </c>
      <c r="C8" s="42" t="s">
        <v>43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72" t="s">
        <v>87</v>
      </c>
      <c r="B10" s="271"/>
    </row>
    <row r="11" spans="1:3" ht="14.4" customHeight="1" x14ac:dyDescent="0.3">
      <c r="A11" s="118" t="str">
        <f t="shared" ref="A11" si="1">HYPERLINK("#'"&amp;C11&amp;"'!A1",C11)</f>
        <v>Léky Žádanky</v>
      </c>
      <c r="B11" s="64" t="s">
        <v>105</v>
      </c>
      <c r="C11" s="42" t="s">
        <v>92</v>
      </c>
    </row>
    <row r="12" spans="1:3" ht="14.4" customHeight="1" x14ac:dyDescent="0.3">
      <c r="A12" s="118" t="str">
        <f t="shared" ref="A12" si="2">HYPERLINK("#'"&amp;C12&amp;"'!A1",C12)</f>
        <v>Materiál Žádanky</v>
      </c>
      <c r="B12" s="65" t="s">
        <v>106</v>
      </c>
      <c r="C12" s="42" t="s">
        <v>93</v>
      </c>
    </row>
    <row r="13" spans="1:3" ht="14.4" customHeight="1" thickBot="1" x14ac:dyDescent="0.35">
      <c r="A13" s="118" t="str">
        <f t="shared" ref="A13" si="3">HYPERLINK("#'"&amp;C13&amp;"'!A1",C13)</f>
        <v>Osobní náklady</v>
      </c>
      <c r="B13" s="65" t="s">
        <v>84</v>
      </c>
      <c r="C13" s="42" t="s">
        <v>94</v>
      </c>
    </row>
    <row r="14" spans="1:3" ht="14.4" customHeight="1" thickBot="1" x14ac:dyDescent="0.35">
      <c r="A14" s="68"/>
      <c r="B14" s="68"/>
    </row>
    <row r="15" spans="1:3" ht="14.4" customHeight="1" thickBot="1" x14ac:dyDescent="0.35">
      <c r="A15" s="273" t="s">
        <v>88</v>
      </c>
      <c r="B15" s="271"/>
    </row>
    <row r="16" spans="1:3" ht="14.4" customHeight="1" x14ac:dyDescent="0.3">
      <c r="A16" s="119" t="str">
        <f t="shared" ref="A16:A20" si="4">HYPERLINK("#'"&amp;C16&amp;"'!A1",C16)</f>
        <v>ZV Vykáz.-A</v>
      </c>
      <c r="B16" s="64" t="s">
        <v>358</v>
      </c>
      <c r="C16" s="42" t="s">
        <v>97</v>
      </c>
    </row>
    <row r="17" spans="1:3" ht="14.4" customHeight="1" x14ac:dyDescent="0.3">
      <c r="A17" s="116" t="str">
        <f t="shared" ref="A17" si="5">HYPERLINK("#'"&amp;C17&amp;"'!A1",C17)</f>
        <v>ZV Vykáz.-A Lékaři</v>
      </c>
      <c r="B17" s="65" t="s">
        <v>375</v>
      </c>
      <c r="C17" s="42" t="s">
        <v>220</v>
      </c>
    </row>
    <row r="18" spans="1:3" ht="14.4" customHeight="1" x14ac:dyDescent="0.3">
      <c r="A18" s="116" t="str">
        <f t="shared" si="4"/>
        <v>ZV Vykáz.-A Detail</v>
      </c>
      <c r="B18" s="65" t="s">
        <v>404</v>
      </c>
      <c r="C18" s="42" t="s">
        <v>98</v>
      </c>
    </row>
    <row r="19" spans="1:3" ht="14.4" customHeight="1" x14ac:dyDescent="0.3">
      <c r="A19" s="116" t="str">
        <f t="shared" si="4"/>
        <v>ZV Vykáz.-H</v>
      </c>
      <c r="B19" s="65" t="s">
        <v>101</v>
      </c>
      <c r="C19" s="42" t="s">
        <v>99</v>
      </c>
    </row>
    <row r="20" spans="1:3" ht="14.4" customHeight="1" x14ac:dyDescent="0.3">
      <c r="A20" s="116" t="str">
        <f t="shared" si="4"/>
        <v>ZV Vykáz.-H Detail</v>
      </c>
      <c r="B20" s="65" t="s">
        <v>459</v>
      </c>
      <c r="C20" s="42" t="s">
        <v>100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6"/>
  <sheetViews>
    <sheetView showGridLines="0" showRowColHeaders="0" workbookViewId="0"/>
  </sheetViews>
  <sheetFormatPr defaultRowHeight="14.4" x14ac:dyDescent="0.3"/>
  <cols>
    <col min="1" max="16384" width="8.88671875" style="191"/>
  </cols>
  <sheetData>
    <row r="1" spans="1:40" x14ac:dyDescent="0.3">
      <c r="A1" s="191" t="s">
        <v>353</v>
      </c>
    </row>
    <row r="2" spans="1:40" x14ac:dyDescent="0.3">
      <c r="A2" s="195" t="s">
        <v>221</v>
      </c>
    </row>
    <row r="3" spans="1:40" x14ac:dyDescent="0.3">
      <c r="A3" s="191" t="s">
        <v>146</v>
      </c>
      <c r="B3" s="216">
        <v>2014</v>
      </c>
      <c r="D3" s="192">
        <f>MAX(D5:D1048576)</f>
        <v>9</v>
      </c>
      <c r="F3" s="192">
        <f>SUMIF($E5:$E1048576,"&lt;10",F5:F1048576)</f>
        <v>3906213.5999999996</v>
      </c>
      <c r="G3" s="192">
        <f t="shared" ref="G3:AN3" si="0">SUMIF($E5:$E1048576,"&lt;10",G5:G1048576)</f>
        <v>0</v>
      </c>
      <c r="H3" s="192">
        <f t="shared" si="0"/>
        <v>0</v>
      </c>
      <c r="I3" s="192">
        <f t="shared" si="0"/>
        <v>0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2">
        <f t="shared" si="0"/>
        <v>0</v>
      </c>
      <c r="N3" s="192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2">
        <f t="shared" si="0"/>
        <v>0</v>
      </c>
      <c r="T3" s="192">
        <f t="shared" si="0"/>
        <v>0</v>
      </c>
      <c r="U3" s="192">
        <f t="shared" si="0"/>
        <v>0</v>
      </c>
      <c r="V3" s="192">
        <f t="shared" si="0"/>
        <v>2941287.4000000004</v>
      </c>
      <c r="W3" s="192">
        <f t="shared" si="0"/>
        <v>0</v>
      </c>
      <c r="X3" s="192">
        <f t="shared" si="0"/>
        <v>0</v>
      </c>
      <c r="Y3" s="192">
        <f t="shared" si="0"/>
        <v>0</v>
      </c>
      <c r="Z3" s="192">
        <f t="shared" si="0"/>
        <v>0</v>
      </c>
      <c r="AA3" s="192">
        <f t="shared" si="0"/>
        <v>0</v>
      </c>
      <c r="AB3" s="192">
        <f t="shared" si="0"/>
        <v>0</v>
      </c>
      <c r="AC3" s="192">
        <f t="shared" si="0"/>
        <v>0</v>
      </c>
      <c r="AD3" s="192">
        <f t="shared" si="0"/>
        <v>0</v>
      </c>
      <c r="AE3" s="192">
        <f t="shared" si="0"/>
        <v>0</v>
      </c>
      <c r="AF3" s="192">
        <f t="shared" si="0"/>
        <v>0</v>
      </c>
      <c r="AG3" s="192">
        <f t="shared" si="0"/>
        <v>0</v>
      </c>
      <c r="AH3" s="192">
        <f t="shared" si="0"/>
        <v>0</v>
      </c>
      <c r="AI3" s="192">
        <f t="shared" si="0"/>
        <v>791464.2</v>
      </c>
      <c r="AJ3" s="192">
        <f t="shared" si="0"/>
        <v>0</v>
      </c>
      <c r="AK3" s="192">
        <f t="shared" si="0"/>
        <v>0</v>
      </c>
      <c r="AL3" s="192">
        <f t="shared" si="0"/>
        <v>0</v>
      </c>
      <c r="AM3" s="192">
        <f t="shared" si="0"/>
        <v>173462</v>
      </c>
      <c r="AN3" s="192">
        <f t="shared" si="0"/>
        <v>0</v>
      </c>
    </row>
    <row r="4" spans="1:40" x14ac:dyDescent="0.3">
      <c r="A4" s="191" t="s">
        <v>147</v>
      </c>
      <c r="B4" s="216">
        <v>1</v>
      </c>
      <c r="C4" s="193" t="s">
        <v>4</v>
      </c>
      <c r="D4" s="194" t="s">
        <v>44</v>
      </c>
      <c r="E4" s="194" t="s">
        <v>141</v>
      </c>
      <c r="F4" s="194" t="s">
        <v>3</v>
      </c>
      <c r="G4" s="194" t="s">
        <v>142</v>
      </c>
      <c r="H4" s="194" t="s">
        <v>143</v>
      </c>
      <c r="I4" s="194" t="s">
        <v>144</v>
      </c>
      <c r="J4" s="194" t="s">
        <v>145</v>
      </c>
      <c r="K4" s="194">
        <v>305</v>
      </c>
      <c r="L4" s="194">
        <v>306</v>
      </c>
      <c r="M4" s="194">
        <v>408</v>
      </c>
      <c r="N4" s="194">
        <v>409</v>
      </c>
      <c r="O4" s="194">
        <v>410</v>
      </c>
      <c r="P4" s="194">
        <v>415</v>
      </c>
      <c r="Q4" s="194">
        <v>416</v>
      </c>
      <c r="R4" s="194">
        <v>418</v>
      </c>
      <c r="S4" s="194">
        <v>419</v>
      </c>
      <c r="T4" s="194">
        <v>420</v>
      </c>
      <c r="U4" s="194">
        <v>421</v>
      </c>
      <c r="V4" s="194">
        <v>522</v>
      </c>
      <c r="W4" s="194">
        <v>523</v>
      </c>
      <c r="X4" s="194">
        <v>524</v>
      </c>
      <c r="Y4" s="194">
        <v>525</v>
      </c>
      <c r="Z4" s="194">
        <v>526</v>
      </c>
      <c r="AA4" s="194">
        <v>527</v>
      </c>
      <c r="AB4" s="194">
        <v>528</v>
      </c>
      <c r="AC4" s="194">
        <v>629</v>
      </c>
      <c r="AD4" s="194">
        <v>630</v>
      </c>
      <c r="AE4" s="194">
        <v>636</v>
      </c>
      <c r="AF4" s="194">
        <v>637</v>
      </c>
      <c r="AG4" s="194">
        <v>640</v>
      </c>
      <c r="AH4" s="194">
        <v>642</v>
      </c>
      <c r="AI4" s="194">
        <v>743</v>
      </c>
      <c r="AJ4" s="194">
        <v>745</v>
      </c>
      <c r="AK4" s="194">
        <v>746</v>
      </c>
      <c r="AL4" s="194">
        <v>747</v>
      </c>
      <c r="AM4" s="194">
        <v>930</v>
      </c>
      <c r="AN4" s="194">
        <v>940</v>
      </c>
    </row>
    <row r="5" spans="1:40" x14ac:dyDescent="0.3">
      <c r="A5" s="191" t="s">
        <v>148</v>
      </c>
      <c r="B5" s="216">
        <v>2</v>
      </c>
      <c r="C5" s="191">
        <v>39</v>
      </c>
      <c r="D5" s="191">
        <v>1</v>
      </c>
      <c r="E5" s="191">
        <v>1</v>
      </c>
      <c r="F5" s="191">
        <v>13.2</v>
      </c>
      <c r="G5" s="191">
        <v>0</v>
      </c>
      <c r="H5" s="191">
        <v>0</v>
      </c>
      <c r="I5" s="191">
        <v>0</v>
      </c>
      <c r="J5" s="191">
        <v>0</v>
      </c>
      <c r="K5" s="191">
        <v>0</v>
      </c>
      <c r="L5" s="191">
        <v>0</v>
      </c>
      <c r="M5" s="191">
        <v>0</v>
      </c>
      <c r="N5" s="191">
        <v>0</v>
      </c>
      <c r="O5" s="191">
        <v>0</v>
      </c>
      <c r="P5" s="191">
        <v>0</v>
      </c>
      <c r="Q5" s="191">
        <v>0</v>
      </c>
      <c r="R5" s="191">
        <v>0</v>
      </c>
      <c r="S5" s="191">
        <v>0</v>
      </c>
      <c r="T5" s="191">
        <v>0</v>
      </c>
      <c r="U5" s="191">
        <v>0</v>
      </c>
      <c r="V5" s="191">
        <v>9.1999999999999993</v>
      </c>
      <c r="W5" s="191">
        <v>0</v>
      </c>
      <c r="X5" s="191">
        <v>0</v>
      </c>
      <c r="Y5" s="191">
        <v>0</v>
      </c>
      <c r="Z5" s="191">
        <v>0</v>
      </c>
      <c r="AA5" s="191">
        <v>0</v>
      </c>
      <c r="AB5" s="191">
        <v>0</v>
      </c>
      <c r="AC5" s="191">
        <v>0</v>
      </c>
      <c r="AD5" s="191">
        <v>0</v>
      </c>
      <c r="AE5" s="191">
        <v>0</v>
      </c>
      <c r="AF5" s="191">
        <v>0</v>
      </c>
      <c r="AG5" s="191">
        <v>0</v>
      </c>
      <c r="AH5" s="191">
        <v>0</v>
      </c>
      <c r="AI5" s="191">
        <v>3</v>
      </c>
      <c r="AJ5" s="191">
        <v>0</v>
      </c>
      <c r="AK5" s="191">
        <v>0</v>
      </c>
      <c r="AL5" s="191">
        <v>0</v>
      </c>
      <c r="AM5" s="191">
        <v>1</v>
      </c>
      <c r="AN5" s="191">
        <v>0</v>
      </c>
    </row>
    <row r="6" spans="1:40" x14ac:dyDescent="0.3">
      <c r="A6" s="191" t="s">
        <v>149</v>
      </c>
      <c r="B6" s="216">
        <v>3</v>
      </c>
      <c r="C6" s="191">
        <v>39</v>
      </c>
      <c r="D6" s="191">
        <v>1</v>
      </c>
      <c r="E6" s="191">
        <v>2</v>
      </c>
      <c r="F6" s="191">
        <v>2240.8000000000002</v>
      </c>
      <c r="G6" s="191">
        <v>0</v>
      </c>
      <c r="H6" s="191">
        <v>0</v>
      </c>
      <c r="I6" s="191">
        <v>0</v>
      </c>
      <c r="J6" s="191">
        <v>0</v>
      </c>
      <c r="K6" s="191">
        <v>0</v>
      </c>
      <c r="L6" s="191">
        <v>0</v>
      </c>
      <c r="M6" s="191">
        <v>0</v>
      </c>
      <c r="N6" s="191">
        <v>0</v>
      </c>
      <c r="O6" s="191">
        <v>0</v>
      </c>
      <c r="P6" s="191">
        <v>0</v>
      </c>
      <c r="Q6" s="191">
        <v>0</v>
      </c>
      <c r="R6" s="191">
        <v>0</v>
      </c>
      <c r="S6" s="191">
        <v>0</v>
      </c>
      <c r="T6" s="191">
        <v>0</v>
      </c>
      <c r="U6" s="191">
        <v>0</v>
      </c>
      <c r="V6" s="191">
        <v>1584.8</v>
      </c>
      <c r="W6" s="191">
        <v>0</v>
      </c>
      <c r="X6" s="191">
        <v>0</v>
      </c>
      <c r="Y6" s="191">
        <v>0</v>
      </c>
      <c r="Z6" s="191">
        <v>0</v>
      </c>
      <c r="AA6" s="191">
        <v>0</v>
      </c>
      <c r="AB6" s="191">
        <v>0</v>
      </c>
      <c r="AC6" s="191">
        <v>0</v>
      </c>
      <c r="AD6" s="191">
        <v>0</v>
      </c>
      <c r="AE6" s="191">
        <v>0</v>
      </c>
      <c r="AF6" s="191">
        <v>0</v>
      </c>
      <c r="AG6" s="191">
        <v>0</v>
      </c>
      <c r="AH6" s="191">
        <v>0</v>
      </c>
      <c r="AI6" s="191">
        <v>472</v>
      </c>
      <c r="AJ6" s="191">
        <v>0</v>
      </c>
      <c r="AK6" s="191">
        <v>0</v>
      </c>
      <c r="AL6" s="191">
        <v>0</v>
      </c>
      <c r="AM6" s="191">
        <v>184</v>
      </c>
      <c r="AN6" s="191">
        <v>0</v>
      </c>
    </row>
    <row r="7" spans="1:40" x14ac:dyDescent="0.3">
      <c r="A7" s="191" t="s">
        <v>150</v>
      </c>
      <c r="B7" s="216">
        <v>4</v>
      </c>
      <c r="C7" s="191">
        <v>39</v>
      </c>
      <c r="D7" s="191">
        <v>1</v>
      </c>
      <c r="E7" s="191">
        <v>6</v>
      </c>
      <c r="F7" s="191">
        <v>420367</v>
      </c>
      <c r="G7" s="191">
        <v>0</v>
      </c>
      <c r="H7" s="191">
        <v>0</v>
      </c>
      <c r="I7" s="191">
        <v>0</v>
      </c>
      <c r="J7" s="191">
        <v>0</v>
      </c>
      <c r="K7" s="191">
        <v>0</v>
      </c>
      <c r="L7" s="191">
        <v>0</v>
      </c>
      <c r="M7" s="191">
        <v>0</v>
      </c>
      <c r="N7" s="191">
        <v>0</v>
      </c>
      <c r="O7" s="191">
        <v>0</v>
      </c>
      <c r="P7" s="191">
        <v>0</v>
      </c>
      <c r="Q7" s="191">
        <v>0</v>
      </c>
      <c r="R7" s="191">
        <v>0</v>
      </c>
      <c r="S7" s="191">
        <v>0</v>
      </c>
      <c r="T7" s="191">
        <v>0</v>
      </c>
      <c r="U7" s="191">
        <v>0</v>
      </c>
      <c r="V7" s="191">
        <v>322794</v>
      </c>
      <c r="W7" s="191">
        <v>0</v>
      </c>
      <c r="X7" s="191">
        <v>0</v>
      </c>
      <c r="Y7" s="191">
        <v>0</v>
      </c>
      <c r="Z7" s="191">
        <v>0</v>
      </c>
      <c r="AA7" s="191">
        <v>0</v>
      </c>
      <c r="AB7" s="191">
        <v>0</v>
      </c>
      <c r="AC7" s="191">
        <v>0</v>
      </c>
      <c r="AD7" s="191">
        <v>0</v>
      </c>
      <c r="AE7" s="191">
        <v>0</v>
      </c>
      <c r="AF7" s="191">
        <v>0</v>
      </c>
      <c r="AG7" s="191">
        <v>0</v>
      </c>
      <c r="AH7" s="191">
        <v>0</v>
      </c>
      <c r="AI7" s="191">
        <v>79573</v>
      </c>
      <c r="AJ7" s="191">
        <v>0</v>
      </c>
      <c r="AK7" s="191">
        <v>0</v>
      </c>
      <c r="AL7" s="191">
        <v>0</v>
      </c>
      <c r="AM7" s="191">
        <v>18000</v>
      </c>
      <c r="AN7" s="191">
        <v>0</v>
      </c>
    </row>
    <row r="8" spans="1:40" x14ac:dyDescent="0.3">
      <c r="A8" s="191" t="s">
        <v>151</v>
      </c>
      <c r="B8" s="216">
        <v>5</v>
      </c>
      <c r="C8" s="191">
        <v>39</v>
      </c>
      <c r="D8" s="191">
        <v>1</v>
      </c>
      <c r="E8" s="191">
        <v>10</v>
      </c>
      <c r="F8" s="191">
        <v>5500</v>
      </c>
      <c r="G8" s="191">
        <v>0</v>
      </c>
      <c r="H8" s="191">
        <v>0</v>
      </c>
      <c r="I8" s="191">
        <v>0</v>
      </c>
      <c r="J8" s="191">
        <v>0</v>
      </c>
      <c r="K8" s="191">
        <v>5500</v>
      </c>
      <c r="L8" s="191">
        <v>0</v>
      </c>
      <c r="M8" s="191">
        <v>0</v>
      </c>
      <c r="N8" s="191">
        <v>0</v>
      </c>
      <c r="O8" s="191">
        <v>0</v>
      </c>
      <c r="P8" s="191">
        <v>0</v>
      </c>
      <c r="Q8" s="191">
        <v>0</v>
      </c>
      <c r="R8" s="191">
        <v>0</v>
      </c>
      <c r="S8" s="191">
        <v>0</v>
      </c>
      <c r="T8" s="191">
        <v>0</v>
      </c>
      <c r="U8" s="191">
        <v>0</v>
      </c>
      <c r="V8" s="191">
        <v>0</v>
      </c>
      <c r="W8" s="191">
        <v>0</v>
      </c>
      <c r="X8" s="191">
        <v>0</v>
      </c>
      <c r="Y8" s="191">
        <v>0</v>
      </c>
      <c r="Z8" s="191">
        <v>0</v>
      </c>
      <c r="AA8" s="191">
        <v>0</v>
      </c>
      <c r="AB8" s="191">
        <v>0</v>
      </c>
      <c r="AC8" s="191">
        <v>0</v>
      </c>
      <c r="AD8" s="191">
        <v>0</v>
      </c>
      <c r="AE8" s="191">
        <v>0</v>
      </c>
      <c r="AF8" s="191">
        <v>0</v>
      </c>
      <c r="AG8" s="191">
        <v>0</v>
      </c>
      <c r="AH8" s="191">
        <v>0</v>
      </c>
      <c r="AI8" s="191">
        <v>0</v>
      </c>
      <c r="AJ8" s="191">
        <v>0</v>
      </c>
      <c r="AK8" s="191">
        <v>0</v>
      </c>
      <c r="AL8" s="191">
        <v>0</v>
      </c>
      <c r="AM8" s="191">
        <v>0</v>
      </c>
      <c r="AN8" s="191">
        <v>0</v>
      </c>
    </row>
    <row r="9" spans="1:40" x14ac:dyDescent="0.3">
      <c r="A9" s="191" t="s">
        <v>152</v>
      </c>
      <c r="B9" s="216">
        <v>6</v>
      </c>
      <c r="C9" s="191">
        <v>39</v>
      </c>
      <c r="D9" s="191">
        <v>1</v>
      </c>
      <c r="E9" s="191">
        <v>11</v>
      </c>
      <c r="F9" s="191">
        <v>1166.6666666666667</v>
      </c>
      <c r="G9" s="191">
        <v>0</v>
      </c>
      <c r="H9" s="191">
        <v>0</v>
      </c>
      <c r="I9" s="191">
        <v>0</v>
      </c>
      <c r="J9" s="191">
        <v>0</v>
      </c>
      <c r="K9" s="191">
        <v>1166.6666666666667</v>
      </c>
      <c r="L9" s="191">
        <v>0</v>
      </c>
      <c r="M9" s="191">
        <v>0</v>
      </c>
      <c r="N9" s="191">
        <v>0</v>
      </c>
      <c r="O9" s="191">
        <v>0</v>
      </c>
      <c r="P9" s="191">
        <v>0</v>
      </c>
      <c r="Q9" s="191">
        <v>0</v>
      </c>
      <c r="R9" s="191">
        <v>0</v>
      </c>
      <c r="S9" s="191">
        <v>0</v>
      </c>
      <c r="T9" s="191">
        <v>0</v>
      </c>
      <c r="U9" s="191">
        <v>0</v>
      </c>
      <c r="V9" s="191">
        <v>0</v>
      </c>
      <c r="W9" s="191">
        <v>0</v>
      </c>
      <c r="X9" s="191">
        <v>0</v>
      </c>
      <c r="Y9" s="191">
        <v>0</v>
      </c>
      <c r="Z9" s="191">
        <v>0</v>
      </c>
      <c r="AA9" s="191">
        <v>0</v>
      </c>
      <c r="AB9" s="191">
        <v>0</v>
      </c>
      <c r="AC9" s="191">
        <v>0</v>
      </c>
      <c r="AD9" s="191">
        <v>0</v>
      </c>
      <c r="AE9" s="191">
        <v>0</v>
      </c>
      <c r="AF9" s="191">
        <v>0</v>
      </c>
      <c r="AG9" s="191">
        <v>0</v>
      </c>
      <c r="AH9" s="191">
        <v>0</v>
      </c>
      <c r="AI9" s="191">
        <v>0</v>
      </c>
      <c r="AJ9" s="191">
        <v>0</v>
      </c>
      <c r="AK9" s="191">
        <v>0</v>
      </c>
      <c r="AL9" s="191">
        <v>0</v>
      </c>
      <c r="AM9" s="191">
        <v>0</v>
      </c>
      <c r="AN9" s="191">
        <v>0</v>
      </c>
    </row>
    <row r="10" spans="1:40" x14ac:dyDescent="0.3">
      <c r="A10" s="191" t="s">
        <v>153</v>
      </c>
      <c r="B10" s="216">
        <v>7</v>
      </c>
      <c r="C10" s="191">
        <v>39</v>
      </c>
      <c r="D10" s="191">
        <v>2</v>
      </c>
      <c r="E10" s="191">
        <v>1</v>
      </c>
      <c r="F10" s="191">
        <v>13.2</v>
      </c>
      <c r="G10" s="191">
        <v>0</v>
      </c>
      <c r="H10" s="191">
        <v>0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91">
        <v>0</v>
      </c>
      <c r="U10" s="191">
        <v>0</v>
      </c>
      <c r="V10" s="191">
        <v>9.1999999999999993</v>
      </c>
      <c r="W10" s="191">
        <v>0</v>
      </c>
      <c r="X10" s="191">
        <v>0</v>
      </c>
      <c r="Y10" s="191">
        <v>0</v>
      </c>
      <c r="Z10" s="191">
        <v>0</v>
      </c>
      <c r="AA10" s="191">
        <v>0</v>
      </c>
      <c r="AB10" s="191">
        <v>0</v>
      </c>
      <c r="AC10" s="191">
        <v>0</v>
      </c>
      <c r="AD10" s="191">
        <v>0</v>
      </c>
      <c r="AE10" s="191">
        <v>0</v>
      </c>
      <c r="AF10" s="191">
        <v>0</v>
      </c>
      <c r="AG10" s="191">
        <v>0</v>
      </c>
      <c r="AH10" s="191">
        <v>0</v>
      </c>
      <c r="AI10" s="191">
        <v>3</v>
      </c>
      <c r="AJ10" s="191">
        <v>0</v>
      </c>
      <c r="AK10" s="191">
        <v>0</v>
      </c>
      <c r="AL10" s="191">
        <v>0</v>
      </c>
      <c r="AM10" s="191">
        <v>1</v>
      </c>
      <c r="AN10" s="191">
        <v>0</v>
      </c>
    </row>
    <row r="11" spans="1:40" x14ac:dyDescent="0.3">
      <c r="A11" s="191" t="s">
        <v>154</v>
      </c>
      <c r="B11" s="216">
        <v>8</v>
      </c>
      <c r="C11" s="191">
        <v>39</v>
      </c>
      <c r="D11" s="191">
        <v>2</v>
      </c>
      <c r="E11" s="191">
        <v>2</v>
      </c>
      <c r="F11" s="191">
        <v>1896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  <c r="O11" s="191">
        <v>0</v>
      </c>
      <c r="P11" s="191">
        <v>0</v>
      </c>
      <c r="Q11" s="191">
        <v>0</v>
      </c>
      <c r="R11" s="191">
        <v>0</v>
      </c>
      <c r="S11" s="191">
        <v>0</v>
      </c>
      <c r="T11" s="191">
        <v>0</v>
      </c>
      <c r="U11" s="191">
        <v>0</v>
      </c>
      <c r="V11" s="191">
        <v>1336</v>
      </c>
      <c r="W11" s="191">
        <v>0</v>
      </c>
      <c r="X11" s="191">
        <v>0</v>
      </c>
      <c r="Y11" s="191">
        <v>0</v>
      </c>
      <c r="Z11" s="191">
        <v>0</v>
      </c>
      <c r="AA11" s="191">
        <v>0</v>
      </c>
      <c r="AB11" s="191">
        <v>0</v>
      </c>
      <c r="AC11" s="191">
        <v>0</v>
      </c>
      <c r="AD11" s="191">
        <v>0</v>
      </c>
      <c r="AE11" s="191">
        <v>0</v>
      </c>
      <c r="AF11" s="191">
        <v>0</v>
      </c>
      <c r="AG11" s="191">
        <v>0</v>
      </c>
      <c r="AH11" s="191">
        <v>0</v>
      </c>
      <c r="AI11" s="191">
        <v>480</v>
      </c>
      <c r="AJ11" s="191">
        <v>0</v>
      </c>
      <c r="AK11" s="191">
        <v>0</v>
      </c>
      <c r="AL11" s="191">
        <v>0</v>
      </c>
      <c r="AM11" s="191">
        <v>80</v>
      </c>
      <c r="AN11" s="191">
        <v>0</v>
      </c>
    </row>
    <row r="12" spans="1:40" x14ac:dyDescent="0.3">
      <c r="A12" s="191" t="s">
        <v>155</v>
      </c>
      <c r="B12" s="216">
        <v>9</v>
      </c>
      <c r="C12" s="191">
        <v>39</v>
      </c>
      <c r="D12" s="191">
        <v>2</v>
      </c>
      <c r="E12" s="191">
        <v>6</v>
      </c>
      <c r="F12" s="191">
        <v>379720</v>
      </c>
      <c r="G12" s="191">
        <v>0</v>
      </c>
      <c r="H12" s="191">
        <v>0</v>
      </c>
      <c r="I12" s="191">
        <v>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  <c r="O12" s="191">
        <v>0</v>
      </c>
      <c r="P12" s="191">
        <v>0</v>
      </c>
      <c r="Q12" s="191">
        <v>0</v>
      </c>
      <c r="R12" s="191">
        <v>0</v>
      </c>
      <c r="S12" s="191">
        <v>0</v>
      </c>
      <c r="T12" s="191">
        <v>0</v>
      </c>
      <c r="U12" s="191">
        <v>0</v>
      </c>
      <c r="V12" s="191">
        <v>291229</v>
      </c>
      <c r="W12" s="191">
        <v>0</v>
      </c>
      <c r="X12" s="191">
        <v>0</v>
      </c>
      <c r="Y12" s="191">
        <v>0</v>
      </c>
      <c r="Z12" s="191">
        <v>0</v>
      </c>
      <c r="AA12" s="191">
        <v>0</v>
      </c>
      <c r="AB12" s="191">
        <v>0</v>
      </c>
      <c r="AC12" s="191">
        <v>0</v>
      </c>
      <c r="AD12" s="191">
        <v>0</v>
      </c>
      <c r="AE12" s="191">
        <v>0</v>
      </c>
      <c r="AF12" s="191">
        <v>0</v>
      </c>
      <c r="AG12" s="191">
        <v>0</v>
      </c>
      <c r="AH12" s="191">
        <v>0</v>
      </c>
      <c r="AI12" s="191">
        <v>76180</v>
      </c>
      <c r="AJ12" s="191">
        <v>0</v>
      </c>
      <c r="AK12" s="191">
        <v>0</v>
      </c>
      <c r="AL12" s="191">
        <v>0</v>
      </c>
      <c r="AM12" s="191">
        <v>12311</v>
      </c>
      <c r="AN12" s="191">
        <v>0</v>
      </c>
    </row>
    <row r="13" spans="1:40" x14ac:dyDescent="0.3">
      <c r="A13" s="191" t="s">
        <v>156</v>
      </c>
      <c r="B13" s="216">
        <v>10</v>
      </c>
      <c r="C13" s="191">
        <v>39</v>
      </c>
      <c r="D13" s="191">
        <v>2</v>
      </c>
      <c r="E13" s="191">
        <v>11</v>
      </c>
      <c r="F13" s="191">
        <v>1166.6666666666667</v>
      </c>
      <c r="G13" s="191">
        <v>0</v>
      </c>
      <c r="H13" s="191">
        <v>0</v>
      </c>
      <c r="I13" s="191">
        <v>0</v>
      </c>
      <c r="J13" s="191">
        <v>0</v>
      </c>
      <c r="K13" s="191">
        <v>1166.6666666666667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191">
        <v>0</v>
      </c>
      <c r="S13" s="191">
        <v>0</v>
      </c>
      <c r="T13" s="191">
        <v>0</v>
      </c>
      <c r="U13" s="191">
        <v>0</v>
      </c>
      <c r="V13" s="191">
        <v>0</v>
      </c>
      <c r="W13" s="191">
        <v>0</v>
      </c>
      <c r="X13" s="191">
        <v>0</v>
      </c>
      <c r="Y13" s="191">
        <v>0</v>
      </c>
      <c r="Z13" s="191">
        <v>0</v>
      </c>
      <c r="AA13" s="191">
        <v>0</v>
      </c>
      <c r="AB13" s="191">
        <v>0</v>
      </c>
      <c r="AC13" s="191">
        <v>0</v>
      </c>
      <c r="AD13" s="191">
        <v>0</v>
      </c>
      <c r="AE13" s="191">
        <v>0</v>
      </c>
      <c r="AF13" s="191">
        <v>0</v>
      </c>
      <c r="AG13" s="191">
        <v>0</v>
      </c>
      <c r="AH13" s="191">
        <v>0</v>
      </c>
      <c r="AI13" s="191">
        <v>0</v>
      </c>
      <c r="AJ13" s="191">
        <v>0</v>
      </c>
      <c r="AK13" s="191">
        <v>0</v>
      </c>
      <c r="AL13" s="191">
        <v>0</v>
      </c>
      <c r="AM13" s="191">
        <v>0</v>
      </c>
      <c r="AN13" s="191">
        <v>0</v>
      </c>
    </row>
    <row r="14" spans="1:40" x14ac:dyDescent="0.3">
      <c r="A14" s="191" t="s">
        <v>157</v>
      </c>
      <c r="B14" s="216">
        <v>11</v>
      </c>
      <c r="C14" s="191">
        <v>39</v>
      </c>
      <c r="D14" s="191">
        <v>3</v>
      </c>
      <c r="E14" s="191">
        <v>1</v>
      </c>
      <c r="F14" s="191">
        <v>13.2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9.1999999999999993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0</v>
      </c>
      <c r="AH14" s="191">
        <v>0</v>
      </c>
      <c r="AI14" s="191">
        <v>3</v>
      </c>
      <c r="AJ14" s="191">
        <v>0</v>
      </c>
      <c r="AK14" s="191">
        <v>0</v>
      </c>
      <c r="AL14" s="191">
        <v>0</v>
      </c>
      <c r="AM14" s="191">
        <v>1</v>
      </c>
      <c r="AN14" s="191">
        <v>0</v>
      </c>
    </row>
    <row r="15" spans="1:40" x14ac:dyDescent="0.3">
      <c r="A15" s="191" t="s">
        <v>158</v>
      </c>
      <c r="B15" s="216">
        <v>12</v>
      </c>
      <c r="C15" s="191">
        <v>39</v>
      </c>
      <c r="D15" s="191">
        <v>3</v>
      </c>
      <c r="E15" s="191">
        <v>2</v>
      </c>
      <c r="F15" s="191">
        <v>2169.6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1505.6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  <c r="AC15" s="191">
        <v>0</v>
      </c>
      <c r="AD15" s="191">
        <v>0</v>
      </c>
      <c r="AE15" s="191">
        <v>0</v>
      </c>
      <c r="AF15" s="191">
        <v>0</v>
      </c>
      <c r="AG15" s="191">
        <v>0</v>
      </c>
      <c r="AH15" s="191">
        <v>0</v>
      </c>
      <c r="AI15" s="191">
        <v>496</v>
      </c>
      <c r="AJ15" s="191">
        <v>0</v>
      </c>
      <c r="AK15" s="191">
        <v>0</v>
      </c>
      <c r="AL15" s="191">
        <v>0</v>
      </c>
      <c r="AM15" s="191">
        <v>168</v>
      </c>
      <c r="AN15" s="191">
        <v>0</v>
      </c>
    </row>
    <row r="16" spans="1:40" x14ac:dyDescent="0.3">
      <c r="A16" s="191" t="s">
        <v>146</v>
      </c>
      <c r="B16" s="216">
        <v>2014</v>
      </c>
      <c r="C16" s="191">
        <v>39</v>
      </c>
      <c r="D16" s="191">
        <v>3</v>
      </c>
      <c r="E16" s="191">
        <v>6</v>
      </c>
      <c r="F16" s="191">
        <v>384457</v>
      </c>
      <c r="G16" s="191">
        <v>0</v>
      </c>
      <c r="H16" s="191">
        <v>0</v>
      </c>
      <c r="I16" s="191">
        <v>0</v>
      </c>
      <c r="J16" s="191">
        <v>0</v>
      </c>
      <c r="K16" s="191">
        <v>0</v>
      </c>
      <c r="L16" s="191">
        <v>0</v>
      </c>
      <c r="M16" s="191">
        <v>0</v>
      </c>
      <c r="N16" s="191">
        <v>0</v>
      </c>
      <c r="O16" s="191">
        <v>0</v>
      </c>
      <c r="P16" s="191">
        <v>0</v>
      </c>
      <c r="Q16" s="191">
        <v>0</v>
      </c>
      <c r="R16" s="191">
        <v>0</v>
      </c>
      <c r="S16" s="191">
        <v>0</v>
      </c>
      <c r="T16" s="191">
        <v>0</v>
      </c>
      <c r="U16" s="191">
        <v>0</v>
      </c>
      <c r="V16" s="191">
        <v>289378</v>
      </c>
      <c r="W16" s="191">
        <v>0</v>
      </c>
      <c r="X16" s="191">
        <v>0</v>
      </c>
      <c r="Y16" s="191">
        <v>0</v>
      </c>
      <c r="Z16" s="191">
        <v>0</v>
      </c>
      <c r="AA16" s="191">
        <v>0</v>
      </c>
      <c r="AB16" s="191">
        <v>0</v>
      </c>
      <c r="AC16" s="191">
        <v>0</v>
      </c>
      <c r="AD16" s="191">
        <v>0</v>
      </c>
      <c r="AE16" s="191">
        <v>0</v>
      </c>
      <c r="AF16" s="191">
        <v>0</v>
      </c>
      <c r="AG16" s="191">
        <v>0</v>
      </c>
      <c r="AH16" s="191">
        <v>0</v>
      </c>
      <c r="AI16" s="191">
        <v>77079</v>
      </c>
      <c r="AJ16" s="191">
        <v>0</v>
      </c>
      <c r="AK16" s="191">
        <v>0</v>
      </c>
      <c r="AL16" s="191">
        <v>0</v>
      </c>
      <c r="AM16" s="191">
        <v>18000</v>
      </c>
      <c r="AN16" s="191">
        <v>0</v>
      </c>
    </row>
    <row r="17" spans="3:40" x14ac:dyDescent="0.3">
      <c r="C17" s="191">
        <v>39</v>
      </c>
      <c r="D17" s="191">
        <v>3</v>
      </c>
      <c r="E17" s="191">
        <v>11</v>
      </c>
      <c r="F17" s="191">
        <v>1166.6666666666667</v>
      </c>
      <c r="G17" s="191">
        <v>0</v>
      </c>
      <c r="H17" s="191">
        <v>0</v>
      </c>
      <c r="I17" s="191">
        <v>0</v>
      </c>
      <c r="J17" s="191">
        <v>0</v>
      </c>
      <c r="K17" s="191">
        <v>1166.6666666666667</v>
      </c>
      <c r="L17" s="191">
        <v>0</v>
      </c>
      <c r="M17" s="191">
        <v>0</v>
      </c>
      <c r="N17" s="191">
        <v>0</v>
      </c>
      <c r="O17" s="191">
        <v>0</v>
      </c>
      <c r="P17" s="191">
        <v>0</v>
      </c>
      <c r="Q17" s="191">
        <v>0</v>
      </c>
      <c r="R17" s="191">
        <v>0</v>
      </c>
      <c r="S17" s="191">
        <v>0</v>
      </c>
      <c r="T17" s="191">
        <v>0</v>
      </c>
      <c r="U17" s="191">
        <v>0</v>
      </c>
      <c r="V17" s="191">
        <v>0</v>
      </c>
      <c r="W17" s="191">
        <v>0</v>
      </c>
      <c r="X17" s="191">
        <v>0</v>
      </c>
      <c r="Y17" s="191">
        <v>0</v>
      </c>
      <c r="Z17" s="191">
        <v>0</v>
      </c>
      <c r="AA17" s="191">
        <v>0</v>
      </c>
      <c r="AB17" s="191">
        <v>0</v>
      </c>
      <c r="AC17" s="191">
        <v>0</v>
      </c>
      <c r="AD17" s="191">
        <v>0</v>
      </c>
      <c r="AE17" s="191">
        <v>0</v>
      </c>
      <c r="AF17" s="191">
        <v>0</v>
      </c>
      <c r="AG17" s="191">
        <v>0</v>
      </c>
      <c r="AH17" s="191">
        <v>0</v>
      </c>
      <c r="AI17" s="191">
        <v>0</v>
      </c>
      <c r="AJ17" s="191">
        <v>0</v>
      </c>
      <c r="AK17" s="191">
        <v>0</v>
      </c>
      <c r="AL17" s="191">
        <v>0</v>
      </c>
      <c r="AM17" s="191">
        <v>0</v>
      </c>
      <c r="AN17" s="191">
        <v>0</v>
      </c>
    </row>
    <row r="18" spans="3:40" x14ac:dyDescent="0.3">
      <c r="C18" s="191">
        <v>39</v>
      </c>
      <c r="D18" s="191">
        <v>4</v>
      </c>
      <c r="E18" s="191">
        <v>1</v>
      </c>
      <c r="F18" s="191">
        <v>13.2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191">
        <v>0</v>
      </c>
      <c r="O18" s="191">
        <v>0</v>
      </c>
      <c r="P18" s="191">
        <v>0</v>
      </c>
      <c r="Q18" s="191">
        <v>0</v>
      </c>
      <c r="R18" s="191">
        <v>0</v>
      </c>
      <c r="S18" s="191">
        <v>0</v>
      </c>
      <c r="T18" s="191">
        <v>0</v>
      </c>
      <c r="U18" s="191">
        <v>0</v>
      </c>
      <c r="V18" s="191">
        <v>9.1999999999999993</v>
      </c>
      <c r="W18" s="191">
        <v>0</v>
      </c>
      <c r="X18" s="191">
        <v>0</v>
      </c>
      <c r="Y18" s="191">
        <v>0</v>
      </c>
      <c r="Z18" s="191">
        <v>0</v>
      </c>
      <c r="AA18" s="191">
        <v>0</v>
      </c>
      <c r="AB18" s="191">
        <v>0</v>
      </c>
      <c r="AC18" s="191">
        <v>0</v>
      </c>
      <c r="AD18" s="191">
        <v>0</v>
      </c>
      <c r="AE18" s="191">
        <v>0</v>
      </c>
      <c r="AF18" s="191">
        <v>0</v>
      </c>
      <c r="AG18" s="191">
        <v>0</v>
      </c>
      <c r="AH18" s="191">
        <v>0</v>
      </c>
      <c r="AI18" s="191">
        <v>3</v>
      </c>
      <c r="AJ18" s="191">
        <v>0</v>
      </c>
      <c r="AK18" s="191">
        <v>0</v>
      </c>
      <c r="AL18" s="191">
        <v>0</v>
      </c>
      <c r="AM18" s="191">
        <v>1</v>
      </c>
      <c r="AN18" s="191">
        <v>0</v>
      </c>
    </row>
    <row r="19" spans="3:40" x14ac:dyDescent="0.3">
      <c r="C19" s="191">
        <v>39</v>
      </c>
      <c r="D19" s="191">
        <v>4</v>
      </c>
      <c r="E19" s="191">
        <v>2</v>
      </c>
      <c r="F19" s="191">
        <v>2231.1999999999998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1">
        <v>1583.2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  <c r="AC19" s="191">
        <v>0</v>
      </c>
      <c r="AD19" s="191">
        <v>0</v>
      </c>
      <c r="AE19" s="191">
        <v>0</v>
      </c>
      <c r="AF19" s="191">
        <v>0</v>
      </c>
      <c r="AG19" s="191">
        <v>0</v>
      </c>
      <c r="AH19" s="191">
        <v>0</v>
      </c>
      <c r="AI19" s="191">
        <v>496</v>
      </c>
      <c r="AJ19" s="191">
        <v>0</v>
      </c>
      <c r="AK19" s="191">
        <v>0</v>
      </c>
      <c r="AL19" s="191">
        <v>0</v>
      </c>
      <c r="AM19" s="191">
        <v>152</v>
      </c>
      <c r="AN19" s="191">
        <v>0</v>
      </c>
    </row>
    <row r="20" spans="3:40" x14ac:dyDescent="0.3">
      <c r="C20" s="191">
        <v>39</v>
      </c>
      <c r="D20" s="191">
        <v>4</v>
      </c>
      <c r="E20" s="191">
        <v>6</v>
      </c>
      <c r="F20" s="191">
        <v>391610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296912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  <c r="AC20" s="191">
        <v>0</v>
      </c>
      <c r="AD20" s="191">
        <v>0</v>
      </c>
      <c r="AE20" s="191">
        <v>0</v>
      </c>
      <c r="AF20" s="191">
        <v>0</v>
      </c>
      <c r="AG20" s="191">
        <v>0</v>
      </c>
      <c r="AH20" s="191">
        <v>0</v>
      </c>
      <c r="AI20" s="191">
        <v>79152</v>
      </c>
      <c r="AJ20" s="191">
        <v>0</v>
      </c>
      <c r="AK20" s="191">
        <v>0</v>
      </c>
      <c r="AL20" s="191">
        <v>0</v>
      </c>
      <c r="AM20" s="191">
        <v>15546</v>
      </c>
      <c r="AN20" s="191">
        <v>0</v>
      </c>
    </row>
    <row r="21" spans="3:40" x14ac:dyDescent="0.3">
      <c r="C21" s="191">
        <v>39</v>
      </c>
      <c r="D21" s="191">
        <v>4</v>
      </c>
      <c r="E21" s="191">
        <v>9</v>
      </c>
      <c r="F21" s="191">
        <v>8016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7520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  <c r="AC21" s="191">
        <v>0</v>
      </c>
      <c r="AD21" s="191">
        <v>0</v>
      </c>
      <c r="AE21" s="191">
        <v>0</v>
      </c>
      <c r="AF21" s="191">
        <v>0</v>
      </c>
      <c r="AG21" s="191">
        <v>0</v>
      </c>
      <c r="AH21" s="191">
        <v>0</v>
      </c>
      <c r="AI21" s="191">
        <v>496</v>
      </c>
      <c r="AJ21" s="191">
        <v>0</v>
      </c>
      <c r="AK21" s="191">
        <v>0</v>
      </c>
      <c r="AL21" s="191">
        <v>0</v>
      </c>
      <c r="AM21" s="191">
        <v>0</v>
      </c>
      <c r="AN21" s="191">
        <v>0</v>
      </c>
    </row>
    <row r="22" spans="3:40" x14ac:dyDescent="0.3">
      <c r="C22" s="191">
        <v>39</v>
      </c>
      <c r="D22" s="191">
        <v>4</v>
      </c>
      <c r="E22" s="191">
        <v>11</v>
      </c>
      <c r="F22" s="191">
        <v>1166.6666666666667</v>
      </c>
      <c r="G22" s="191">
        <v>0</v>
      </c>
      <c r="H22" s="191">
        <v>0</v>
      </c>
      <c r="I22" s="191">
        <v>0</v>
      </c>
      <c r="J22" s="191">
        <v>0</v>
      </c>
      <c r="K22" s="191">
        <v>1166.6666666666667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  <c r="AB22" s="191">
        <v>0</v>
      </c>
      <c r="AC22" s="191">
        <v>0</v>
      </c>
      <c r="AD22" s="191">
        <v>0</v>
      </c>
      <c r="AE22" s="191">
        <v>0</v>
      </c>
      <c r="AF22" s="191">
        <v>0</v>
      </c>
      <c r="AG22" s="191">
        <v>0</v>
      </c>
      <c r="AH22" s="191">
        <v>0</v>
      </c>
      <c r="AI22" s="191">
        <v>0</v>
      </c>
      <c r="AJ22" s="191">
        <v>0</v>
      </c>
      <c r="AK22" s="191">
        <v>0</v>
      </c>
      <c r="AL22" s="191">
        <v>0</v>
      </c>
      <c r="AM22" s="191">
        <v>0</v>
      </c>
      <c r="AN22" s="191">
        <v>0</v>
      </c>
    </row>
    <row r="23" spans="3:40" x14ac:dyDescent="0.3">
      <c r="C23" s="191">
        <v>39</v>
      </c>
      <c r="D23" s="191">
        <v>5</v>
      </c>
      <c r="E23" s="191">
        <v>1</v>
      </c>
      <c r="F23" s="191">
        <v>13.2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1">
        <v>0</v>
      </c>
      <c r="T23" s="191">
        <v>0</v>
      </c>
      <c r="U23" s="191">
        <v>0</v>
      </c>
      <c r="V23" s="191">
        <v>9.1999999999999993</v>
      </c>
      <c r="W23" s="191">
        <v>0</v>
      </c>
      <c r="X23" s="191">
        <v>0</v>
      </c>
      <c r="Y23" s="191">
        <v>0</v>
      </c>
      <c r="Z23" s="191">
        <v>0</v>
      </c>
      <c r="AA23" s="191">
        <v>0</v>
      </c>
      <c r="AB23" s="191">
        <v>0</v>
      </c>
      <c r="AC23" s="191">
        <v>0</v>
      </c>
      <c r="AD23" s="191">
        <v>0</v>
      </c>
      <c r="AE23" s="191">
        <v>0</v>
      </c>
      <c r="AF23" s="191">
        <v>0</v>
      </c>
      <c r="AG23" s="191">
        <v>0</v>
      </c>
      <c r="AH23" s="191">
        <v>0</v>
      </c>
      <c r="AI23" s="191">
        <v>3</v>
      </c>
      <c r="AJ23" s="191">
        <v>0</v>
      </c>
      <c r="AK23" s="191">
        <v>0</v>
      </c>
      <c r="AL23" s="191">
        <v>0</v>
      </c>
      <c r="AM23" s="191">
        <v>1</v>
      </c>
      <c r="AN23" s="191">
        <v>0</v>
      </c>
    </row>
    <row r="24" spans="3:40" x14ac:dyDescent="0.3">
      <c r="C24" s="191">
        <v>39</v>
      </c>
      <c r="D24" s="191">
        <v>5</v>
      </c>
      <c r="E24" s="191">
        <v>2</v>
      </c>
      <c r="F24" s="191">
        <v>2211.1999999999998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0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0</v>
      </c>
      <c r="S24" s="191">
        <v>0</v>
      </c>
      <c r="T24" s="191">
        <v>0</v>
      </c>
      <c r="U24" s="191">
        <v>0</v>
      </c>
      <c r="V24" s="191">
        <v>1523.2</v>
      </c>
      <c r="W24" s="191">
        <v>0</v>
      </c>
      <c r="X24" s="191">
        <v>0</v>
      </c>
      <c r="Y24" s="191">
        <v>0</v>
      </c>
      <c r="Z24" s="191">
        <v>0</v>
      </c>
      <c r="AA24" s="191">
        <v>0</v>
      </c>
      <c r="AB24" s="191">
        <v>0</v>
      </c>
      <c r="AC24" s="191">
        <v>0</v>
      </c>
      <c r="AD24" s="191">
        <v>0</v>
      </c>
      <c r="AE24" s="191">
        <v>0</v>
      </c>
      <c r="AF24" s="191">
        <v>0</v>
      </c>
      <c r="AG24" s="191">
        <v>0</v>
      </c>
      <c r="AH24" s="191">
        <v>0</v>
      </c>
      <c r="AI24" s="191">
        <v>528</v>
      </c>
      <c r="AJ24" s="191">
        <v>0</v>
      </c>
      <c r="AK24" s="191">
        <v>0</v>
      </c>
      <c r="AL24" s="191">
        <v>0</v>
      </c>
      <c r="AM24" s="191">
        <v>160</v>
      </c>
      <c r="AN24" s="191">
        <v>0</v>
      </c>
    </row>
    <row r="25" spans="3:40" x14ac:dyDescent="0.3">
      <c r="C25" s="191">
        <v>39</v>
      </c>
      <c r="D25" s="191">
        <v>5</v>
      </c>
      <c r="E25" s="191">
        <v>6</v>
      </c>
      <c r="F25" s="191">
        <v>385618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0</v>
      </c>
      <c r="V25" s="191">
        <v>289002</v>
      </c>
      <c r="W25" s="191">
        <v>0</v>
      </c>
      <c r="X25" s="191">
        <v>0</v>
      </c>
      <c r="Y25" s="191">
        <v>0</v>
      </c>
      <c r="Z25" s="191">
        <v>0</v>
      </c>
      <c r="AA25" s="191">
        <v>0</v>
      </c>
      <c r="AB25" s="191">
        <v>0</v>
      </c>
      <c r="AC25" s="191">
        <v>0</v>
      </c>
      <c r="AD25" s="191">
        <v>0</v>
      </c>
      <c r="AE25" s="191">
        <v>0</v>
      </c>
      <c r="AF25" s="191">
        <v>0</v>
      </c>
      <c r="AG25" s="191">
        <v>0</v>
      </c>
      <c r="AH25" s="191">
        <v>0</v>
      </c>
      <c r="AI25" s="191">
        <v>78500</v>
      </c>
      <c r="AJ25" s="191">
        <v>0</v>
      </c>
      <c r="AK25" s="191">
        <v>0</v>
      </c>
      <c r="AL25" s="191">
        <v>0</v>
      </c>
      <c r="AM25" s="191">
        <v>18116</v>
      </c>
      <c r="AN25" s="191">
        <v>0</v>
      </c>
    </row>
    <row r="26" spans="3:40" x14ac:dyDescent="0.3">
      <c r="C26" s="191">
        <v>39</v>
      </c>
      <c r="D26" s="191">
        <v>5</v>
      </c>
      <c r="E26" s="191">
        <v>11</v>
      </c>
      <c r="F26" s="191">
        <v>1166.6666666666667</v>
      </c>
      <c r="G26" s="191">
        <v>0</v>
      </c>
      <c r="H26" s="191">
        <v>0</v>
      </c>
      <c r="I26" s="191">
        <v>0</v>
      </c>
      <c r="J26" s="191">
        <v>0</v>
      </c>
      <c r="K26" s="191">
        <v>1166.6666666666667</v>
      </c>
      <c r="L26" s="191">
        <v>0</v>
      </c>
      <c r="M26" s="191">
        <v>0</v>
      </c>
      <c r="N26" s="191">
        <v>0</v>
      </c>
      <c r="O26" s="191">
        <v>0</v>
      </c>
      <c r="P26" s="191">
        <v>0</v>
      </c>
      <c r="Q26" s="191">
        <v>0</v>
      </c>
      <c r="R26" s="191">
        <v>0</v>
      </c>
      <c r="S26" s="191">
        <v>0</v>
      </c>
      <c r="T26" s="191">
        <v>0</v>
      </c>
      <c r="U26" s="191">
        <v>0</v>
      </c>
      <c r="V26" s="191">
        <v>0</v>
      </c>
      <c r="W26" s="191">
        <v>0</v>
      </c>
      <c r="X26" s="191">
        <v>0</v>
      </c>
      <c r="Y26" s="191">
        <v>0</v>
      </c>
      <c r="Z26" s="191">
        <v>0</v>
      </c>
      <c r="AA26" s="191">
        <v>0</v>
      </c>
      <c r="AB26" s="191">
        <v>0</v>
      </c>
      <c r="AC26" s="191">
        <v>0</v>
      </c>
      <c r="AD26" s="191">
        <v>0</v>
      </c>
      <c r="AE26" s="191">
        <v>0</v>
      </c>
      <c r="AF26" s="191">
        <v>0</v>
      </c>
      <c r="AG26" s="191">
        <v>0</v>
      </c>
      <c r="AH26" s="191">
        <v>0</v>
      </c>
      <c r="AI26" s="191">
        <v>0</v>
      </c>
      <c r="AJ26" s="191">
        <v>0</v>
      </c>
      <c r="AK26" s="191">
        <v>0</v>
      </c>
      <c r="AL26" s="191">
        <v>0</v>
      </c>
      <c r="AM26" s="191">
        <v>0</v>
      </c>
      <c r="AN26" s="191">
        <v>0</v>
      </c>
    </row>
    <row r="27" spans="3:40" x14ac:dyDescent="0.3">
      <c r="C27" s="191">
        <v>39</v>
      </c>
      <c r="D27" s="191">
        <v>6</v>
      </c>
      <c r="E27" s="191">
        <v>1</v>
      </c>
      <c r="F27" s="191">
        <v>13.2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0</v>
      </c>
      <c r="M27" s="191">
        <v>0</v>
      </c>
      <c r="N27" s="191">
        <v>0</v>
      </c>
      <c r="O27" s="191">
        <v>0</v>
      </c>
      <c r="P27" s="191">
        <v>0</v>
      </c>
      <c r="Q27" s="191">
        <v>0</v>
      </c>
      <c r="R27" s="191">
        <v>0</v>
      </c>
      <c r="S27" s="191">
        <v>0</v>
      </c>
      <c r="T27" s="191">
        <v>0</v>
      </c>
      <c r="U27" s="191">
        <v>0</v>
      </c>
      <c r="V27" s="191">
        <v>9.1999999999999993</v>
      </c>
      <c r="W27" s="191">
        <v>0</v>
      </c>
      <c r="X27" s="191">
        <v>0</v>
      </c>
      <c r="Y27" s="191">
        <v>0</v>
      </c>
      <c r="Z27" s="191">
        <v>0</v>
      </c>
      <c r="AA27" s="191">
        <v>0</v>
      </c>
      <c r="AB27" s="191">
        <v>0</v>
      </c>
      <c r="AC27" s="191">
        <v>0</v>
      </c>
      <c r="AD27" s="191">
        <v>0</v>
      </c>
      <c r="AE27" s="191">
        <v>0</v>
      </c>
      <c r="AF27" s="191">
        <v>0</v>
      </c>
      <c r="AG27" s="191">
        <v>0</v>
      </c>
      <c r="AH27" s="191">
        <v>0</v>
      </c>
      <c r="AI27" s="191">
        <v>3</v>
      </c>
      <c r="AJ27" s="191">
        <v>0</v>
      </c>
      <c r="AK27" s="191">
        <v>0</v>
      </c>
      <c r="AL27" s="191">
        <v>0</v>
      </c>
      <c r="AM27" s="191">
        <v>1</v>
      </c>
      <c r="AN27" s="191">
        <v>0</v>
      </c>
    </row>
    <row r="28" spans="3:40" x14ac:dyDescent="0.3">
      <c r="C28" s="191">
        <v>39</v>
      </c>
      <c r="D28" s="191">
        <v>6</v>
      </c>
      <c r="E28" s="191">
        <v>2</v>
      </c>
      <c r="F28" s="191">
        <v>1981.6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1337.6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  <c r="AB28" s="191">
        <v>0</v>
      </c>
      <c r="AC28" s="191">
        <v>0</v>
      </c>
      <c r="AD28" s="191">
        <v>0</v>
      </c>
      <c r="AE28" s="191">
        <v>0</v>
      </c>
      <c r="AF28" s="191">
        <v>0</v>
      </c>
      <c r="AG28" s="191">
        <v>0</v>
      </c>
      <c r="AH28" s="191">
        <v>0</v>
      </c>
      <c r="AI28" s="191">
        <v>476</v>
      </c>
      <c r="AJ28" s="191">
        <v>0</v>
      </c>
      <c r="AK28" s="191">
        <v>0</v>
      </c>
      <c r="AL28" s="191">
        <v>0</v>
      </c>
      <c r="AM28" s="191">
        <v>168</v>
      </c>
      <c r="AN28" s="191">
        <v>0</v>
      </c>
    </row>
    <row r="29" spans="3:40" x14ac:dyDescent="0.3">
      <c r="C29" s="191">
        <v>39</v>
      </c>
      <c r="D29" s="191">
        <v>6</v>
      </c>
      <c r="E29" s="191">
        <v>6</v>
      </c>
      <c r="F29" s="191">
        <v>399585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1">
        <v>0</v>
      </c>
      <c r="S29" s="191">
        <v>0</v>
      </c>
      <c r="T29" s="191">
        <v>0</v>
      </c>
      <c r="U29" s="191">
        <v>0</v>
      </c>
      <c r="V29" s="191">
        <v>302156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  <c r="AB29" s="191">
        <v>0</v>
      </c>
      <c r="AC29" s="191">
        <v>0</v>
      </c>
      <c r="AD29" s="191">
        <v>0</v>
      </c>
      <c r="AE29" s="191">
        <v>0</v>
      </c>
      <c r="AF29" s="191">
        <v>0</v>
      </c>
      <c r="AG29" s="191">
        <v>0</v>
      </c>
      <c r="AH29" s="191">
        <v>0</v>
      </c>
      <c r="AI29" s="191">
        <v>79429</v>
      </c>
      <c r="AJ29" s="191">
        <v>0</v>
      </c>
      <c r="AK29" s="191">
        <v>0</v>
      </c>
      <c r="AL29" s="191">
        <v>0</v>
      </c>
      <c r="AM29" s="191">
        <v>18000</v>
      </c>
      <c r="AN29" s="191">
        <v>0</v>
      </c>
    </row>
    <row r="30" spans="3:40" x14ac:dyDescent="0.3">
      <c r="C30" s="191">
        <v>39</v>
      </c>
      <c r="D30" s="191">
        <v>6</v>
      </c>
      <c r="E30" s="191">
        <v>9</v>
      </c>
      <c r="F30" s="191">
        <v>20000</v>
      </c>
      <c r="G30" s="191">
        <v>0</v>
      </c>
      <c r="H30" s="191">
        <v>0</v>
      </c>
      <c r="I30" s="191">
        <v>0</v>
      </c>
      <c r="J30" s="191">
        <v>0</v>
      </c>
      <c r="K30" s="191">
        <v>0</v>
      </c>
      <c r="L30" s="191">
        <v>0</v>
      </c>
      <c r="M30" s="191">
        <v>0</v>
      </c>
      <c r="N30" s="191">
        <v>0</v>
      </c>
      <c r="O30" s="191">
        <v>0</v>
      </c>
      <c r="P30" s="191">
        <v>0</v>
      </c>
      <c r="Q30" s="191">
        <v>0</v>
      </c>
      <c r="R30" s="191">
        <v>0</v>
      </c>
      <c r="S30" s="191">
        <v>0</v>
      </c>
      <c r="T30" s="191">
        <v>0</v>
      </c>
      <c r="U30" s="191">
        <v>0</v>
      </c>
      <c r="V30" s="191">
        <v>20000</v>
      </c>
      <c r="W30" s="191">
        <v>0</v>
      </c>
      <c r="X30" s="191">
        <v>0</v>
      </c>
      <c r="Y30" s="191">
        <v>0</v>
      </c>
      <c r="Z30" s="191">
        <v>0</v>
      </c>
      <c r="AA30" s="191">
        <v>0</v>
      </c>
      <c r="AB30" s="191">
        <v>0</v>
      </c>
      <c r="AC30" s="191">
        <v>0</v>
      </c>
      <c r="AD30" s="191">
        <v>0</v>
      </c>
      <c r="AE30" s="191">
        <v>0</v>
      </c>
      <c r="AF30" s="191">
        <v>0</v>
      </c>
      <c r="AG30" s="191">
        <v>0</v>
      </c>
      <c r="AH30" s="191">
        <v>0</v>
      </c>
      <c r="AI30" s="191">
        <v>0</v>
      </c>
      <c r="AJ30" s="191">
        <v>0</v>
      </c>
      <c r="AK30" s="191">
        <v>0</v>
      </c>
      <c r="AL30" s="191">
        <v>0</v>
      </c>
      <c r="AM30" s="191">
        <v>0</v>
      </c>
      <c r="AN30" s="191">
        <v>0</v>
      </c>
    </row>
    <row r="31" spans="3:40" x14ac:dyDescent="0.3">
      <c r="C31" s="191">
        <v>39</v>
      </c>
      <c r="D31" s="191">
        <v>6</v>
      </c>
      <c r="E31" s="191">
        <v>10</v>
      </c>
      <c r="F31" s="191">
        <v>1000</v>
      </c>
      <c r="G31" s="191">
        <v>0</v>
      </c>
      <c r="H31" s="191">
        <v>0</v>
      </c>
      <c r="I31" s="191">
        <v>0</v>
      </c>
      <c r="J31" s="191">
        <v>0</v>
      </c>
      <c r="K31" s="191">
        <v>1000</v>
      </c>
      <c r="L31" s="191">
        <v>0</v>
      </c>
      <c r="M31" s="191">
        <v>0</v>
      </c>
      <c r="N31" s="191">
        <v>0</v>
      </c>
      <c r="O31" s="191">
        <v>0</v>
      </c>
      <c r="P31" s="191">
        <v>0</v>
      </c>
      <c r="Q31" s="191">
        <v>0</v>
      </c>
      <c r="R31" s="191">
        <v>0</v>
      </c>
      <c r="S31" s="191">
        <v>0</v>
      </c>
      <c r="T31" s="191">
        <v>0</v>
      </c>
      <c r="U31" s="191">
        <v>0</v>
      </c>
      <c r="V31" s="191">
        <v>0</v>
      </c>
      <c r="W31" s="191">
        <v>0</v>
      </c>
      <c r="X31" s="191">
        <v>0</v>
      </c>
      <c r="Y31" s="191">
        <v>0</v>
      </c>
      <c r="Z31" s="191">
        <v>0</v>
      </c>
      <c r="AA31" s="191">
        <v>0</v>
      </c>
      <c r="AB31" s="191">
        <v>0</v>
      </c>
      <c r="AC31" s="191">
        <v>0</v>
      </c>
      <c r="AD31" s="191">
        <v>0</v>
      </c>
      <c r="AE31" s="191">
        <v>0</v>
      </c>
      <c r="AF31" s="191">
        <v>0</v>
      </c>
      <c r="AG31" s="191">
        <v>0</v>
      </c>
      <c r="AH31" s="191">
        <v>0</v>
      </c>
      <c r="AI31" s="191">
        <v>0</v>
      </c>
      <c r="AJ31" s="191">
        <v>0</v>
      </c>
      <c r="AK31" s="191">
        <v>0</v>
      </c>
      <c r="AL31" s="191">
        <v>0</v>
      </c>
      <c r="AM31" s="191">
        <v>0</v>
      </c>
      <c r="AN31" s="191">
        <v>0</v>
      </c>
    </row>
    <row r="32" spans="3:40" x14ac:dyDescent="0.3">
      <c r="C32" s="191">
        <v>39</v>
      </c>
      <c r="D32" s="191">
        <v>6</v>
      </c>
      <c r="E32" s="191">
        <v>11</v>
      </c>
      <c r="F32" s="191">
        <v>1166.6666666666667</v>
      </c>
      <c r="G32" s="191">
        <v>0</v>
      </c>
      <c r="H32" s="191">
        <v>0</v>
      </c>
      <c r="I32" s="191">
        <v>0</v>
      </c>
      <c r="J32" s="191">
        <v>0</v>
      </c>
      <c r="K32" s="191">
        <v>1166.6666666666667</v>
      </c>
      <c r="L32" s="191">
        <v>0</v>
      </c>
      <c r="M32" s="191">
        <v>0</v>
      </c>
      <c r="N32" s="191">
        <v>0</v>
      </c>
      <c r="O32" s="191">
        <v>0</v>
      </c>
      <c r="P32" s="191">
        <v>0</v>
      </c>
      <c r="Q32" s="191">
        <v>0</v>
      </c>
      <c r="R32" s="191">
        <v>0</v>
      </c>
      <c r="S32" s="191">
        <v>0</v>
      </c>
      <c r="T32" s="191">
        <v>0</v>
      </c>
      <c r="U32" s="191">
        <v>0</v>
      </c>
      <c r="V32" s="191">
        <v>0</v>
      </c>
      <c r="W32" s="191">
        <v>0</v>
      </c>
      <c r="X32" s="191">
        <v>0</v>
      </c>
      <c r="Y32" s="191">
        <v>0</v>
      </c>
      <c r="Z32" s="191">
        <v>0</v>
      </c>
      <c r="AA32" s="191">
        <v>0</v>
      </c>
      <c r="AB32" s="191">
        <v>0</v>
      </c>
      <c r="AC32" s="191">
        <v>0</v>
      </c>
      <c r="AD32" s="191">
        <v>0</v>
      </c>
      <c r="AE32" s="191">
        <v>0</v>
      </c>
      <c r="AF32" s="191">
        <v>0</v>
      </c>
      <c r="AG32" s="191">
        <v>0</v>
      </c>
      <c r="AH32" s="191">
        <v>0</v>
      </c>
      <c r="AI32" s="191">
        <v>0</v>
      </c>
      <c r="AJ32" s="191">
        <v>0</v>
      </c>
      <c r="AK32" s="191">
        <v>0</v>
      </c>
      <c r="AL32" s="191">
        <v>0</v>
      </c>
      <c r="AM32" s="191">
        <v>0</v>
      </c>
      <c r="AN32" s="191">
        <v>0</v>
      </c>
    </row>
    <row r="33" spans="3:40" x14ac:dyDescent="0.3">
      <c r="C33" s="191">
        <v>39</v>
      </c>
      <c r="D33" s="191">
        <v>7</v>
      </c>
      <c r="E33" s="191">
        <v>1</v>
      </c>
      <c r="F33" s="191">
        <v>13.2</v>
      </c>
      <c r="G33" s="191">
        <v>0</v>
      </c>
      <c r="H33" s="191">
        <v>0</v>
      </c>
      <c r="I33" s="191">
        <v>0</v>
      </c>
      <c r="J33" s="191">
        <v>0</v>
      </c>
      <c r="K33" s="191">
        <v>0</v>
      </c>
      <c r="L33" s="191">
        <v>0</v>
      </c>
      <c r="M33" s="191">
        <v>0</v>
      </c>
      <c r="N33" s="191">
        <v>0</v>
      </c>
      <c r="O33" s="191">
        <v>0</v>
      </c>
      <c r="P33" s="191">
        <v>0</v>
      </c>
      <c r="Q33" s="191">
        <v>0</v>
      </c>
      <c r="R33" s="191">
        <v>0</v>
      </c>
      <c r="S33" s="191">
        <v>0</v>
      </c>
      <c r="T33" s="191">
        <v>0</v>
      </c>
      <c r="U33" s="191">
        <v>0</v>
      </c>
      <c r="V33" s="191">
        <v>9.1999999999999993</v>
      </c>
      <c r="W33" s="191">
        <v>0</v>
      </c>
      <c r="X33" s="191">
        <v>0</v>
      </c>
      <c r="Y33" s="191">
        <v>0</v>
      </c>
      <c r="Z33" s="191">
        <v>0</v>
      </c>
      <c r="AA33" s="191">
        <v>0</v>
      </c>
      <c r="AB33" s="191">
        <v>0</v>
      </c>
      <c r="AC33" s="191">
        <v>0</v>
      </c>
      <c r="AD33" s="191">
        <v>0</v>
      </c>
      <c r="AE33" s="191">
        <v>0</v>
      </c>
      <c r="AF33" s="191">
        <v>0</v>
      </c>
      <c r="AG33" s="191">
        <v>0</v>
      </c>
      <c r="AH33" s="191">
        <v>0</v>
      </c>
      <c r="AI33" s="191">
        <v>3</v>
      </c>
      <c r="AJ33" s="191">
        <v>0</v>
      </c>
      <c r="AK33" s="191">
        <v>0</v>
      </c>
      <c r="AL33" s="191">
        <v>0</v>
      </c>
      <c r="AM33" s="191">
        <v>1</v>
      </c>
      <c r="AN33" s="191">
        <v>0</v>
      </c>
    </row>
    <row r="34" spans="3:40" x14ac:dyDescent="0.3">
      <c r="C34" s="191">
        <v>39</v>
      </c>
      <c r="D34" s="191">
        <v>7</v>
      </c>
      <c r="E34" s="191">
        <v>2</v>
      </c>
      <c r="F34" s="191">
        <v>1820</v>
      </c>
      <c r="G34" s="191">
        <v>0</v>
      </c>
      <c r="H34" s="191">
        <v>0</v>
      </c>
      <c r="I34" s="191">
        <v>0</v>
      </c>
      <c r="J34" s="191">
        <v>0</v>
      </c>
      <c r="K34" s="191">
        <v>0</v>
      </c>
      <c r="L34" s="191">
        <v>0</v>
      </c>
      <c r="M34" s="191">
        <v>0</v>
      </c>
      <c r="N34" s="191">
        <v>0</v>
      </c>
      <c r="O34" s="191">
        <v>0</v>
      </c>
      <c r="P34" s="191">
        <v>0</v>
      </c>
      <c r="Q34" s="191">
        <v>0</v>
      </c>
      <c r="R34" s="191">
        <v>0</v>
      </c>
      <c r="S34" s="191">
        <v>0</v>
      </c>
      <c r="T34" s="191">
        <v>0</v>
      </c>
      <c r="U34" s="191">
        <v>0</v>
      </c>
      <c r="V34" s="191">
        <v>1204</v>
      </c>
      <c r="W34" s="191">
        <v>0</v>
      </c>
      <c r="X34" s="191">
        <v>0</v>
      </c>
      <c r="Y34" s="191">
        <v>0</v>
      </c>
      <c r="Z34" s="191">
        <v>0</v>
      </c>
      <c r="AA34" s="191">
        <v>0</v>
      </c>
      <c r="AB34" s="191">
        <v>0</v>
      </c>
      <c r="AC34" s="191">
        <v>0</v>
      </c>
      <c r="AD34" s="191">
        <v>0</v>
      </c>
      <c r="AE34" s="191">
        <v>0</v>
      </c>
      <c r="AF34" s="191">
        <v>0</v>
      </c>
      <c r="AG34" s="191">
        <v>0</v>
      </c>
      <c r="AH34" s="191">
        <v>0</v>
      </c>
      <c r="AI34" s="191">
        <v>432</v>
      </c>
      <c r="AJ34" s="191">
        <v>0</v>
      </c>
      <c r="AK34" s="191">
        <v>0</v>
      </c>
      <c r="AL34" s="191">
        <v>0</v>
      </c>
      <c r="AM34" s="191">
        <v>184</v>
      </c>
      <c r="AN34" s="191">
        <v>0</v>
      </c>
    </row>
    <row r="35" spans="3:40" x14ac:dyDescent="0.3">
      <c r="C35" s="191">
        <v>39</v>
      </c>
      <c r="D35" s="191">
        <v>7</v>
      </c>
      <c r="E35" s="191">
        <v>6</v>
      </c>
      <c r="F35" s="191">
        <v>556536</v>
      </c>
      <c r="G35" s="191">
        <v>0</v>
      </c>
      <c r="H35" s="191">
        <v>0</v>
      </c>
      <c r="I35" s="191">
        <v>0</v>
      </c>
      <c r="J35" s="191">
        <v>0</v>
      </c>
      <c r="K35" s="191">
        <v>0</v>
      </c>
      <c r="L35" s="191">
        <v>0</v>
      </c>
      <c r="M35" s="191">
        <v>0</v>
      </c>
      <c r="N35" s="191">
        <v>0</v>
      </c>
      <c r="O35" s="191">
        <v>0</v>
      </c>
      <c r="P35" s="191">
        <v>0</v>
      </c>
      <c r="Q35" s="191">
        <v>0</v>
      </c>
      <c r="R35" s="191">
        <v>0</v>
      </c>
      <c r="S35" s="191">
        <v>0</v>
      </c>
      <c r="T35" s="191">
        <v>0</v>
      </c>
      <c r="U35" s="191">
        <v>0</v>
      </c>
      <c r="V35" s="191">
        <v>415150</v>
      </c>
      <c r="W35" s="191">
        <v>0</v>
      </c>
      <c r="X35" s="191">
        <v>0</v>
      </c>
      <c r="Y35" s="191">
        <v>0</v>
      </c>
      <c r="Z35" s="191">
        <v>0</v>
      </c>
      <c r="AA35" s="191">
        <v>0</v>
      </c>
      <c r="AB35" s="191">
        <v>0</v>
      </c>
      <c r="AC35" s="191">
        <v>0</v>
      </c>
      <c r="AD35" s="191">
        <v>0</v>
      </c>
      <c r="AE35" s="191">
        <v>0</v>
      </c>
      <c r="AF35" s="191">
        <v>0</v>
      </c>
      <c r="AG35" s="191">
        <v>0</v>
      </c>
      <c r="AH35" s="191">
        <v>0</v>
      </c>
      <c r="AI35" s="191">
        <v>114186</v>
      </c>
      <c r="AJ35" s="191">
        <v>0</v>
      </c>
      <c r="AK35" s="191">
        <v>0</v>
      </c>
      <c r="AL35" s="191">
        <v>0</v>
      </c>
      <c r="AM35" s="191">
        <v>27200</v>
      </c>
      <c r="AN35" s="191">
        <v>0</v>
      </c>
    </row>
    <row r="36" spans="3:40" x14ac:dyDescent="0.3">
      <c r="C36" s="191">
        <v>39</v>
      </c>
      <c r="D36" s="191">
        <v>7</v>
      </c>
      <c r="E36" s="191">
        <v>9</v>
      </c>
      <c r="F36" s="191">
        <v>160372</v>
      </c>
      <c r="G36" s="191">
        <v>0</v>
      </c>
      <c r="H36" s="191">
        <v>0</v>
      </c>
      <c r="I36" s="191">
        <v>0</v>
      </c>
      <c r="J36" s="191">
        <v>0</v>
      </c>
      <c r="K36" s="191">
        <v>0</v>
      </c>
      <c r="L36" s="191">
        <v>0</v>
      </c>
      <c r="M36" s="191">
        <v>0</v>
      </c>
      <c r="N36" s="191">
        <v>0</v>
      </c>
      <c r="O36" s="191">
        <v>0</v>
      </c>
      <c r="P36" s="191">
        <v>0</v>
      </c>
      <c r="Q36" s="191">
        <v>0</v>
      </c>
      <c r="R36" s="191">
        <v>0</v>
      </c>
      <c r="S36" s="191">
        <v>0</v>
      </c>
      <c r="T36" s="191">
        <v>0</v>
      </c>
      <c r="U36" s="191">
        <v>0</v>
      </c>
      <c r="V36" s="191">
        <v>117362</v>
      </c>
      <c r="W36" s="191">
        <v>0</v>
      </c>
      <c r="X36" s="191">
        <v>0</v>
      </c>
      <c r="Y36" s="191">
        <v>0</v>
      </c>
      <c r="Z36" s="191">
        <v>0</v>
      </c>
      <c r="AA36" s="191">
        <v>0</v>
      </c>
      <c r="AB36" s="191">
        <v>0</v>
      </c>
      <c r="AC36" s="191">
        <v>0</v>
      </c>
      <c r="AD36" s="191">
        <v>0</v>
      </c>
      <c r="AE36" s="191">
        <v>0</v>
      </c>
      <c r="AF36" s="191">
        <v>0</v>
      </c>
      <c r="AG36" s="191">
        <v>0</v>
      </c>
      <c r="AH36" s="191">
        <v>0</v>
      </c>
      <c r="AI36" s="191">
        <v>33810</v>
      </c>
      <c r="AJ36" s="191">
        <v>0</v>
      </c>
      <c r="AK36" s="191">
        <v>0</v>
      </c>
      <c r="AL36" s="191">
        <v>0</v>
      </c>
      <c r="AM36" s="191">
        <v>9200</v>
      </c>
      <c r="AN36" s="191">
        <v>0</v>
      </c>
    </row>
    <row r="37" spans="3:40" x14ac:dyDescent="0.3">
      <c r="C37" s="191">
        <v>39</v>
      </c>
      <c r="D37" s="191">
        <v>7</v>
      </c>
      <c r="E37" s="191">
        <v>10</v>
      </c>
      <c r="F37" s="191">
        <v>1500</v>
      </c>
      <c r="G37" s="191">
        <v>0</v>
      </c>
      <c r="H37" s="191">
        <v>0</v>
      </c>
      <c r="I37" s="191">
        <v>0</v>
      </c>
      <c r="J37" s="191">
        <v>0</v>
      </c>
      <c r="K37" s="191">
        <v>1500</v>
      </c>
      <c r="L37" s="191">
        <v>0</v>
      </c>
      <c r="M37" s="191">
        <v>0</v>
      </c>
      <c r="N37" s="191">
        <v>0</v>
      </c>
      <c r="O37" s="191">
        <v>0</v>
      </c>
      <c r="P37" s="191">
        <v>0</v>
      </c>
      <c r="Q37" s="191">
        <v>0</v>
      </c>
      <c r="R37" s="191">
        <v>0</v>
      </c>
      <c r="S37" s="191">
        <v>0</v>
      </c>
      <c r="T37" s="191">
        <v>0</v>
      </c>
      <c r="U37" s="191">
        <v>0</v>
      </c>
      <c r="V37" s="191">
        <v>0</v>
      </c>
      <c r="W37" s="191">
        <v>0</v>
      </c>
      <c r="X37" s="191">
        <v>0</v>
      </c>
      <c r="Y37" s="191">
        <v>0</v>
      </c>
      <c r="Z37" s="191">
        <v>0</v>
      </c>
      <c r="AA37" s="191">
        <v>0</v>
      </c>
      <c r="AB37" s="191">
        <v>0</v>
      </c>
      <c r="AC37" s="191">
        <v>0</v>
      </c>
      <c r="AD37" s="191">
        <v>0</v>
      </c>
      <c r="AE37" s="191">
        <v>0</v>
      </c>
      <c r="AF37" s="191">
        <v>0</v>
      </c>
      <c r="AG37" s="191">
        <v>0</v>
      </c>
      <c r="AH37" s="191">
        <v>0</v>
      </c>
      <c r="AI37" s="191">
        <v>0</v>
      </c>
      <c r="AJ37" s="191">
        <v>0</v>
      </c>
      <c r="AK37" s="191">
        <v>0</v>
      </c>
      <c r="AL37" s="191">
        <v>0</v>
      </c>
      <c r="AM37" s="191">
        <v>0</v>
      </c>
      <c r="AN37" s="191">
        <v>0</v>
      </c>
    </row>
    <row r="38" spans="3:40" x14ac:dyDescent="0.3">
      <c r="C38" s="191">
        <v>39</v>
      </c>
      <c r="D38" s="191">
        <v>7</v>
      </c>
      <c r="E38" s="191">
        <v>11</v>
      </c>
      <c r="F38" s="191">
        <v>1166.6666666666667</v>
      </c>
      <c r="G38" s="191">
        <v>0</v>
      </c>
      <c r="H38" s="191">
        <v>0</v>
      </c>
      <c r="I38" s="191">
        <v>0</v>
      </c>
      <c r="J38" s="191">
        <v>0</v>
      </c>
      <c r="K38" s="191">
        <v>1166.6666666666667</v>
      </c>
      <c r="L38" s="191">
        <v>0</v>
      </c>
      <c r="M38" s="191">
        <v>0</v>
      </c>
      <c r="N38" s="191">
        <v>0</v>
      </c>
      <c r="O38" s="191">
        <v>0</v>
      </c>
      <c r="P38" s="191">
        <v>0</v>
      </c>
      <c r="Q38" s="191">
        <v>0</v>
      </c>
      <c r="R38" s="191">
        <v>0</v>
      </c>
      <c r="S38" s="191">
        <v>0</v>
      </c>
      <c r="T38" s="191">
        <v>0</v>
      </c>
      <c r="U38" s="191">
        <v>0</v>
      </c>
      <c r="V38" s="191">
        <v>0</v>
      </c>
      <c r="W38" s="191">
        <v>0</v>
      </c>
      <c r="X38" s="191">
        <v>0</v>
      </c>
      <c r="Y38" s="191">
        <v>0</v>
      </c>
      <c r="Z38" s="191">
        <v>0</v>
      </c>
      <c r="AA38" s="191">
        <v>0</v>
      </c>
      <c r="AB38" s="191">
        <v>0</v>
      </c>
      <c r="AC38" s="191">
        <v>0</v>
      </c>
      <c r="AD38" s="191">
        <v>0</v>
      </c>
      <c r="AE38" s="191">
        <v>0</v>
      </c>
      <c r="AF38" s="191">
        <v>0</v>
      </c>
      <c r="AG38" s="191">
        <v>0</v>
      </c>
      <c r="AH38" s="191">
        <v>0</v>
      </c>
      <c r="AI38" s="191">
        <v>0</v>
      </c>
      <c r="AJ38" s="191">
        <v>0</v>
      </c>
      <c r="AK38" s="191">
        <v>0</v>
      </c>
      <c r="AL38" s="191">
        <v>0</v>
      </c>
      <c r="AM38" s="191">
        <v>0</v>
      </c>
      <c r="AN38" s="191">
        <v>0</v>
      </c>
    </row>
    <row r="39" spans="3:40" x14ac:dyDescent="0.3">
      <c r="C39" s="191">
        <v>39</v>
      </c>
      <c r="D39" s="191">
        <v>8</v>
      </c>
      <c r="E39" s="191">
        <v>1</v>
      </c>
      <c r="F39" s="191">
        <v>13.2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1">
        <v>9.1999999999999993</v>
      </c>
      <c r="W39" s="191">
        <v>0</v>
      </c>
      <c r="X39" s="191">
        <v>0</v>
      </c>
      <c r="Y39" s="191">
        <v>0</v>
      </c>
      <c r="Z39" s="191">
        <v>0</v>
      </c>
      <c r="AA39" s="191">
        <v>0</v>
      </c>
      <c r="AB39" s="191">
        <v>0</v>
      </c>
      <c r="AC39" s="191">
        <v>0</v>
      </c>
      <c r="AD39" s="191">
        <v>0</v>
      </c>
      <c r="AE39" s="191">
        <v>0</v>
      </c>
      <c r="AF39" s="191">
        <v>0</v>
      </c>
      <c r="AG39" s="191">
        <v>0</v>
      </c>
      <c r="AH39" s="191">
        <v>0</v>
      </c>
      <c r="AI39" s="191">
        <v>3</v>
      </c>
      <c r="AJ39" s="191">
        <v>0</v>
      </c>
      <c r="AK39" s="191">
        <v>0</v>
      </c>
      <c r="AL39" s="191">
        <v>0</v>
      </c>
      <c r="AM39" s="191">
        <v>1</v>
      </c>
      <c r="AN39" s="191">
        <v>0</v>
      </c>
    </row>
    <row r="40" spans="3:40" x14ac:dyDescent="0.3">
      <c r="C40" s="191">
        <v>39</v>
      </c>
      <c r="D40" s="191">
        <v>8</v>
      </c>
      <c r="E40" s="191">
        <v>2</v>
      </c>
      <c r="F40" s="191">
        <v>1416</v>
      </c>
      <c r="G40" s="191">
        <v>0</v>
      </c>
      <c r="H40" s="191">
        <v>0</v>
      </c>
      <c r="I40" s="191">
        <v>0</v>
      </c>
      <c r="J40" s="191">
        <v>0</v>
      </c>
      <c r="K40" s="191">
        <v>0</v>
      </c>
      <c r="L40" s="191">
        <v>0</v>
      </c>
      <c r="M40" s="191">
        <v>0</v>
      </c>
      <c r="N40" s="191">
        <v>0</v>
      </c>
      <c r="O40" s="191">
        <v>0</v>
      </c>
      <c r="P40" s="191">
        <v>0</v>
      </c>
      <c r="Q40" s="191">
        <v>0</v>
      </c>
      <c r="R40" s="191">
        <v>0</v>
      </c>
      <c r="S40" s="191">
        <v>0</v>
      </c>
      <c r="T40" s="191">
        <v>0</v>
      </c>
      <c r="U40" s="191">
        <v>0</v>
      </c>
      <c r="V40" s="191">
        <v>1040</v>
      </c>
      <c r="W40" s="191">
        <v>0</v>
      </c>
      <c r="X40" s="191">
        <v>0</v>
      </c>
      <c r="Y40" s="191">
        <v>0</v>
      </c>
      <c r="Z40" s="191">
        <v>0</v>
      </c>
      <c r="AA40" s="191">
        <v>0</v>
      </c>
      <c r="AB40" s="191">
        <v>0</v>
      </c>
      <c r="AC40" s="191">
        <v>0</v>
      </c>
      <c r="AD40" s="191">
        <v>0</v>
      </c>
      <c r="AE40" s="191">
        <v>0</v>
      </c>
      <c r="AF40" s="191">
        <v>0</v>
      </c>
      <c r="AG40" s="191">
        <v>0</v>
      </c>
      <c r="AH40" s="191">
        <v>0</v>
      </c>
      <c r="AI40" s="191">
        <v>296</v>
      </c>
      <c r="AJ40" s="191">
        <v>0</v>
      </c>
      <c r="AK40" s="191">
        <v>0</v>
      </c>
      <c r="AL40" s="191">
        <v>0</v>
      </c>
      <c r="AM40" s="191">
        <v>80</v>
      </c>
      <c r="AN40" s="191">
        <v>0</v>
      </c>
    </row>
    <row r="41" spans="3:40" x14ac:dyDescent="0.3">
      <c r="C41" s="191">
        <v>39</v>
      </c>
      <c r="D41" s="191">
        <v>8</v>
      </c>
      <c r="E41" s="191">
        <v>6</v>
      </c>
      <c r="F41" s="191">
        <v>381665</v>
      </c>
      <c r="G41" s="191">
        <v>0</v>
      </c>
      <c r="H41" s="191">
        <v>0</v>
      </c>
      <c r="I41" s="191">
        <v>0</v>
      </c>
      <c r="J41" s="191">
        <v>0</v>
      </c>
      <c r="K41" s="191">
        <v>0</v>
      </c>
      <c r="L41" s="191">
        <v>0</v>
      </c>
      <c r="M41" s="191">
        <v>0</v>
      </c>
      <c r="N41" s="191">
        <v>0</v>
      </c>
      <c r="O41" s="191">
        <v>0</v>
      </c>
      <c r="P41" s="191">
        <v>0</v>
      </c>
      <c r="Q41" s="191">
        <v>0</v>
      </c>
      <c r="R41" s="191">
        <v>0</v>
      </c>
      <c r="S41" s="191">
        <v>0</v>
      </c>
      <c r="T41" s="191">
        <v>0</v>
      </c>
      <c r="U41" s="191">
        <v>0</v>
      </c>
      <c r="V41" s="191">
        <v>285877</v>
      </c>
      <c r="W41" s="191">
        <v>0</v>
      </c>
      <c r="X41" s="191">
        <v>0</v>
      </c>
      <c r="Y41" s="191">
        <v>0</v>
      </c>
      <c r="Z41" s="191">
        <v>0</v>
      </c>
      <c r="AA41" s="191">
        <v>0</v>
      </c>
      <c r="AB41" s="191">
        <v>0</v>
      </c>
      <c r="AC41" s="191">
        <v>0</v>
      </c>
      <c r="AD41" s="191">
        <v>0</v>
      </c>
      <c r="AE41" s="191">
        <v>0</v>
      </c>
      <c r="AF41" s="191">
        <v>0</v>
      </c>
      <c r="AG41" s="191">
        <v>0</v>
      </c>
      <c r="AH41" s="191">
        <v>0</v>
      </c>
      <c r="AI41" s="191">
        <v>78066</v>
      </c>
      <c r="AJ41" s="191">
        <v>0</v>
      </c>
      <c r="AK41" s="191">
        <v>0</v>
      </c>
      <c r="AL41" s="191">
        <v>0</v>
      </c>
      <c r="AM41" s="191">
        <v>17722</v>
      </c>
      <c r="AN41" s="191">
        <v>0</v>
      </c>
    </row>
    <row r="42" spans="3:40" x14ac:dyDescent="0.3">
      <c r="C42" s="191">
        <v>39</v>
      </c>
      <c r="D42" s="191">
        <v>8</v>
      </c>
      <c r="E42" s="191">
        <v>11</v>
      </c>
      <c r="F42" s="191">
        <v>1166.6666666666667</v>
      </c>
      <c r="G42" s="191">
        <v>0</v>
      </c>
      <c r="H42" s="191">
        <v>0</v>
      </c>
      <c r="I42" s="191">
        <v>0</v>
      </c>
      <c r="J42" s="191">
        <v>0</v>
      </c>
      <c r="K42" s="191">
        <v>1166.6666666666667</v>
      </c>
      <c r="L42" s="191">
        <v>0</v>
      </c>
      <c r="M42" s="191">
        <v>0</v>
      </c>
      <c r="N42" s="191">
        <v>0</v>
      </c>
      <c r="O42" s="191">
        <v>0</v>
      </c>
      <c r="P42" s="191">
        <v>0</v>
      </c>
      <c r="Q42" s="191">
        <v>0</v>
      </c>
      <c r="R42" s="191">
        <v>0</v>
      </c>
      <c r="S42" s="191">
        <v>0</v>
      </c>
      <c r="T42" s="191">
        <v>0</v>
      </c>
      <c r="U42" s="191">
        <v>0</v>
      </c>
      <c r="V42" s="191">
        <v>0</v>
      </c>
      <c r="W42" s="191">
        <v>0</v>
      </c>
      <c r="X42" s="191">
        <v>0</v>
      </c>
      <c r="Y42" s="191">
        <v>0</v>
      </c>
      <c r="Z42" s="191">
        <v>0</v>
      </c>
      <c r="AA42" s="191">
        <v>0</v>
      </c>
      <c r="AB42" s="191">
        <v>0</v>
      </c>
      <c r="AC42" s="191">
        <v>0</v>
      </c>
      <c r="AD42" s="191">
        <v>0</v>
      </c>
      <c r="AE42" s="191">
        <v>0</v>
      </c>
      <c r="AF42" s="191">
        <v>0</v>
      </c>
      <c r="AG42" s="191">
        <v>0</v>
      </c>
      <c r="AH42" s="191">
        <v>0</v>
      </c>
      <c r="AI42" s="191">
        <v>0</v>
      </c>
      <c r="AJ42" s="191">
        <v>0</v>
      </c>
      <c r="AK42" s="191">
        <v>0</v>
      </c>
      <c r="AL42" s="191">
        <v>0</v>
      </c>
      <c r="AM42" s="191">
        <v>0</v>
      </c>
      <c r="AN42" s="191">
        <v>0</v>
      </c>
    </row>
    <row r="43" spans="3:40" x14ac:dyDescent="0.3">
      <c r="C43" s="191">
        <v>39</v>
      </c>
      <c r="D43" s="191">
        <v>9</v>
      </c>
      <c r="E43" s="191">
        <v>1</v>
      </c>
      <c r="F43" s="191">
        <v>13.8</v>
      </c>
      <c r="G43" s="191">
        <v>0</v>
      </c>
      <c r="H43" s="191">
        <v>0</v>
      </c>
      <c r="I43" s="191">
        <v>0</v>
      </c>
      <c r="J43" s="191">
        <v>0</v>
      </c>
      <c r="K43" s="191">
        <v>0</v>
      </c>
      <c r="L43" s="191">
        <v>0</v>
      </c>
      <c r="M43" s="191">
        <v>0</v>
      </c>
      <c r="N43" s="191">
        <v>0</v>
      </c>
      <c r="O43" s="191">
        <v>0</v>
      </c>
      <c r="P43" s="191">
        <v>0</v>
      </c>
      <c r="Q43" s="191">
        <v>0</v>
      </c>
      <c r="R43" s="191">
        <v>0</v>
      </c>
      <c r="S43" s="191">
        <v>0</v>
      </c>
      <c r="T43" s="191">
        <v>0</v>
      </c>
      <c r="U43" s="191">
        <v>0</v>
      </c>
      <c r="V43" s="191">
        <v>9.1999999999999993</v>
      </c>
      <c r="W43" s="191">
        <v>0</v>
      </c>
      <c r="X43" s="191">
        <v>0</v>
      </c>
      <c r="Y43" s="191">
        <v>0</v>
      </c>
      <c r="Z43" s="191">
        <v>0</v>
      </c>
      <c r="AA43" s="191">
        <v>0</v>
      </c>
      <c r="AB43" s="191">
        <v>0</v>
      </c>
      <c r="AC43" s="191">
        <v>0</v>
      </c>
      <c r="AD43" s="191">
        <v>0</v>
      </c>
      <c r="AE43" s="191">
        <v>0</v>
      </c>
      <c r="AF43" s="191">
        <v>0</v>
      </c>
      <c r="AG43" s="191">
        <v>0</v>
      </c>
      <c r="AH43" s="191">
        <v>0</v>
      </c>
      <c r="AI43" s="191">
        <v>3.6</v>
      </c>
      <c r="AJ43" s="191">
        <v>0</v>
      </c>
      <c r="AK43" s="191">
        <v>0</v>
      </c>
      <c r="AL43" s="191">
        <v>0</v>
      </c>
      <c r="AM43" s="191">
        <v>1</v>
      </c>
      <c r="AN43" s="191">
        <v>0</v>
      </c>
    </row>
    <row r="44" spans="3:40" x14ac:dyDescent="0.3">
      <c r="C44" s="191">
        <v>39</v>
      </c>
      <c r="D44" s="191">
        <v>9</v>
      </c>
      <c r="E44" s="191">
        <v>2</v>
      </c>
      <c r="F44" s="191">
        <v>2228.8000000000002</v>
      </c>
      <c r="G44" s="191">
        <v>0</v>
      </c>
      <c r="H44" s="191">
        <v>0</v>
      </c>
      <c r="I44" s="191">
        <v>0</v>
      </c>
      <c r="J44" s="191">
        <v>0</v>
      </c>
      <c r="K44" s="191">
        <v>0</v>
      </c>
      <c r="L44" s="191">
        <v>0</v>
      </c>
      <c r="M44" s="191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0</v>
      </c>
      <c r="U44" s="191">
        <v>0</v>
      </c>
      <c r="V44" s="191">
        <v>1451.2</v>
      </c>
      <c r="W44" s="191">
        <v>0</v>
      </c>
      <c r="X44" s="191">
        <v>0</v>
      </c>
      <c r="Y44" s="191">
        <v>0</v>
      </c>
      <c r="Z44" s="191">
        <v>0</v>
      </c>
      <c r="AA44" s="191">
        <v>0</v>
      </c>
      <c r="AB44" s="191">
        <v>0</v>
      </c>
      <c r="AC44" s="191">
        <v>0</v>
      </c>
      <c r="AD44" s="191">
        <v>0</v>
      </c>
      <c r="AE44" s="191">
        <v>0</v>
      </c>
      <c r="AF44" s="191">
        <v>0</v>
      </c>
      <c r="AG44" s="191">
        <v>0</v>
      </c>
      <c r="AH44" s="191">
        <v>0</v>
      </c>
      <c r="AI44" s="191">
        <v>609.6</v>
      </c>
      <c r="AJ44" s="191">
        <v>0</v>
      </c>
      <c r="AK44" s="191">
        <v>0</v>
      </c>
      <c r="AL44" s="191">
        <v>0</v>
      </c>
      <c r="AM44" s="191">
        <v>168</v>
      </c>
      <c r="AN44" s="191">
        <v>0</v>
      </c>
    </row>
    <row r="45" spans="3:40" x14ac:dyDescent="0.3">
      <c r="C45" s="191">
        <v>39</v>
      </c>
      <c r="D45" s="191">
        <v>9</v>
      </c>
      <c r="E45" s="191">
        <v>6</v>
      </c>
      <c r="F45" s="191">
        <v>399953</v>
      </c>
      <c r="G45" s="191">
        <v>0</v>
      </c>
      <c r="H45" s="191">
        <v>0</v>
      </c>
      <c r="I45" s="191">
        <v>0</v>
      </c>
      <c r="J45" s="191">
        <v>0</v>
      </c>
      <c r="K45" s="191">
        <v>0</v>
      </c>
      <c r="L45" s="191">
        <v>0</v>
      </c>
      <c r="M45" s="191">
        <v>0</v>
      </c>
      <c r="N45" s="191">
        <v>0</v>
      </c>
      <c r="O45" s="191">
        <v>0</v>
      </c>
      <c r="P45" s="191">
        <v>0</v>
      </c>
      <c r="Q45" s="191">
        <v>0</v>
      </c>
      <c r="R45" s="191">
        <v>0</v>
      </c>
      <c r="S45" s="191">
        <v>0</v>
      </c>
      <c r="T45" s="191">
        <v>0</v>
      </c>
      <c r="U45" s="191">
        <v>0</v>
      </c>
      <c r="V45" s="191">
        <v>291259</v>
      </c>
      <c r="W45" s="191">
        <v>0</v>
      </c>
      <c r="X45" s="191">
        <v>0</v>
      </c>
      <c r="Y45" s="191">
        <v>0</v>
      </c>
      <c r="Z45" s="191">
        <v>0</v>
      </c>
      <c r="AA45" s="191">
        <v>0</v>
      </c>
      <c r="AB45" s="191">
        <v>0</v>
      </c>
      <c r="AC45" s="191">
        <v>0</v>
      </c>
      <c r="AD45" s="191">
        <v>0</v>
      </c>
      <c r="AE45" s="191">
        <v>0</v>
      </c>
      <c r="AF45" s="191">
        <v>0</v>
      </c>
      <c r="AG45" s="191">
        <v>0</v>
      </c>
      <c r="AH45" s="191">
        <v>0</v>
      </c>
      <c r="AI45" s="191">
        <v>90680</v>
      </c>
      <c r="AJ45" s="191">
        <v>0</v>
      </c>
      <c r="AK45" s="191">
        <v>0</v>
      </c>
      <c r="AL45" s="191">
        <v>0</v>
      </c>
      <c r="AM45" s="191">
        <v>18014</v>
      </c>
      <c r="AN45" s="191">
        <v>0</v>
      </c>
    </row>
    <row r="46" spans="3:40" x14ac:dyDescent="0.3">
      <c r="C46" s="191">
        <v>39</v>
      </c>
      <c r="D46" s="191">
        <v>9</v>
      </c>
      <c r="E46" s="191">
        <v>11</v>
      </c>
      <c r="F46" s="191">
        <v>1166.6666666666667</v>
      </c>
      <c r="G46" s="191">
        <v>0</v>
      </c>
      <c r="H46" s="191">
        <v>0</v>
      </c>
      <c r="I46" s="191">
        <v>0</v>
      </c>
      <c r="J46" s="191">
        <v>0</v>
      </c>
      <c r="K46" s="191">
        <v>1166.6666666666667</v>
      </c>
      <c r="L46" s="191">
        <v>0</v>
      </c>
      <c r="M46" s="191">
        <v>0</v>
      </c>
      <c r="N46" s="191">
        <v>0</v>
      </c>
      <c r="O46" s="191">
        <v>0</v>
      </c>
      <c r="P46" s="191">
        <v>0</v>
      </c>
      <c r="Q46" s="191">
        <v>0</v>
      </c>
      <c r="R46" s="191">
        <v>0</v>
      </c>
      <c r="S46" s="191">
        <v>0</v>
      </c>
      <c r="T46" s="191">
        <v>0</v>
      </c>
      <c r="U46" s="191">
        <v>0</v>
      </c>
      <c r="V46" s="191">
        <v>0</v>
      </c>
      <c r="W46" s="191">
        <v>0</v>
      </c>
      <c r="X46" s="191">
        <v>0</v>
      </c>
      <c r="Y46" s="191">
        <v>0</v>
      </c>
      <c r="Z46" s="191">
        <v>0</v>
      </c>
      <c r="AA46" s="191">
        <v>0</v>
      </c>
      <c r="AB46" s="191">
        <v>0</v>
      </c>
      <c r="AC46" s="191">
        <v>0</v>
      </c>
      <c r="AD46" s="191">
        <v>0</v>
      </c>
      <c r="AE46" s="191">
        <v>0</v>
      </c>
      <c r="AF46" s="191">
        <v>0</v>
      </c>
      <c r="AG46" s="191">
        <v>0</v>
      </c>
      <c r="AH46" s="191">
        <v>0</v>
      </c>
      <c r="AI46" s="191">
        <v>0</v>
      </c>
      <c r="AJ46" s="191">
        <v>0</v>
      </c>
      <c r="AK46" s="191">
        <v>0</v>
      </c>
      <c r="AL46" s="191">
        <v>0</v>
      </c>
      <c r="AM46" s="191">
        <v>0</v>
      </c>
      <c r="AN46" s="19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80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80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80" customWidth="1"/>
    <col min="20" max="16384" width="8.88671875" style="102"/>
  </cols>
  <sheetData>
    <row r="1" spans="1:19" ht="18.600000000000001" customHeight="1" thickBot="1" x14ac:dyDescent="0.4">
      <c r="A1" s="309" t="s">
        <v>358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</row>
    <row r="2" spans="1:19" ht="14.4" customHeight="1" thickBot="1" x14ac:dyDescent="0.35">
      <c r="A2" s="195" t="s">
        <v>221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81" t="s">
        <v>102</v>
      </c>
      <c r="B3" s="182">
        <f>SUBTOTAL(9,B6:B1048576)</f>
        <v>2525102</v>
      </c>
      <c r="C3" s="183">
        <f t="shared" ref="C3:R3" si="0">SUBTOTAL(9,C6:C1048576)</f>
        <v>1</v>
      </c>
      <c r="D3" s="183">
        <f t="shared" si="0"/>
        <v>2735087</v>
      </c>
      <c r="E3" s="183">
        <f t="shared" si="0"/>
        <v>1.0831590169426819</v>
      </c>
      <c r="F3" s="183">
        <f t="shared" si="0"/>
        <v>3212111</v>
      </c>
      <c r="G3" s="184">
        <f>IF(B3&lt;&gt;0,F3/B3,"")</f>
        <v>1.2720717816547609</v>
      </c>
      <c r="H3" s="185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6" t="str">
        <f>IF(H3&lt;&gt;0,L3/H3,"")</f>
        <v/>
      </c>
      <c r="N3" s="182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IF(N3&lt;&gt;0,R3/N3,"")</f>
        <v/>
      </c>
    </row>
    <row r="4" spans="1:19" ht="14.4" customHeight="1" x14ac:dyDescent="0.3">
      <c r="A4" s="310" t="s">
        <v>76</v>
      </c>
      <c r="B4" s="311" t="s">
        <v>77</v>
      </c>
      <c r="C4" s="312"/>
      <c r="D4" s="312"/>
      <c r="E4" s="312"/>
      <c r="F4" s="312"/>
      <c r="G4" s="313"/>
      <c r="H4" s="311" t="s">
        <v>78</v>
      </c>
      <c r="I4" s="312"/>
      <c r="J4" s="312"/>
      <c r="K4" s="312"/>
      <c r="L4" s="312"/>
      <c r="M4" s="313"/>
      <c r="N4" s="311" t="s">
        <v>79</v>
      </c>
      <c r="O4" s="312"/>
      <c r="P4" s="312"/>
      <c r="Q4" s="312"/>
      <c r="R4" s="312"/>
      <c r="S4" s="313"/>
    </row>
    <row r="5" spans="1:19" ht="14.4" customHeight="1" thickBot="1" x14ac:dyDescent="0.35">
      <c r="A5" s="392"/>
      <c r="B5" s="393">
        <v>2012</v>
      </c>
      <c r="C5" s="394"/>
      <c r="D5" s="394">
        <v>2013</v>
      </c>
      <c r="E5" s="394"/>
      <c r="F5" s="394">
        <v>2014</v>
      </c>
      <c r="G5" s="395" t="s">
        <v>2</v>
      </c>
      <c r="H5" s="393">
        <v>2012</v>
      </c>
      <c r="I5" s="394"/>
      <c r="J5" s="394">
        <v>2013</v>
      </c>
      <c r="K5" s="394"/>
      <c r="L5" s="394">
        <v>2014</v>
      </c>
      <c r="M5" s="395" t="s">
        <v>2</v>
      </c>
      <c r="N5" s="393">
        <v>2012</v>
      </c>
      <c r="O5" s="394"/>
      <c r="P5" s="394">
        <v>2013</v>
      </c>
      <c r="Q5" s="394"/>
      <c r="R5" s="394">
        <v>2014</v>
      </c>
      <c r="S5" s="395" t="s">
        <v>2</v>
      </c>
    </row>
    <row r="6" spans="1:19" ht="14.4" customHeight="1" thickBot="1" x14ac:dyDescent="0.35">
      <c r="A6" s="398" t="s">
        <v>354</v>
      </c>
      <c r="B6" s="396">
        <v>2525102</v>
      </c>
      <c r="C6" s="397">
        <v>1</v>
      </c>
      <c r="D6" s="396">
        <v>2735087</v>
      </c>
      <c r="E6" s="397">
        <v>1.0831590169426819</v>
      </c>
      <c r="F6" s="396">
        <v>3212111</v>
      </c>
      <c r="G6" s="261">
        <v>1.2720717816547609</v>
      </c>
      <c r="H6" s="396"/>
      <c r="I6" s="397"/>
      <c r="J6" s="396"/>
      <c r="K6" s="397"/>
      <c r="L6" s="396"/>
      <c r="M6" s="261"/>
      <c r="N6" s="396"/>
      <c r="O6" s="397"/>
      <c r="P6" s="396"/>
      <c r="Q6" s="397"/>
      <c r="R6" s="396"/>
      <c r="S6" s="262"/>
    </row>
    <row r="7" spans="1:19" ht="14.4" customHeight="1" x14ac:dyDescent="0.3">
      <c r="A7" s="399" t="s">
        <v>355</v>
      </c>
    </row>
    <row r="8" spans="1:19" ht="14.4" customHeight="1" x14ac:dyDescent="0.3">
      <c r="A8" s="400" t="s">
        <v>356</v>
      </c>
    </row>
    <row r="9" spans="1:19" ht="14.4" customHeight="1" x14ac:dyDescent="0.3">
      <c r="A9" s="399" t="s">
        <v>357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7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309" t="s">
        <v>375</v>
      </c>
      <c r="B1" s="274"/>
      <c r="C1" s="274"/>
      <c r="D1" s="274"/>
      <c r="E1" s="274"/>
      <c r="F1" s="274"/>
      <c r="G1" s="274"/>
    </row>
    <row r="2" spans="1:7" ht="14.4" customHeight="1" thickBot="1" x14ac:dyDescent="0.35">
      <c r="A2" s="195" t="s">
        <v>221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81" t="s">
        <v>102</v>
      </c>
      <c r="B3" s="264">
        <f t="shared" ref="B3:G3" si="0">SUBTOTAL(9,B6:B1048576)</f>
        <v>7322</v>
      </c>
      <c r="C3" s="265">
        <f t="shared" si="0"/>
        <v>7857</v>
      </c>
      <c r="D3" s="265">
        <f t="shared" si="0"/>
        <v>9217</v>
      </c>
      <c r="E3" s="185">
        <f t="shared" si="0"/>
        <v>2525102</v>
      </c>
      <c r="F3" s="183">
        <f t="shared" si="0"/>
        <v>2735087</v>
      </c>
      <c r="G3" s="266">
        <f t="shared" si="0"/>
        <v>3212111</v>
      </c>
    </row>
    <row r="4" spans="1:7" ht="14.4" customHeight="1" x14ac:dyDescent="0.3">
      <c r="A4" s="310" t="s">
        <v>103</v>
      </c>
      <c r="B4" s="311" t="s">
        <v>219</v>
      </c>
      <c r="C4" s="312"/>
      <c r="D4" s="312"/>
      <c r="E4" s="314" t="s">
        <v>77</v>
      </c>
      <c r="F4" s="315"/>
      <c r="G4" s="316"/>
    </row>
    <row r="5" spans="1:7" ht="14.4" customHeight="1" thickBot="1" x14ac:dyDescent="0.35">
      <c r="A5" s="392"/>
      <c r="B5" s="393">
        <v>2012</v>
      </c>
      <c r="C5" s="394">
        <v>2013</v>
      </c>
      <c r="D5" s="394">
        <v>2014</v>
      </c>
      <c r="E5" s="393">
        <v>2012</v>
      </c>
      <c r="F5" s="394">
        <v>2013</v>
      </c>
      <c r="G5" s="401">
        <v>2014</v>
      </c>
    </row>
    <row r="6" spans="1:7" ht="14.4" customHeight="1" x14ac:dyDescent="0.3">
      <c r="A6" s="414" t="s">
        <v>359</v>
      </c>
      <c r="B6" s="403">
        <v>489</v>
      </c>
      <c r="C6" s="403">
        <v>87</v>
      </c>
      <c r="D6" s="403">
        <v>2</v>
      </c>
      <c r="E6" s="404">
        <v>160128</v>
      </c>
      <c r="F6" s="404">
        <v>29624</v>
      </c>
      <c r="G6" s="405">
        <v>1088</v>
      </c>
    </row>
    <row r="7" spans="1:7" ht="14.4" customHeight="1" x14ac:dyDescent="0.3">
      <c r="A7" s="415" t="s">
        <v>360</v>
      </c>
      <c r="B7" s="407">
        <v>230</v>
      </c>
      <c r="C7" s="407">
        <v>567</v>
      </c>
      <c r="D7" s="407">
        <v>616</v>
      </c>
      <c r="E7" s="408">
        <v>78168</v>
      </c>
      <c r="F7" s="408">
        <v>200242</v>
      </c>
      <c r="G7" s="409">
        <v>206662</v>
      </c>
    </row>
    <row r="8" spans="1:7" ht="14.4" customHeight="1" x14ac:dyDescent="0.3">
      <c r="A8" s="415" t="s">
        <v>361</v>
      </c>
      <c r="B8" s="407">
        <v>496</v>
      </c>
      <c r="C8" s="407">
        <v>568</v>
      </c>
      <c r="D8" s="407">
        <v>567</v>
      </c>
      <c r="E8" s="408">
        <v>158144</v>
      </c>
      <c r="F8" s="408">
        <v>183638</v>
      </c>
      <c r="G8" s="409">
        <v>200636</v>
      </c>
    </row>
    <row r="9" spans="1:7" ht="14.4" customHeight="1" x14ac:dyDescent="0.3">
      <c r="A9" s="415" t="s">
        <v>362</v>
      </c>
      <c r="B9" s="407">
        <v>1085</v>
      </c>
      <c r="C9" s="407">
        <v>1100</v>
      </c>
      <c r="D9" s="407">
        <v>1177</v>
      </c>
      <c r="E9" s="408">
        <v>388524</v>
      </c>
      <c r="F9" s="408">
        <v>394898</v>
      </c>
      <c r="G9" s="409">
        <v>441039</v>
      </c>
    </row>
    <row r="10" spans="1:7" ht="14.4" customHeight="1" x14ac:dyDescent="0.3">
      <c r="A10" s="415" t="s">
        <v>363</v>
      </c>
      <c r="B10" s="407">
        <v>814</v>
      </c>
      <c r="C10" s="407">
        <v>681</v>
      </c>
      <c r="D10" s="407">
        <v>770</v>
      </c>
      <c r="E10" s="408">
        <v>291406</v>
      </c>
      <c r="F10" s="408">
        <v>252863</v>
      </c>
      <c r="G10" s="409">
        <v>290930</v>
      </c>
    </row>
    <row r="11" spans="1:7" ht="14.4" customHeight="1" x14ac:dyDescent="0.3">
      <c r="A11" s="415" t="s">
        <v>364</v>
      </c>
      <c r="B11" s="407"/>
      <c r="C11" s="407">
        <v>451</v>
      </c>
      <c r="D11" s="407">
        <v>1110</v>
      </c>
      <c r="E11" s="408"/>
      <c r="F11" s="408">
        <v>150596</v>
      </c>
      <c r="G11" s="409">
        <v>366844</v>
      </c>
    </row>
    <row r="12" spans="1:7" ht="14.4" customHeight="1" x14ac:dyDescent="0.3">
      <c r="A12" s="415" t="s">
        <v>365</v>
      </c>
      <c r="B12" s="407"/>
      <c r="C12" s="407"/>
      <c r="D12" s="407">
        <v>20</v>
      </c>
      <c r="E12" s="408"/>
      <c r="F12" s="408"/>
      <c r="G12" s="409">
        <v>6440</v>
      </c>
    </row>
    <row r="13" spans="1:7" ht="14.4" customHeight="1" x14ac:dyDescent="0.3">
      <c r="A13" s="415" t="s">
        <v>366</v>
      </c>
      <c r="B13" s="407">
        <v>769</v>
      </c>
      <c r="C13" s="407">
        <v>799</v>
      </c>
      <c r="D13" s="407">
        <v>1188</v>
      </c>
      <c r="E13" s="408">
        <v>250688</v>
      </c>
      <c r="F13" s="408">
        <v>258925</v>
      </c>
      <c r="G13" s="409">
        <v>394163</v>
      </c>
    </row>
    <row r="14" spans="1:7" ht="14.4" customHeight="1" x14ac:dyDescent="0.3">
      <c r="A14" s="415" t="s">
        <v>367</v>
      </c>
      <c r="B14" s="407">
        <v>41</v>
      </c>
      <c r="C14" s="407">
        <v>105</v>
      </c>
      <c r="D14" s="407">
        <v>287</v>
      </c>
      <c r="E14" s="408">
        <v>13552</v>
      </c>
      <c r="F14" s="408">
        <v>36042</v>
      </c>
      <c r="G14" s="409">
        <v>93374</v>
      </c>
    </row>
    <row r="15" spans="1:7" ht="14.4" customHeight="1" x14ac:dyDescent="0.3">
      <c r="A15" s="415" t="s">
        <v>368</v>
      </c>
      <c r="B15" s="407">
        <v>473</v>
      </c>
      <c r="C15" s="407">
        <v>478</v>
      </c>
      <c r="D15" s="407">
        <v>250</v>
      </c>
      <c r="E15" s="408">
        <v>160732</v>
      </c>
      <c r="F15" s="408">
        <v>154535</v>
      </c>
      <c r="G15" s="409">
        <v>87962</v>
      </c>
    </row>
    <row r="16" spans="1:7" ht="14.4" customHeight="1" x14ac:dyDescent="0.3">
      <c r="A16" s="415" t="s">
        <v>369</v>
      </c>
      <c r="B16" s="407">
        <v>653</v>
      </c>
      <c r="C16" s="407">
        <v>925</v>
      </c>
      <c r="D16" s="407">
        <v>1100</v>
      </c>
      <c r="E16" s="408">
        <v>207654</v>
      </c>
      <c r="F16" s="408">
        <v>300131</v>
      </c>
      <c r="G16" s="409">
        <v>354060</v>
      </c>
    </row>
    <row r="17" spans="1:7" ht="14.4" customHeight="1" x14ac:dyDescent="0.3">
      <c r="A17" s="415" t="s">
        <v>370</v>
      </c>
      <c r="B17" s="407">
        <v>8</v>
      </c>
      <c r="C17" s="407">
        <v>6</v>
      </c>
      <c r="D17" s="407"/>
      <c r="E17" s="408">
        <v>2544</v>
      </c>
      <c r="F17" s="408">
        <v>1914</v>
      </c>
      <c r="G17" s="409"/>
    </row>
    <row r="18" spans="1:7" ht="14.4" customHeight="1" x14ac:dyDescent="0.3">
      <c r="A18" s="415" t="s">
        <v>371</v>
      </c>
      <c r="B18" s="407">
        <v>47</v>
      </c>
      <c r="C18" s="407">
        <v>88</v>
      </c>
      <c r="D18" s="407">
        <v>113</v>
      </c>
      <c r="E18" s="408">
        <v>14946</v>
      </c>
      <c r="F18" s="408">
        <v>28072</v>
      </c>
      <c r="G18" s="409">
        <v>34008</v>
      </c>
    </row>
    <row r="19" spans="1:7" ht="14.4" customHeight="1" x14ac:dyDescent="0.3">
      <c r="A19" s="415" t="s">
        <v>372</v>
      </c>
      <c r="B19" s="407">
        <v>977</v>
      </c>
      <c r="C19" s="407">
        <v>987</v>
      </c>
      <c r="D19" s="407">
        <v>1001</v>
      </c>
      <c r="E19" s="408">
        <v>360684</v>
      </c>
      <c r="F19" s="408">
        <v>377029</v>
      </c>
      <c r="G19" s="409">
        <v>361389</v>
      </c>
    </row>
    <row r="20" spans="1:7" ht="14.4" customHeight="1" x14ac:dyDescent="0.3">
      <c r="A20" s="415" t="s">
        <v>373</v>
      </c>
      <c r="B20" s="407">
        <v>854</v>
      </c>
      <c r="C20" s="407">
        <v>723</v>
      </c>
      <c r="D20" s="407">
        <v>704</v>
      </c>
      <c r="E20" s="408">
        <v>315184</v>
      </c>
      <c r="F20" s="408">
        <v>273430</v>
      </c>
      <c r="G20" s="409">
        <v>273424</v>
      </c>
    </row>
    <row r="21" spans="1:7" ht="14.4" customHeight="1" thickBot="1" x14ac:dyDescent="0.35">
      <c r="A21" s="416" t="s">
        <v>374</v>
      </c>
      <c r="B21" s="411">
        <v>386</v>
      </c>
      <c r="C21" s="411">
        <v>292</v>
      </c>
      <c r="D21" s="411">
        <v>312</v>
      </c>
      <c r="E21" s="412">
        <v>122748</v>
      </c>
      <c r="F21" s="412">
        <v>93148</v>
      </c>
      <c r="G21" s="413">
        <v>100092</v>
      </c>
    </row>
    <row r="22" spans="1:7" ht="14.4" customHeight="1" x14ac:dyDescent="0.3">
      <c r="A22" s="399" t="s">
        <v>355</v>
      </c>
    </row>
    <row r="23" spans="1:7" ht="14.4" customHeight="1" x14ac:dyDescent="0.3">
      <c r="A23" s="400" t="s">
        <v>356</v>
      </c>
    </row>
    <row r="24" spans="1:7" ht="14.4" customHeight="1" x14ac:dyDescent="0.3">
      <c r="A24" s="399" t="s">
        <v>357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2.109375" style="102" bestFit="1" customWidth="1"/>
    <col min="3" max="3" width="22.21875" style="102" customWidth="1"/>
    <col min="4" max="4" width="8" style="102" customWidth="1"/>
    <col min="5" max="5" width="50.88671875" style="102" bestFit="1" customWidth="1"/>
    <col min="6" max="7" width="11.109375" style="177" customWidth="1"/>
    <col min="8" max="9" width="9.33203125" style="102" hidden="1" customWidth="1"/>
    <col min="10" max="11" width="11.109375" style="177" customWidth="1"/>
    <col min="12" max="13" width="9.33203125" style="102" hidden="1" customWidth="1"/>
    <col min="14" max="15" width="11.109375" style="177" customWidth="1"/>
    <col min="16" max="16" width="11.109375" style="180" customWidth="1"/>
    <col min="17" max="17" width="11.109375" style="177" customWidth="1"/>
    <col min="18" max="16384" width="8.88671875" style="102"/>
  </cols>
  <sheetData>
    <row r="1" spans="1:17" ht="18.600000000000001" customHeight="1" thickBot="1" x14ac:dyDescent="0.4">
      <c r="A1" s="274" t="s">
        <v>404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 ht="14.4" customHeight="1" thickBot="1" x14ac:dyDescent="0.35">
      <c r="A2" s="195" t="s">
        <v>221</v>
      </c>
      <c r="B2" s="103"/>
      <c r="C2" s="103"/>
      <c r="D2" s="263"/>
      <c r="E2" s="103"/>
      <c r="F2" s="189"/>
      <c r="G2" s="189"/>
      <c r="H2" s="103"/>
      <c r="I2" s="103"/>
      <c r="J2" s="189"/>
      <c r="K2" s="189"/>
      <c r="L2" s="103"/>
      <c r="M2" s="103"/>
      <c r="N2" s="189"/>
      <c r="O2" s="189"/>
      <c r="P2" s="190"/>
      <c r="Q2" s="189"/>
    </row>
    <row r="3" spans="1:17" ht="14.4" customHeight="1" thickBot="1" x14ac:dyDescent="0.35">
      <c r="E3" s="62" t="s">
        <v>102</v>
      </c>
      <c r="F3" s="74">
        <f t="shared" ref="F3:O3" si="0">SUBTOTAL(9,F6:F1048576)</f>
        <v>7322</v>
      </c>
      <c r="G3" s="75">
        <f t="shared" si="0"/>
        <v>2525102</v>
      </c>
      <c r="H3" s="57"/>
      <c r="I3" s="57"/>
      <c r="J3" s="75">
        <f t="shared" si="0"/>
        <v>7857</v>
      </c>
      <c r="K3" s="75">
        <f t="shared" si="0"/>
        <v>2735087</v>
      </c>
      <c r="L3" s="57"/>
      <c r="M3" s="57"/>
      <c r="N3" s="75">
        <f t="shared" si="0"/>
        <v>9217</v>
      </c>
      <c r="O3" s="75">
        <f t="shared" si="0"/>
        <v>3212111</v>
      </c>
      <c r="P3" s="58">
        <f>IF(G3=0,0,O3/G3)</f>
        <v>1.2720717816547609</v>
      </c>
      <c r="Q3" s="76">
        <f>IF(N3=0,0,O3/N3)</f>
        <v>348.49853531517846</v>
      </c>
    </row>
    <row r="4" spans="1:17" ht="14.4" customHeight="1" x14ac:dyDescent="0.3">
      <c r="A4" s="318" t="s">
        <v>72</v>
      </c>
      <c r="B4" s="319" t="s">
        <v>73</v>
      </c>
      <c r="C4" s="320" t="s">
        <v>103</v>
      </c>
      <c r="D4" s="325" t="s">
        <v>48</v>
      </c>
      <c r="E4" s="321" t="s">
        <v>47</v>
      </c>
      <c r="F4" s="322">
        <v>2012</v>
      </c>
      <c r="G4" s="323"/>
      <c r="H4" s="73"/>
      <c r="I4" s="73"/>
      <c r="J4" s="322">
        <v>2013</v>
      </c>
      <c r="K4" s="323"/>
      <c r="L4" s="73"/>
      <c r="M4" s="73"/>
      <c r="N4" s="322">
        <v>2014</v>
      </c>
      <c r="O4" s="323"/>
      <c r="P4" s="324" t="s">
        <v>2</v>
      </c>
      <c r="Q4" s="317" t="s">
        <v>75</v>
      </c>
    </row>
    <row r="5" spans="1:17" ht="14.4" customHeight="1" thickBot="1" x14ac:dyDescent="0.35">
      <c r="A5" s="417"/>
      <c r="B5" s="418"/>
      <c r="C5" s="419"/>
      <c r="D5" s="420"/>
      <c r="E5" s="421"/>
      <c r="F5" s="422" t="s">
        <v>49</v>
      </c>
      <c r="G5" s="423" t="s">
        <v>5</v>
      </c>
      <c r="H5" s="424"/>
      <c r="I5" s="424"/>
      <c r="J5" s="422" t="s">
        <v>49</v>
      </c>
      <c r="K5" s="423" t="s">
        <v>5</v>
      </c>
      <c r="L5" s="424"/>
      <c r="M5" s="424"/>
      <c r="N5" s="422" t="s">
        <v>49</v>
      </c>
      <c r="O5" s="423" t="s">
        <v>5</v>
      </c>
      <c r="P5" s="425"/>
      <c r="Q5" s="426"/>
    </row>
    <row r="6" spans="1:17" ht="14.4" customHeight="1" x14ac:dyDescent="0.3">
      <c r="A6" s="402" t="s">
        <v>376</v>
      </c>
      <c r="B6" s="427" t="s">
        <v>377</v>
      </c>
      <c r="C6" s="427" t="s">
        <v>359</v>
      </c>
      <c r="D6" s="427" t="s">
        <v>378</v>
      </c>
      <c r="E6" s="427" t="s">
        <v>379</v>
      </c>
      <c r="F6" s="403">
        <v>444</v>
      </c>
      <c r="G6" s="403">
        <v>141192</v>
      </c>
      <c r="H6" s="427">
        <v>1</v>
      </c>
      <c r="I6" s="427">
        <v>318</v>
      </c>
      <c r="J6" s="403">
        <v>76</v>
      </c>
      <c r="K6" s="403">
        <v>24244</v>
      </c>
      <c r="L6" s="427">
        <v>0.17170944529435095</v>
      </c>
      <c r="M6" s="427">
        <v>319</v>
      </c>
      <c r="N6" s="403"/>
      <c r="O6" s="403"/>
      <c r="P6" s="428"/>
      <c r="Q6" s="429"/>
    </row>
    <row r="7" spans="1:17" ht="14.4" customHeight="1" x14ac:dyDescent="0.3">
      <c r="A7" s="406" t="s">
        <v>376</v>
      </c>
      <c r="B7" s="430" t="s">
        <v>377</v>
      </c>
      <c r="C7" s="430" t="s">
        <v>359</v>
      </c>
      <c r="D7" s="430" t="s">
        <v>380</v>
      </c>
      <c r="E7" s="430" t="s">
        <v>381</v>
      </c>
      <c r="F7" s="407">
        <v>9</v>
      </c>
      <c r="G7" s="407">
        <v>0</v>
      </c>
      <c r="H7" s="430"/>
      <c r="I7" s="430">
        <v>0</v>
      </c>
      <c r="J7" s="407">
        <v>1</v>
      </c>
      <c r="K7" s="407">
        <v>0</v>
      </c>
      <c r="L7" s="430"/>
      <c r="M7" s="430">
        <v>0</v>
      </c>
      <c r="N7" s="407"/>
      <c r="O7" s="407"/>
      <c r="P7" s="431"/>
      <c r="Q7" s="432"/>
    </row>
    <row r="8" spans="1:17" ht="14.4" customHeight="1" x14ac:dyDescent="0.3">
      <c r="A8" s="406" t="s">
        <v>376</v>
      </c>
      <c r="B8" s="430" t="s">
        <v>377</v>
      </c>
      <c r="C8" s="430" t="s">
        <v>359</v>
      </c>
      <c r="D8" s="430" t="s">
        <v>382</v>
      </c>
      <c r="E8" s="430" t="s">
        <v>383</v>
      </c>
      <c r="F8" s="407">
        <v>28</v>
      </c>
      <c r="G8" s="407">
        <v>14728</v>
      </c>
      <c r="H8" s="430">
        <v>1</v>
      </c>
      <c r="I8" s="430">
        <v>526</v>
      </c>
      <c r="J8" s="407">
        <v>10</v>
      </c>
      <c r="K8" s="407">
        <v>5380</v>
      </c>
      <c r="L8" s="430">
        <v>0.36529060293318849</v>
      </c>
      <c r="M8" s="430">
        <v>538</v>
      </c>
      <c r="N8" s="407">
        <v>2</v>
      </c>
      <c r="O8" s="407">
        <v>1088</v>
      </c>
      <c r="P8" s="431">
        <v>7.3872895165670832E-2</v>
      </c>
      <c r="Q8" s="432">
        <v>544</v>
      </c>
    </row>
    <row r="9" spans="1:17" ht="14.4" customHeight="1" x14ac:dyDescent="0.3">
      <c r="A9" s="406" t="s">
        <v>376</v>
      </c>
      <c r="B9" s="430" t="s">
        <v>377</v>
      </c>
      <c r="C9" s="430" t="s">
        <v>359</v>
      </c>
      <c r="D9" s="430" t="s">
        <v>384</v>
      </c>
      <c r="E9" s="430" t="s">
        <v>385</v>
      </c>
      <c r="F9" s="407">
        <v>8</v>
      </c>
      <c r="G9" s="407">
        <v>4208</v>
      </c>
      <c r="H9" s="430">
        <v>1</v>
      </c>
      <c r="I9" s="430">
        <v>526</v>
      </c>
      <c r="J9" s="407"/>
      <c r="K9" s="407"/>
      <c r="L9" s="430"/>
      <c r="M9" s="430"/>
      <c r="N9" s="407"/>
      <c r="O9" s="407"/>
      <c r="P9" s="431"/>
      <c r="Q9" s="432"/>
    </row>
    <row r="10" spans="1:17" ht="14.4" customHeight="1" x14ac:dyDescent="0.3">
      <c r="A10" s="406" t="s">
        <v>376</v>
      </c>
      <c r="B10" s="430" t="s">
        <v>377</v>
      </c>
      <c r="C10" s="430" t="s">
        <v>360</v>
      </c>
      <c r="D10" s="430" t="s">
        <v>386</v>
      </c>
      <c r="E10" s="430" t="s">
        <v>387</v>
      </c>
      <c r="F10" s="407">
        <v>4</v>
      </c>
      <c r="G10" s="407">
        <v>272</v>
      </c>
      <c r="H10" s="430">
        <v>1</v>
      </c>
      <c r="I10" s="430">
        <v>68</v>
      </c>
      <c r="J10" s="407"/>
      <c r="K10" s="407"/>
      <c r="L10" s="430"/>
      <c r="M10" s="430"/>
      <c r="N10" s="407">
        <v>17</v>
      </c>
      <c r="O10" s="407">
        <v>1182</v>
      </c>
      <c r="P10" s="431">
        <v>4.3455882352941178</v>
      </c>
      <c r="Q10" s="432">
        <v>69.529411764705884</v>
      </c>
    </row>
    <row r="11" spans="1:17" ht="14.4" customHeight="1" x14ac:dyDescent="0.3">
      <c r="A11" s="406" t="s">
        <v>376</v>
      </c>
      <c r="B11" s="430" t="s">
        <v>377</v>
      </c>
      <c r="C11" s="430" t="s">
        <v>360</v>
      </c>
      <c r="D11" s="430" t="s">
        <v>378</v>
      </c>
      <c r="E11" s="430" t="s">
        <v>379</v>
      </c>
      <c r="F11" s="407">
        <v>56</v>
      </c>
      <c r="G11" s="407">
        <v>17808</v>
      </c>
      <c r="H11" s="430">
        <v>1</v>
      </c>
      <c r="I11" s="430">
        <v>318</v>
      </c>
      <c r="J11" s="407">
        <v>86</v>
      </c>
      <c r="K11" s="407">
        <v>27434</v>
      </c>
      <c r="L11" s="430">
        <v>1.5405435759209345</v>
      </c>
      <c r="M11" s="430">
        <v>319</v>
      </c>
      <c r="N11" s="407">
        <v>40</v>
      </c>
      <c r="O11" s="407">
        <v>12820</v>
      </c>
      <c r="P11" s="431">
        <v>0.71990116801437554</v>
      </c>
      <c r="Q11" s="432">
        <v>320.5</v>
      </c>
    </row>
    <row r="12" spans="1:17" ht="14.4" customHeight="1" x14ac:dyDescent="0.3">
      <c r="A12" s="406" t="s">
        <v>376</v>
      </c>
      <c r="B12" s="430" t="s">
        <v>377</v>
      </c>
      <c r="C12" s="430" t="s">
        <v>360</v>
      </c>
      <c r="D12" s="430" t="s">
        <v>388</v>
      </c>
      <c r="E12" s="430" t="s">
        <v>389</v>
      </c>
      <c r="F12" s="407">
        <v>112</v>
      </c>
      <c r="G12" s="407">
        <v>35616</v>
      </c>
      <c r="H12" s="430">
        <v>1</v>
      </c>
      <c r="I12" s="430">
        <v>318</v>
      </c>
      <c r="J12" s="407">
        <v>314</v>
      </c>
      <c r="K12" s="407">
        <v>100166</v>
      </c>
      <c r="L12" s="430">
        <v>2.8123876909254268</v>
      </c>
      <c r="M12" s="430">
        <v>319</v>
      </c>
      <c r="N12" s="407">
        <v>403</v>
      </c>
      <c r="O12" s="407">
        <v>129385</v>
      </c>
      <c r="P12" s="431">
        <v>3.6327774034141957</v>
      </c>
      <c r="Q12" s="432">
        <v>321.0545905707196</v>
      </c>
    </row>
    <row r="13" spans="1:17" ht="14.4" customHeight="1" x14ac:dyDescent="0.3">
      <c r="A13" s="406" t="s">
        <v>376</v>
      </c>
      <c r="B13" s="430" t="s">
        <v>377</v>
      </c>
      <c r="C13" s="430" t="s">
        <v>360</v>
      </c>
      <c r="D13" s="430" t="s">
        <v>390</v>
      </c>
      <c r="E13" s="430" t="s">
        <v>391</v>
      </c>
      <c r="F13" s="407"/>
      <c r="G13" s="407"/>
      <c r="H13" s="430"/>
      <c r="I13" s="430"/>
      <c r="J13" s="407">
        <v>3</v>
      </c>
      <c r="K13" s="407">
        <v>957</v>
      </c>
      <c r="L13" s="430"/>
      <c r="M13" s="430">
        <v>319</v>
      </c>
      <c r="N13" s="407">
        <v>8</v>
      </c>
      <c r="O13" s="407">
        <v>2564</v>
      </c>
      <c r="P13" s="431"/>
      <c r="Q13" s="432">
        <v>320.5</v>
      </c>
    </row>
    <row r="14" spans="1:17" ht="14.4" customHeight="1" x14ac:dyDescent="0.3">
      <c r="A14" s="406" t="s">
        <v>376</v>
      </c>
      <c r="B14" s="430" t="s">
        <v>377</v>
      </c>
      <c r="C14" s="430" t="s">
        <v>360</v>
      </c>
      <c r="D14" s="430" t="s">
        <v>380</v>
      </c>
      <c r="E14" s="430" t="s">
        <v>381</v>
      </c>
      <c r="F14" s="407">
        <v>10</v>
      </c>
      <c r="G14" s="407">
        <v>0</v>
      </c>
      <c r="H14" s="430"/>
      <c r="I14" s="430">
        <v>0</v>
      </c>
      <c r="J14" s="407">
        <v>29</v>
      </c>
      <c r="K14" s="407">
        <v>0</v>
      </c>
      <c r="L14" s="430"/>
      <c r="M14" s="430">
        <v>0</v>
      </c>
      <c r="N14" s="407">
        <v>32</v>
      </c>
      <c r="O14" s="407">
        <v>0</v>
      </c>
      <c r="P14" s="431"/>
      <c r="Q14" s="432">
        <v>0</v>
      </c>
    </row>
    <row r="15" spans="1:17" ht="14.4" customHeight="1" x14ac:dyDescent="0.3">
      <c r="A15" s="406" t="s">
        <v>376</v>
      </c>
      <c r="B15" s="430" t="s">
        <v>377</v>
      </c>
      <c r="C15" s="430" t="s">
        <v>360</v>
      </c>
      <c r="D15" s="430" t="s">
        <v>382</v>
      </c>
      <c r="E15" s="430" t="s">
        <v>383</v>
      </c>
      <c r="F15" s="407"/>
      <c r="G15" s="407"/>
      <c r="H15" s="430"/>
      <c r="I15" s="430"/>
      <c r="J15" s="407"/>
      <c r="K15" s="407"/>
      <c r="L15" s="430"/>
      <c r="M15" s="430"/>
      <c r="N15" s="407">
        <v>3</v>
      </c>
      <c r="O15" s="407">
        <v>1632</v>
      </c>
      <c r="P15" s="431"/>
      <c r="Q15" s="432">
        <v>544</v>
      </c>
    </row>
    <row r="16" spans="1:17" ht="14.4" customHeight="1" x14ac:dyDescent="0.3">
      <c r="A16" s="406" t="s">
        <v>376</v>
      </c>
      <c r="B16" s="430" t="s">
        <v>377</v>
      </c>
      <c r="C16" s="430" t="s">
        <v>360</v>
      </c>
      <c r="D16" s="430" t="s">
        <v>392</v>
      </c>
      <c r="E16" s="430" t="s">
        <v>393</v>
      </c>
      <c r="F16" s="407">
        <v>44</v>
      </c>
      <c r="G16" s="407">
        <v>23408</v>
      </c>
      <c r="H16" s="430">
        <v>1</v>
      </c>
      <c r="I16" s="430">
        <v>532</v>
      </c>
      <c r="J16" s="407">
        <v>115</v>
      </c>
      <c r="K16" s="407">
        <v>61985</v>
      </c>
      <c r="L16" s="430">
        <v>2.6480263157894739</v>
      </c>
      <c r="M16" s="430">
        <v>539</v>
      </c>
      <c r="N16" s="407">
        <v>97</v>
      </c>
      <c r="O16" s="407">
        <v>52583</v>
      </c>
      <c r="P16" s="431">
        <v>2.2463687628161311</v>
      </c>
      <c r="Q16" s="432">
        <v>542.09278350515467</v>
      </c>
    </row>
    <row r="17" spans="1:17" ht="14.4" customHeight="1" x14ac:dyDescent="0.3">
      <c r="A17" s="406" t="s">
        <v>376</v>
      </c>
      <c r="B17" s="430" t="s">
        <v>377</v>
      </c>
      <c r="C17" s="430" t="s">
        <v>360</v>
      </c>
      <c r="D17" s="430" t="s">
        <v>394</v>
      </c>
      <c r="E17" s="430" t="s">
        <v>395</v>
      </c>
      <c r="F17" s="407">
        <v>4</v>
      </c>
      <c r="G17" s="407">
        <v>1064</v>
      </c>
      <c r="H17" s="430">
        <v>1</v>
      </c>
      <c r="I17" s="430">
        <v>266</v>
      </c>
      <c r="J17" s="407">
        <v>4</v>
      </c>
      <c r="K17" s="407">
        <v>1076</v>
      </c>
      <c r="L17" s="430">
        <v>1.0112781954887218</v>
      </c>
      <c r="M17" s="430">
        <v>269</v>
      </c>
      <c r="N17" s="407">
        <v>4</v>
      </c>
      <c r="O17" s="407">
        <v>1088</v>
      </c>
      <c r="P17" s="431">
        <v>1.0225563909774436</v>
      </c>
      <c r="Q17" s="432">
        <v>272</v>
      </c>
    </row>
    <row r="18" spans="1:17" ht="14.4" customHeight="1" x14ac:dyDescent="0.3">
      <c r="A18" s="406" t="s">
        <v>376</v>
      </c>
      <c r="B18" s="430" t="s">
        <v>377</v>
      </c>
      <c r="C18" s="430" t="s">
        <v>360</v>
      </c>
      <c r="D18" s="430" t="s">
        <v>396</v>
      </c>
      <c r="E18" s="430" t="s">
        <v>397</v>
      </c>
      <c r="F18" s="407"/>
      <c r="G18" s="407"/>
      <c r="H18" s="430"/>
      <c r="I18" s="430"/>
      <c r="J18" s="407">
        <v>16</v>
      </c>
      <c r="K18" s="407">
        <v>8624</v>
      </c>
      <c r="L18" s="430"/>
      <c r="M18" s="430">
        <v>539</v>
      </c>
      <c r="N18" s="407">
        <v>4</v>
      </c>
      <c r="O18" s="407">
        <v>2156</v>
      </c>
      <c r="P18" s="431"/>
      <c r="Q18" s="432">
        <v>539</v>
      </c>
    </row>
    <row r="19" spans="1:17" ht="14.4" customHeight="1" x14ac:dyDescent="0.3">
      <c r="A19" s="406" t="s">
        <v>376</v>
      </c>
      <c r="B19" s="430" t="s">
        <v>377</v>
      </c>
      <c r="C19" s="430" t="s">
        <v>360</v>
      </c>
      <c r="D19" s="430" t="s">
        <v>384</v>
      </c>
      <c r="E19" s="430" t="s">
        <v>385</v>
      </c>
      <c r="F19" s="407"/>
      <c r="G19" s="407"/>
      <c r="H19" s="430"/>
      <c r="I19" s="430"/>
      <c r="J19" s="407"/>
      <c r="K19" s="407"/>
      <c r="L19" s="430"/>
      <c r="M19" s="430"/>
      <c r="N19" s="407">
        <v>4</v>
      </c>
      <c r="O19" s="407">
        <v>2176</v>
      </c>
      <c r="P19" s="431"/>
      <c r="Q19" s="432">
        <v>544</v>
      </c>
    </row>
    <row r="20" spans="1:17" ht="14.4" customHeight="1" x14ac:dyDescent="0.3">
      <c r="A20" s="406" t="s">
        <v>376</v>
      </c>
      <c r="B20" s="430" t="s">
        <v>377</v>
      </c>
      <c r="C20" s="430" t="s">
        <v>360</v>
      </c>
      <c r="D20" s="430" t="s">
        <v>398</v>
      </c>
      <c r="E20" s="430" t="s">
        <v>399</v>
      </c>
      <c r="F20" s="407"/>
      <c r="G20" s="407"/>
      <c r="H20" s="430"/>
      <c r="I20" s="430"/>
      <c r="J20" s="407"/>
      <c r="K20" s="407"/>
      <c r="L20" s="430"/>
      <c r="M20" s="430"/>
      <c r="N20" s="407">
        <v>4</v>
      </c>
      <c r="O20" s="407">
        <v>1076</v>
      </c>
      <c r="P20" s="431"/>
      <c r="Q20" s="432">
        <v>269</v>
      </c>
    </row>
    <row r="21" spans="1:17" ht="14.4" customHeight="1" x14ac:dyDescent="0.3">
      <c r="A21" s="406" t="s">
        <v>376</v>
      </c>
      <c r="B21" s="430" t="s">
        <v>377</v>
      </c>
      <c r="C21" s="430" t="s">
        <v>361</v>
      </c>
      <c r="D21" s="430" t="s">
        <v>386</v>
      </c>
      <c r="E21" s="430" t="s">
        <v>387</v>
      </c>
      <c r="F21" s="407"/>
      <c r="G21" s="407"/>
      <c r="H21" s="430"/>
      <c r="I21" s="430"/>
      <c r="J21" s="407">
        <v>20</v>
      </c>
      <c r="K21" s="407">
        <v>1380</v>
      </c>
      <c r="L21" s="430"/>
      <c r="M21" s="430">
        <v>69</v>
      </c>
      <c r="N21" s="407">
        <v>6</v>
      </c>
      <c r="O21" s="407">
        <v>420</v>
      </c>
      <c r="P21" s="431"/>
      <c r="Q21" s="432">
        <v>70</v>
      </c>
    </row>
    <row r="22" spans="1:17" ht="14.4" customHeight="1" x14ac:dyDescent="0.3">
      <c r="A22" s="406" t="s">
        <v>376</v>
      </c>
      <c r="B22" s="430" t="s">
        <v>377</v>
      </c>
      <c r="C22" s="430" t="s">
        <v>361</v>
      </c>
      <c r="D22" s="430" t="s">
        <v>378</v>
      </c>
      <c r="E22" s="430" t="s">
        <v>379</v>
      </c>
      <c r="F22" s="407">
        <v>440</v>
      </c>
      <c r="G22" s="407">
        <v>139920</v>
      </c>
      <c r="H22" s="430">
        <v>1</v>
      </c>
      <c r="I22" s="430">
        <v>318</v>
      </c>
      <c r="J22" s="407">
        <v>474</v>
      </c>
      <c r="K22" s="407">
        <v>151206</v>
      </c>
      <c r="L22" s="430">
        <v>1.0806603773584906</v>
      </c>
      <c r="M22" s="430">
        <v>319</v>
      </c>
      <c r="N22" s="407">
        <v>392</v>
      </c>
      <c r="O22" s="407">
        <v>125888</v>
      </c>
      <c r="P22" s="431">
        <v>0.89971412235563175</v>
      </c>
      <c r="Q22" s="432">
        <v>321.14285714285717</v>
      </c>
    </row>
    <row r="23" spans="1:17" ht="14.4" customHeight="1" x14ac:dyDescent="0.3">
      <c r="A23" s="406" t="s">
        <v>376</v>
      </c>
      <c r="B23" s="430" t="s">
        <v>377</v>
      </c>
      <c r="C23" s="430" t="s">
        <v>361</v>
      </c>
      <c r="D23" s="430" t="s">
        <v>388</v>
      </c>
      <c r="E23" s="430" t="s">
        <v>389</v>
      </c>
      <c r="F23" s="407"/>
      <c r="G23" s="407"/>
      <c r="H23" s="430"/>
      <c r="I23" s="430"/>
      <c r="J23" s="407">
        <v>4</v>
      </c>
      <c r="K23" s="407">
        <v>1276</v>
      </c>
      <c r="L23" s="430"/>
      <c r="M23" s="430">
        <v>319</v>
      </c>
      <c r="N23" s="407">
        <v>4</v>
      </c>
      <c r="O23" s="407">
        <v>1288</v>
      </c>
      <c r="P23" s="431"/>
      <c r="Q23" s="432">
        <v>322</v>
      </c>
    </row>
    <row r="24" spans="1:17" ht="14.4" customHeight="1" x14ac:dyDescent="0.3">
      <c r="A24" s="406" t="s">
        <v>376</v>
      </c>
      <c r="B24" s="430" t="s">
        <v>377</v>
      </c>
      <c r="C24" s="430" t="s">
        <v>361</v>
      </c>
      <c r="D24" s="430" t="s">
        <v>390</v>
      </c>
      <c r="E24" s="430" t="s">
        <v>391</v>
      </c>
      <c r="F24" s="407">
        <v>54</v>
      </c>
      <c r="G24" s="407">
        <v>17172</v>
      </c>
      <c r="H24" s="430">
        <v>1</v>
      </c>
      <c r="I24" s="430">
        <v>318</v>
      </c>
      <c r="J24" s="407">
        <v>36</v>
      </c>
      <c r="K24" s="407">
        <v>11484</v>
      </c>
      <c r="L24" s="430">
        <v>0.66876310272536688</v>
      </c>
      <c r="M24" s="430">
        <v>319</v>
      </c>
      <c r="N24" s="407">
        <v>72</v>
      </c>
      <c r="O24" s="407">
        <v>23124</v>
      </c>
      <c r="P24" s="431">
        <v>1.3466107617051013</v>
      </c>
      <c r="Q24" s="432">
        <v>321.16666666666669</v>
      </c>
    </row>
    <row r="25" spans="1:17" ht="14.4" customHeight="1" x14ac:dyDescent="0.3">
      <c r="A25" s="406" t="s">
        <v>376</v>
      </c>
      <c r="B25" s="430" t="s">
        <v>377</v>
      </c>
      <c r="C25" s="430" t="s">
        <v>361</v>
      </c>
      <c r="D25" s="430" t="s">
        <v>380</v>
      </c>
      <c r="E25" s="430" t="s">
        <v>381</v>
      </c>
      <c r="F25" s="407"/>
      <c r="G25" s="407"/>
      <c r="H25" s="430"/>
      <c r="I25" s="430"/>
      <c r="J25" s="407"/>
      <c r="K25" s="407"/>
      <c r="L25" s="430"/>
      <c r="M25" s="430"/>
      <c r="N25" s="407">
        <v>1</v>
      </c>
      <c r="O25" s="407">
        <v>0</v>
      </c>
      <c r="P25" s="431"/>
      <c r="Q25" s="432">
        <v>0</v>
      </c>
    </row>
    <row r="26" spans="1:17" ht="14.4" customHeight="1" x14ac:dyDescent="0.3">
      <c r="A26" s="406" t="s">
        <v>376</v>
      </c>
      <c r="B26" s="430" t="s">
        <v>377</v>
      </c>
      <c r="C26" s="430" t="s">
        <v>361</v>
      </c>
      <c r="D26" s="430" t="s">
        <v>382</v>
      </c>
      <c r="E26" s="430" t="s">
        <v>383</v>
      </c>
      <c r="F26" s="407">
        <v>2</v>
      </c>
      <c r="G26" s="407">
        <v>1052</v>
      </c>
      <c r="H26" s="430">
        <v>1</v>
      </c>
      <c r="I26" s="430">
        <v>526</v>
      </c>
      <c r="J26" s="407">
        <v>2</v>
      </c>
      <c r="K26" s="407">
        <v>1076</v>
      </c>
      <c r="L26" s="430">
        <v>1.0228136882129277</v>
      </c>
      <c r="M26" s="430">
        <v>538</v>
      </c>
      <c r="N26" s="407">
        <v>22</v>
      </c>
      <c r="O26" s="407">
        <v>11968</v>
      </c>
      <c r="P26" s="431">
        <v>11.376425855513308</v>
      </c>
      <c r="Q26" s="432">
        <v>544</v>
      </c>
    </row>
    <row r="27" spans="1:17" ht="14.4" customHeight="1" x14ac:dyDescent="0.3">
      <c r="A27" s="406" t="s">
        <v>376</v>
      </c>
      <c r="B27" s="430" t="s">
        <v>377</v>
      </c>
      <c r="C27" s="430" t="s">
        <v>361</v>
      </c>
      <c r="D27" s="430" t="s">
        <v>384</v>
      </c>
      <c r="E27" s="430" t="s">
        <v>385</v>
      </c>
      <c r="F27" s="407"/>
      <c r="G27" s="407"/>
      <c r="H27" s="430"/>
      <c r="I27" s="430"/>
      <c r="J27" s="407">
        <v>32</v>
      </c>
      <c r="K27" s="407">
        <v>17216</v>
      </c>
      <c r="L27" s="430"/>
      <c r="M27" s="430">
        <v>538</v>
      </c>
      <c r="N27" s="407">
        <v>70</v>
      </c>
      <c r="O27" s="407">
        <v>37948</v>
      </c>
      <c r="P27" s="431"/>
      <c r="Q27" s="432">
        <v>542.11428571428576</v>
      </c>
    </row>
    <row r="28" spans="1:17" ht="14.4" customHeight="1" x14ac:dyDescent="0.3">
      <c r="A28" s="406" t="s">
        <v>376</v>
      </c>
      <c r="B28" s="430" t="s">
        <v>377</v>
      </c>
      <c r="C28" s="430" t="s">
        <v>362</v>
      </c>
      <c r="D28" s="430" t="s">
        <v>400</v>
      </c>
      <c r="E28" s="430" t="s">
        <v>401</v>
      </c>
      <c r="F28" s="407">
        <v>6</v>
      </c>
      <c r="G28" s="407">
        <v>204</v>
      </c>
      <c r="H28" s="430">
        <v>1</v>
      </c>
      <c r="I28" s="430">
        <v>34</v>
      </c>
      <c r="J28" s="407">
        <v>1</v>
      </c>
      <c r="K28" s="407">
        <v>34</v>
      </c>
      <c r="L28" s="430">
        <v>0.16666666666666666</v>
      </c>
      <c r="M28" s="430">
        <v>34</v>
      </c>
      <c r="N28" s="407"/>
      <c r="O28" s="407"/>
      <c r="P28" s="431"/>
      <c r="Q28" s="432"/>
    </row>
    <row r="29" spans="1:17" ht="14.4" customHeight="1" x14ac:dyDescent="0.3">
      <c r="A29" s="406" t="s">
        <v>376</v>
      </c>
      <c r="B29" s="430" t="s">
        <v>377</v>
      </c>
      <c r="C29" s="430" t="s">
        <v>362</v>
      </c>
      <c r="D29" s="430" t="s">
        <v>386</v>
      </c>
      <c r="E29" s="430" t="s">
        <v>387</v>
      </c>
      <c r="F29" s="407"/>
      <c r="G29" s="407"/>
      <c r="H29" s="430"/>
      <c r="I29" s="430"/>
      <c r="J29" s="407">
        <v>10</v>
      </c>
      <c r="K29" s="407">
        <v>690</v>
      </c>
      <c r="L29" s="430"/>
      <c r="M29" s="430">
        <v>69</v>
      </c>
      <c r="N29" s="407"/>
      <c r="O29" s="407"/>
      <c r="P29" s="431"/>
      <c r="Q29" s="432"/>
    </row>
    <row r="30" spans="1:17" ht="14.4" customHeight="1" x14ac:dyDescent="0.3">
      <c r="A30" s="406" t="s">
        <v>376</v>
      </c>
      <c r="B30" s="430" t="s">
        <v>377</v>
      </c>
      <c r="C30" s="430" t="s">
        <v>362</v>
      </c>
      <c r="D30" s="430" t="s">
        <v>378</v>
      </c>
      <c r="E30" s="430" t="s">
        <v>379</v>
      </c>
      <c r="F30" s="407">
        <v>526</v>
      </c>
      <c r="G30" s="407">
        <v>167268</v>
      </c>
      <c r="H30" s="430">
        <v>1</v>
      </c>
      <c r="I30" s="430">
        <v>318</v>
      </c>
      <c r="J30" s="407">
        <v>484</v>
      </c>
      <c r="K30" s="407">
        <v>154396</v>
      </c>
      <c r="L30" s="430">
        <v>0.92304565129014515</v>
      </c>
      <c r="M30" s="430">
        <v>319</v>
      </c>
      <c r="N30" s="407">
        <v>335</v>
      </c>
      <c r="O30" s="407">
        <v>107417</v>
      </c>
      <c r="P30" s="431">
        <v>0.64218499653251071</v>
      </c>
      <c r="Q30" s="432">
        <v>320.64776119402984</v>
      </c>
    </row>
    <row r="31" spans="1:17" ht="14.4" customHeight="1" x14ac:dyDescent="0.3">
      <c r="A31" s="406" t="s">
        <v>376</v>
      </c>
      <c r="B31" s="430" t="s">
        <v>377</v>
      </c>
      <c r="C31" s="430" t="s">
        <v>362</v>
      </c>
      <c r="D31" s="430" t="s">
        <v>388</v>
      </c>
      <c r="E31" s="430" t="s">
        <v>389</v>
      </c>
      <c r="F31" s="407">
        <v>4</v>
      </c>
      <c r="G31" s="407">
        <v>1272</v>
      </c>
      <c r="H31" s="430">
        <v>1</v>
      </c>
      <c r="I31" s="430">
        <v>318</v>
      </c>
      <c r="J31" s="407">
        <v>119</v>
      </c>
      <c r="K31" s="407">
        <v>37961</v>
      </c>
      <c r="L31" s="430">
        <v>29.843553459119498</v>
      </c>
      <c r="M31" s="430">
        <v>319</v>
      </c>
      <c r="N31" s="407">
        <v>263</v>
      </c>
      <c r="O31" s="407">
        <v>84509</v>
      </c>
      <c r="P31" s="431">
        <v>66.437893081761004</v>
      </c>
      <c r="Q31" s="432">
        <v>321.32699619771864</v>
      </c>
    </row>
    <row r="32" spans="1:17" ht="14.4" customHeight="1" x14ac:dyDescent="0.3">
      <c r="A32" s="406" t="s">
        <v>376</v>
      </c>
      <c r="B32" s="430" t="s">
        <v>377</v>
      </c>
      <c r="C32" s="430" t="s">
        <v>362</v>
      </c>
      <c r="D32" s="430" t="s">
        <v>390</v>
      </c>
      <c r="E32" s="430" t="s">
        <v>391</v>
      </c>
      <c r="F32" s="407">
        <v>124</v>
      </c>
      <c r="G32" s="407">
        <v>39432</v>
      </c>
      <c r="H32" s="430">
        <v>1</v>
      </c>
      <c r="I32" s="430">
        <v>318</v>
      </c>
      <c r="J32" s="407">
        <v>70</v>
      </c>
      <c r="K32" s="407">
        <v>22330</v>
      </c>
      <c r="L32" s="430">
        <v>0.56629133698518974</v>
      </c>
      <c r="M32" s="430">
        <v>319</v>
      </c>
      <c r="N32" s="407">
        <v>24</v>
      </c>
      <c r="O32" s="407">
        <v>7692</v>
      </c>
      <c r="P32" s="431">
        <v>0.19506999391357274</v>
      </c>
      <c r="Q32" s="432">
        <v>320.5</v>
      </c>
    </row>
    <row r="33" spans="1:17" ht="14.4" customHeight="1" x14ac:dyDescent="0.3">
      <c r="A33" s="406" t="s">
        <v>376</v>
      </c>
      <c r="B33" s="430" t="s">
        <v>377</v>
      </c>
      <c r="C33" s="430" t="s">
        <v>362</v>
      </c>
      <c r="D33" s="430" t="s">
        <v>380</v>
      </c>
      <c r="E33" s="430" t="s">
        <v>381</v>
      </c>
      <c r="F33" s="407">
        <v>86</v>
      </c>
      <c r="G33" s="407">
        <v>0</v>
      </c>
      <c r="H33" s="430"/>
      <c r="I33" s="430">
        <v>0</v>
      </c>
      <c r="J33" s="407">
        <v>83</v>
      </c>
      <c r="K33" s="407">
        <v>0</v>
      </c>
      <c r="L33" s="430"/>
      <c r="M33" s="430">
        <v>0</v>
      </c>
      <c r="N33" s="407">
        <v>110</v>
      </c>
      <c r="O33" s="407">
        <v>0</v>
      </c>
      <c r="P33" s="431"/>
      <c r="Q33" s="432">
        <v>0</v>
      </c>
    </row>
    <row r="34" spans="1:17" ht="14.4" customHeight="1" x14ac:dyDescent="0.3">
      <c r="A34" s="406" t="s">
        <v>376</v>
      </c>
      <c r="B34" s="430" t="s">
        <v>377</v>
      </c>
      <c r="C34" s="430" t="s">
        <v>362</v>
      </c>
      <c r="D34" s="430" t="s">
        <v>392</v>
      </c>
      <c r="E34" s="430" t="s">
        <v>393</v>
      </c>
      <c r="F34" s="407">
        <v>339</v>
      </c>
      <c r="G34" s="407">
        <v>180348</v>
      </c>
      <c r="H34" s="430">
        <v>1</v>
      </c>
      <c r="I34" s="430">
        <v>532</v>
      </c>
      <c r="J34" s="407">
        <v>333</v>
      </c>
      <c r="K34" s="407">
        <v>179487</v>
      </c>
      <c r="L34" s="430">
        <v>0.9952258965999069</v>
      </c>
      <c r="M34" s="430">
        <v>539</v>
      </c>
      <c r="N34" s="407">
        <v>445</v>
      </c>
      <c r="O34" s="407">
        <v>241421</v>
      </c>
      <c r="P34" s="431">
        <v>1.3386397409452835</v>
      </c>
      <c r="Q34" s="432">
        <v>542.51910112359553</v>
      </c>
    </row>
    <row r="35" spans="1:17" ht="14.4" customHeight="1" x14ac:dyDescent="0.3">
      <c r="A35" s="406" t="s">
        <v>376</v>
      </c>
      <c r="B35" s="430" t="s">
        <v>377</v>
      </c>
      <c r="C35" s="430" t="s">
        <v>363</v>
      </c>
      <c r="D35" s="430" t="s">
        <v>386</v>
      </c>
      <c r="E35" s="430" t="s">
        <v>387</v>
      </c>
      <c r="F35" s="407"/>
      <c r="G35" s="407"/>
      <c r="H35" s="430"/>
      <c r="I35" s="430"/>
      <c r="J35" s="407">
        <v>2</v>
      </c>
      <c r="K35" s="407">
        <v>138</v>
      </c>
      <c r="L35" s="430"/>
      <c r="M35" s="430">
        <v>69</v>
      </c>
      <c r="N35" s="407">
        <v>7</v>
      </c>
      <c r="O35" s="407">
        <v>490</v>
      </c>
      <c r="P35" s="431"/>
      <c r="Q35" s="432">
        <v>70</v>
      </c>
    </row>
    <row r="36" spans="1:17" ht="14.4" customHeight="1" x14ac:dyDescent="0.3">
      <c r="A36" s="406" t="s">
        <v>376</v>
      </c>
      <c r="B36" s="430" t="s">
        <v>377</v>
      </c>
      <c r="C36" s="430" t="s">
        <v>363</v>
      </c>
      <c r="D36" s="430" t="s">
        <v>378</v>
      </c>
      <c r="E36" s="430" t="s">
        <v>379</v>
      </c>
      <c r="F36" s="407">
        <v>416</v>
      </c>
      <c r="G36" s="407">
        <v>132288</v>
      </c>
      <c r="H36" s="430">
        <v>1</v>
      </c>
      <c r="I36" s="430">
        <v>318</v>
      </c>
      <c r="J36" s="407">
        <v>278</v>
      </c>
      <c r="K36" s="407">
        <v>88682</v>
      </c>
      <c r="L36" s="430">
        <v>0.67037070633768747</v>
      </c>
      <c r="M36" s="430">
        <v>319</v>
      </c>
      <c r="N36" s="407">
        <v>222</v>
      </c>
      <c r="O36" s="407">
        <v>71280</v>
      </c>
      <c r="P36" s="431">
        <v>0.53882438316400583</v>
      </c>
      <c r="Q36" s="432">
        <v>321.08108108108109</v>
      </c>
    </row>
    <row r="37" spans="1:17" ht="14.4" customHeight="1" x14ac:dyDescent="0.3">
      <c r="A37" s="406" t="s">
        <v>376</v>
      </c>
      <c r="B37" s="430" t="s">
        <v>377</v>
      </c>
      <c r="C37" s="430" t="s">
        <v>363</v>
      </c>
      <c r="D37" s="430" t="s">
        <v>388</v>
      </c>
      <c r="E37" s="430" t="s">
        <v>389</v>
      </c>
      <c r="F37" s="407">
        <v>28</v>
      </c>
      <c r="G37" s="407">
        <v>8904</v>
      </c>
      <c r="H37" s="430">
        <v>1</v>
      </c>
      <c r="I37" s="430">
        <v>318</v>
      </c>
      <c r="J37" s="407">
        <v>8</v>
      </c>
      <c r="K37" s="407">
        <v>2552</v>
      </c>
      <c r="L37" s="430">
        <v>0.28661275831087152</v>
      </c>
      <c r="M37" s="430">
        <v>319</v>
      </c>
      <c r="N37" s="407">
        <v>48</v>
      </c>
      <c r="O37" s="407">
        <v>15432</v>
      </c>
      <c r="P37" s="431">
        <v>1.7331536388140161</v>
      </c>
      <c r="Q37" s="432">
        <v>321.5</v>
      </c>
    </row>
    <row r="38" spans="1:17" ht="14.4" customHeight="1" x14ac:dyDescent="0.3">
      <c r="A38" s="406" t="s">
        <v>376</v>
      </c>
      <c r="B38" s="430" t="s">
        <v>377</v>
      </c>
      <c r="C38" s="430" t="s">
        <v>363</v>
      </c>
      <c r="D38" s="430" t="s">
        <v>390</v>
      </c>
      <c r="E38" s="430" t="s">
        <v>391</v>
      </c>
      <c r="F38" s="407">
        <v>19</v>
      </c>
      <c r="G38" s="407">
        <v>6042</v>
      </c>
      <c r="H38" s="430">
        <v>1</v>
      </c>
      <c r="I38" s="430">
        <v>318</v>
      </c>
      <c r="J38" s="407">
        <v>23</v>
      </c>
      <c r="K38" s="407">
        <v>7337</v>
      </c>
      <c r="L38" s="430">
        <v>1.2143330023171135</v>
      </c>
      <c r="M38" s="430">
        <v>319</v>
      </c>
      <c r="N38" s="407">
        <v>30</v>
      </c>
      <c r="O38" s="407">
        <v>9660</v>
      </c>
      <c r="P38" s="431">
        <v>1.5988083416087389</v>
      </c>
      <c r="Q38" s="432">
        <v>322</v>
      </c>
    </row>
    <row r="39" spans="1:17" ht="14.4" customHeight="1" x14ac:dyDescent="0.3">
      <c r="A39" s="406" t="s">
        <v>376</v>
      </c>
      <c r="B39" s="430" t="s">
        <v>377</v>
      </c>
      <c r="C39" s="430" t="s">
        <v>363</v>
      </c>
      <c r="D39" s="430" t="s">
        <v>380</v>
      </c>
      <c r="E39" s="430" t="s">
        <v>381</v>
      </c>
      <c r="F39" s="407">
        <v>80</v>
      </c>
      <c r="G39" s="407">
        <v>0</v>
      </c>
      <c r="H39" s="430"/>
      <c r="I39" s="430">
        <v>0</v>
      </c>
      <c r="J39" s="407">
        <v>84</v>
      </c>
      <c r="K39" s="407">
        <v>0</v>
      </c>
      <c r="L39" s="430"/>
      <c r="M39" s="430">
        <v>0</v>
      </c>
      <c r="N39" s="407">
        <v>104</v>
      </c>
      <c r="O39" s="407">
        <v>0</v>
      </c>
      <c r="P39" s="431"/>
      <c r="Q39" s="432">
        <v>0</v>
      </c>
    </row>
    <row r="40" spans="1:17" ht="14.4" customHeight="1" x14ac:dyDescent="0.3">
      <c r="A40" s="406" t="s">
        <v>376</v>
      </c>
      <c r="B40" s="430" t="s">
        <v>377</v>
      </c>
      <c r="C40" s="430" t="s">
        <v>363</v>
      </c>
      <c r="D40" s="430" t="s">
        <v>392</v>
      </c>
      <c r="E40" s="430" t="s">
        <v>393</v>
      </c>
      <c r="F40" s="407">
        <v>267</v>
      </c>
      <c r="G40" s="407">
        <v>142044</v>
      </c>
      <c r="H40" s="430">
        <v>1</v>
      </c>
      <c r="I40" s="430">
        <v>532</v>
      </c>
      <c r="J40" s="407">
        <v>218</v>
      </c>
      <c r="K40" s="407">
        <v>117502</v>
      </c>
      <c r="L40" s="430">
        <v>0.82722255075891982</v>
      </c>
      <c r="M40" s="430">
        <v>539</v>
      </c>
      <c r="N40" s="407">
        <v>183</v>
      </c>
      <c r="O40" s="407">
        <v>99303</v>
      </c>
      <c r="P40" s="431">
        <v>0.69910027878685477</v>
      </c>
      <c r="Q40" s="432">
        <v>542.63934426229503</v>
      </c>
    </row>
    <row r="41" spans="1:17" ht="14.4" customHeight="1" x14ac:dyDescent="0.3">
      <c r="A41" s="406" t="s">
        <v>376</v>
      </c>
      <c r="B41" s="430" t="s">
        <v>377</v>
      </c>
      <c r="C41" s="430" t="s">
        <v>363</v>
      </c>
      <c r="D41" s="430" t="s">
        <v>394</v>
      </c>
      <c r="E41" s="430" t="s">
        <v>395</v>
      </c>
      <c r="F41" s="407"/>
      <c r="G41" s="407"/>
      <c r="H41" s="430"/>
      <c r="I41" s="430"/>
      <c r="J41" s="407"/>
      <c r="K41" s="407"/>
      <c r="L41" s="430"/>
      <c r="M41" s="430"/>
      <c r="N41" s="407">
        <v>3</v>
      </c>
      <c r="O41" s="407">
        <v>816</v>
      </c>
      <c r="P41" s="431"/>
      <c r="Q41" s="432">
        <v>272</v>
      </c>
    </row>
    <row r="42" spans="1:17" ht="14.4" customHeight="1" x14ac:dyDescent="0.3">
      <c r="A42" s="406" t="s">
        <v>376</v>
      </c>
      <c r="B42" s="430" t="s">
        <v>377</v>
      </c>
      <c r="C42" s="430" t="s">
        <v>363</v>
      </c>
      <c r="D42" s="430" t="s">
        <v>396</v>
      </c>
      <c r="E42" s="430" t="s">
        <v>397</v>
      </c>
      <c r="F42" s="407">
        <v>4</v>
      </c>
      <c r="G42" s="407">
        <v>2128</v>
      </c>
      <c r="H42" s="430">
        <v>1</v>
      </c>
      <c r="I42" s="430">
        <v>532</v>
      </c>
      <c r="J42" s="407">
        <v>68</v>
      </c>
      <c r="K42" s="407">
        <v>36652</v>
      </c>
      <c r="L42" s="430">
        <v>17.223684210526315</v>
      </c>
      <c r="M42" s="430">
        <v>539</v>
      </c>
      <c r="N42" s="407">
        <v>173</v>
      </c>
      <c r="O42" s="407">
        <v>93949</v>
      </c>
      <c r="P42" s="431">
        <v>44.148966165413533</v>
      </c>
      <c r="Q42" s="432">
        <v>543.05780346820814</v>
      </c>
    </row>
    <row r="43" spans="1:17" ht="14.4" customHeight="1" x14ac:dyDescent="0.3">
      <c r="A43" s="406" t="s">
        <v>376</v>
      </c>
      <c r="B43" s="430" t="s">
        <v>377</v>
      </c>
      <c r="C43" s="430" t="s">
        <v>364</v>
      </c>
      <c r="D43" s="430" t="s">
        <v>378</v>
      </c>
      <c r="E43" s="430" t="s">
        <v>379</v>
      </c>
      <c r="F43" s="407"/>
      <c r="G43" s="407"/>
      <c r="H43" s="430"/>
      <c r="I43" s="430"/>
      <c r="J43" s="407">
        <v>408</v>
      </c>
      <c r="K43" s="407">
        <v>130152</v>
      </c>
      <c r="L43" s="430"/>
      <c r="M43" s="430">
        <v>319</v>
      </c>
      <c r="N43" s="407">
        <v>1042</v>
      </c>
      <c r="O43" s="407">
        <v>334336</v>
      </c>
      <c r="P43" s="431"/>
      <c r="Q43" s="432">
        <v>320.85988483685219</v>
      </c>
    </row>
    <row r="44" spans="1:17" ht="14.4" customHeight="1" x14ac:dyDescent="0.3">
      <c r="A44" s="406" t="s">
        <v>376</v>
      </c>
      <c r="B44" s="430" t="s">
        <v>377</v>
      </c>
      <c r="C44" s="430" t="s">
        <v>364</v>
      </c>
      <c r="D44" s="430" t="s">
        <v>380</v>
      </c>
      <c r="E44" s="430" t="s">
        <v>381</v>
      </c>
      <c r="F44" s="407"/>
      <c r="G44" s="407"/>
      <c r="H44" s="430"/>
      <c r="I44" s="430"/>
      <c r="J44" s="407">
        <v>5</v>
      </c>
      <c r="K44" s="407">
        <v>0</v>
      </c>
      <c r="L44" s="430"/>
      <c r="M44" s="430">
        <v>0</v>
      </c>
      <c r="N44" s="407">
        <v>8</v>
      </c>
      <c r="O44" s="407">
        <v>0</v>
      </c>
      <c r="P44" s="431"/>
      <c r="Q44" s="432">
        <v>0</v>
      </c>
    </row>
    <row r="45" spans="1:17" ht="14.4" customHeight="1" x14ac:dyDescent="0.3">
      <c r="A45" s="406" t="s">
        <v>376</v>
      </c>
      <c r="B45" s="430" t="s">
        <v>377</v>
      </c>
      <c r="C45" s="430" t="s">
        <v>364</v>
      </c>
      <c r="D45" s="430" t="s">
        <v>382</v>
      </c>
      <c r="E45" s="430" t="s">
        <v>383</v>
      </c>
      <c r="F45" s="407"/>
      <c r="G45" s="407"/>
      <c r="H45" s="430"/>
      <c r="I45" s="430"/>
      <c r="J45" s="407">
        <v>38</v>
      </c>
      <c r="K45" s="407">
        <v>20444</v>
      </c>
      <c r="L45" s="430"/>
      <c r="M45" s="430">
        <v>538</v>
      </c>
      <c r="N45" s="407">
        <v>60</v>
      </c>
      <c r="O45" s="407">
        <v>32508</v>
      </c>
      <c r="P45" s="431"/>
      <c r="Q45" s="432">
        <v>541.79999999999995</v>
      </c>
    </row>
    <row r="46" spans="1:17" ht="14.4" customHeight="1" x14ac:dyDescent="0.3">
      <c r="A46" s="406" t="s">
        <v>376</v>
      </c>
      <c r="B46" s="430" t="s">
        <v>377</v>
      </c>
      <c r="C46" s="430" t="s">
        <v>365</v>
      </c>
      <c r="D46" s="430" t="s">
        <v>378</v>
      </c>
      <c r="E46" s="430" t="s">
        <v>379</v>
      </c>
      <c r="F46" s="407"/>
      <c r="G46" s="407"/>
      <c r="H46" s="430"/>
      <c r="I46" s="430"/>
      <c r="J46" s="407"/>
      <c r="K46" s="407"/>
      <c r="L46" s="430"/>
      <c r="M46" s="430"/>
      <c r="N46" s="407">
        <v>20</v>
      </c>
      <c r="O46" s="407">
        <v>6440</v>
      </c>
      <c r="P46" s="431"/>
      <c r="Q46" s="432">
        <v>322</v>
      </c>
    </row>
    <row r="47" spans="1:17" ht="14.4" customHeight="1" x14ac:dyDescent="0.3">
      <c r="A47" s="406" t="s">
        <v>376</v>
      </c>
      <c r="B47" s="430" t="s">
        <v>377</v>
      </c>
      <c r="C47" s="430" t="s">
        <v>366</v>
      </c>
      <c r="D47" s="430" t="s">
        <v>386</v>
      </c>
      <c r="E47" s="430" t="s">
        <v>387</v>
      </c>
      <c r="F47" s="407">
        <v>4</v>
      </c>
      <c r="G47" s="407">
        <v>272</v>
      </c>
      <c r="H47" s="430">
        <v>1</v>
      </c>
      <c r="I47" s="430">
        <v>68</v>
      </c>
      <c r="J47" s="407">
        <v>6</v>
      </c>
      <c r="K47" s="407">
        <v>414</v>
      </c>
      <c r="L47" s="430">
        <v>1.5220588235294117</v>
      </c>
      <c r="M47" s="430">
        <v>69</v>
      </c>
      <c r="N47" s="407">
        <v>6</v>
      </c>
      <c r="O47" s="407">
        <v>416</v>
      </c>
      <c r="P47" s="431">
        <v>1.5294117647058822</v>
      </c>
      <c r="Q47" s="432">
        <v>69.333333333333329</v>
      </c>
    </row>
    <row r="48" spans="1:17" ht="14.4" customHeight="1" x14ac:dyDescent="0.3">
      <c r="A48" s="406" t="s">
        <v>376</v>
      </c>
      <c r="B48" s="430" t="s">
        <v>377</v>
      </c>
      <c r="C48" s="430" t="s">
        <v>366</v>
      </c>
      <c r="D48" s="430" t="s">
        <v>378</v>
      </c>
      <c r="E48" s="430" t="s">
        <v>379</v>
      </c>
      <c r="F48" s="407">
        <v>372</v>
      </c>
      <c r="G48" s="407">
        <v>118296</v>
      </c>
      <c r="H48" s="430">
        <v>1</v>
      </c>
      <c r="I48" s="430">
        <v>318</v>
      </c>
      <c r="J48" s="407">
        <v>387</v>
      </c>
      <c r="K48" s="407">
        <v>123453</v>
      </c>
      <c r="L48" s="430">
        <v>1.0435940353012783</v>
      </c>
      <c r="M48" s="430">
        <v>319</v>
      </c>
      <c r="N48" s="407">
        <v>271</v>
      </c>
      <c r="O48" s="407">
        <v>87016</v>
      </c>
      <c r="P48" s="431">
        <v>0.73557854872523165</v>
      </c>
      <c r="Q48" s="432">
        <v>321.09225092250921</v>
      </c>
    </row>
    <row r="49" spans="1:17" ht="14.4" customHeight="1" x14ac:dyDescent="0.3">
      <c r="A49" s="406" t="s">
        <v>376</v>
      </c>
      <c r="B49" s="430" t="s">
        <v>377</v>
      </c>
      <c r="C49" s="430" t="s">
        <v>366</v>
      </c>
      <c r="D49" s="430" t="s">
        <v>388</v>
      </c>
      <c r="E49" s="430" t="s">
        <v>389</v>
      </c>
      <c r="F49" s="407">
        <v>4</v>
      </c>
      <c r="G49" s="407">
        <v>1272</v>
      </c>
      <c r="H49" s="430">
        <v>1</v>
      </c>
      <c r="I49" s="430">
        <v>318</v>
      </c>
      <c r="J49" s="407">
        <v>70</v>
      </c>
      <c r="K49" s="407">
        <v>22330</v>
      </c>
      <c r="L49" s="430">
        <v>17.55503144654088</v>
      </c>
      <c r="M49" s="430">
        <v>319</v>
      </c>
      <c r="N49" s="407">
        <v>425</v>
      </c>
      <c r="O49" s="407">
        <v>136430</v>
      </c>
      <c r="P49" s="431">
        <v>107.25628930817611</v>
      </c>
      <c r="Q49" s="432">
        <v>321.01176470588234</v>
      </c>
    </row>
    <row r="50" spans="1:17" ht="14.4" customHeight="1" x14ac:dyDescent="0.3">
      <c r="A50" s="406" t="s">
        <v>376</v>
      </c>
      <c r="B50" s="430" t="s">
        <v>377</v>
      </c>
      <c r="C50" s="430" t="s">
        <v>366</v>
      </c>
      <c r="D50" s="430" t="s">
        <v>390</v>
      </c>
      <c r="E50" s="430" t="s">
        <v>391</v>
      </c>
      <c r="F50" s="407">
        <v>286</v>
      </c>
      <c r="G50" s="407">
        <v>90948</v>
      </c>
      <c r="H50" s="430">
        <v>1</v>
      </c>
      <c r="I50" s="430">
        <v>318</v>
      </c>
      <c r="J50" s="407">
        <v>214</v>
      </c>
      <c r="K50" s="407">
        <v>68266</v>
      </c>
      <c r="L50" s="430">
        <v>0.75060474117077891</v>
      </c>
      <c r="M50" s="430">
        <v>319</v>
      </c>
      <c r="N50" s="407">
        <v>314</v>
      </c>
      <c r="O50" s="407">
        <v>100814</v>
      </c>
      <c r="P50" s="431">
        <v>1.1084795707437216</v>
      </c>
      <c r="Q50" s="432">
        <v>321.06369426751593</v>
      </c>
    </row>
    <row r="51" spans="1:17" ht="14.4" customHeight="1" x14ac:dyDescent="0.3">
      <c r="A51" s="406" t="s">
        <v>376</v>
      </c>
      <c r="B51" s="430" t="s">
        <v>377</v>
      </c>
      <c r="C51" s="430" t="s">
        <v>366</v>
      </c>
      <c r="D51" s="430" t="s">
        <v>402</v>
      </c>
      <c r="E51" s="430" t="s">
        <v>403</v>
      </c>
      <c r="F51" s="407">
        <v>2</v>
      </c>
      <c r="G51" s="407">
        <v>0</v>
      </c>
      <c r="H51" s="430"/>
      <c r="I51" s="430">
        <v>0</v>
      </c>
      <c r="J51" s="407">
        <v>3</v>
      </c>
      <c r="K51" s="407">
        <v>0</v>
      </c>
      <c r="L51" s="430"/>
      <c r="M51" s="430">
        <v>0</v>
      </c>
      <c r="N51" s="407">
        <v>2</v>
      </c>
      <c r="O51" s="407">
        <v>0</v>
      </c>
      <c r="P51" s="431"/>
      <c r="Q51" s="432">
        <v>0</v>
      </c>
    </row>
    <row r="52" spans="1:17" ht="14.4" customHeight="1" x14ac:dyDescent="0.3">
      <c r="A52" s="406" t="s">
        <v>376</v>
      </c>
      <c r="B52" s="430" t="s">
        <v>377</v>
      </c>
      <c r="C52" s="430" t="s">
        <v>366</v>
      </c>
      <c r="D52" s="430" t="s">
        <v>380</v>
      </c>
      <c r="E52" s="430" t="s">
        <v>381</v>
      </c>
      <c r="F52" s="407">
        <v>19</v>
      </c>
      <c r="G52" s="407">
        <v>0</v>
      </c>
      <c r="H52" s="430"/>
      <c r="I52" s="430">
        <v>0</v>
      </c>
      <c r="J52" s="407">
        <v>31</v>
      </c>
      <c r="K52" s="407">
        <v>0</v>
      </c>
      <c r="L52" s="430"/>
      <c r="M52" s="430">
        <v>0</v>
      </c>
      <c r="N52" s="407">
        <v>39</v>
      </c>
      <c r="O52" s="407">
        <v>0</v>
      </c>
      <c r="P52" s="431"/>
      <c r="Q52" s="432">
        <v>0</v>
      </c>
    </row>
    <row r="53" spans="1:17" ht="14.4" customHeight="1" x14ac:dyDescent="0.3">
      <c r="A53" s="406" t="s">
        <v>376</v>
      </c>
      <c r="B53" s="430" t="s">
        <v>377</v>
      </c>
      <c r="C53" s="430" t="s">
        <v>366</v>
      </c>
      <c r="D53" s="430" t="s">
        <v>392</v>
      </c>
      <c r="E53" s="430" t="s">
        <v>393</v>
      </c>
      <c r="F53" s="407">
        <v>33</v>
      </c>
      <c r="G53" s="407">
        <v>17556</v>
      </c>
      <c r="H53" s="430">
        <v>1</v>
      </c>
      <c r="I53" s="430">
        <v>532</v>
      </c>
      <c r="J53" s="407">
        <v>7</v>
      </c>
      <c r="K53" s="407">
        <v>3773</v>
      </c>
      <c r="L53" s="430">
        <v>0.21491228070175439</v>
      </c>
      <c r="M53" s="430">
        <v>539</v>
      </c>
      <c r="N53" s="407">
        <v>8</v>
      </c>
      <c r="O53" s="407">
        <v>4360</v>
      </c>
      <c r="P53" s="431">
        <v>0.24834814308498518</v>
      </c>
      <c r="Q53" s="432">
        <v>545</v>
      </c>
    </row>
    <row r="54" spans="1:17" ht="14.4" customHeight="1" x14ac:dyDescent="0.3">
      <c r="A54" s="406" t="s">
        <v>376</v>
      </c>
      <c r="B54" s="430" t="s">
        <v>377</v>
      </c>
      <c r="C54" s="430" t="s">
        <v>366</v>
      </c>
      <c r="D54" s="430" t="s">
        <v>394</v>
      </c>
      <c r="E54" s="430" t="s">
        <v>395</v>
      </c>
      <c r="F54" s="407">
        <v>14</v>
      </c>
      <c r="G54" s="407">
        <v>3724</v>
      </c>
      <c r="H54" s="430">
        <v>1</v>
      </c>
      <c r="I54" s="430">
        <v>266</v>
      </c>
      <c r="J54" s="407">
        <v>11</v>
      </c>
      <c r="K54" s="407">
        <v>2959</v>
      </c>
      <c r="L54" s="430">
        <v>0.79457572502685281</v>
      </c>
      <c r="M54" s="430">
        <v>269</v>
      </c>
      <c r="N54" s="407">
        <v>6</v>
      </c>
      <c r="O54" s="407">
        <v>1632</v>
      </c>
      <c r="P54" s="431">
        <v>0.43823845327604727</v>
      </c>
      <c r="Q54" s="432">
        <v>272</v>
      </c>
    </row>
    <row r="55" spans="1:17" ht="14.4" customHeight="1" x14ac:dyDescent="0.3">
      <c r="A55" s="406" t="s">
        <v>376</v>
      </c>
      <c r="B55" s="430" t="s">
        <v>377</v>
      </c>
      <c r="C55" s="430" t="s">
        <v>366</v>
      </c>
      <c r="D55" s="430" t="s">
        <v>396</v>
      </c>
      <c r="E55" s="430" t="s">
        <v>397</v>
      </c>
      <c r="F55" s="407">
        <v>35</v>
      </c>
      <c r="G55" s="407">
        <v>18620</v>
      </c>
      <c r="H55" s="430">
        <v>1</v>
      </c>
      <c r="I55" s="430">
        <v>532</v>
      </c>
      <c r="J55" s="407">
        <v>70</v>
      </c>
      <c r="K55" s="407">
        <v>37730</v>
      </c>
      <c r="L55" s="430">
        <v>2.0263157894736841</v>
      </c>
      <c r="M55" s="430">
        <v>539</v>
      </c>
      <c r="N55" s="407">
        <v>117</v>
      </c>
      <c r="O55" s="407">
        <v>63495</v>
      </c>
      <c r="P55" s="431">
        <v>3.4100429645542429</v>
      </c>
      <c r="Q55" s="432">
        <v>542.69230769230774</v>
      </c>
    </row>
    <row r="56" spans="1:17" ht="14.4" customHeight="1" x14ac:dyDescent="0.3">
      <c r="A56" s="406" t="s">
        <v>376</v>
      </c>
      <c r="B56" s="430" t="s">
        <v>377</v>
      </c>
      <c r="C56" s="430" t="s">
        <v>367</v>
      </c>
      <c r="D56" s="430" t="s">
        <v>386</v>
      </c>
      <c r="E56" s="430" t="s">
        <v>387</v>
      </c>
      <c r="F56" s="407"/>
      <c r="G56" s="407"/>
      <c r="H56" s="430"/>
      <c r="I56" s="430"/>
      <c r="J56" s="407"/>
      <c r="K56" s="407"/>
      <c r="L56" s="430"/>
      <c r="M56" s="430"/>
      <c r="N56" s="407">
        <v>2</v>
      </c>
      <c r="O56" s="407">
        <v>140</v>
      </c>
      <c r="P56" s="431"/>
      <c r="Q56" s="432">
        <v>70</v>
      </c>
    </row>
    <row r="57" spans="1:17" ht="14.4" customHeight="1" x14ac:dyDescent="0.3">
      <c r="A57" s="406" t="s">
        <v>376</v>
      </c>
      <c r="B57" s="430" t="s">
        <v>377</v>
      </c>
      <c r="C57" s="430" t="s">
        <v>367</v>
      </c>
      <c r="D57" s="430" t="s">
        <v>378</v>
      </c>
      <c r="E57" s="430" t="s">
        <v>379</v>
      </c>
      <c r="F57" s="407">
        <v>36</v>
      </c>
      <c r="G57" s="407">
        <v>11448</v>
      </c>
      <c r="H57" s="430">
        <v>1</v>
      </c>
      <c r="I57" s="430">
        <v>318</v>
      </c>
      <c r="J57" s="407">
        <v>86</v>
      </c>
      <c r="K57" s="407">
        <v>27434</v>
      </c>
      <c r="L57" s="430">
        <v>2.3964011180992313</v>
      </c>
      <c r="M57" s="430">
        <v>319</v>
      </c>
      <c r="N57" s="407">
        <v>270</v>
      </c>
      <c r="O57" s="407">
        <v>86706</v>
      </c>
      <c r="P57" s="431">
        <v>7.5738993710691824</v>
      </c>
      <c r="Q57" s="432">
        <v>321.13333333333333</v>
      </c>
    </row>
    <row r="58" spans="1:17" ht="14.4" customHeight="1" x14ac:dyDescent="0.3">
      <c r="A58" s="406" t="s">
        <v>376</v>
      </c>
      <c r="B58" s="430" t="s">
        <v>377</v>
      </c>
      <c r="C58" s="430" t="s">
        <v>367</v>
      </c>
      <c r="D58" s="430" t="s">
        <v>380</v>
      </c>
      <c r="E58" s="430" t="s">
        <v>381</v>
      </c>
      <c r="F58" s="407">
        <v>1</v>
      </c>
      <c r="G58" s="407">
        <v>0</v>
      </c>
      <c r="H58" s="430"/>
      <c r="I58" s="430">
        <v>0</v>
      </c>
      <c r="J58" s="407">
        <v>3</v>
      </c>
      <c r="K58" s="407">
        <v>0</v>
      </c>
      <c r="L58" s="430"/>
      <c r="M58" s="430">
        <v>0</v>
      </c>
      <c r="N58" s="407">
        <v>3</v>
      </c>
      <c r="O58" s="407">
        <v>0</v>
      </c>
      <c r="P58" s="431"/>
      <c r="Q58" s="432">
        <v>0</v>
      </c>
    </row>
    <row r="59" spans="1:17" ht="14.4" customHeight="1" x14ac:dyDescent="0.3">
      <c r="A59" s="406" t="s">
        <v>376</v>
      </c>
      <c r="B59" s="430" t="s">
        <v>377</v>
      </c>
      <c r="C59" s="430" t="s">
        <v>367</v>
      </c>
      <c r="D59" s="430" t="s">
        <v>382</v>
      </c>
      <c r="E59" s="430" t="s">
        <v>383</v>
      </c>
      <c r="F59" s="407">
        <v>4</v>
      </c>
      <c r="G59" s="407">
        <v>2104</v>
      </c>
      <c r="H59" s="430">
        <v>1</v>
      </c>
      <c r="I59" s="430">
        <v>526</v>
      </c>
      <c r="J59" s="407">
        <v>16</v>
      </c>
      <c r="K59" s="407">
        <v>8608</v>
      </c>
      <c r="L59" s="430">
        <v>4.0912547528517109</v>
      </c>
      <c r="M59" s="430">
        <v>538</v>
      </c>
      <c r="N59" s="407">
        <v>12</v>
      </c>
      <c r="O59" s="407">
        <v>6528</v>
      </c>
      <c r="P59" s="431">
        <v>3.1026615969581748</v>
      </c>
      <c r="Q59" s="432">
        <v>544</v>
      </c>
    </row>
    <row r="60" spans="1:17" ht="14.4" customHeight="1" x14ac:dyDescent="0.3">
      <c r="A60" s="406" t="s">
        <v>376</v>
      </c>
      <c r="B60" s="430" t="s">
        <v>377</v>
      </c>
      <c r="C60" s="430" t="s">
        <v>368</v>
      </c>
      <c r="D60" s="430" t="s">
        <v>386</v>
      </c>
      <c r="E60" s="430" t="s">
        <v>387</v>
      </c>
      <c r="F60" s="407">
        <v>16</v>
      </c>
      <c r="G60" s="407">
        <v>1088</v>
      </c>
      <c r="H60" s="430">
        <v>1</v>
      </c>
      <c r="I60" s="430">
        <v>68</v>
      </c>
      <c r="J60" s="407">
        <v>19</v>
      </c>
      <c r="K60" s="407">
        <v>1311</v>
      </c>
      <c r="L60" s="430">
        <v>1.2049632352941178</v>
      </c>
      <c r="M60" s="430">
        <v>69</v>
      </c>
      <c r="N60" s="407">
        <v>7</v>
      </c>
      <c r="O60" s="407">
        <v>488</v>
      </c>
      <c r="P60" s="431">
        <v>0.4485294117647059</v>
      </c>
      <c r="Q60" s="432">
        <v>69.714285714285708</v>
      </c>
    </row>
    <row r="61" spans="1:17" ht="14.4" customHeight="1" x14ac:dyDescent="0.3">
      <c r="A61" s="406" t="s">
        <v>376</v>
      </c>
      <c r="B61" s="430" t="s">
        <v>377</v>
      </c>
      <c r="C61" s="430" t="s">
        <v>368</v>
      </c>
      <c r="D61" s="430" t="s">
        <v>378</v>
      </c>
      <c r="E61" s="430" t="s">
        <v>379</v>
      </c>
      <c r="F61" s="407">
        <v>297</v>
      </c>
      <c r="G61" s="407">
        <v>94446</v>
      </c>
      <c r="H61" s="430">
        <v>1</v>
      </c>
      <c r="I61" s="430">
        <v>318</v>
      </c>
      <c r="J61" s="407">
        <v>384</v>
      </c>
      <c r="K61" s="407">
        <v>122496</v>
      </c>
      <c r="L61" s="430">
        <v>1.2969951083158631</v>
      </c>
      <c r="M61" s="430">
        <v>319</v>
      </c>
      <c r="N61" s="407">
        <v>166</v>
      </c>
      <c r="O61" s="407">
        <v>53254</v>
      </c>
      <c r="P61" s="431">
        <v>0.56385659530313614</v>
      </c>
      <c r="Q61" s="432">
        <v>320.80722891566268</v>
      </c>
    </row>
    <row r="62" spans="1:17" ht="14.4" customHeight="1" x14ac:dyDescent="0.3">
      <c r="A62" s="406" t="s">
        <v>376</v>
      </c>
      <c r="B62" s="430" t="s">
        <v>377</v>
      </c>
      <c r="C62" s="430" t="s">
        <v>368</v>
      </c>
      <c r="D62" s="430" t="s">
        <v>388</v>
      </c>
      <c r="E62" s="430" t="s">
        <v>389</v>
      </c>
      <c r="F62" s="407">
        <v>33</v>
      </c>
      <c r="G62" s="407">
        <v>10494</v>
      </c>
      <c r="H62" s="430">
        <v>1</v>
      </c>
      <c r="I62" s="430">
        <v>318</v>
      </c>
      <c r="J62" s="407">
        <v>12</v>
      </c>
      <c r="K62" s="407">
        <v>3828</v>
      </c>
      <c r="L62" s="430">
        <v>0.36477987421383645</v>
      </c>
      <c r="M62" s="430">
        <v>319</v>
      </c>
      <c r="N62" s="407">
        <v>12</v>
      </c>
      <c r="O62" s="407">
        <v>3864</v>
      </c>
      <c r="P62" s="431">
        <v>0.36821040594625498</v>
      </c>
      <c r="Q62" s="432">
        <v>322</v>
      </c>
    </row>
    <row r="63" spans="1:17" ht="14.4" customHeight="1" x14ac:dyDescent="0.3">
      <c r="A63" s="406" t="s">
        <v>376</v>
      </c>
      <c r="B63" s="430" t="s">
        <v>377</v>
      </c>
      <c r="C63" s="430" t="s">
        <v>368</v>
      </c>
      <c r="D63" s="430" t="s">
        <v>380</v>
      </c>
      <c r="E63" s="430" t="s">
        <v>381</v>
      </c>
      <c r="F63" s="407">
        <v>23</v>
      </c>
      <c r="G63" s="407">
        <v>0</v>
      </c>
      <c r="H63" s="430"/>
      <c r="I63" s="430">
        <v>0</v>
      </c>
      <c r="J63" s="407">
        <v>13</v>
      </c>
      <c r="K63" s="407">
        <v>0</v>
      </c>
      <c r="L63" s="430"/>
      <c r="M63" s="430">
        <v>0</v>
      </c>
      <c r="N63" s="407">
        <v>9</v>
      </c>
      <c r="O63" s="407">
        <v>0</v>
      </c>
      <c r="P63" s="431"/>
      <c r="Q63" s="432">
        <v>0</v>
      </c>
    </row>
    <row r="64" spans="1:17" ht="14.4" customHeight="1" x14ac:dyDescent="0.3">
      <c r="A64" s="406" t="s">
        <v>376</v>
      </c>
      <c r="B64" s="430" t="s">
        <v>377</v>
      </c>
      <c r="C64" s="430" t="s">
        <v>368</v>
      </c>
      <c r="D64" s="430" t="s">
        <v>382</v>
      </c>
      <c r="E64" s="430" t="s">
        <v>383</v>
      </c>
      <c r="F64" s="407">
        <v>104</v>
      </c>
      <c r="G64" s="407">
        <v>54704</v>
      </c>
      <c r="H64" s="430">
        <v>1</v>
      </c>
      <c r="I64" s="430">
        <v>526</v>
      </c>
      <c r="J64" s="407">
        <v>50</v>
      </c>
      <c r="K64" s="407">
        <v>26900</v>
      </c>
      <c r="L64" s="430">
        <v>0.49173735010236913</v>
      </c>
      <c r="M64" s="430">
        <v>538</v>
      </c>
      <c r="N64" s="407">
        <v>56</v>
      </c>
      <c r="O64" s="407">
        <v>30356</v>
      </c>
      <c r="P64" s="431">
        <v>0.55491371746124596</v>
      </c>
      <c r="Q64" s="432">
        <v>542.07142857142856</v>
      </c>
    </row>
    <row r="65" spans="1:17" ht="14.4" customHeight="1" x14ac:dyDescent="0.3">
      <c r="A65" s="406" t="s">
        <v>376</v>
      </c>
      <c r="B65" s="430" t="s">
        <v>377</v>
      </c>
      <c r="C65" s="430" t="s">
        <v>369</v>
      </c>
      <c r="D65" s="430" t="s">
        <v>386</v>
      </c>
      <c r="E65" s="430" t="s">
        <v>387</v>
      </c>
      <c r="F65" s="407"/>
      <c r="G65" s="407"/>
      <c r="H65" s="430"/>
      <c r="I65" s="430"/>
      <c r="J65" s="407"/>
      <c r="K65" s="407"/>
      <c r="L65" s="430"/>
      <c r="M65" s="430"/>
      <c r="N65" s="407">
        <v>4</v>
      </c>
      <c r="O65" s="407">
        <v>276</v>
      </c>
      <c r="P65" s="431"/>
      <c r="Q65" s="432">
        <v>69</v>
      </c>
    </row>
    <row r="66" spans="1:17" ht="14.4" customHeight="1" x14ac:dyDescent="0.3">
      <c r="A66" s="406" t="s">
        <v>376</v>
      </c>
      <c r="B66" s="430" t="s">
        <v>377</v>
      </c>
      <c r="C66" s="430" t="s">
        <v>369</v>
      </c>
      <c r="D66" s="430" t="s">
        <v>378</v>
      </c>
      <c r="E66" s="430" t="s">
        <v>379</v>
      </c>
      <c r="F66" s="407">
        <v>649</v>
      </c>
      <c r="G66" s="407">
        <v>206382</v>
      </c>
      <c r="H66" s="430">
        <v>1</v>
      </c>
      <c r="I66" s="430">
        <v>318</v>
      </c>
      <c r="J66" s="407">
        <v>850</v>
      </c>
      <c r="K66" s="407">
        <v>271150</v>
      </c>
      <c r="L66" s="430">
        <v>1.3138258181430551</v>
      </c>
      <c r="M66" s="430">
        <v>319</v>
      </c>
      <c r="N66" s="407">
        <v>1045</v>
      </c>
      <c r="O66" s="407">
        <v>335563</v>
      </c>
      <c r="P66" s="431">
        <v>1.6259315250360982</v>
      </c>
      <c r="Q66" s="432">
        <v>321.11291866028711</v>
      </c>
    </row>
    <row r="67" spans="1:17" ht="14.4" customHeight="1" x14ac:dyDescent="0.3">
      <c r="A67" s="406" t="s">
        <v>376</v>
      </c>
      <c r="B67" s="430" t="s">
        <v>377</v>
      </c>
      <c r="C67" s="430" t="s">
        <v>369</v>
      </c>
      <c r="D67" s="430" t="s">
        <v>388</v>
      </c>
      <c r="E67" s="430" t="s">
        <v>389</v>
      </c>
      <c r="F67" s="407">
        <v>4</v>
      </c>
      <c r="G67" s="407">
        <v>1272</v>
      </c>
      <c r="H67" s="430">
        <v>1</v>
      </c>
      <c r="I67" s="430">
        <v>318</v>
      </c>
      <c r="J67" s="407">
        <v>47</v>
      </c>
      <c r="K67" s="407">
        <v>14993</v>
      </c>
      <c r="L67" s="430">
        <v>11.786949685534591</v>
      </c>
      <c r="M67" s="430">
        <v>319</v>
      </c>
      <c r="N67" s="407">
        <v>27</v>
      </c>
      <c r="O67" s="407">
        <v>8682</v>
      </c>
      <c r="P67" s="431">
        <v>6.8254716981132075</v>
      </c>
      <c r="Q67" s="432">
        <v>321.55555555555554</v>
      </c>
    </row>
    <row r="68" spans="1:17" ht="14.4" customHeight="1" x14ac:dyDescent="0.3">
      <c r="A68" s="406" t="s">
        <v>376</v>
      </c>
      <c r="B68" s="430" t="s">
        <v>377</v>
      </c>
      <c r="C68" s="430" t="s">
        <v>369</v>
      </c>
      <c r="D68" s="430" t="s">
        <v>390</v>
      </c>
      <c r="E68" s="430" t="s">
        <v>391</v>
      </c>
      <c r="F68" s="407"/>
      <c r="G68" s="407"/>
      <c r="H68" s="430"/>
      <c r="I68" s="430"/>
      <c r="J68" s="407"/>
      <c r="K68" s="407"/>
      <c r="L68" s="430"/>
      <c r="M68" s="430"/>
      <c r="N68" s="407">
        <v>6</v>
      </c>
      <c r="O68" s="407">
        <v>1923</v>
      </c>
      <c r="P68" s="431"/>
      <c r="Q68" s="432">
        <v>320.5</v>
      </c>
    </row>
    <row r="69" spans="1:17" ht="14.4" customHeight="1" x14ac:dyDescent="0.3">
      <c r="A69" s="406" t="s">
        <v>376</v>
      </c>
      <c r="B69" s="430" t="s">
        <v>377</v>
      </c>
      <c r="C69" s="430" t="s">
        <v>369</v>
      </c>
      <c r="D69" s="430" t="s">
        <v>380</v>
      </c>
      <c r="E69" s="430" t="s">
        <v>381</v>
      </c>
      <c r="F69" s="407"/>
      <c r="G69" s="407"/>
      <c r="H69" s="430"/>
      <c r="I69" s="430"/>
      <c r="J69" s="407">
        <v>2</v>
      </c>
      <c r="K69" s="407">
        <v>0</v>
      </c>
      <c r="L69" s="430"/>
      <c r="M69" s="430">
        <v>0</v>
      </c>
      <c r="N69" s="407">
        <v>4</v>
      </c>
      <c r="O69" s="407">
        <v>0</v>
      </c>
      <c r="P69" s="431"/>
      <c r="Q69" s="432">
        <v>0</v>
      </c>
    </row>
    <row r="70" spans="1:17" ht="14.4" customHeight="1" x14ac:dyDescent="0.3">
      <c r="A70" s="406" t="s">
        <v>376</v>
      </c>
      <c r="B70" s="430" t="s">
        <v>377</v>
      </c>
      <c r="C70" s="430" t="s">
        <v>369</v>
      </c>
      <c r="D70" s="430" t="s">
        <v>382</v>
      </c>
      <c r="E70" s="430" t="s">
        <v>383</v>
      </c>
      <c r="F70" s="407"/>
      <c r="G70" s="407"/>
      <c r="H70" s="430"/>
      <c r="I70" s="430"/>
      <c r="J70" s="407">
        <v>10</v>
      </c>
      <c r="K70" s="407">
        <v>5380</v>
      </c>
      <c r="L70" s="430"/>
      <c r="M70" s="430">
        <v>538</v>
      </c>
      <c r="N70" s="407">
        <v>14</v>
      </c>
      <c r="O70" s="407">
        <v>7616</v>
      </c>
      <c r="P70" s="431"/>
      <c r="Q70" s="432">
        <v>544</v>
      </c>
    </row>
    <row r="71" spans="1:17" ht="14.4" customHeight="1" x14ac:dyDescent="0.3">
      <c r="A71" s="406" t="s">
        <v>376</v>
      </c>
      <c r="B71" s="430" t="s">
        <v>377</v>
      </c>
      <c r="C71" s="430" t="s">
        <v>369</v>
      </c>
      <c r="D71" s="430" t="s">
        <v>384</v>
      </c>
      <c r="E71" s="430" t="s">
        <v>385</v>
      </c>
      <c r="F71" s="407"/>
      <c r="G71" s="407"/>
      <c r="H71" s="430"/>
      <c r="I71" s="430"/>
      <c r="J71" s="407">
        <v>16</v>
      </c>
      <c r="K71" s="407">
        <v>8608</v>
      </c>
      <c r="L71" s="430"/>
      <c r="M71" s="430">
        <v>538</v>
      </c>
      <c r="N71" s="407"/>
      <c r="O71" s="407"/>
      <c r="P71" s="431"/>
      <c r="Q71" s="432"/>
    </row>
    <row r="72" spans="1:17" ht="14.4" customHeight="1" x14ac:dyDescent="0.3">
      <c r="A72" s="406" t="s">
        <v>376</v>
      </c>
      <c r="B72" s="430" t="s">
        <v>377</v>
      </c>
      <c r="C72" s="430" t="s">
        <v>370</v>
      </c>
      <c r="D72" s="430" t="s">
        <v>378</v>
      </c>
      <c r="E72" s="430" t="s">
        <v>379</v>
      </c>
      <c r="F72" s="407">
        <v>8</v>
      </c>
      <c r="G72" s="407">
        <v>2544</v>
      </c>
      <c r="H72" s="430">
        <v>1</v>
      </c>
      <c r="I72" s="430">
        <v>318</v>
      </c>
      <c r="J72" s="407">
        <v>6</v>
      </c>
      <c r="K72" s="407">
        <v>1914</v>
      </c>
      <c r="L72" s="430">
        <v>0.75235849056603776</v>
      </c>
      <c r="M72" s="430">
        <v>319</v>
      </c>
      <c r="N72" s="407"/>
      <c r="O72" s="407"/>
      <c r="P72" s="431"/>
      <c r="Q72" s="432"/>
    </row>
    <row r="73" spans="1:17" ht="14.4" customHeight="1" x14ac:dyDescent="0.3">
      <c r="A73" s="406" t="s">
        <v>376</v>
      </c>
      <c r="B73" s="430" t="s">
        <v>377</v>
      </c>
      <c r="C73" s="430" t="s">
        <v>371</v>
      </c>
      <c r="D73" s="430" t="s">
        <v>400</v>
      </c>
      <c r="E73" s="430" t="s">
        <v>401</v>
      </c>
      <c r="F73" s="407"/>
      <c r="G73" s="407"/>
      <c r="H73" s="430"/>
      <c r="I73" s="430"/>
      <c r="J73" s="407"/>
      <c r="K73" s="407"/>
      <c r="L73" s="430"/>
      <c r="M73" s="430"/>
      <c r="N73" s="407">
        <v>1</v>
      </c>
      <c r="O73" s="407">
        <v>34</v>
      </c>
      <c r="P73" s="431"/>
      <c r="Q73" s="432">
        <v>34</v>
      </c>
    </row>
    <row r="74" spans="1:17" ht="14.4" customHeight="1" x14ac:dyDescent="0.3">
      <c r="A74" s="406" t="s">
        <v>376</v>
      </c>
      <c r="B74" s="430" t="s">
        <v>377</v>
      </c>
      <c r="C74" s="430" t="s">
        <v>371</v>
      </c>
      <c r="D74" s="430" t="s">
        <v>386</v>
      </c>
      <c r="E74" s="430" t="s">
        <v>387</v>
      </c>
      <c r="F74" s="407"/>
      <c r="G74" s="407"/>
      <c r="H74" s="430"/>
      <c r="I74" s="430"/>
      <c r="J74" s="407"/>
      <c r="K74" s="407"/>
      <c r="L74" s="430"/>
      <c r="M74" s="430"/>
      <c r="N74" s="407">
        <v>8</v>
      </c>
      <c r="O74" s="407">
        <v>558</v>
      </c>
      <c r="P74" s="431"/>
      <c r="Q74" s="432">
        <v>69.75</v>
      </c>
    </row>
    <row r="75" spans="1:17" ht="14.4" customHeight="1" x14ac:dyDescent="0.3">
      <c r="A75" s="406" t="s">
        <v>376</v>
      </c>
      <c r="B75" s="430" t="s">
        <v>377</v>
      </c>
      <c r="C75" s="430" t="s">
        <v>371</v>
      </c>
      <c r="D75" s="430" t="s">
        <v>378</v>
      </c>
      <c r="E75" s="430" t="s">
        <v>379</v>
      </c>
      <c r="F75" s="407">
        <v>47</v>
      </c>
      <c r="G75" s="407">
        <v>14946</v>
      </c>
      <c r="H75" s="430">
        <v>1</v>
      </c>
      <c r="I75" s="430">
        <v>318</v>
      </c>
      <c r="J75" s="407">
        <v>88</v>
      </c>
      <c r="K75" s="407">
        <v>28072</v>
      </c>
      <c r="L75" s="430">
        <v>1.8782282885052857</v>
      </c>
      <c r="M75" s="430">
        <v>319</v>
      </c>
      <c r="N75" s="407">
        <v>104</v>
      </c>
      <c r="O75" s="407">
        <v>33416</v>
      </c>
      <c r="P75" s="431">
        <v>2.2357821490699852</v>
      </c>
      <c r="Q75" s="432">
        <v>321.30769230769232</v>
      </c>
    </row>
    <row r="76" spans="1:17" ht="14.4" customHeight="1" x14ac:dyDescent="0.3">
      <c r="A76" s="406" t="s">
        <v>376</v>
      </c>
      <c r="B76" s="430" t="s">
        <v>377</v>
      </c>
      <c r="C76" s="430" t="s">
        <v>372</v>
      </c>
      <c r="D76" s="430" t="s">
        <v>378</v>
      </c>
      <c r="E76" s="430" t="s">
        <v>379</v>
      </c>
      <c r="F76" s="407">
        <v>638</v>
      </c>
      <c r="G76" s="407">
        <v>202884</v>
      </c>
      <c r="H76" s="430">
        <v>1</v>
      </c>
      <c r="I76" s="430">
        <v>318</v>
      </c>
      <c r="J76" s="407">
        <v>595</v>
      </c>
      <c r="K76" s="407">
        <v>189805</v>
      </c>
      <c r="L76" s="430">
        <v>0.93553459119496851</v>
      </c>
      <c r="M76" s="430">
        <v>319</v>
      </c>
      <c r="N76" s="407">
        <v>741</v>
      </c>
      <c r="O76" s="407">
        <v>237801</v>
      </c>
      <c r="P76" s="431">
        <v>1.1721032708345656</v>
      </c>
      <c r="Q76" s="432">
        <v>320.91902834008096</v>
      </c>
    </row>
    <row r="77" spans="1:17" ht="14.4" customHeight="1" x14ac:dyDescent="0.3">
      <c r="A77" s="406" t="s">
        <v>376</v>
      </c>
      <c r="B77" s="430" t="s">
        <v>377</v>
      </c>
      <c r="C77" s="430" t="s">
        <v>372</v>
      </c>
      <c r="D77" s="430" t="s">
        <v>380</v>
      </c>
      <c r="E77" s="430" t="s">
        <v>381</v>
      </c>
      <c r="F77" s="407">
        <v>39</v>
      </c>
      <c r="G77" s="407">
        <v>0</v>
      </c>
      <c r="H77" s="430"/>
      <c r="I77" s="430">
        <v>0</v>
      </c>
      <c r="J77" s="407">
        <v>44</v>
      </c>
      <c r="K77" s="407">
        <v>0</v>
      </c>
      <c r="L77" s="430"/>
      <c r="M77" s="430">
        <v>0</v>
      </c>
      <c r="N77" s="407">
        <v>32</v>
      </c>
      <c r="O77" s="407">
        <v>0</v>
      </c>
      <c r="P77" s="431"/>
      <c r="Q77" s="432">
        <v>0</v>
      </c>
    </row>
    <row r="78" spans="1:17" ht="14.4" customHeight="1" x14ac:dyDescent="0.3">
      <c r="A78" s="406" t="s">
        <v>376</v>
      </c>
      <c r="B78" s="430" t="s">
        <v>377</v>
      </c>
      <c r="C78" s="430" t="s">
        <v>372</v>
      </c>
      <c r="D78" s="430" t="s">
        <v>382</v>
      </c>
      <c r="E78" s="430" t="s">
        <v>383</v>
      </c>
      <c r="F78" s="407">
        <v>140</v>
      </c>
      <c r="G78" s="407">
        <v>73640</v>
      </c>
      <c r="H78" s="430">
        <v>1</v>
      </c>
      <c r="I78" s="430">
        <v>526</v>
      </c>
      <c r="J78" s="407">
        <v>156</v>
      </c>
      <c r="K78" s="407">
        <v>83928</v>
      </c>
      <c r="L78" s="430">
        <v>1.1397066811515482</v>
      </c>
      <c r="M78" s="430">
        <v>538</v>
      </c>
      <c r="N78" s="407">
        <v>164</v>
      </c>
      <c r="O78" s="407">
        <v>88820</v>
      </c>
      <c r="P78" s="431">
        <v>1.206137968495383</v>
      </c>
      <c r="Q78" s="432">
        <v>541.58536585365857</v>
      </c>
    </row>
    <row r="79" spans="1:17" ht="14.4" customHeight="1" x14ac:dyDescent="0.3">
      <c r="A79" s="406" t="s">
        <v>376</v>
      </c>
      <c r="B79" s="430" t="s">
        <v>377</v>
      </c>
      <c r="C79" s="430" t="s">
        <v>372</v>
      </c>
      <c r="D79" s="430" t="s">
        <v>384</v>
      </c>
      <c r="E79" s="430" t="s">
        <v>385</v>
      </c>
      <c r="F79" s="407">
        <v>160</v>
      </c>
      <c r="G79" s="407">
        <v>84160</v>
      </c>
      <c r="H79" s="430">
        <v>1</v>
      </c>
      <c r="I79" s="430">
        <v>526</v>
      </c>
      <c r="J79" s="407">
        <v>192</v>
      </c>
      <c r="K79" s="407">
        <v>103296</v>
      </c>
      <c r="L79" s="430">
        <v>1.2273764258555133</v>
      </c>
      <c r="M79" s="430">
        <v>538</v>
      </c>
      <c r="N79" s="407">
        <v>64</v>
      </c>
      <c r="O79" s="407">
        <v>34768</v>
      </c>
      <c r="P79" s="431">
        <v>0.41311787072243344</v>
      </c>
      <c r="Q79" s="432">
        <v>543.25</v>
      </c>
    </row>
    <row r="80" spans="1:17" ht="14.4" customHeight="1" x14ac:dyDescent="0.3">
      <c r="A80" s="406" t="s">
        <v>376</v>
      </c>
      <c r="B80" s="430" t="s">
        <v>377</v>
      </c>
      <c r="C80" s="430" t="s">
        <v>373</v>
      </c>
      <c r="D80" s="430" t="s">
        <v>378</v>
      </c>
      <c r="E80" s="430" t="s">
        <v>379</v>
      </c>
      <c r="F80" s="407">
        <v>524</v>
      </c>
      <c r="G80" s="407">
        <v>166632</v>
      </c>
      <c r="H80" s="430">
        <v>1</v>
      </c>
      <c r="I80" s="430">
        <v>318</v>
      </c>
      <c r="J80" s="407">
        <v>422</v>
      </c>
      <c r="K80" s="407">
        <v>134618</v>
      </c>
      <c r="L80" s="430">
        <v>0.80787603821594889</v>
      </c>
      <c r="M80" s="430">
        <v>319</v>
      </c>
      <c r="N80" s="407">
        <v>406</v>
      </c>
      <c r="O80" s="407">
        <v>130264</v>
      </c>
      <c r="P80" s="431">
        <v>0.781746603293485</v>
      </c>
      <c r="Q80" s="432">
        <v>320.84729064039408</v>
      </c>
    </row>
    <row r="81" spans="1:17" ht="14.4" customHeight="1" x14ac:dyDescent="0.3">
      <c r="A81" s="406" t="s">
        <v>376</v>
      </c>
      <c r="B81" s="430" t="s">
        <v>377</v>
      </c>
      <c r="C81" s="430" t="s">
        <v>373</v>
      </c>
      <c r="D81" s="430" t="s">
        <v>390</v>
      </c>
      <c r="E81" s="430" t="s">
        <v>391</v>
      </c>
      <c r="F81" s="407">
        <v>4</v>
      </c>
      <c r="G81" s="407">
        <v>1272</v>
      </c>
      <c r="H81" s="430">
        <v>1</v>
      </c>
      <c r="I81" s="430">
        <v>318</v>
      </c>
      <c r="J81" s="407"/>
      <c r="K81" s="407"/>
      <c r="L81" s="430"/>
      <c r="M81" s="430"/>
      <c r="N81" s="407"/>
      <c r="O81" s="407"/>
      <c r="P81" s="431"/>
      <c r="Q81" s="432"/>
    </row>
    <row r="82" spans="1:17" ht="14.4" customHeight="1" x14ac:dyDescent="0.3">
      <c r="A82" s="406" t="s">
        <v>376</v>
      </c>
      <c r="B82" s="430" t="s">
        <v>377</v>
      </c>
      <c r="C82" s="430" t="s">
        <v>373</v>
      </c>
      <c r="D82" s="430" t="s">
        <v>380</v>
      </c>
      <c r="E82" s="430" t="s">
        <v>381</v>
      </c>
      <c r="F82" s="407">
        <v>46</v>
      </c>
      <c r="G82" s="407">
        <v>0</v>
      </c>
      <c r="H82" s="430"/>
      <c r="I82" s="430">
        <v>0</v>
      </c>
      <c r="J82" s="407">
        <v>43</v>
      </c>
      <c r="K82" s="407">
        <v>0</v>
      </c>
      <c r="L82" s="430"/>
      <c r="M82" s="430">
        <v>0</v>
      </c>
      <c r="N82" s="407">
        <v>34</v>
      </c>
      <c r="O82" s="407">
        <v>0</v>
      </c>
      <c r="P82" s="431"/>
      <c r="Q82" s="432">
        <v>0</v>
      </c>
    </row>
    <row r="83" spans="1:17" ht="14.4" customHeight="1" x14ac:dyDescent="0.3">
      <c r="A83" s="406" t="s">
        <v>376</v>
      </c>
      <c r="B83" s="430" t="s">
        <v>377</v>
      </c>
      <c r="C83" s="430" t="s">
        <v>373</v>
      </c>
      <c r="D83" s="430" t="s">
        <v>382</v>
      </c>
      <c r="E83" s="430" t="s">
        <v>383</v>
      </c>
      <c r="F83" s="407">
        <v>280</v>
      </c>
      <c r="G83" s="407">
        <v>147280</v>
      </c>
      <c r="H83" s="430">
        <v>1</v>
      </c>
      <c r="I83" s="430">
        <v>526</v>
      </c>
      <c r="J83" s="407">
        <v>234</v>
      </c>
      <c r="K83" s="407">
        <v>125892</v>
      </c>
      <c r="L83" s="430">
        <v>0.85478001086366107</v>
      </c>
      <c r="M83" s="430">
        <v>538</v>
      </c>
      <c r="N83" s="407">
        <v>136</v>
      </c>
      <c r="O83" s="407">
        <v>73672</v>
      </c>
      <c r="P83" s="431">
        <v>0.50021727322107545</v>
      </c>
      <c r="Q83" s="432">
        <v>541.70588235294122</v>
      </c>
    </row>
    <row r="84" spans="1:17" ht="14.4" customHeight="1" x14ac:dyDescent="0.3">
      <c r="A84" s="406" t="s">
        <v>376</v>
      </c>
      <c r="B84" s="430" t="s">
        <v>377</v>
      </c>
      <c r="C84" s="430" t="s">
        <v>373</v>
      </c>
      <c r="D84" s="430" t="s">
        <v>396</v>
      </c>
      <c r="E84" s="430" t="s">
        <v>397</v>
      </c>
      <c r="F84" s="407"/>
      <c r="G84" s="407"/>
      <c r="H84" s="430"/>
      <c r="I84" s="430"/>
      <c r="J84" s="407">
        <v>8</v>
      </c>
      <c r="K84" s="407">
        <v>4312</v>
      </c>
      <c r="L84" s="430"/>
      <c r="M84" s="430">
        <v>539</v>
      </c>
      <c r="N84" s="407"/>
      <c r="O84" s="407"/>
      <c r="P84" s="431"/>
      <c r="Q84" s="432"/>
    </row>
    <row r="85" spans="1:17" ht="14.4" customHeight="1" x14ac:dyDescent="0.3">
      <c r="A85" s="406" t="s">
        <v>376</v>
      </c>
      <c r="B85" s="430" t="s">
        <v>377</v>
      </c>
      <c r="C85" s="430" t="s">
        <v>373</v>
      </c>
      <c r="D85" s="430" t="s">
        <v>384</v>
      </c>
      <c r="E85" s="430" t="s">
        <v>385</v>
      </c>
      <c r="F85" s="407"/>
      <c r="G85" s="407"/>
      <c r="H85" s="430"/>
      <c r="I85" s="430"/>
      <c r="J85" s="407">
        <v>16</v>
      </c>
      <c r="K85" s="407">
        <v>8608</v>
      </c>
      <c r="L85" s="430"/>
      <c r="M85" s="430">
        <v>538</v>
      </c>
      <c r="N85" s="407">
        <v>128</v>
      </c>
      <c r="O85" s="407">
        <v>69488</v>
      </c>
      <c r="P85" s="431"/>
      <c r="Q85" s="432">
        <v>542.875</v>
      </c>
    </row>
    <row r="86" spans="1:17" ht="14.4" customHeight="1" x14ac:dyDescent="0.3">
      <c r="A86" s="406" t="s">
        <v>376</v>
      </c>
      <c r="B86" s="430" t="s">
        <v>377</v>
      </c>
      <c r="C86" s="430" t="s">
        <v>374</v>
      </c>
      <c r="D86" s="430" t="s">
        <v>378</v>
      </c>
      <c r="E86" s="430" t="s">
        <v>379</v>
      </c>
      <c r="F86" s="407">
        <v>382</v>
      </c>
      <c r="G86" s="407">
        <v>121476</v>
      </c>
      <c r="H86" s="430">
        <v>1</v>
      </c>
      <c r="I86" s="430">
        <v>318</v>
      </c>
      <c r="J86" s="407">
        <v>292</v>
      </c>
      <c r="K86" s="407">
        <v>93148</v>
      </c>
      <c r="L86" s="430">
        <v>0.76680167275840494</v>
      </c>
      <c r="M86" s="430">
        <v>319</v>
      </c>
      <c r="N86" s="407">
        <v>276</v>
      </c>
      <c r="O86" s="407">
        <v>88500</v>
      </c>
      <c r="P86" s="431">
        <v>0.72853897066087125</v>
      </c>
      <c r="Q86" s="432">
        <v>320.6521739130435</v>
      </c>
    </row>
    <row r="87" spans="1:17" ht="14.4" customHeight="1" thickBot="1" x14ac:dyDescent="0.35">
      <c r="A87" s="410" t="s">
        <v>376</v>
      </c>
      <c r="B87" s="433" t="s">
        <v>377</v>
      </c>
      <c r="C87" s="433" t="s">
        <v>374</v>
      </c>
      <c r="D87" s="433" t="s">
        <v>388</v>
      </c>
      <c r="E87" s="433" t="s">
        <v>389</v>
      </c>
      <c r="F87" s="411">
        <v>4</v>
      </c>
      <c r="G87" s="411">
        <v>1272</v>
      </c>
      <c r="H87" s="433">
        <v>1</v>
      </c>
      <c r="I87" s="433">
        <v>318</v>
      </c>
      <c r="J87" s="411"/>
      <c r="K87" s="411"/>
      <c r="L87" s="433"/>
      <c r="M87" s="433"/>
      <c r="N87" s="411">
        <v>36</v>
      </c>
      <c r="O87" s="411">
        <v>11592</v>
      </c>
      <c r="P87" s="434">
        <v>9.1132075471698109</v>
      </c>
      <c r="Q87" s="435">
        <v>322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80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80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80" customWidth="1"/>
    <col min="20" max="16384" width="8.88671875" style="102"/>
  </cols>
  <sheetData>
    <row r="1" spans="1:19" ht="18.600000000000001" customHeight="1" thickBot="1" x14ac:dyDescent="0.4">
      <c r="A1" s="283" t="s">
        <v>101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</row>
    <row r="2" spans="1:19" ht="14.4" customHeight="1" thickBot="1" x14ac:dyDescent="0.35">
      <c r="A2" s="195" t="s">
        <v>221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" customHeight="1" thickBot="1" x14ac:dyDescent="0.35">
      <c r="A3" s="181" t="s">
        <v>102</v>
      </c>
      <c r="B3" s="182">
        <f>SUBTOTAL(9,B6:B1048576)</f>
        <v>2861370</v>
      </c>
      <c r="C3" s="183">
        <f t="shared" ref="C3:R3" si="0">SUBTOTAL(9,C6:C1048576)</f>
        <v>22</v>
      </c>
      <c r="D3" s="183">
        <f t="shared" si="0"/>
        <v>2866872</v>
      </c>
      <c r="E3" s="183">
        <f t="shared" si="0"/>
        <v>26.682524129809195</v>
      </c>
      <c r="F3" s="183">
        <f t="shared" si="0"/>
        <v>2879808</v>
      </c>
      <c r="G3" s="186">
        <f>IF(B3&lt;&gt;0,F3/B3,"")</f>
        <v>1.006443766447541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IF(H3&lt;&gt;0,L3/H3,"")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IF(N3&lt;&gt;0,R3/N3,"")</f>
        <v/>
      </c>
    </row>
    <row r="4" spans="1:19" ht="14.4" customHeight="1" x14ac:dyDescent="0.3">
      <c r="A4" s="310" t="s">
        <v>83</v>
      </c>
      <c r="B4" s="311" t="s">
        <v>77</v>
      </c>
      <c r="C4" s="312"/>
      <c r="D4" s="312"/>
      <c r="E4" s="312"/>
      <c r="F4" s="312"/>
      <c r="G4" s="313"/>
      <c r="H4" s="311" t="s">
        <v>78</v>
      </c>
      <c r="I4" s="312"/>
      <c r="J4" s="312"/>
      <c r="K4" s="312"/>
      <c r="L4" s="312"/>
      <c r="M4" s="313"/>
      <c r="N4" s="311" t="s">
        <v>79</v>
      </c>
      <c r="O4" s="312"/>
      <c r="P4" s="312"/>
      <c r="Q4" s="312"/>
      <c r="R4" s="312"/>
      <c r="S4" s="313"/>
    </row>
    <row r="5" spans="1:19" ht="14.4" customHeight="1" thickBot="1" x14ac:dyDescent="0.35">
      <c r="A5" s="392"/>
      <c r="B5" s="393">
        <v>2012</v>
      </c>
      <c r="C5" s="394"/>
      <c r="D5" s="394">
        <v>2013</v>
      </c>
      <c r="E5" s="394"/>
      <c r="F5" s="394">
        <v>2014</v>
      </c>
      <c r="G5" s="395" t="s">
        <v>2</v>
      </c>
      <c r="H5" s="393">
        <v>2012</v>
      </c>
      <c r="I5" s="394"/>
      <c r="J5" s="394">
        <v>2013</v>
      </c>
      <c r="K5" s="394"/>
      <c r="L5" s="394">
        <v>2014</v>
      </c>
      <c r="M5" s="395" t="s">
        <v>2</v>
      </c>
      <c r="N5" s="393">
        <v>2012</v>
      </c>
      <c r="O5" s="394"/>
      <c r="P5" s="394">
        <v>2013</v>
      </c>
      <c r="Q5" s="394"/>
      <c r="R5" s="394">
        <v>2014</v>
      </c>
      <c r="S5" s="395" t="s">
        <v>2</v>
      </c>
    </row>
    <row r="6" spans="1:19" ht="14.4" customHeight="1" x14ac:dyDescent="0.3">
      <c r="A6" s="414" t="s">
        <v>405</v>
      </c>
      <c r="B6" s="404">
        <v>22568</v>
      </c>
      <c r="C6" s="427">
        <v>1</v>
      </c>
      <c r="D6" s="404">
        <v>44260</v>
      </c>
      <c r="E6" s="427">
        <v>1.9611839773130095</v>
      </c>
      <c r="F6" s="404">
        <v>35016</v>
      </c>
      <c r="G6" s="428">
        <v>1.5515774548032613</v>
      </c>
      <c r="H6" s="404"/>
      <c r="I6" s="427"/>
      <c r="J6" s="404"/>
      <c r="K6" s="427"/>
      <c r="L6" s="404"/>
      <c r="M6" s="428"/>
      <c r="N6" s="404"/>
      <c r="O6" s="427"/>
      <c r="P6" s="404"/>
      <c r="Q6" s="427"/>
      <c r="R6" s="404"/>
      <c r="S6" s="436"/>
    </row>
    <row r="7" spans="1:19" ht="14.4" customHeight="1" x14ac:dyDescent="0.3">
      <c r="A7" s="415" t="s">
        <v>406</v>
      </c>
      <c r="B7" s="408">
        <v>26712</v>
      </c>
      <c r="C7" s="430">
        <v>1</v>
      </c>
      <c r="D7" s="408">
        <v>25520</v>
      </c>
      <c r="E7" s="430">
        <v>0.95537586103623839</v>
      </c>
      <c r="F7" s="408">
        <v>12218</v>
      </c>
      <c r="G7" s="431">
        <v>0.45739742437855646</v>
      </c>
      <c r="H7" s="408"/>
      <c r="I7" s="430"/>
      <c r="J7" s="408"/>
      <c r="K7" s="430"/>
      <c r="L7" s="408"/>
      <c r="M7" s="431"/>
      <c r="N7" s="408"/>
      <c r="O7" s="430"/>
      <c r="P7" s="408"/>
      <c r="Q7" s="430"/>
      <c r="R7" s="408"/>
      <c r="S7" s="437"/>
    </row>
    <row r="8" spans="1:19" ht="14.4" customHeight="1" x14ac:dyDescent="0.3">
      <c r="A8" s="415" t="s">
        <v>407</v>
      </c>
      <c r="B8" s="408">
        <v>78866</v>
      </c>
      <c r="C8" s="430">
        <v>1</v>
      </c>
      <c r="D8" s="408">
        <v>55415</v>
      </c>
      <c r="E8" s="430">
        <v>0.70264752871960034</v>
      </c>
      <c r="F8" s="408">
        <v>96050</v>
      </c>
      <c r="G8" s="431">
        <v>1.2178885704866482</v>
      </c>
      <c r="H8" s="408"/>
      <c r="I8" s="430"/>
      <c r="J8" s="408"/>
      <c r="K8" s="430"/>
      <c r="L8" s="408"/>
      <c r="M8" s="431"/>
      <c r="N8" s="408"/>
      <c r="O8" s="430"/>
      <c r="P8" s="408"/>
      <c r="Q8" s="430"/>
      <c r="R8" s="408"/>
      <c r="S8" s="437"/>
    </row>
    <row r="9" spans="1:19" ht="14.4" customHeight="1" x14ac:dyDescent="0.3">
      <c r="A9" s="415" t="s">
        <v>408</v>
      </c>
      <c r="B9" s="408">
        <v>30210</v>
      </c>
      <c r="C9" s="430">
        <v>1</v>
      </c>
      <c r="D9" s="408">
        <v>47350</v>
      </c>
      <c r="E9" s="430">
        <v>1.5673618007282357</v>
      </c>
      <c r="F9" s="408">
        <v>64268</v>
      </c>
      <c r="G9" s="431">
        <v>2.1273750413770274</v>
      </c>
      <c r="H9" s="408"/>
      <c r="I9" s="430"/>
      <c r="J9" s="408"/>
      <c r="K9" s="430"/>
      <c r="L9" s="408"/>
      <c r="M9" s="431"/>
      <c r="N9" s="408"/>
      <c r="O9" s="430"/>
      <c r="P9" s="408"/>
      <c r="Q9" s="430"/>
      <c r="R9" s="408"/>
      <c r="S9" s="437"/>
    </row>
    <row r="10" spans="1:19" ht="14.4" customHeight="1" x14ac:dyDescent="0.3">
      <c r="A10" s="415" t="s">
        <v>409</v>
      </c>
      <c r="B10" s="408">
        <v>1272</v>
      </c>
      <c r="C10" s="430">
        <v>1</v>
      </c>
      <c r="D10" s="408">
        <v>7656</v>
      </c>
      <c r="E10" s="430">
        <v>6.0188679245283021</v>
      </c>
      <c r="F10" s="408">
        <v>18610</v>
      </c>
      <c r="G10" s="431">
        <v>14.630503144654089</v>
      </c>
      <c r="H10" s="408"/>
      <c r="I10" s="430"/>
      <c r="J10" s="408"/>
      <c r="K10" s="430"/>
      <c r="L10" s="408"/>
      <c r="M10" s="431"/>
      <c r="N10" s="408"/>
      <c r="O10" s="430"/>
      <c r="P10" s="408"/>
      <c r="Q10" s="430"/>
      <c r="R10" s="408"/>
      <c r="S10" s="437"/>
    </row>
    <row r="11" spans="1:19" ht="14.4" customHeight="1" x14ac:dyDescent="0.3">
      <c r="A11" s="415" t="s">
        <v>410</v>
      </c>
      <c r="B11" s="408">
        <v>9040</v>
      </c>
      <c r="C11" s="430">
        <v>1</v>
      </c>
      <c r="D11" s="408"/>
      <c r="E11" s="430"/>
      <c r="F11" s="408">
        <v>8216</v>
      </c>
      <c r="G11" s="431">
        <v>0.90884955752212393</v>
      </c>
      <c r="H11" s="408"/>
      <c r="I11" s="430"/>
      <c r="J11" s="408"/>
      <c r="K11" s="430"/>
      <c r="L11" s="408"/>
      <c r="M11" s="431"/>
      <c r="N11" s="408"/>
      <c r="O11" s="430"/>
      <c r="P11" s="408"/>
      <c r="Q11" s="430"/>
      <c r="R11" s="408"/>
      <c r="S11" s="437"/>
    </row>
    <row r="12" spans="1:19" ht="14.4" customHeight="1" x14ac:dyDescent="0.3">
      <c r="A12" s="415" t="s">
        <v>411</v>
      </c>
      <c r="B12" s="408">
        <v>6360</v>
      </c>
      <c r="C12" s="430">
        <v>1</v>
      </c>
      <c r="D12" s="408">
        <v>1276</v>
      </c>
      <c r="E12" s="430">
        <v>0.20062893081761007</v>
      </c>
      <c r="F12" s="408">
        <v>1288</v>
      </c>
      <c r="G12" s="431">
        <v>0.20251572327044026</v>
      </c>
      <c r="H12" s="408"/>
      <c r="I12" s="430"/>
      <c r="J12" s="408"/>
      <c r="K12" s="430"/>
      <c r="L12" s="408"/>
      <c r="M12" s="431"/>
      <c r="N12" s="408"/>
      <c r="O12" s="430"/>
      <c r="P12" s="408"/>
      <c r="Q12" s="430"/>
      <c r="R12" s="408"/>
      <c r="S12" s="437"/>
    </row>
    <row r="13" spans="1:19" ht="14.4" customHeight="1" x14ac:dyDescent="0.3">
      <c r="A13" s="415" t="s">
        <v>412</v>
      </c>
      <c r="B13" s="408">
        <v>400766</v>
      </c>
      <c r="C13" s="430">
        <v>1</v>
      </c>
      <c r="D13" s="408">
        <v>399026</v>
      </c>
      <c r="E13" s="430">
        <v>0.99565831432806173</v>
      </c>
      <c r="F13" s="408">
        <v>361577</v>
      </c>
      <c r="G13" s="431">
        <v>0.90221475873701862</v>
      </c>
      <c r="H13" s="408"/>
      <c r="I13" s="430"/>
      <c r="J13" s="408"/>
      <c r="K13" s="430"/>
      <c r="L13" s="408"/>
      <c r="M13" s="431"/>
      <c r="N13" s="408"/>
      <c r="O13" s="430"/>
      <c r="P13" s="408"/>
      <c r="Q13" s="430"/>
      <c r="R13" s="408"/>
      <c r="S13" s="437"/>
    </row>
    <row r="14" spans="1:19" ht="14.4" customHeight="1" x14ac:dyDescent="0.3">
      <c r="A14" s="415" t="s">
        <v>413</v>
      </c>
      <c r="B14" s="408">
        <v>2544</v>
      </c>
      <c r="C14" s="430">
        <v>1</v>
      </c>
      <c r="D14" s="408">
        <v>2552</v>
      </c>
      <c r="E14" s="430">
        <v>1.0031446540880504</v>
      </c>
      <c r="F14" s="408">
        <v>5128</v>
      </c>
      <c r="G14" s="431">
        <v>2.0157232704402515</v>
      </c>
      <c r="H14" s="408"/>
      <c r="I14" s="430"/>
      <c r="J14" s="408"/>
      <c r="K14" s="430"/>
      <c r="L14" s="408"/>
      <c r="M14" s="431"/>
      <c r="N14" s="408"/>
      <c r="O14" s="430"/>
      <c r="P14" s="408"/>
      <c r="Q14" s="430"/>
      <c r="R14" s="408"/>
      <c r="S14" s="437"/>
    </row>
    <row r="15" spans="1:19" ht="14.4" customHeight="1" x14ac:dyDescent="0.3">
      <c r="A15" s="415" t="s">
        <v>414</v>
      </c>
      <c r="B15" s="408">
        <v>472838</v>
      </c>
      <c r="C15" s="430">
        <v>1</v>
      </c>
      <c r="D15" s="408">
        <v>433010</v>
      </c>
      <c r="E15" s="430">
        <v>0.91576819121982578</v>
      </c>
      <c r="F15" s="408">
        <v>422250</v>
      </c>
      <c r="G15" s="431">
        <v>0.89301198296245221</v>
      </c>
      <c r="H15" s="408"/>
      <c r="I15" s="430"/>
      <c r="J15" s="408"/>
      <c r="K15" s="430"/>
      <c r="L15" s="408"/>
      <c r="M15" s="431"/>
      <c r="N15" s="408"/>
      <c r="O15" s="430"/>
      <c r="P15" s="408"/>
      <c r="Q15" s="430"/>
      <c r="R15" s="408"/>
      <c r="S15" s="437"/>
    </row>
    <row r="16" spans="1:19" ht="14.4" customHeight="1" x14ac:dyDescent="0.3">
      <c r="A16" s="415" t="s">
        <v>415</v>
      </c>
      <c r="B16" s="408"/>
      <c r="C16" s="430"/>
      <c r="D16" s="408">
        <v>1276</v>
      </c>
      <c r="E16" s="430"/>
      <c r="F16" s="408"/>
      <c r="G16" s="431"/>
      <c r="H16" s="408"/>
      <c r="I16" s="430"/>
      <c r="J16" s="408"/>
      <c r="K16" s="430"/>
      <c r="L16" s="408"/>
      <c r="M16" s="431"/>
      <c r="N16" s="408"/>
      <c r="O16" s="430"/>
      <c r="P16" s="408"/>
      <c r="Q16" s="430"/>
      <c r="R16" s="408"/>
      <c r="S16" s="437"/>
    </row>
    <row r="17" spans="1:19" ht="14.4" customHeight="1" x14ac:dyDescent="0.3">
      <c r="A17" s="415" t="s">
        <v>416</v>
      </c>
      <c r="B17" s="408"/>
      <c r="C17" s="430"/>
      <c r="D17" s="408">
        <v>14274</v>
      </c>
      <c r="E17" s="430"/>
      <c r="F17" s="408">
        <v>2898</v>
      </c>
      <c r="G17" s="431"/>
      <c r="H17" s="408"/>
      <c r="I17" s="430"/>
      <c r="J17" s="408"/>
      <c r="K17" s="430"/>
      <c r="L17" s="408"/>
      <c r="M17" s="431"/>
      <c r="N17" s="408"/>
      <c r="O17" s="430"/>
      <c r="P17" s="408"/>
      <c r="Q17" s="430"/>
      <c r="R17" s="408"/>
      <c r="S17" s="437"/>
    </row>
    <row r="18" spans="1:19" ht="14.4" customHeight="1" x14ac:dyDescent="0.3">
      <c r="A18" s="415" t="s">
        <v>417</v>
      </c>
      <c r="B18" s="408">
        <v>5088</v>
      </c>
      <c r="C18" s="430">
        <v>1</v>
      </c>
      <c r="D18" s="408">
        <v>7018</v>
      </c>
      <c r="E18" s="430">
        <v>1.3793238993710693</v>
      </c>
      <c r="F18" s="408">
        <v>7728</v>
      </c>
      <c r="G18" s="431">
        <v>1.5188679245283019</v>
      </c>
      <c r="H18" s="408"/>
      <c r="I18" s="430"/>
      <c r="J18" s="408"/>
      <c r="K18" s="430"/>
      <c r="L18" s="408"/>
      <c r="M18" s="431"/>
      <c r="N18" s="408"/>
      <c r="O18" s="430"/>
      <c r="P18" s="408"/>
      <c r="Q18" s="430"/>
      <c r="R18" s="408"/>
      <c r="S18" s="437"/>
    </row>
    <row r="19" spans="1:19" ht="14.4" customHeight="1" x14ac:dyDescent="0.3">
      <c r="A19" s="415" t="s">
        <v>418</v>
      </c>
      <c r="B19" s="408"/>
      <c r="C19" s="430"/>
      <c r="D19" s="408"/>
      <c r="E19" s="430"/>
      <c r="F19" s="408">
        <v>966</v>
      </c>
      <c r="G19" s="431"/>
      <c r="H19" s="408"/>
      <c r="I19" s="430"/>
      <c r="J19" s="408"/>
      <c r="K19" s="430"/>
      <c r="L19" s="408"/>
      <c r="M19" s="431"/>
      <c r="N19" s="408"/>
      <c r="O19" s="430"/>
      <c r="P19" s="408"/>
      <c r="Q19" s="430"/>
      <c r="R19" s="408"/>
      <c r="S19" s="437"/>
    </row>
    <row r="20" spans="1:19" ht="14.4" customHeight="1" x14ac:dyDescent="0.3">
      <c r="A20" s="415" t="s">
        <v>419</v>
      </c>
      <c r="B20" s="408">
        <v>571290</v>
      </c>
      <c r="C20" s="430">
        <v>1</v>
      </c>
      <c r="D20" s="408">
        <v>791238</v>
      </c>
      <c r="E20" s="430">
        <v>1.3850023630730453</v>
      </c>
      <c r="F20" s="408">
        <v>488023</v>
      </c>
      <c r="G20" s="431">
        <v>0.8542474049957115</v>
      </c>
      <c r="H20" s="408"/>
      <c r="I20" s="430"/>
      <c r="J20" s="408"/>
      <c r="K20" s="430"/>
      <c r="L20" s="408"/>
      <c r="M20" s="431"/>
      <c r="N20" s="408"/>
      <c r="O20" s="430"/>
      <c r="P20" s="408"/>
      <c r="Q20" s="430"/>
      <c r="R20" s="408"/>
      <c r="S20" s="437"/>
    </row>
    <row r="21" spans="1:19" ht="14.4" customHeight="1" x14ac:dyDescent="0.3">
      <c r="A21" s="415" t="s">
        <v>420</v>
      </c>
      <c r="B21" s="408">
        <v>416052</v>
      </c>
      <c r="C21" s="430">
        <v>1</v>
      </c>
      <c r="D21" s="408">
        <v>388051</v>
      </c>
      <c r="E21" s="430">
        <v>0.93269831655658431</v>
      </c>
      <c r="F21" s="408">
        <v>584152</v>
      </c>
      <c r="G21" s="431">
        <v>1.4040360339572937</v>
      </c>
      <c r="H21" s="408"/>
      <c r="I21" s="430"/>
      <c r="J21" s="408"/>
      <c r="K21" s="430"/>
      <c r="L21" s="408"/>
      <c r="M21" s="431"/>
      <c r="N21" s="408"/>
      <c r="O21" s="430"/>
      <c r="P21" s="408"/>
      <c r="Q21" s="430"/>
      <c r="R21" s="408"/>
      <c r="S21" s="437"/>
    </row>
    <row r="22" spans="1:19" ht="14.4" customHeight="1" x14ac:dyDescent="0.3">
      <c r="A22" s="415" t="s">
        <v>421</v>
      </c>
      <c r="B22" s="408">
        <v>52156</v>
      </c>
      <c r="C22" s="430">
        <v>1</v>
      </c>
      <c r="D22" s="408">
        <v>7532</v>
      </c>
      <c r="E22" s="430">
        <v>0.1444129151008513</v>
      </c>
      <c r="F22" s="408">
        <v>9992</v>
      </c>
      <c r="G22" s="431">
        <v>0.19157910882736406</v>
      </c>
      <c r="H22" s="408"/>
      <c r="I22" s="430"/>
      <c r="J22" s="408"/>
      <c r="K22" s="430"/>
      <c r="L22" s="408"/>
      <c r="M22" s="431"/>
      <c r="N22" s="408"/>
      <c r="O22" s="430"/>
      <c r="P22" s="408"/>
      <c r="Q22" s="430"/>
      <c r="R22" s="408"/>
      <c r="S22" s="437"/>
    </row>
    <row r="23" spans="1:19" ht="14.4" customHeight="1" x14ac:dyDescent="0.3">
      <c r="A23" s="415" t="s">
        <v>422</v>
      </c>
      <c r="B23" s="408"/>
      <c r="C23" s="430"/>
      <c r="D23" s="408">
        <v>7056</v>
      </c>
      <c r="E23" s="430"/>
      <c r="F23" s="408">
        <v>8580</v>
      </c>
      <c r="G23" s="431"/>
      <c r="H23" s="408"/>
      <c r="I23" s="430"/>
      <c r="J23" s="408"/>
      <c r="K23" s="430"/>
      <c r="L23" s="408"/>
      <c r="M23" s="431"/>
      <c r="N23" s="408"/>
      <c r="O23" s="430"/>
      <c r="P23" s="408"/>
      <c r="Q23" s="430"/>
      <c r="R23" s="408"/>
      <c r="S23" s="437"/>
    </row>
    <row r="24" spans="1:19" ht="14.4" customHeight="1" x14ac:dyDescent="0.3">
      <c r="A24" s="415" t="s">
        <v>423</v>
      </c>
      <c r="B24" s="408">
        <v>232458</v>
      </c>
      <c r="C24" s="430">
        <v>1</v>
      </c>
      <c r="D24" s="408">
        <v>175369</v>
      </c>
      <c r="E24" s="430">
        <v>0.75441154961326351</v>
      </c>
      <c r="F24" s="408">
        <v>206828</v>
      </c>
      <c r="G24" s="431">
        <v>0.88974352356124542</v>
      </c>
      <c r="H24" s="408"/>
      <c r="I24" s="430"/>
      <c r="J24" s="408"/>
      <c r="K24" s="430"/>
      <c r="L24" s="408"/>
      <c r="M24" s="431"/>
      <c r="N24" s="408"/>
      <c r="O24" s="430"/>
      <c r="P24" s="408"/>
      <c r="Q24" s="430"/>
      <c r="R24" s="408"/>
      <c r="S24" s="437"/>
    </row>
    <row r="25" spans="1:19" ht="14.4" customHeight="1" x14ac:dyDescent="0.3">
      <c r="A25" s="415" t="s">
        <v>424</v>
      </c>
      <c r="B25" s="408"/>
      <c r="C25" s="430"/>
      <c r="D25" s="408">
        <v>1276</v>
      </c>
      <c r="E25" s="430"/>
      <c r="F25" s="408">
        <v>8968</v>
      </c>
      <c r="G25" s="431"/>
      <c r="H25" s="408"/>
      <c r="I25" s="430"/>
      <c r="J25" s="408"/>
      <c r="K25" s="430"/>
      <c r="L25" s="408"/>
      <c r="M25" s="431"/>
      <c r="N25" s="408"/>
      <c r="O25" s="430"/>
      <c r="P25" s="408"/>
      <c r="Q25" s="430"/>
      <c r="R25" s="408"/>
      <c r="S25" s="437"/>
    </row>
    <row r="26" spans="1:19" ht="14.4" customHeight="1" x14ac:dyDescent="0.3">
      <c r="A26" s="415" t="s">
        <v>425</v>
      </c>
      <c r="B26" s="408">
        <v>139404</v>
      </c>
      <c r="C26" s="430">
        <v>1</v>
      </c>
      <c r="D26" s="408">
        <v>13636</v>
      </c>
      <c r="E26" s="430">
        <v>9.7816418467188887E-2</v>
      </c>
      <c r="F26" s="408">
        <v>52712</v>
      </c>
      <c r="G26" s="431">
        <v>0.37812401365814469</v>
      </c>
      <c r="H26" s="408"/>
      <c r="I26" s="430"/>
      <c r="J26" s="408"/>
      <c r="K26" s="430"/>
      <c r="L26" s="408"/>
      <c r="M26" s="431"/>
      <c r="N26" s="408"/>
      <c r="O26" s="430"/>
      <c r="P26" s="408"/>
      <c r="Q26" s="430"/>
      <c r="R26" s="408"/>
      <c r="S26" s="437"/>
    </row>
    <row r="27" spans="1:19" ht="14.4" customHeight="1" x14ac:dyDescent="0.3">
      <c r="A27" s="415" t="s">
        <v>426</v>
      </c>
      <c r="B27" s="408">
        <v>5088</v>
      </c>
      <c r="C27" s="430">
        <v>1</v>
      </c>
      <c r="D27" s="408"/>
      <c r="E27" s="430"/>
      <c r="F27" s="408"/>
      <c r="G27" s="431"/>
      <c r="H27" s="408"/>
      <c r="I27" s="430"/>
      <c r="J27" s="408"/>
      <c r="K27" s="430"/>
      <c r="L27" s="408"/>
      <c r="M27" s="431"/>
      <c r="N27" s="408"/>
      <c r="O27" s="430"/>
      <c r="P27" s="408"/>
      <c r="Q27" s="430"/>
      <c r="R27" s="408"/>
      <c r="S27" s="437"/>
    </row>
    <row r="28" spans="1:19" ht="14.4" customHeight="1" x14ac:dyDescent="0.3">
      <c r="A28" s="415" t="s">
        <v>427</v>
      </c>
      <c r="B28" s="408">
        <v>17234</v>
      </c>
      <c r="C28" s="430">
        <v>1</v>
      </c>
      <c r="D28" s="408">
        <v>18516</v>
      </c>
      <c r="E28" s="430">
        <v>1.0743878379946616</v>
      </c>
      <c r="F28" s="408">
        <v>22786</v>
      </c>
      <c r="G28" s="431">
        <v>1.3221538818614367</v>
      </c>
      <c r="H28" s="408"/>
      <c r="I28" s="430"/>
      <c r="J28" s="408"/>
      <c r="K28" s="430"/>
      <c r="L28" s="408"/>
      <c r="M28" s="431"/>
      <c r="N28" s="408"/>
      <c r="O28" s="430"/>
      <c r="P28" s="408"/>
      <c r="Q28" s="430"/>
      <c r="R28" s="408"/>
      <c r="S28" s="437"/>
    </row>
    <row r="29" spans="1:19" ht="14.4" customHeight="1" x14ac:dyDescent="0.3">
      <c r="A29" s="415" t="s">
        <v>428</v>
      </c>
      <c r="B29" s="408">
        <v>66462</v>
      </c>
      <c r="C29" s="430">
        <v>1</v>
      </c>
      <c r="D29" s="408">
        <v>43722</v>
      </c>
      <c r="E29" s="430">
        <v>0.65784959826667866</v>
      </c>
      <c r="F29" s="408">
        <v>72592</v>
      </c>
      <c r="G29" s="431">
        <v>1.0922331557882701</v>
      </c>
      <c r="H29" s="408"/>
      <c r="I29" s="430"/>
      <c r="J29" s="408"/>
      <c r="K29" s="430"/>
      <c r="L29" s="408"/>
      <c r="M29" s="431"/>
      <c r="N29" s="408"/>
      <c r="O29" s="430"/>
      <c r="P29" s="408"/>
      <c r="Q29" s="430"/>
      <c r="R29" s="408"/>
      <c r="S29" s="437"/>
    </row>
    <row r="30" spans="1:19" ht="14.4" customHeight="1" x14ac:dyDescent="0.3">
      <c r="A30" s="415" t="s">
        <v>429</v>
      </c>
      <c r="B30" s="408">
        <v>289062</v>
      </c>
      <c r="C30" s="430">
        <v>1</v>
      </c>
      <c r="D30" s="408">
        <v>352495</v>
      </c>
      <c r="E30" s="430">
        <v>1.2194442714711722</v>
      </c>
      <c r="F30" s="408">
        <v>347932</v>
      </c>
      <c r="G30" s="431">
        <v>1.2036587306529396</v>
      </c>
      <c r="H30" s="408"/>
      <c r="I30" s="430"/>
      <c r="J30" s="408"/>
      <c r="K30" s="430"/>
      <c r="L30" s="408"/>
      <c r="M30" s="431"/>
      <c r="N30" s="408"/>
      <c r="O30" s="430"/>
      <c r="P30" s="408"/>
      <c r="Q30" s="430"/>
      <c r="R30" s="408"/>
      <c r="S30" s="437"/>
    </row>
    <row r="31" spans="1:19" ht="14.4" customHeight="1" x14ac:dyDescent="0.3">
      <c r="A31" s="415" t="s">
        <v>430</v>
      </c>
      <c r="B31" s="408">
        <v>3816</v>
      </c>
      <c r="C31" s="430">
        <v>1</v>
      </c>
      <c r="D31" s="408">
        <v>12760</v>
      </c>
      <c r="E31" s="430">
        <v>3.3438155136268346</v>
      </c>
      <c r="F31" s="408">
        <v>13726</v>
      </c>
      <c r="G31" s="431">
        <v>3.5969601677148848</v>
      </c>
      <c r="H31" s="408"/>
      <c r="I31" s="430"/>
      <c r="J31" s="408"/>
      <c r="K31" s="430"/>
      <c r="L31" s="408"/>
      <c r="M31" s="431"/>
      <c r="N31" s="408"/>
      <c r="O31" s="430"/>
      <c r="P31" s="408"/>
      <c r="Q31" s="430"/>
      <c r="R31" s="408"/>
      <c r="S31" s="437"/>
    </row>
    <row r="32" spans="1:19" ht="14.4" customHeight="1" thickBot="1" x14ac:dyDescent="0.35">
      <c r="A32" s="416" t="s">
        <v>431</v>
      </c>
      <c r="B32" s="412">
        <v>12084</v>
      </c>
      <c r="C32" s="433">
        <v>1</v>
      </c>
      <c r="D32" s="412">
        <v>16588</v>
      </c>
      <c r="E32" s="433">
        <v>1.372724263488911</v>
      </c>
      <c r="F32" s="412">
        <v>27304</v>
      </c>
      <c r="G32" s="434">
        <v>2.2595167163190997</v>
      </c>
      <c r="H32" s="412"/>
      <c r="I32" s="433"/>
      <c r="J32" s="412"/>
      <c r="K32" s="433"/>
      <c r="L32" s="412"/>
      <c r="M32" s="434"/>
      <c r="N32" s="412"/>
      <c r="O32" s="433"/>
      <c r="P32" s="412"/>
      <c r="Q32" s="433"/>
      <c r="R32" s="412"/>
      <c r="S32" s="43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7" customWidth="1"/>
    <col min="8" max="9" width="9.33203125" style="177" hidden="1" customWidth="1"/>
    <col min="10" max="11" width="11.109375" style="177" customWidth="1"/>
    <col min="12" max="13" width="9.33203125" style="177" hidden="1" customWidth="1"/>
    <col min="14" max="15" width="11.109375" style="177" customWidth="1"/>
    <col min="16" max="16" width="11.109375" style="180" customWidth="1"/>
    <col min="17" max="17" width="11.109375" style="177" customWidth="1"/>
    <col min="18" max="16384" width="8.88671875" style="102"/>
  </cols>
  <sheetData>
    <row r="1" spans="1:17" ht="18.600000000000001" customHeight="1" thickBot="1" x14ac:dyDescent="0.4">
      <c r="A1" s="274" t="s">
        <v>459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 ht="14.4" customHeight="1" thickBot="1" x14ac:dyDescent="0.35">
      <c r="A2" s="195" t="s">
        <v>221</v>
      </c>
      <c r="B2" s="103"/>
      <c r="C2" s="103"/>
      <c r="D2" s="103"/>
      <c r="E2" s="103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" customHeight="1" thickBot="1" x14ac:dyDescent="0.35">
      <c r="E3" s="62" t="s">
        <v>102</v>
      </c>
      <c r="F3" s="74">
        <f t="shared" ref="F3:O3" si="0">SUBTOTAL(9,F6:F1048576)</f>
        <v>8289</v>
      </c>
      <c r="G3" s="75">
        <f t="shared" si="0"/>
        <v>2861370</v>
      </c>
      <c r="H3" s="75"/>
      <c r="I3" s="75"/>
      <c r="J3" s="75">
        <f t="shared" si="0"/>
        <v>8309</v>
      </c>
      <c r="K3" s="75">
        <f t="shared" si="0"/>
        <v>2866872</v>
      </c>
      <c r="L3" s="75"/>
      <c r="M3" s="75"/>
      <c r="N3" s="75">
        <f t="shared" si="0"/>
        <v>8101</v>
      </c>
      <c r="O3" s="75">
        <f t="shared" si="0"/>
        <v>2879808</v>
      </c>
      <c r="P3" s="58">
        <f>IF(G3=0,0,O3/G3)</f>
        <v>1.006443766447541</v>
      </c>
      <c r="Q3" s="76">
        <f>IF(N3=0,0,O3/N3)</f>
        <v>355.48796444883345</v>
      </c>
    </row>
    <row r="4" spans="1:17" ht="14.4" customHeight="1" x14ac:dyDescent="0.3">
      <c r="A4" s="319" t="s">
        <v>46</v>
      </c>
      <c r="B4" s="318" t="s">
        <v>72</v>
      </c>
      <c r="C4" s="319" t="s">
        <v>73</v>
      </c>
      <c r="D4" s="320" t="s">
        <v>74</v>
      </c>
      <c r="E4" s="321" t="s">
        <v>47</v>
      </c>
      <c r="F4" s="326">
        <v>2012</v>
      </c>
      <c r="G4" s="327"/>
      <c r="H4" s="77"/>
      <c r="I4" s="77"/>
      <c r="J4" s="326">
        <v>2013</v>
      </c>
      <c r="K4" s="327"/>
      <c r="L4" s="77"/>
      <c r="M4" s="77"/>
      <c r="N4" s="326">
        <v>2014</v>
      </c>
      <c r="O4" s="327"/>
      <c r="P4" s="328" t="s">
        <v>2</v>
      </c>
      <c r="Q4" s="317" t="s">
        <v>75</v>
      </c>
    </row>
    <row r="5" spans="1:17" ht="14.4" customHeight="1" thickBot="1" x14ac:dyDescent="0.35">
      <c r="A5" s="418"/>
      <c r="B5" s="417"/>
      <c r="C5" s="418"/>
      <c r="D5" s="419"/>
      <c r="E5" s="421"/>
      <c r="F5" s="439" t="s">
        <v>49</v>
      </c>
      <c r="G5" s="440" t="s">
        <v>5</v>
      </c>
      <c r="H5" s="441"/>
      <c r="I5" s="441"/>
      <c r="J5" s="439" t="s">
        <v>49</v>
      </c>
      <c r="K5" s="440" t="s">
        <v>5</v>
      </c>
      <c r="L5" s="441"/>
      <c r="M5" s="441"/>
      <c r="N5" s="439" t="s">
        <v>49</v>
      </c>
      <c r="O5" s="440" t="s">
        <v>5</v>
      </c>
      <c r="P5" s="442"/>
      <c r="Q5" s="426"/>
    </row>
    <row r="6" spans="1:17" ht="14.4" customHeight="1" x14ac:dyDescent="0.3">
      <c r="A6" s="402" t="s">
        <v>432</v>
      </c>
      <c r="B6" s="427" t="s">
        <v>376</v>
      </c>
      <c r="C6" s="427" t="s">
        <v>377</v>
      </c>
      <c r="D6" s="427" t="s">
        <v>386</v>
      </c>
      <c r="E6" s="427" t="s">
        <v>387</v>
      </c>
      <c r="F6" s="403">
        <v>2</v>
      </c>
      <c r="G6" s="403">
        <v>136</v>
      </c>
      <c r="H6" s="403">
        <v>1</v>
      </c>
      <c r="I6" s="403">
        <v>68</v>
      </c>
      <c r="J6" s="403"/>
      <c r="K6" s="403"/>
      <c r="L6" s="403"/>
      <c r="M6" s="403"/>
      <c r="N6" s="403"/>
      <c r="O6" s="403"/>
      <c r="P6" s="428"/>
      <c r="Q6" s="429"/>
    </row>
    <row r="7" spans="1:17" ht="14.4" customHeight="1" x14ac:dyDescent="0.3">
      <c r="A7" s="406" t="s">
        <v>432</v>
      </c>
      <c r="B7" s="430" t="s">
        <v>376</v>
      </c>
      <c r="C7" s="430" t="s">
        <v>377</v>
      </c>
      <c r="D7" s="430" t="s">
        <v>378</v>
      </c>
      <c r="E7" s="430" t="s">
        <v>379</v>
      </c>
      <c r="F7" s="407">
        <v>54</v>
      </c>
      <c r="G7" s="407">
        <v>17172</v>
      </c>
      <c r="H7" s="407">
        <v>1</v>
      </c>
      <c r="I7" s="407">
        <v>318</v>
      </c>
      <c r="J7" s="407">
        <v>132</v>
      </c>
      <c r="K7" s="407">
        <v>42108</v>
      </c>
      <c r="L7" s="407">
        <v>2.4521313766596786</v>
      </c>
      <c r="M7" s="407">
        <v>319</v>
      </c>
      <c r="N7" s="407">
        <v>99</v>
      </c>
      <c r="O7" s="407">
        <v>31752</v>
      </c>
      <c r="P7" s="431">
        <v>1.8490566037735849</v>
      </c>
      <c r="Q7" s="432">
        <v>320.72727272727275</v>
      </c>
    </row>
    <row r="8" spans="1:17" ht="14.4" customHeight="1" x14ac:dyDescent="0.3">
      <c r="A8" s="406" t="s">
        <v>432</v>
      </c>
      <c r="B8" s="430" t="s">
        <v>376</v>
      </c>
      <c r="C8" s="430" t="s">
        <v>377</v>
      </c>
      <c r="D8" s="430" t="s">
        <v>382</v>
      </c>
      <c r="E8" s="430" t="s">
        <v>383</v>
      </c>
      <c r="F8" s="407">
        <v>10</v>
      </c>
      <c r="G8" s="407">
        <v>5260</v>
      </c>
      <c r="H8" s="407">
        <v>1</v>
      </c>
      <c r="I8" s="407">
        <v>526</v>
      </c>
      <c r="J8" s="407">
        <v>4</v>
      </c>
      <c r="K8" s="407">
        <v>2152</v>
      </c>
      <c r="L8" s="407">
        <v>0.40912547528517113</v>
      </c>
      <c r="M8" s="407">
        <v>538</v>
      </c>
      <c r="N8" s="407">
        <v>6</v>
      </c>
      <c r="O8" s="407">
        <v>3264</v>
      </c>
      <c r="P8" s="431">
        <v>0.620532319391635</v>
      </c>
      <c r="Q8" s="432">
        <v>544</v>
      </c>
    </row>
    <row r="9" spans="1:17" ht="14.4" customHeight="1" x14ac:dyDescent="0.3">
      <c r="A9" s="406" t="s">
        <v>433</v>
      </c>
      <c r="B9" s="430" t="s">
        <v>376</v>
      </c>
      <c r="C9" s="430" t="s">
        <v>377</v>
      </c>
      <c r="D9" s="430" t="s">
        <v>378</v>
      </c>
      <c r="E9" s="430" t="s">
        <v>379</v>
      </c>
      <c r="F9" s="407">
        <v>84</v>
      </c>
      <c r="G9" s="407">
        <v>26712</v>
      </c>
      <c r="H9" s="407">
        <v>1</v>
      </c>
      <c r="I9" s="407">
        <v>318</v>
      </c>
      <c r="J9" s="407">
        <v>80</v>
      </c>
      <c r="K9" s="407">
        <v>25520</v>
      </c>
      <c r="L9" s="407">
        <v>0.95537586103623839</v>
      </c>
      <c r="M9" s="407">
        <v>319</v>
      </c>
      <c r="N9" s="407">
        <v>22</v>
      </c>
      <c r="O9" s="407">
        <v>7066</v>
      </c>
      <c r="P9" s="431">
        <v>0.26452530697813714</v>
      </c>
      <c r="Q9" s="432">
        <v>321.18181818181819</v>
      </c>
    </row>
    <row r="10" spans="1:17" ht="14.4" customHeight="1" x14ac:dyDescent="0.3">
      <c r="A10" s="406" t="s">
        <v>433</v>
      </c>
      <c r="B10" s="430" t="s">
        <v>376</v>
      </c>
      <c r="C10" s="430" t="s">
        <v>377</v>
      </c>
      <c r="D10" s="430" t="s">
        <v>390</v>
      </c>
      <c r="E10" s="430" t="s">
        <v>391</v>
      </c>
      <c r="F10" s="407"/>
      <c r="G10" s="407"/>
      <c r="H10" s="407"/>
      <c r="I10" s="407"/>
      <c r="J10" s="407"/>
      <c r="K10" s="407"/>
      <c r="L10" s="407"/>
      <c r="M10" s="407"/>
      <c r="N10" s="407">
        <v>16</v>
      </c>
      <c r="O10" s="407">
        <v>5152</v>
      </c>
      <c r="P10" s="431"/>
      <c r="Q10" s="432">
        <v>322</v>
      </c>
    </row>
    <row r="11" spans="1:17" ht="14.4" customHeight="1" x14ac:dyDescent="0.3">
      <c r="A11" s="406" t="s">
        <v>434</v>
      </c>
      <c r="B11" s="430" t="s">
        <v>376</v>
      </c>
      <c r="C11" s="430" t="s">
        <v>377</v>
      </c>
      <c r="D11" s="430" t="s">
        <v>378</v>
      </c>
      <c r="E11" s="430" t="s">
        <v>379</v>
      </c>
      <c r="F11" s="407">
        <v>205</v>
      </c>
      <c r="G11" s="407">
        <v>65190</v>
      </c>
      <c r="H11" s="407">
        <v>1</v>
      </c>
      <c r="I11" s="407">
        <v>318</v>
      </c>
      <c r="J11" s="407">
        <v>113</v>
      </c>
      <c r="K11" s="407">
        <v>36047</v>
      </c>
      <c r="L11" s="407">
        <v>0.55295290688755949</v>
      </c>
      <c r="M11" s="407">
        <v>319</v>
      </c>
      <c r="N11" s="407">
        <v>232</v>
      </c>
      <c r="O11" s="407">
        <v>74368</v>
      </c>
      <c r="P11" s="431">
        <v>1.1407884644884185</v>
      </c>
      <c r="Q11" s="432">
        <v>320.55172413793105</v>
      </c>
    </row>
    <row r="12" spans="1:17" ht="14.4" customHeight="1" x14ac:dyDescent="0.3">
      <c r="A12" s="406" t="s">
        <v>434</v>
      </c>
      <c r="B12" s="430" t="s">
        <v>376</v>
      </c>
      <c r="C12" s="430" t="s">
        <v>377</v>
      </c>
      <c r="D12" s="430" t="s">
        <v>382</v>
      </c>
      <c r="E12" s="430" t="s">
        <v>383</v>
      </c>
      <c r="F12" s="407">
        <v>26</v>
      </c>
      <c r="G12" s="407">
        <v>13676</v>
      </c>
      <c r="H12" s="407">
        <v>1</v>
      </c>
      <c r="I12" s="407">
        <v>526</v>
      </c>
      <c r="J12" s="407">
        <v>36</v>
      </c>
      <c r="K12" s="407">
        <v>19368</v>
      </c>
      <c r="L12" s="407">
        <v>1.4162035682948231</v>
      </c>
      <c r="M12" s="407">
        <v>538</v>
      </c>
      <c r="N12" s="407">
        <v>40</v>
      </c>
      <c r="O12" s="407">
        <v>21682</v>
      </c>
      <c r="P12" s="431">
        <v>1.5854050892073706</v>
      </c>
      <c r="Q12" s="432">
        <v>542.04999999999995</v>
      </c>
    </row>
    <row r="13" spans="1:17" ht="14.4" customHeight="1" x14ac:dyDescent="0.3">
      <c r="A13" s="406" t="s">
        <v>435</v>
      </c>
      <c r="B13" s="430" t="s">
        <v>376</v>
      </c>
      <c r="C13" s="430" t="s">
        <v>377</v>
      </c>
      <c r="D13" s="430" t="s">
        <v>386</v>
      </c>
      <c r="E13" s="430" t="s">
        <v>387</v>
      </c>
      <c r="F13" s="407"/>
      <c r="G13" s="407"/>
      <c r="H13" s="407"/>
      <c r="I13" s="407"/>
      <c r="J13" s="407">
        <v>2</v>
      </c>
      <c r="K13" s="407">
        <v>138</v>
      </c>
      <c r="L13" s="407"/>
      <c r="M13" s="407">
        <v>69</v>
      </c>
      <c r="N13" s="407"/>
      <c r="O13" s="407"/>
      <c r="P13" s="431"/>
      <c r="Q13" s="432"/>
    </row>
    <row r="14" spans="1:17" ht="14.4" customHeight="1" x14ac:dyDescent="0.3">
      <c r="A14" s="406" t="s">
        <v>435</v>
      </c>
      <c r="B14" s="430" t="s">
        <v>376</v>
      </c>
      <c r="C14" s="430" t="s">
        <v>377</v>
      </c>
      <c r="D14" s="430" t="s">
        <v>378</v>
      </c>
      <c r="E14" s="430" t="s">
        <v>379</v>
      </c>
      <c r="F14" s="407">
        <v>95</v>
      </c>
      <c r="G14" s="407">
        <v>30210</v>
      </c>
      <c r="H14" s="407">
        <v>1</v>
      </c>
      <c r="I14" s="407">
        <v>318</v>
      </c>
      <c r="J14" s="407">
        <v>148</v>
      </c>
      <c r="K14" s="407">
        <v>47212</v>
      </c>
      <c r="L14" s="407">
        <v>1.5627937768950679</v>
      </c>
      <c r="M14" s="407">
        <v>319</v>
      </c>
      <c r="N14" s="407">
        <v>200</v>
      </c>
      <c r="O14" s="407">
        <v>64268</v>
      </c>
      <c r="P14" s="431">
        <v>2.1273750413770274</v>
      </c>
      <c r="Q14" s="432">
        <v>321.33999999999997</v>
      </c>
    </row>
    <row r="15" spans="1:17" ht="14.4" customHeight="1" x14ac:dyDescent="0.3">
      <c r="A15" s="406" t="s">
        <v>436</v>
      </c>
      <c r="B15" s="430" t="s">
        <v>376</v>
      </c>
      <c r="C15" s="430" t="s">
        <v>377</v>
      </c>
      <c r="D15" s="430" t="s">
        <v>378</v>
      </c>
      <c r="E15" s="430" t="s">
        <v>379</v>
      </c>
      <c r="F15" s="407">
        <v>4</v>
      </c>
      <c r="G15" s="407">
        <v>1272</v>
      </c>
      <c r="H15" s="407">
        <v>1</v>
      </c>
      <c r="I15" s="407">
        <v>318</v>
      </c>
      <c r="J15" s="407">
        <v>24</v>
      </c>
      <c r="K15" s="407">
        <v>7656</v>
      </c>
      <c r="L15" s="407">
        <v>6.0188679245283021</v>
      </c>
      <c r="M15" s="407">
        <v>319</v>
      </c>
      <c r="N15" s="407">
        <v>54</v>
      </c>
      <c r="O15" s="407">
        <v>17322</v>
      </c>
      <c r="P15" s="431">
        <v>13.617924528301886</v>
      </c>
      <c r="Q15" s="432">
        <v>320.77777777777777</v>
      </c>
    </row>
    <row r="16" spans="1:17" ht="14.4" customHeight="1" x14ac:dyDescent="0.3">
      <c r="A16" s="406" t="s">
        <v>436</v>
      </c>
      <c r="B16" s="430" t="s">
        <v>376</v>
      </c>
      <c r="C16" s="430" t="s">
        <v>377</v>
      </c>
      <c r="D16" s="430" t="s">
        <v>390</v>
      </c>
      <c r="E16" s="430" t="s">
        <v>391</v>
      </c>
      <c r="F16" s="407"/>
      <c r="G16" s="407"/>
      <c r="H16" s="407"/>
      <c r="I16" s="407"/>
      <c r="J16" s="407"/>
      <c r="K16" s="407"/>
      <c r="L16" s="407"/>
      <c r="M16" s="407"/>
      <c r="N16" s="407">
        <v>4</v>
      </c>
      <c r="O16" s="407">
        <v>1288</v>
      </c>
      <c r="P16" s="431"/>
      <c r="Q16" s="432">
        <v>322</v>
      </c>
    </row>
    <row r="17" spans="1:17" ht="14.4" customHeight="1" x14ac:dyDescent="0.3">
      <c r="A17" s="406" t="s">
        <v>437</v>
      </c>
      <c r="B17" s="430" t="s">
        <v>376</v>
      </c>
      <c r="C17" s="430" t="s">
        <v>377</v>
      </c>
      <c r="D17" s="430" t="s">
        <v>386</v>
      </c>
      <c r="E17" s="430" t="s">
        <v>387</v>
      </c>
      <c r="F17" s="407">
        <v>2</v>
      </c>
      <c r="G17" s="407">
        <v>136</v>
      </c>
      <c r="H17" s="407">
        <v>1</v>
      </c>
      <c r="I17" s="407">
        <v>68</v>
      </c>
      <c r="J17" s="407"/>
      <c r="K17" s="407"/>
      <c r="L17" s="407"/>
      <c r="M17" s="407"/>
      <c r="N17" s="407"/>
      <c r="O17" s="407"/>
      <c r="P17" s="431"/>
      <c r="Q17" s="432"/>
    </row>
    <row r="18" spans="1:17" ht="14.4" customHeight="1" x14ac:dyDescent="0.3">
      <c r="A18" s="406" t="s">
        <v>437</v>
      </c>
      <c r="B18" s="430" t="s">
        <v>376</v>
      </c>
      <c r="C18" s="430" t="s">
        <v>377</v>
      </c>
      <c r="D18" s="430" t="s">
        <v>378</v>
      </c>
      <c r="E18" s="430" t="s">
        <v>379</v>
      </c>
      <c r="F18" s="407">
        <v>28</v>
      </c>
      <c r="G18" s="407">
        <v>8904</v>
      </c>
      <c r="H18" s="407">
        <v>1</v>
      </c>
      <c r="I18" s="407">
        <v>318</v>
      </c>
      <c r="J18" s="407"/>
      <c r="K18" s="407"/>
      <c r="L18" s="407"/>
      <c r="M18" s="407"/>
      <c r="N18" s="407">
        <v>12</v>
      </c>
      <c r="O18" s="407">
        <v>3864</v>
      </c>
      <c r="P18" s="431">
        <v>0.43396226415094341</v>
      </c>
      <c r="Q18" s="432">
        <v>322</v>
      </c>
    </row>
    <row r="19" spans="1:17" ht="14.4" customHeight="1" x14ac:dyDescent="0.3">
      <c r="A19" s="406" t="s">
        <v>437</v>
      </c>
      <c r="B19" s="430" t="s">
        <v>376</v>
      </c>
      <c r="C19" s="430" t="s">
        <v>377</v>
      </c>
      <c r="D19" s="430" t="s">
        <v>382</v>
      </c>
      <c r="E19" s="430" t="s">
        <v>383</v>
      </c>
      <c r="F19" s="407"/>
      <c r="G19" s="407"/>
      <c r="H19" s="407"/>
      <c r="I19" s="407"/>
      <c r="J19" s="407"/>
      <c r="K19" s="407"/>
      <c r="L19" s="407"/>
      <c r="M19" s="407"/>
      <c r="N19" s="407">
        <v>8</v>
      </c>
      <c r="O19" s="407">
        <v>4352</v>
      </c>
      <c r="P19" s="431"/>
      <c r="Q19" s="432">
        <v>544</v>
      </c>
    </row>
    <row r="20" spans="1:17" ht="14.4" customHeight="1" x14ac:dyDescent="0.3">
      <c r="A20" s="406" t="s">
        <v>438</v>
      </c>
      <c r="B20" s="430" t="s">
        <v>376</v>
      </c>
      <c r="C20" s="430" t="s">
        <v>377</v>
      </c>
      <c r="D20" s="430" t="s">
        <v>378</v>
      </c>
      <c r="E20" s="430" t="s">
        <v>379</v>
      </c>
      <c r="F20" s="407">
        <v>16</v>
      </c>
      <c r="G20" s="407">
        <v>5088</v>
      </c>
      <c r="H20" s="407">
        <v>1</v>
      </c>
      <c r="I20" s="407">
        <v>318</v>
      </c>
      <c r="J20" s="407">
        <v>4</v>
      </c>
      <c r="K20" s="407">
        <v>1276</v>
      </c>
      <c r="L20" s="407">
        <v>0.25078616352201261</v>
      </c>
      <c r="M20" s="407">
        <v>319</v>
      </c>
      <c r="N20" s="407">
        <v>4</v>
      </c>
      <c r="O20" s="407">
        <v>1288</v>
      </c>
      <c r="P20" s="431">
        <v>0.25314465408805031</v>
      </c>
      <c r="Q20" s="432">
        <v>322</v>
      </c>
    </row>
    <row r="21" spans="1:17" ht="14.4" customHeight="1" x14ac:dyDescent="0.3">
      <c r="A21" s="406" t="s">
        <v>438</v>
      </c>
      <c r="B21" s="430" t="s">
        <v>376</v>
      </c>
      <c r="C21" s="430" t="s">
        <v>377</v>
      </c>
      <c r="D21" s="430" t="s">
        <v>390</v>
      </c>
      <c r="E21" s="430" t="s">
        <v>391</v>
      </c>
      <c r="F21" s="407">
        <v>4</v>
      </c>
      <c r="G21" s="407">
        <v>1272</v>
      </c>
      <c r="H21" s="407">
        <v>1</v>
      </c>
      <c r="I21" s="407">
        <v>318</v>
      </c>
      <c r="J21" s="407"/>
      <c r="K21" s="407"/>
      <c r="L21" s="407"/>
      <c r="M21" s="407"/>
      <c r="N21" s="407"/>
      <c r="O21" s="407"/>
      <c r="P21" s="431"/>
      <c r="Q21" s="432"/>
    </row>
    <row r="22" spans="1:17" ht="14.4" customHeight="1" x14ac:dyDescent="0.3">
      <c r="A22" s="406" t="s">
        <v>439</v>
      </c>
      <c r="B22" s="430" t="s">
        <v>376</v>
      </c>
      <c r="C22" s="430" t="s">
        <v>377</v>
      </c>
      <c r="D22" s="430" t="s">
        <v>386</v>
      </c>
      <c r="E22" s="430" t="s">
        <v>387</v>
      </c>
      <c r="F22" s="407"/>
      <c r="G22" s="407"/>
      <c r="H22" s="407"/>
      <c r="I22" s="407"/>
      <c r="J22" s="407">
        <v>4</v>
      </c>
      <c r="K22" s="407">
        <v>276</v>
      </c>
      <c r="L22" s="407"/>
      <c r="M22" s="407">
        <v>69</v>
      </c>
      <c r="N22" s="407"/>
      <c r="O22" s="407"/>
      <c r="P22" s="431"/>
      <c r="Q22" s="432"/>
    </row>
    <row r="23" spans="1:17" ht="14.4" customHeight="1" x14ac:dyDescent="0.3">
      <c r="A23" s="406" t="s">
        <v>439</v>
      </c>
      <c r="B23" s="430" t="s">
        <v>376</v>
      </c>
      <c r="C23" s="430" t="s">
        <v>377</v>
      </c>
      <c r="D23" s="430" t="s">
        <v>378</v>
      </c>
      <c r="E23" s="430" t="s">
        <v>379</v>
      </c>
      <c r="F23" s="407">
        <v>868</v>
      </c>
      <c r="G23" s="407">
        <v>276024</v>
      </c>
      <c r="H23" s="407">
        <v>1</v>
      </c>
      <c r="I23" s="407">
        <v>318</v>
      </c>
      <c r="J23" s="407">
        <v>564</v>
      </c>
      <c r="K23" s="407">
        <v>179916</v>
      </c>
      <c r="L23" s="407">
        <v>0.65181288583601427</v>
      </c>
      <c r="M23" s="407">
        <v>319</v>
      </c>
      <c r="N23" s="407">
        <v>486</v>
      </c>
      <c r="O23" s="407">
        <v>156066</v>
      </c>
      <c r="P23" s="431">
        <v>0.56540735588209723</v>
      </c>
      <c r="Q23" s="432">
        <v>321.12345679012344</v>
      </c>
    </row>
    <row r="24" spans="1:17" ht="14.4" customHeight="1" x14ac:dyDescent="0.3">
      <c r="A24" s="406" t="s">
        <v>439</v>
      </c>
      <c r="B24" s="430" t="s">
        <v>376</v>
      </c>
      <c r="C24" s="430" t="s">
        <v>377</v>
      </c>
      <c r="D24" s="430" t="s">
        <v>390</v>
      </c>
      <c r="E24" s="430" t="s">
        <v>391</v>
      </c>
      <c r="F24" s="407">
        <v>384</v>
      </c>
      <c r="G24" s="407">
        <v>122112</v>
      </c>
      <c r="H24" s="407">
        <v>1</v>
      </c>
      <c r="I24" s="407">
        <v>318</v>
      </c>
      <c r="J24" s="407">
        <v>686</v>
      </c>
      <c r="K24" s="407">
        <v>218834</v>
      </c>
      <c r="L24" s="407">
        <v>1.7920761268343814</v>
      </c>
      <c r="M24" s="407">
        <v>319</v>
      </c>
      <c r="N24" s="407">
        <v>641</v>
      </c>
      <c r="O24" s="407">
        <v>205511</v>
      </c>
      <c r="P24" s="431">
        <v>1.6829713705450733</v>
      </c>
      <c r="Q24" s="432">
        <v>320.609984399376</v>
      </c>
    </row>
    <row r="25" spans="1:17" ht="14.4" customHeight="1" x14ac:dyDescent="0.3">
      <c r="A25" s="406" t="s">
        <v>439</v>
      </c>
      <c r="B25" s="430" t="s">
        <v>376</v>
      </c>
      <c r="C25" s="430" t="s">
        <v>377</v>
      </c>
      <c r="D25" s="430" t="s">
        <v>382</v>
      </c>
      <c r="E25" s="430" t="s">
        <v>383</v>
      </c>
      <c r="F25" s="407">
        <v>5</v>
      </c>
      <c r="G25" s="407">
        <v>2630</v>
      </c>
      <c r="H25" s="407">
        <v>1</v>
      </c>
      <c r="I25" s="407">
        <v>526</v>
      </c>
      <c r="J25" s="407"/>
      <c r="K25" s="407"/>
      <c r="L25" s="407"/>
      <c r="M25" s="407"/>
      <c r="N25" s="407"/>
      <c r="O25" s="407"/>
      <c r="P25" s="431"/>
      <c r="Q25" s="432"/>
    </row>
    <row r="26" spans="1:17" ht="14.4" customHeight="1" x14ac:dyDescent="0.3">
      <c r="A26" s="406" t="s">
        <v>440</v>
      </c>
      <c r="B26" s="430" t="s">
        <v>376</v>
      </c>
      <c r="C26" s="430" t="s">
        <v>377</v>
      </c>
      <c r="D26" s="430" t="s">
        <v>378</v>
      </c>
      <c r="E26" s="430" t="s">
        <v>379</v>
      </c>
      <c r="F26" s="407">
        <v>8</v>
      </c>
      <c r="G26" s="407">
        <v>2544</v>
      </c>
      <c r="H26" s="407">
        <v>1</v>
      </c>
      <c r="I26" s="407">
        <v>318</v>
      </c>
      <c r="J26" s="407">
        <v>8</v>
      </c>
      <c r="K26" s="407">
        <v>2552</v>
      </c>
      <c r="L26" s="407">
        <v>1.0031446540880504</v>
      </c>
      <c r="M26" s="407">
        <v>319</v>
      </c>
      <c r="N26" s="407">
        <v>8</v>
      </c>
      <c r="O26" s="407">
        <v>2576</v>
      </c>
      <c r="P26" s="431">
        <v>1.0125786163522013</v>
      </c>
      <c r="Q26" s="432">
        <v>322</v>
      </c>
    </row>
    <row r="27" spans="1:17" ht="14.4" customHeight="1" x14ac:dyDescent="0.3">
      <c r="A27" s="406" t="s">
        <v>440</v>
      </c>
      <c r="B27" s="430" t="s">
        <v>376</v>
      </c>
      <c r="C27" s="430" t="s">
        <v>377</v>
      </c>
      <c r="D27" s="430" t="s">
        <v>390</v>
      </c>
      <c r="E27" s="430" t="s">
        <v>391</v>
      </c>
      <c r="F27" s="407"/>
      <c r="G27" s="407"/>
      <c r="H27" s="407"/>
      <c r="I27" s="407"/>
      <c r="J27" s="407"/>
      <c r="K27" s="407"/>
      <c r="L27" s="407"/>
      <c r="M27" s="407"/>
      <c r="N27" s="407">
        <v>8</v>
      </c>
      <c r="O27" s="407">
        <v>2552</v>
      </c>
      <c r="P27" s="431"/>
      <c r="Q27" s="432">
        <v>319</v>
      </c>
    </row>
    <row r="28" spans="1:17" ht="14.4" customHeight="1" x14ac:dyDescent="0.3">
      <c r="A28" s="406" t="s">
        <v>441</v>
      </c>
      <c r="B28" s="430" t="s">
        <v>376</v>
      </c>
      <c r="C28" s="430" t="s">
        <v>377</v>
      </c>
      <c r="D28" s="430" t="s">
        <v>386</v>
      </c>
      <c r="E28" s="430" t="s">
        <v>387</v>
      </c>
      <c r="F28" s="407">
        <v>2</v>
      </c>
      <c r="G28" s="407">
        <v>136</v>
      </c>
      <c r="H28" s="407">
        <v>1</v>
      </c>
      <c r="I28" s="407">
        <v>68</v>
      </c>
      <c r="J28" s="407">
        <v>2</v>
      </c>
      <c r="K28" s="407">
        <v>138</v>
      </c>
      <c r="L28" s="407">
        <v>1.0147058823529411</v>
      </c>
      <c r="M28" s="407">
        <v>69</v>
      </c>
      <c r="N28" s="407">
        <v>2</v>
      </c>
      <c r="O28" s="407">
        <v>140</v>
      </c>
      <c r="P28" s="431">
        <v>1.0294117647058822</v>
      </c>
      <c r="Q28" s="432">
        <v>70</v>
      </c>
    </row>
    <row r="29" spans="1:17" ht="14.4" customHeight="1" x14ac:dyDescent="0.3">
      <c r="A29" s="406" t="s">
        <v>441</v>
      </c>
      <c r="B29" s="430" t="s">
        <v>376</v>
      </c>
      <c r="C29" s="430" t="s">
        <v>377</v>
      </c>
      <c r="D29" s="430" t="s">
        <v>378</v>
      </c>
      <c r="E29" s="430" t="s">
        <v>379</v>
      </c>
      <c r="F29" s="407">
        <v>833</v>
      </c>
      <c r="G29" s="407">
        <v>264894</v>
      </c>
      <c r="H29" s="407">
        <v>1</v>
      </c>
      <c r="I29" s="407">
        <v>318</v>
      </c>
      <c r="J29" s="407">
        <v>725</v>
      </c>
      <c r="K29" s="407">
        <v>231275</v>
      </c>
      <c r="L29" s="407">
        <v>0.87308508308983968</v>
      </c>
      <c r="M29" s="407">
        <v>319</v>
      </c>
      <c r="N29" s="407">
        <v>613</v>
      </c>
      <c r="O29" s="407">
        <v>196588</v>
      </c>
      <c r="P29" s="431">
        <v>0.74213836477987416</v>
      </c>
      <c r="Q29" s="432">
        <v>320.69820554649266</v>
      </c>
    </row>
    <row r="30" spans="1:17" ht="14.4" customHeight="1" x14ac:dyDescent="0.3">
      <c r="A30" s="406" t="s">
        <v>441</v>
      </c>
      <c r="B30" s="430" t="s">
        <v>376</v>
      </c>
      <c r="C30" s="430" t="s">
        <v>377</v>
      </c>
      <c r="D30" s="430" t="s">
        <v>388</v>
      </c>
      <c r="E30" s="430" t="s">
        <v>389</v>
      </c>
      <c r="F30" s="407">
        <v>175</v>
      </c>
      <c r="G30" s="407">
        <v>55650</v>
      </c>
      <c r="H30" s="407">
        <v>1</v>
      </c>
      <c r="I30" s="407">
        <v>318</v>
      </c>
      <c r="J30" s="407">
        <v>146</v>
      </c>
      <c r="K30" s="407">
        <v>46574</v>
      </c>
      <c r="L30" s="407">
        <v>0.83690925426774487</v>
      </c>
      <c r="M30" s="407">
        <v>319</v>
      </c>
      <c r="N30" s="407">
        <v>265</v>
      </c>
      <c r="O30" s="407">
        <v>85126</v>
      </c>
      <c r="P30" s="431">
        <v>1.5296675651392633</v>
      </c>
      <c r="Q30" s="432">
        <v>321.23018867924526</v>
      </c>
    </row>
    <row r="31" spans="1:17" ht="14.4" customHeight="1" x14ac:dyDescent="0.3">
      <c r="A31" s="406" t="s">
        <v>441</v>
      </c>
      <c r="B31" s="430" t="s">
        <v>376</v>
      </c>
      <c r="C31" s="430" t="s">
        <v>377</v>
      </c>
      <c r="D31" s="430" t="s">
        <v>390</v>
      </c>
      <c r="E31" s="430" t="s">
        <v>391</v>
      </c>
      <c r="F31" s="407">
        <v>241</v>
      </c>
      <c r="G31" s="407">
        <v>76638</v>
      </c>
      <c r="H31" s="407">
        <v>1</v>
      </c>
      <c r="I31" s="407">
        <v>318</v>
      </c>
      <c r="J31" s="407">
        <v>219</v>
      </c>
      <c r="K31" s="407">
        <v>69861</v>
      </c>
      <c r="L31" s="407">
        <v>0.91157128317544822</v>
      </c>
      <c r="M31" s="407">
        <v>319</v>
      </c>
      <c r="N31" s="407">
        <v>201</v>
      </c>
      <c r="O31" s="407">
        <v>64488</v>
      </c>
      <c r="P31" s="431">
        <v>0.84146245987630153</v>
      </c>
      <c r="Q31" s="432">
        <v>320.83582089552237</v>
      </c>
    </row>
    <row r="32" spans="1:17" ht="14.4" customHeight="1" x14ac:dyDescent="0.3">
      <c r="A32" s="406" t="s">
        <v>441</v>
      </c>
      <c r="B32" s="430" t="s">
        <v>376</v>
      </c>
      <c r="C32" s="430" t="s">
        <v>377</v>
      </c>
      <c r="D32" s="430" t="s">
        <v>380</v>
      </c>
      <c r="E32" s="430" t="s">
        <v>381</v>
      </c>
      <c r="F32" s="407">
        <v>1</v>
      </c>
      <c r="G32" s="407">
        <v>0</v>
      </c>
      <c r="H32" s="407"/>
      <c r="I32" s="407">
        <v>0</v>
      </c>
      <c r="J32" s="407">
        <v>2</v>
      </c>
      <c r="K32" s="407">
        <v>0</v>
      </c>
      <c r="L32" s="407"/>
      <c r="M32" s="407">
        <v>0</v>
      </c>
      <c r="N32" s="407"/>
      <c r="O32" s="407"/>
      <c r="P32" s="431"/>
      <c r="Q32" s="432"/>
    </row>
    <row r="33" spans="1:17" ht="14.4" customHeight="1" x14ac:dyDescent="0.3">
      <c r="A33" s="406" t="s">
        <v>441</v>
      </c>
      <c r="B33" s="430" t="s">
        <v>376</v>
      </c>
      <c r="C33" s="430" t="s">
        <v>377</v>
      </c>
      <c r="D33" s="430" t="s">
        <v>382</v>
      </c>
      <c r="E33" s="430" t="s">
        <v>383</v>
      </c>
      <c r="F33" s="407">
        <v>4</v>
      </c>
      <c r="G33" s="407">
        <v>2104</v>
      </c>
      <c r="H33" s="407">
        <v>1</v>
      </c>
      <c r="I33" s="407">
        <v>526</v>
      </c>
      <c r="J33" s="407"/>
      <c r="K33" s="407"/>
      <c r="L33" s="407"/>
      <c r="M33" s="407"/>
      <c r="N33" s="407"/>
      <c r="O33" s="407"/>
      <c r="P33" s="431"/>
      <c r="Q33" s="432"/>
    </row>
    <row r="34" spans="1:17" ht="14.4" customHeight="1" x14ac:dyDescent="0.3">
      <c r="A34" s="406" t="s">
        <v>441</v>
      </c>
      <c r="B34" s="430" t="s">
        <v>376</v>
      </c>
      <c r="C34" s="430" t="s">
        <v>377</v>
      </c>
      <c r="D34" s="430" t="s">
        <v>392</v>
      </c>
      <c r="E34" s="430" t="s">
        <v>393</v>
      </c>
      <c r="F34" s="407">
        <v>113</v>
      </c>
      <c r="G34" s="407">
        <v>60116</v>
      </c>
      <c r="H34" s="407">
        <v>1</v>
      </c>
      <c r="I34" s="407">
        <v>532</v>
      </c>
      <c r="J34" s="407">
        <v>121</v>
      </c>
      <c r="K34" s="407">
        <v>65219</v>
      </c>
      <c r="L34" s="407">
        <v>1.0848858872845832</v>
      </c>
      <c r="M34" s="407">
        <v>539</v>
      </c>
      <c r="N34" s="407">
        <v>88</v>
      </c>
      <c r="O34" s="407">
        <v>47786</v>
      </c>
      <c r="P34" s="431">
        <v>0.79489653336882027</v>
      </c>
      <c r="Q34" s="432">
        <v>543.02272727272725</v>
      </c>
    </row>
    <row r="35" spans="1:17" ht="14.4" customHeight="1" x14ac:dyDescent="0.3">
      <c r="A35" s="406" t="s">
        <v>441</v>
      </c>
      <c r="B35" s="430" t="s">
        <v>376</v>
      </c>
      <c r="C35" s="430" t="s">
        <v>377</v>
      </c>
      <c r="D35" s="430" t="s">
        <v>394</v>
      </c>
      <c r="E35" s="430" t="s">
        <v>395</v>
      </c>
      <c r="F35" s="407"/>
      <c r="G35" s="407"/>
      <c r="H35" s="407"/>
      <c r="I35" s="407"/>
      <c r="J35" s="407"/>
      <c r="K35" s="407"/>
      <c r="L35" s="407"/>
      <c r="M35" s="407"/>
      <c r="N35" s="407">
        <v>4</v>
      </c>
      <c r="O35" s="407">
        <v>1088</v>
      </c>
      <c r="P35" s="431"/>
      <c r="Q35" s="432">
        <v>272</v>
      </c>
    </row>
    <row r="36" spans="1:17" ht="14.4" customHeight="1" x14ac:dyDescent="0.3">
      <c r="A36" s="406" t="s">
        <v>441</v>
      </c>
      <c r="B36" s="430" t="s">
        <v>376</v>
      </c>
      <c r="C36" s="430" t="s">
        <v>377</v>
      </c>
      <c r="D36" s="430" t="s">
        <v>396</v>
      </c>
      <c r="E36" s="430" t="s">
        <v>397</v>
      </c>
      <c r="F36" s="407">
        <v>25</v>
      </c>
      <c r="G36" s="407">
        <v>13300</v>
      </c>
      <c r="H36" s="407">
        <v>1</v>
      </c>
      <c r="I36" s="407">
        <v>532</v>
      </c>
      <c r="J36" s="407">
        <v>37</v>
      </c>
      <c r="K36" s="407">
        <v>19943</v>
      </c>
      <c r="L36" s="407">
        <v>1.4994736842105263</v>
      </c>
      <c r="M36" s="407">
        <v>539</v>
      </c>
      <c r="N36" s="407">
        <v>50</v>
      </c>
      <c r="O36" s="407">
        <v>27034</v>
      </c>
      <c r="P36" s="431">
        <v>2.0326315789473686</v>
      </c>
      <c r="Q36" s="432">
        <v>540.67999999999995</v>
      </c>
    </row>
    <row r="37" spans="1:17" ht="14.4" customHeight="1" x14ac:dyDescent="0.3">
      <c r="A37" s="406" t="s">
        <v>442</v>
      </c>
      <c r="B37" s="430" t="s">
        <v>376</v>
      </c>
      <c r="C37" s="430" t="s">
        <v>377</v>
      </c>
      <c r="D37" s="430" t="s">
        <v>378</v>
      </c>
      <c r="E37" s="430" t="s">
        <v>379</v>
      </c>
      <c r="F37" s="407"/>
      <c r="G37" s="407"/>
      <c r="H37" s="407"/>
      <c r="I37" s="407"/>
      <c r="J37" s="407">
        <v>4</v>
      </c>
      <c r="K37" s="407">
        <v>1276</v>
      </c>
      <c r="L37" s="407"/>
      <c r="M37" s="407">
        <v>319</v>
      </c>
      <c r="N37" s="407"/>
      <c r="O37" s="407"/>
      <c r="P37" s="431"/>
      <c r="Q37" s="432"/>
    </row>
    <row r="38" spans="1:17" ht="14.4" customHeight="1" x14ac:dyDescent="0.3">
      <c r="A38" s="406" t="s">
        <v>443</v>
      </c>
      <c r="B38" s="430" t="s">
        <v>376</v>
      </c>
      <c r="C38" s="430" t="s">
        <v>377</v>
      </c>
      <c r="D38" s="430" t="s">
        <v>378</v>
      </c>
      <c r="E38" s="430" t="s">
        <v>379</v>
      </c>
      <c r="F38" s="407"/>
      <c r="G38" s="407"/>
      <c r="H38" s="407"/>
      <c r="I38" s="407"/>
      <c r="J38" s="407">
        <v>38</v>
      </c>
      <c r="K38" s="407">
        <v>12122</v>
      </c>
      <c r="L38" s="407"/>
      <c r="M38" s="407">
        <v>319</v>
      </c>
      <c r="N38" s="407">
        <v>9</v>
      </c>
      <c r="O38" s="407">
        <v>2898</v>
      </c>
      <c r="P38" s="431"/>
      <c r="Q38" s="432">
        <v>322</v>
      </c>
    </row>
    <row r="39" spans="1:17" ht="14.4" customHeight="1" x14ac:dyDescent="0.3">
      <c r="A39" s="406" t="s">
        <v>443</v>
      </c>
      <c r="B39" s="430" t="s">
        <v>376</v>
      </c>
      <c r="C39" s="430" t="s">
        <v>377</v>
      </c>
      <c r="D39" s="430" t="s">
        <v>382</v>
      </c>
      <c r="E39" s="430" t="s">
        <v>383</v>
      </c>
      <c r="F39" s="407"/>
      <c r="G39" s="407"/>
      <c r="H39" s="407"/>
      <c r="I39" s="407"/>
      <c r="J39" s="407">
        <v>4</v>
      </c>
      <c r="K39" s="407">
        <v>2152</v>
      </c>
      <c r="L39" s="407"/>
      <c r="M39" s="407">
        <v>538</v>
      </c>
      <c r="N39" s="407"/>
      <c r="O39" s="407"/>
      <c r="P39" s="431"/>
      <c r="Q39" s="432"/>
    </row>
    <row r="40" spans="1:17" ht="14.4" customHeight="1" x14ac:dyDescent="0.3">
      <c r="A40" s="406" t="s">
        <v>444</v>
      </c>
      <c r="B40" s="430" t="s">
        <v>376</v>
      </c>
      <c r="C40" s="430" t="s">
        <v>377</v>
      </c>
      <c r="D40" s="430" t="s">
        <v>378</v>
      </c>
      <c r="E40" s="430" t="s">
        <v>379</v>
      </c>
      <c r="F40" s="407">
        <v>16</v>
      </c>
      <c r="G40" s="407">
        <v>5088</v>
      </c>
      <c r="H40" s="407">
        <v>1</v>
      </c>
      <c r="I40" s="407">
        <v>318</v>
      </c>
      <c r="J40" s="407">
        <v>18</v>
      </c>
      <c r="K40" s="407">
        <v>5742</v>
      </c>
      <c r="L40" s="407">
        <v>1.1285377358490567</v>
      </c>
      <c r="M40" s="407">
        <v>319</v>
      </c>
      <c r="N40" s="407">
        <v>24</v>
      </c>
      <c r="O40" s="407">
        <v>7728</v>
      </c>
      <c r="P40" s="431">
        <v>1.5188679245283019</v>
      </c>
      <c r="Q40" s="432">
        <v>322</v>
      </c>
    </row>
    <row r="41" spans="1:17" ht="14.4" customHeight="1" x14ac:dyDescent="0.3">
      <c r="A41" s="406" t="s">
        <v>444</v>
      </c>
      <c r="B41" s="430" t="s">
        <v>376</v>
      </c>
      <c r="C41" s="430" t="s">
        <v>377</v>
      </c>
      <c r="D41" s="430" t="s">
        <v>388</v>
      </c>
      <c r="E41" s="430" t="s">
        <v>389</v>
      </c>
      <c r="F41" s="407"/>
      <c r="G41" s="407"/>
      <c r="H41" s="407"/>
      <c r="I41" s="407"/>
      <c r="J41" s="407">
        <v>4</v>
      </c>
      <c r="K41" s="407">
        <v>1276</v>
      </c>
      <c r="L41" s="407"/>
      <c r="M41" s="407">
        <v>319</v>
      </c>
      <c r="N41" s="407"/>
      <c r="O41" s="407"/>
      <c r="P41" s="431"/>
      <c r="Q41" s="432"/>
    </row>
    <row r="42" spans="1:17" ht="14.4" customHeight="1" x14ac:dyDescent="0.3">
      <c r="A42" s="406" t="s">
        <v>445</v>
      </c>
      <c r="B42" s="430" t="s">
        <v>376</v>
      </c>
      <c r="C42" s="430" t="s">
        <v>377</v>
      </c>
      <c r="D42" s="430" t="s">
        <v>378</v>
      </c>
      <c r="E42" s="430" t="s">
        <v>379</v>
      </c>
      <c r="F42" s="407"/>
      <c r="G42" s="407"/>
      <c r="H42" s="407"/>
      <c r="I42" s="407"/>
      <c r="J42" s="407"/>
      <c r="K42" s="407"/>
      <c r="L42" s="407"/>
      <c r="M42" s="407"/>
      <c r="N42" s="407">
        <v>3</v>
      </c>
      <c r="O42" s="407">
        <v>966</v>
      </c>
      <c r="P42" s="431"/>
      <c r="Q42" s="432">
        <v>322</v>
      </c>
    </row>
    <row r="43" spans="1:17" ht="14.4" customHeight="1" x14ac:dyDescent="0.3">
      <c r="A43" s="406" t="s">
        <v>446</v>
      </c>
      <c r="B43" s="430" t="s">
        <v>376</v>
      </c>
      <c r="C43" s="430" t="s">
        <v>377</v>
      </c>
      <c r="D43" s="430" t="s">
        <v>378</v>
      </c>
      <c r="E43" s="430" t="s">
        <v>379</v>
      </c>
      <c r="F43" s="407">
        <v>1728</v>
      </c>
      <c r="G43" s="407">
        <v>549504</v>
      </c>
      <c r="H43" s="407">
        <v>1</v>
      </c>
      <c r="I43" s="407">
        <v>318</v>
      </c>
      <c r="J43" s="407">
        <v>2354</v>
      </c>
      <c r="K43" s="407">
        <v>750926</v>
      </c>
      <c r="L43" s="407">
        <v>1.3665523817842999</v>
      </c>
      <c r="M43" s="407">
        <v>319</v>
      </c>
      <c r="N43" s="407">
        <v>1434</v>
      </c>
      <c r="O43" s="407">
        <v>459765</v>
      </c>
      <c r="P43" s="431">
        <v>0.83669090670859536</v>
      </c>
      <c r="Q43" s="432">
        <v>320.61715481171547</v>
      </c>
    </row>
    <row r="44" spans="1:17" ht="14.4" customHeight="1" x14ac:dyDescent="0.3">
      <c r="A44" s="406" t="s">
        <v>446</v>
      </c>
      <c r="B44" s="430" t="s">
        <v>376</v>
      </c>
      <c r="C44" s="430" t="s">
        <v>377</v>
      </c>
      <c r="D44" s="430" t="s">
        <v>388</v>
      </c>
      <c r="E44" s="430" t="s">
        <v>389</v>
      </c>
      <c r="F44" s="407"/>
      <c r="G44" s="407"/>
      <c r="H44" s="407"/>
      <c r="I44" s="407"/>
      <c r="J44" s="407">
        <v>4</v>
      </c>
      <c r="K44" s="407">
        <v>1276</v>
      </c>
      <c r="L44" s="407"/>
      <c r="M44" s="407">
        <v>319</v>
      </c>
      <c r="N44" s="407">
        <v>4</v>
      </c>
      <c r="O44" s="407">
        <v>1288</v>
      </c>
      <c r="P44" s="431"/>
      <c r="Q44" s="432">
        <v>322</v>
      </c>
    </row>
    <row r="45" spans="1:17" ht="14.4" customHeight="1" x14ac:dyDescent="0.3">
      <c r="A45" s="406" t="s">
        <v>446</v>
      </c>
      <c r="B45" s="430" t="s">
        <v>376</v>
      </c>
      <c r="C45" s="430" t="s">
        <v>377</v>
      </c>
      <c r="D45" s="430" t="s">
        <v>390</v>
      </c>
      <c r="E45" s="430" t="s">
        <v>391</v>
      </c>
      <c r="F45" s="407">
        <v>4</v>
      </c>
      <c r="G45" s="407">
        <v>1272</v>
      </c>
      <c r="H45" s="407">
        <v>1</v>
      </c>
      <c r="I45" s="407">
        <v>318</v>
      </c>
      <c r="J45" s="407">
        <v>6</v>
      </c>
      <c r="K45" s="407">
        <v>1914</v>
      </c>
      <c r="L45" s="407">
        <v>1.5047169811320755</v>
      </c>
      <c r="M45" s="407">
        <v>319</v>
      </c>
      <c r="N45" s="407">
        <v>3</v>
      </c>
      <c r="O45" s="407">
        <v>966</v>
      </c>
      <c r="P45" s="431">
        <v>0.75943396226415094</v>
      </c>
      <c r="Q45" s="432">
        <v>322</v>
      </c>
    </row>
    <row r="46" spans="1:17" ht="14.4" customHeight="1" x14ac:dyDescent="0.3">
      <c r="A46" s="406" t="s">
        <v>446</v>
      </c>
      <c r="B46" s="430" t="s">
        <v>376</v>
      </c>
      <c r="C46" s="430" t="s">
        <v>377</v>
      </c>
      <c r="D46" s="430" t="s">
        <v>382</v>
      </c>
      <c r="E46" s="430" t="s">
        <v>383</v>
      </c>
      <c r="F46" s="407">
        <v>39</v>
      </c>
      <c r="G46" s="407">
        <v>20514</v>
      </c>
      <c r="H46" s="407">
        <v>1</v>
      </c>
      <c r="I46" s="407">
        <v>526</v>
      </c>
      <c r="J46" s="407">
        <v>69</v>
      </c>
      <c r="K46" s="407">
        <v>37122</v>
      </c>
      <c r="L46" s="407">
        <v>1.8095934483767184</v>
      </c>
      <c r="M46" s="407">
        <v>538</v>
      </c>
      <c r="N46" s="407">
        <v>48</v>
      </c>
      <c r="O46" s="407">
        <v>26004</v>
      </c>
      <c r="P46" s="431">
        <v>1.2676221117285755</v>
      </c>
      <c r="Q46" s="432">
        <v>541.75</v>
      </c>
    </row>
    <row r="47" spans="1:17" ht="14.4" customHeight="1" x14ac:dyDescent="0.3">
      <c r="A47" s="406" t="s">
        <v>447</v>
      </c>
      <c r="B47" s="430" t="s">
        <v>376</v>
      </c>
      <c r="C47" s="430" t="s">
        <v>377</v>
      </c>
      <c r="D47" s="430" t="s">
        <v>386</v>
      </c>
      <c r="E47" s="430" t="s">
        <v>387</v>
      </c>
      <c r="F47" s="407"/>
      <c r="G47" s="407"/>
      <c r="H47" s="407"/>
      <c r="I47" s="407"/>
      <c r="J47" s="407"/>
      <c r="K47" s="407"/>
      <c r="L47" s="407"/>
      <c r="M47" s="407"/>
      <c r="N47" s="407">
        <v>1</v>
      </c>
      <c r="O47" s="407">
        <v>70</v>
      </c>
      <c r="P47" s="431"/>
      <c r="Q47" s="432">
        <v>70</v>
      </c>
    </row>
    <row r="48" spans="1:17" ht="14.4" customHeight="1" x14ac:dyDescent="0.3">
      <c r="A48" s="406" t="s">
        <v>447</v>
      </c>
      <c r="B48" s="430" t="s">
        <v>376</v>
      </c>
      <c r="C48" s="430" t="s">
        <v>377</v>
      </c>
      <c r="D48" s="430" t="s">
        <v>378</v>
      </c>
      <c r="E48" s="430" t="s">
        <v>379</v>
      </c>
      <c r="F48" s="407">
        <v>38</v>
      </c>
      <c r="G48" s="407">
        <v>12084</v>
      </c>
      <c r="H48" s="407">
        <v>1</v>
      </c>
      <c r="I48" s="407">
        <v>318</v>
      </c>
      <c r="J48" s="407">
        <v>61</v>
      </c>
      <c r="K48" s="407">
        <v>19459</v>
      </c>
      <c r="L48" s="407">
        <v>1.6103111552466072</v>
      </c>
      <c r="M48" s="407">
        <v>319</v>
      </c>
      <c r="N48" s="407">
        <v>182</v>
      </c>
      <c r="O48" s="407">
        <v>58352</v>
      </c>
      <c r="P48" s="431">
        <v>4.828864614366104</v>
      </c>
      <c r="Q48" s="432">
        <v>320.61538461538464</v>
      </c>
    </row>
    <row r="49" spans="1:17" ht="14.4" customHeight="1" x14ac:dyDescent="0.3">
      <c r="A49" s="406" t="s">
        <v>447</v>
      </c>
      <c r="B49" s="430" t="s">
        <v>376</v>
      </c>
      <c r="C49" s="430" t="s">
        <v>377</v>
      </c>
      <c r="D49" s="430" t="s">
        <v>390</v>
      </c>
      <c r="E49" s="430" t="s">
        <v>391</v>
      </c>
      <c r="F49" s="407"/>
      <c r="G49" s="407"/>
      <c r="H49" s="407"/>
      <c r="I49" s="407"/>
      <c r="J49" s="407">
        <v>12</v>
      </c>
      <c r="K49" s="407">
        <v>3828</v>
      </c>
      <c r="L49" s="407"/>
      <c r="M49" s="407">
        <v>319</v>
      </c>
      <c r="N49" s="407"/>
      <c r="O49" s="407"/>
      <c r="P49" s="431"/>
      <c r="Q49" s="432"/>
    </row>
    <row r="50" spans="1:17" ht="14.4" customHeight="1" x14ac:dyDescent="0.3">
      <c r="A50" s="406" t="s">
        <v>447</v>
      </c>
      <c r="B50" s="430" t="s">
        <v>376</v>
      </c>
      <c r="C50" s="430" t="s">
        <v>377</v>
      </c>
      <c r="D50" s="430" t="s">
        <v>380</v>
      </c>
      <c r="E50" s="430" t="s">
        <v>381</v>
      </c>
      <c r="F50" s="407">
        <v>2</v>
      </c>
      <c r="G50" s="407">
        <v>0</v>
      </c>
      <c r="H50" s="407"/>
      <c r="I50" s="407">
        <v>0</v>
      </c>
      <c r="J50" s="407"/>
      <c r="K50" s="407"/>
      <c r="L50" s="407"/>
      <c r="M50" s="407"/>
      <c r="N50" s="407"/>
      <c r="O50" s="407"/>
      <c r="P50" s="431"/>
      <c r="Q50" s="432"/>
    </row>
    <row r="51" spans="1:17" ht="14.4" customHeight="1" x14ac:dyDescent="0.3">
      <c r="A51" s="406" t="s">
        <v>447</v>
      </c>
      <c r="B51" s="430" t="s">
        <v>376</v>
      </c>
      <c r="C51" s="430" t="s">
        <v>377</v>
      </c>
      <c r="D51" s="430" t="s">
        <v>382</v>
      </c>
      <c r="E51" s="430" t="s">
        <v>383</v>
      </c>
      <c r="F51" s="407">
        <v>626</v>
      </c>
      <c r="G51" s="407">
        <v>329276</v>
      </c>
      <c r="H51" s="407">
        <v>1</v>
      </c>
      <c r="I51" s="407">
        <v>526</v>
      </c>
      <c r="J51" s="407">
        <v>622</v>
      </c>
      <c r="K51" s="407">
        <v>334636</v>
      </c>
      <c r="L51" s="407">
        <v>1.0162781374895224</v>
      </c>
      <c r="M51" s="407">
        <v>538</v>
      </c>
      <c r="N51" s="407">
        <v>792</v>
      </c>
      <c r="O51" s="407">
        <v>429138</v>
      </c>
      <c r="P51" s="431">
        <v>1.3032774936527411</v>
      </c>
      <c r="Q51" s="432">
        <v>541.84090909090912</v>
      </c>
    </row>
    <row r="52" spans="1:17" ht="14.4" customHeight="1" x14ac:dyDescent="0.3">
      <c r="A52" s="406" t="s">
        <v>447</v>
      </c>
      <c r="B52" s="430" t="s">
        <v>376</v>
      </c>
      <c r="C52" s="430" t="s">
        <v>377</v>
      </c>
      <c r="D52" s="430" t="s">
        <v>384</v>
      </c>
      <c r="E52" s="430" t="s">
        <v>385</v>
      </c>
      <c r="F52" s="407">
        <v>142</v>
      </c>
      <c r="G52" s="407">
        <v>74692</v>
      </c>
      <c r="H52" s="407">
        <v>1</v>
      </c>
      <c r="I52" s="407">
        <v>526</v>
      </c>
      <c r="J52" s="407">
        <v>56</v>
      </c>
      <c r="K52" s="407">
        <v>30128</v>
      </c>
      <c r="L52" s="407">
        <v>0.40336314464735179</v>
      </c>
      <c r="M52" s="407">
        <v>538</v>
      </c>
      <c r="N52" s="407">
        <v>172</v>
      </c>
      <c r="O52" s="407">
        <v>93328</v>
      </c>
      <c r="P52" s="431">
        <v>1.2495046323568788</v>
      </c>
      <c r="Q52" s="432">
        <v>542.60465116279067</v>
      </c>
    </row>
    <row r="53" spans="1:17" ht="14.4" customHeight="1" x14ac:dyDescent="0.3">
      <c r="A53" s="406" t="s">
        <v>447</v>
      </c>
      <c r="B53" s="430" t="s">
        <v>376</v>
      </c>
      <c r="C53" s="430" t="s">
        <v>377</v>
      </c>
      <c r="D53" s="430" t="s">
        <v>398</v>
      </c>
      <c r="E53" s="430" t="s">
        <v>399</v>
      </c>
      <c r="F53" s="407"/>
      <c r="G53" s="407"/>
      <c r="H53" s="407"/>
      <c r="I53" s="407"/>
      <c r="J53" s="407"/>
      <c r="K53" s="407"/>
      <c r="L53" s="407"/>
      <c r="M53" s="407"/>
      <c r="N53" s="407">
        <v>12</v>
      </c>
      <c r="O53" s="407">
        <v>3264</v>
      </c>
      <c r="P53" s="431"/>
      <c r="Q53" s="432">
        <v>272</v>
      </c>
    </row>
    <row r="54" spans="1:17" ht="14.4" customHeight="1" x14ac:dyDescent="0.3">
      <c r="A54" s="406" t="s">
        <v>448</v>
      </c>
      <c r="B54" s="430" t="s">
        <v>376</v>
      </c>
      <c r="C54" s="430" t="s">
        <v>377</v>
      </c>
      <c r="D54" s="430" t="s">
        <v>378</v>
      </c>
      <c r="E54" s="430" t="s">
        <v>379</v>
      </c>
      <c r="F54" s="407">
        <v>78</v>
      </c>
      <c r="G54" s="407">
        <v>24804</v>
      </c>
      <c r="H54" s="407">
        <v>1</v>
      </c>
      <c r="I54" s="407">
        <v>318</v>
      </c>
      <c r="J54" s="407"/>
      <c r="K54" s="407"/>
      <c r="L54" s="407"/>
      <c r="M54" s="407"/>
      <c r="N54" s="407">
        <v>4</v>
      </c>
      <c r="O54" s="407">
        <v>1288</v>
      </c>
      <c r="P54" s="431">
        <v>5.1927108530882116E-2</v>
      </c>
      <c r="Q54" s="432">
        <v>322</v>
      </c>
    </row>
    <row r="55" spans="1:17" ht="14.4" customHeight="1" x14ac:dyDescent="0.3">
      <c r="A55" s="406" t="s">
        <v>448</v>
      </c>
      <c r="B55" s="430" t="s">
        <v>376</v>
      </c>
      <c r="C55" s="430" t="s">
        <v>377</v>
      </c>
      <c r="D55" s="430" t="s">
        <v>382</v>
      </c>
      <c r="E55" s="430" t="s">
        <v>383</v>
      </c>
      <c r="F55" s="407">
        <v>4</v>
      </c>
      <c r="G55" s="407">
        <v>2104</v>
      </c>
      <c r="H55" s="407">
        <v>1</v>
      </c>
      <c r="I55" s="407">
        <v>526</v>
      </c>
      <c r="J55" s="407">
        <v>2</v>
      </c>
      <c r="K55" s="407">
        <v>1076</v>
      </c>
      <c r="L55" s="407">
        <v>0.51140684410646386</v>
      </c>
      <c r="M55" s="407">
        <v>538</v>
      </c>
      <c r="N55" s="407">
        <v>4</v>
      </c>
      <c r="O55" s="407">
        <v>2176</v>
      </c>
      <c r="P55" s="431">
        <v>1.0342205323193916</v>
      </c>
      <c r="Q55" s="432">
        <v>544</v>
      </c>
    </row>
    <row r="56" spans="1:17" ht="14.4" customHeight="1" x14ac:dyDescent="0.3">
      <c r="A56" s="406" t="s">
        <v>448</v>
      </c>
      <c r="B56" s="430" t="s">
        <v>376</v>
      </c>
      <c r="C56" s="430" t="s">
        <v>377</v>
      </c>
      <c r="D56" s="430" t="s">
        <v>384</v>
      </c>
      <c r="E56" s="430" t="s">
        <v>385</v>
      </c>
      <c r="F56" s="407">
        <v>48</v>
      </c>
      <c r="G56" s="407">
        <v>25248</v>
      </c>
      <c r="H56" s="407">
        <v>1</v>
      </c>
      <c r="I56" s="407">
        <v>526</v>
      </c>
      <c r="J56" s="407">
        <v>12</v>
      </c>
      <c r="K56" s="407">
        <v>6456</v>
      </c>
      <c r="L56" s="407">
        <v>0.25570342205323193</v>
      </c>
      <c r="M56" s="407">
        <v>538</v>
      </c>
      <c r="N56" s="407">
        <v>12</v>
      </c>
      <c r="O56" s="407">
        <v>6528</v>
      </c>
      <c r="P56" s="431">
        <v>0.2585551330798479</v>
      </c>
      <c r="Q56" s="432">
        <v>544</v>
      </c>
    </row>
    <row r="57" spans="1:17" ht="14.4" customHeight="1" x14ac:dyDescent="0.3">
      <c r="A57" s="406" t="s">
        <v>449</v>
      </c>
      <c r="B57" s="430" t="s">
        <v>376</v>
      </c>
      <c r="C57" s="430" t="s">
        <v>377</v>
      </c>
      <c r="D57" s="430" t="s">
        <v>378</v>
      </c>
      <c r="E57" s="430" t="s">
        <v>379</v>
      </c>
      <c r="F57" s="407"/>
      <c r="G57" s="407"/>
      <c r="H57" s="407"/>
      <c r="I57" s="407"/>
      <c r="J57" s="407">
        <v>12</v>
      </c>
      <c r="K57" s="407">
        <v>3828</v>
      </c>
      <c r="L57" s="407"/>
      <c r="M57" s="407">
        <v>319</v>
      </c>
      <c r="N57" s="407">
        <v>20</v>
      </c>
      <c r="O57" s="407">
        <v>6428</v>
      </c>
      <c r="P57" s="431"/>
      <c r="Q57" s="432">
        <v>321.39999999999998</v>
      </c>
    </row>
    <row r="58" spans="1:17" ht="14.4" customHeight="1" x14ac:dyDescent="0.3">
      <c r="A58" s="406" t="s">
        <v>449</v>
      </c>
      <c r="B58" s="430" t="s">
        <v>376</v>
      </c>
      <c r="C58" s="430" t="s">
        <v>377</v>
      </c>
      <c r="D58" s="430" t="s">
        <v>382</v>
      </c>
      <c r="E58" s="430" t="s">
        <v>383</v>
      </c>
      <c r="F58" s="407"/>
      <c r="G58" s="407"/>
      <c r="H58" s="407"/>
      <c r="I58" s="407"/>
      <c r="J58" s="407">
        <v>6</v>
      </c>
      <c r="K58" s="407">
        <v>3228</v>
      </c>
      <c r="L58" s="407"/>
      <c r="M58" s="407">
        <v>538</v>
      </c>
      <c r="N58" s="407">
        <v>4</v>
      </c>
      <c r="O58" s="407">
        <v>2152</v>
      </c>
      <c r="P58" s="431"/>
      <c r="Q58" s="432">
        <v>538</v>
      </c>
    </row>
    <row r="59" spans="1:17" ht="14.4" customHeight="1" x14ac:dyDescent="0.3">
      <c r="A59" s="406" t="s">
        <v>450</v>
      </c>
      <c r="B59" s="430" t="s">
        <v>376</v>
      </c>
      <c r="C59" s="430" t="s">
        <v>377</v>
      </c>
      <c r="D59" s="430" t="s">
        <v>386</v>
      </c>
      <c r="E59" s="430" t="s">
        <v>387</v>
      </c>
      <c r="F59" s="407"/>
      <c r="G59" s="407"/>
      <c r="H59" s="407"/>
      <c r="I59" s="407"/>
      <c r="J59" s="407"/>
      <c r="K59" s="407"/>
      <c r="L59" s="407"/>
      <c r="M59" s="407"/>
      <c r="N59" s="407">
        <v>2</v>
      </c>
      <c r="O59" s="407">
        <v>138</v>
      </c>
      <c r="P59" s="431"/>
      <c r="Q59" s="432">
        <v>69</v>
      </c>
    </row>
    <row r="60" spans="1:17" ht="14.4" customHeight="1" x14ac:dyDescent="0.3">
      <c r="A60" s="406" t="s">
        <v>450</v>
      </c>
      <c r="B60" s="430" t="s">
        <v>376</v>
      </c>
      <c r="C60" s="430" t="s">
        <v>377</v>
      </c>
      <c r="D60" s="430" t="s">
        <v>378</v>
      </c>
      <c r="E60" s="430" t="s">
        <v>379</v>
      </c>
      <c r="F60" s="407">
        <v>702</v>
      </c>
      <c r="G60" s="407">
        <v>223236</v>
      </c>
      <c r="H60" s="407">
        <v>1</v>
      </c>
      <c r="I60" s="407">
        <v>318</v>
      </c>
      <c r="J60" s="407">
        <v>477</v>
      </c>
      <c r="K60" s="407">
        <v>152163</v>
      </c>
      <c r="L60" s="407">
        <v>0.68162393162393164</v>
      </c>
      <c r="M60" s="407">
        <v>319</v>
      </c>
      <c r="N60" s="407">
        <v>602</v>
      </c>
      <c r="O60" s="407">
        <v>193190</v>
      </c>
      <c r="P60" s="431">
        <v>0.8654070132057553</v>
      </c>
      <c r="Q60" s="432">
        <v>320.91362126245849</v>
      </c>
    </row>
    <row r="61" spans="1:17" ht="14.4" customHeight="1" x14ac:dyDescent="0.3">
      <c r="A61" s="406" t="s">
        <v>450</v>
      </c>
      <c r="B61" s="430" t="s">
        <v>376</v>
      </c>
      <c r="C61" s="430" t="s">
        <v>377</v>
      </c>
      <c r="D61" s="430" t="s">
        <v>388</v>
      </c>
      <c r="E61" s="430" t="s">
        <v>389</v>
      </c>
      <c r="F61" s="407">
        <v>15</v>
      </c>
      <c r="G61" s="407">
        <v>4770</v>
      </c>
      <c r="H61" s="407">
        <v>1</v>
      </c>
      <c r="I61" s="407">
        <v>318</v>
      </c>
      <c r="J61" s="407">
        <v>40</v>
      </c>
      <c r="K61" s="407">
        <v>12760</v>
      </c>
      <c r="L61" s="407">
        <v>2.6750524109014675</v>
      </c>
      <c r="M61" s="407">
        <v>319</v>
      </c>
      <c r="N61" s="407">
        <v>24</v>
      </c>
      <c r="O61" s="407">
        <v>7716</v>
      </c>
      <c r="P61" s="431">
        <v>1.6176100628930818</v>
      </c>
      <c r="Q61" s="432">
        <v>321.5</v>
      </c>
    </row>
    <row r="62" spans="1:17" ht="14.4" customHeight="1" x14ac:dyDescent="0.3">
      <c r="A62" s="406" t="s">
        <v>450</v>
      </c>
      <c r="B62" s="430" t="s">
        <v>376</v>
      </c>
      <c r="C62" s="430" t="s">
        <v>377</v>
      </c>
      <c r="D62" s="430" t="s">
        <v>390</v>
      </c>
      <c r="E62" s="430" t="s">
        <v>391</v>
      </c>
      <c r="F62" s="407">
        <v>14</v>
      </c>
      <c r="G62" s="407">
        <v>4452</v>
      </c>
      <c r="H62" s="407">
        <v>1</v>
      </c>
      <c r="I62" s="407">
        <v>318</v>
      </c>
      <c r="J62" s="407">
        <v>26</v>
      </c>
      <c r="K62" s="407">
        <v>8294</v>
      </c>
      <c r="L62" s="407">
        <v>1.862982929020665</v>
      </c>
      <c r="M62" s="407">
        <v>319</v>
      </c>
      <c r="N62" s="407">
        <v>18</v>
      </c>
      <c r="O62" s="407">
        <v>5784</v>
      </c>
      <c r="P62" s="431">
        <v>1.2991913746630728</v>
      </c>
      <c r="Q62" s="432">
        <v>321.33333333333331</v>
      </c>
    </row>
    <row r="63" spans="1:17" ht="14.4" customHeight="1" x14ac:dyDescent="0.3">
      <c r="A63" s="406" t="s">
        <v>450</v>
      </c>
      <c r="B63" s="430" t="s">
        <v>376</v>
      </c>
      <c r="C63" s="430" t="s">
        <v>377</v>
      </c>
      <c r="D63" s="430" t="s">
        <v>382</v>
      </c>
      <c r="E63" s="430" t="s">
        <v>383</v>
      </c>
      <c r="F63" s="407"/>
      <c r="G63" s="407"/>
      <c r="H63" s="407"/>
      <c r="I63" s="407"/>
      <c r="J63" s="407">
        <v>4</v>
      </c>
      <c r="K63" s="407">
        <v>2152</v>
      </c>
      <c r="L63" s="407"/>
      <c r="M63" s="407">
        <v>538</v>
      </c>
      <c r="N63" s="407"/>
      <c r="O63" s="407"/>
      <c r="P63" s="431"/>
      <c r="Q63" s="432"/>
    </row>
    <row r="64" spans="1:17" ht="14.4" customHeight="1" x14ac:dyDescent="0.3">
      <c r="A64" s="406" t="s">
        <v>451</v>
      </c>
      <c r="B64" s="430" t="s">
        <v>376</v>
      </c>
      <c r="C64" s="430" t="s">
        <v>377</v>
      </c>
      <c r="D64" s="430" t="s">
        <v>378</v>
      </c>
      <c r="E64" s="430" t="s">
        <v>379</v>
      </c>
      <c r="F64" s="407"/>
      <c r="G64" s="407"/>
      <c r="H64" s="407"/>
      <c r="I64" s="407"/>
      <c r="J64" s="407">
        <v>4</v>
      </c>
      <c r="K64" s="407">
        <v>1276</v>
      </c>
      <c r="L64" s="407"/>
      <c r="M64" s="407">
        <v>319</v>
      </c>
      <c r="N64" s="407">
        <v>28</v>
      </c>
      <c r="O64" s="407">
        <v>8968</v>
      </c>
      <c r="P64" s="431"/>
      <c r="Q64" s="432">
        <v>320.28571428571428</v>
      </c>
    </row>
    <row r="65" spans="1:17" ht="14.4" customHeight="1" x14ac:dyDescent="0.3">
      <c r="A65" s="406" t="s">
        <v>452</v>
      </c>
      <c r="B65" s="430" t="s">
        <v>376</v>
      </c>
      <c r="C65" s="430" t="s">
        <v>377</v>
      </c>
      <c r="D65" s="430" t="s">
        <v>386</v>
      </c>
      <c r="E65" s="430" t="s">
        <v>387</v>
      </c>
      <c r="F65" s="407">
        <v>1</v>
      </c>
      <c r="G65" s="407">
        <v>68</v>
      </c>
      <c r="H65" s="407">
        <v>1</v>
      </c>
      <c r="I65" s="407">
        <v>68</v>
      </c>
      <c r="J65" s="407"/>
      <c r="K65" s="407"/>
      <c r="L65" s="407"/>
      <c r="M65" s="407"/>
      <c r="N65" s="407"/>
      <c r="O65" s="407"/>
      <c r="P65" s="431"/>
      <c r="Q65" s="432"/>
    </row>
    <row r="66" spans="1:17" ht="14.4" customHeight="1" x14ac:dyDescent="0.3">
      <c r="A66" s="406" t="s">
        <v>452</v>
      </c>
      <c r="B66" s="430" t="s">
        <v>376</v>
      </c>
      <c r="C66" s="430" t="s">
        <v>377</v>
      </c>
      <c r="D66" s="430" t="s">
        <v>378</v>
      </c>
      <c r="E66" s="430" t="s">
        <v>379</v>
      </c>
      <c r="F66" s="407">
        <v>348</v>
      </c>
      <c r="G66" s="407">
        <v>110664</v>
      </c>
      <c r="H66" s="407">
        <v>1</v>
      </c>
      <c r="I66" s="407">
        <v>318</v>
      </c>
      <c r="J66" s="407">
        <v>36</v>
      </c>
      <c r="K66" s="407">
        <v>11484</v>
      </c>
      <c r="L66" s="407">
        <v>0.10377358490566038</v>
      </c>
      <c r="M66" s="407">
        <v>319</v>
      </c>
      <c r="N66" s="407">
        <v>120</v>
      </c>
      <c r="O66" s="407">
        <v>38616</v>
      </c>
      <c r="P66" s="431">
        <v>0.3489481674257211</v>
      </c>
      <c r="Q66" s="432">
        <v>321.8</v>
      </c>
    </row>
    <row r="67" spans="1:17" ht="14.4" customHeight="1" x14ac:dyDescent="0.3">
      <c r="A67" s="406" t="s">
        <v>452</v>
      </c>
      <c r="B67" s="430" t="s">
        <v>376</v>
      </c>
      <c r="C67" s="430" t="s">
        <v>377</v>
      </c>
      <c r="D67" s="430" t="s">
        <v>388</v>
      </c>
      <c r="E67" s="430" t="s">
        <v>389</v>
      </c>
      <c r="F67" s="407">
        <v>24</v>
      </c>
      <c r="G67" s="407">
        <v>7632</v>
      </c>
      <c r="H67" s="407">
        <v>1</v>
      </c>
      <c r="I67" s="407">
        <v>318</v>
      </c>
      <c r="J67" s="407"/>
      <c r="K67" s="407"/>
      <c r="L67" s="407"/>
      <c r="M67" s="407"/>
      <c r="N67" s="407"/>
      <c r="O67" s="407"/>
      <c r="P67" s="431"/>
      <c r="Q67" s="432"/>
    </row>
    <row r="68" spans="1:17" ht="14.4" customHeight="1" x14ac:dyDescent="0.3">
      <c r="A68" s="406" t="s">
        <v>452</v>
      </c>
      <c r="B68" s="430" t="s">
        <v>376</v>
      </c>
      <c r="C68" s="430" t="s">
        <v>377</v>
      </c>
      <c r="D68" s="430" t="s">
        <v>382</v>
      </c>
      <c r="E68" s="430" t="s">
        <v>383</v>
      </c>
      <c r="F68" s="407">
        <v>40</v>
      </c>
      <c r="G68" s="407">
        <v>21040</v>
      </c>
      <c r="H68" s="407">
        <v>1</v>
      </c>
      <c r="I68" s="407">
        <v>526</v>
      </c>
      <c r="J68" s="407">
        <v>4</v>
      </c>
      <c r="K68" s="407">
        <v>2152</v>
      </c>
      <c r="L68" s="407">
        <v>0.10228136882129278</v>
      </c>
      <c r="M68" s="407">
        <v>538</v>
      </c>
      <c r="N68" s="407">
        <v>26</v>
      </c>
      <c r="O68" s="407">
        <v>14096</v>
      </c>
      <c r="P68" s="431">
        <v>0.66996197718631179</v>
      </c>
      <c r="Q68" s="432">
        <v>542.15384615384619</v>
      </c>
    </row>
    <row r="69" spans="1:17" ht="14.4" customHeight="1" x14ac:dyDescent="0.3">
      <c r="A69" s="406" t="s">
        <v>453</v>
      </c>
      <c r="B69" s="430" t="s">
        <v>376</v>
      </c>
      <c r="C69" s="430" t="s">
        <v>377</v>
      </c>
      <c r="D69" s="430" t="s">
        <v>378</v>
      </c>
      <c r="E69" s="430" t="s">
        <v>379</v>
      </c>
      <c r="F69" s="407">
        <v>16</v>
      </c>
      <c r="G69" s="407">
        <v>5088</v>
      </c>
      <c r="H69" s="407">
        <v>1</v>
      </c>
      <c r="I69" s="407">
        <v>318</v>
      </c>
      <c r="J69" s="407"/>
      <c r="K69" s="407"/>
      <c r="L69" s="407"/>
      <c r="M69" s="407"/>
      <c r="N69" s="407"/>
      <c r="O69" s="407"/>
      <c r="P69" s="431"/>
      <c r="Q69" s="432"/>
    </row>
    <row r="70" spans="1:17" ht="14.4" customHeight="1" x14ac:dyDescent="0.3">
      <c r="A70" s="406" t="s">
        <v>454</v>
      </c>
      <c r="B70" s="430" t="s">
        <v>376</v>
      </c>
      <c r="C70" s="430" t="s">
        <v>377</v>
      </c>
      <c r="D70" s="430" t="s">
        <v>378</v>
      </c>
      <c r="E70" s="430" t="s">
        <v>379</v>
      </c>
      <c r="F70" s="407">
        <v>36</v>
      </c>
      <c r="G70" s="407">
        <v>11448</v>
      </c>
      <c r="H70" s="407">
        <v>1</v>
      </c>
      <c r="I70" s="407">
        <v>318</v>
      </c>
      <c r="J70" s="407">
        <v>24</v>
      </c>
      <c r="K70" s="407">
        <v>7656</v>
      </c>
      <c r="L70" s="407">
        <v>0.66876310272536688</v>
      </c>
      <c r="M70" s="407">
        <v>319</v>
      </c>
      <c r="N70" s="407">
        <v>32</v>
      </c>
      <c r="O70" s="407">
        <v>10280</v>
      </c>
      <c r="P70" s="431">
        <v>0.8979734451432565</v>
      </c>
      <c r="Q70" s="432">
        <v>321.25</v>
      </c>
    </row>
    <row r="71" spans="1:17" ht="14.4" customHeight="1" x14ac:dyDescent="0.3">
      <c r="A71" s="406" t="s">
        <v>454</v>
      </c>
      <c r="B71" s="430" t="s">
        <v>376</v>
      </c>
      <c r="C71" s="430" t="s">
        <v>377</v>
      </c>
      <c r="D71" s="430" t="s">
        <v>388</v>
      </c>
      <c r="E71" s="430" t="s">
        <v>389</v>
      </c>
      <c r="F71" s="407"/>
      <c r="G71" s="407"/>
      <c r="H71" s="407"/>
      <c r="I71" s="407"/>
      <c r="J71" s="407">
        <v>2</v>
      </c>
      <c r="K71" s="407">
        <v>638</v>
      </c>
      <c r="L71" s="407"/>
      <c r="M71" s="407">
        <v>319</v>
      </c>
      <c r="N71" s="407"/>
      <c r="O71" s="407"/>
      <c r="P71" s="431"/>
      <c r="Q71" s="432"/>
    </row>
    <row r="72" spans="1:17" ht="14.4" customHeight="1" x14ac:dyDescent="0.3">
      <c r="A72" s="406" t="s">
        <v>454</v>
      </c>
      <c r="B72" s="430" t="s">
        <v>376</v>
      </c>
      <c r="C72" s="430" t="s">
        <v>377</v>
      </c>
      <c r="D72" s="430" t="s">
        <v>382</v>
      </c>
      <c r="E72" s="430" t="s">
        <v>383</v>
      </c>
      <c r="F72" s="407">
        <v>11</v>
      </c>
      <c r="G72" s="407">
        <v>5786</v>
      </c>
      <c r="H72" s="407">
        <v>1</v>
      </c>
      <c r="I72" s="407">
        <v>526</v>
      </c>
      <c r="J72" s="407">
        <v>19</v>
      </c>
      <c r="K72" s="407">
        <v>10222</v>
      </c>
      <c r="L72" s="407">
        <v>1.7666781887314207</v>
      </c>
      <c r="M72" s="407">
        <v>538</v>
      </c>
      <c r="N72" s="407">
        <v>23</v>
      </c>
      <c r="O72" s="407">
        <v>12506</v>
      </c>
      <c r="P72" s="431">
        <v>2.161424127203595</v>
      </c>
      <c r="Q72" s="432">
        <v>543.73913043478262</v>
      </c>
    </row>
    <row r="73" spans="1:17" ht="14.4" customHeight="1" x14ac:dyDescent="0.3">
      <c r="A73" s="406" t="s">
        <v>455</v>
      </c>
      <c r="B73" s="430" t="s">
        <v>376</v>
      </c>
      <c r="C73" s="430" t="s">
        <v>377</v>
      </c>
      <c r="D73" s="430" t="s">
        <v>378</v>
      </c>
      <c r="E73" s="430" t="s">
        <v>379</v>
      </c>
      <c r="F73" s="407">
        <v>209</v>
      </c>
      <c r="G73" s="407">
        <v>66462</v>
      </c>
      <c r="H73" s="407">
        <v>1</v>
      </c>
      <c r="I73" s="407">
        <v>318</v>
      </c>
      <c r="J73" s="407">
        <v>132</v>
      </c>
      <c r="K73" s="407">
        <v>42108</v>
      </c>
      <c r="L73" s="407">
        <v>0.63356504468718966</v>
      </c>
      <c r="M73" s="407">
        <v>319</v>
      </c>
      <c r="N73" s="407">
        <v>226</v>
      </c>
      <c r="O73" s="407">
        <v>72592</v>
      </c>
      <c r="P73" s="431">
        <v>1.0922331557882701</v>
      </c>
      <c r="Q73" s="432">
        <v>321.20353982300884</v>
      </c>
    </row>
    <row r="74" spans="1:17" ht="14.4" customHeight="1" x14ac:dyDescent="0.3">
      <c r="A74" s="406" t="s">
        <v>455</v>
      </c>
      <c r="B74" s="430" t="s">
        <v>376</v>
      </c>
      <c r="C74" s="430" t="s">
        <v>377</v>
      </c>
      <c r="D74" s="430" t="s">
        <v>382</v>
      </c>
      <c r="E74" s="430" t="s">
        <v>383</v>
      </c>
      <c r="F74" s="407"/>
      <c r="G74" s="407"/>
      <c r="H74" s="407"/>
      <c r="I74" s="407"/>
      <c r="J74" s="407">
        <v>3</v>
      </c>
      <c r="K74" s="407">
        <v>1614</v>
      </c>
      <c r="L74" s="407"/>
      <c r="M74" s="407">
        <v>538</v>
      </c>
      <c r="N74" s="407"/>
      <c r="O74" s="407"/>
      <c r="P74" s="431"/>
      <c r="Q74" s="432"/>
    </row>
    <row r="75" spans="1:17" ht="14.4" customHeight="1" x14ac:dyDescent="0.3">
      <c r="A75" s="406" t="s">
        <v>456</v>
      </c>
      <c r="B75" s="430" t="s">
        <v>376</v>
      </c>
      <c r="C75" s="430" t="s">
        <v>377</v>
      </c>
      <c r="D75" s="430" t="s">
        <v>378</v>
      </c>
      <c r="E75" s="430" t="s">
        <v>379</v>
      </c>
      <c r="F75" s="407">
        <v>909</v>
      </c>
      <c r="G75" s="407">
        <v>289062</v>
      </c>
      <c r="H75" s="407">
        <v>1</v>
      </c>
      <c r="I75" s="407">
        <v>318</v>
      </c>
      <c r="J75" s="407">
        <v>1105</v>
      </c>
      <c r="K75" s="407">
        <v>352495</v>
      </c>
      <c r="L75" s="407">
        <v>1.2194442714711722</v>
      </c>
      <c r="M75" s="407">
        <v>319</v>
      </c>
      <c r="N75" s="407">
        <v>1083</v>
      </c>
      <c r="O75" s="407">
        <v>347613</v>
      </c>
      <c r="P75" s="431">
        <v>1.2025551611764951</v>
      </c>
      <c r="Q75" s="432">
        <v>320.97229916897504</v>
      </c>
    </row>
    <row r="76" spans="1:17" ht="14.4" customHeight="1" x14ac:dyDescent="0.3">
      <c r="A76" s="406" t="s">
        <v>456</v>
      </c>
      <c r="B76" s="430" t="s">
        <v>376</v>
      </c>
      <c r="C76" s="430" t="s">
        <v>377</v>
      </c>
      <c r="D76" s="430" t="s">
        <v>390</v>
      </c>
      <c r="E76" s="430" t="s">
        <v>391</v>
      </c>
      <c r="F76" s="407"/>
      <c r="G76" s="407"/>
      <c r="H76" s="407"/>
      <c r="I76" s="407"/>
      <c r="J76" s="407"/>
      <c r="K76" s="407"/>
      <c r="L76" s="407"/>
      <c r="M76" s="407"/>
      <c r="N76" s="407">
        <v>1</v>
      </c>
      <c r="O76" s="407">
        <v>319</v>
      </c>
      <c r="P76" s="431"/>
      <c r="Q76" s="432">
        <v>319</v>
      </c>
    </row>
    <row r="77" spans="1:17" ht="14.4" customHeight="1" x14ac:dyDescent="0.3">
      <c r="A77" s="406" t="s">
        <v>457</v>
      </c>
      <c r="B77" s="430" t="s">
        <v>376</v>
      </c>
      <c r="C77" s="430" t="s">
        <v>377</v>
      </c>
      <c r="D77" s="430" t="s">
        <v>378</v>
      </c>
      <c r="E77" s="430" t="s">
        <v>379</v>
      </c>
      <c r="F77" s="407">
        <v>12</v>
      </c>
      <c r="G77" s="407">
        <v>3816</v>
      </c>
      <c r="H77" s="407">
        <v>1</v>
      </c>
      <c r="I77" s="407">
        <v>318</v>
      </c>
      <c r="J77" s="407">
        <v>40</v>
      </c>
      <c r="K77" s="407">
        <v>12760</v>
      </c>
      <c r="L77" s="407">
        <v>3.3438155136268346</v>
      </c>
      <c r="M77" s="407">
        <v>319</v>
      </c>
      <c r="N77" s="407">
        <v>36</v>
      </c>
      <c r="O77" s="407">
        <v>11550</v>
      </c>
      <c r="P77" s="431">
        <v>3.0267295597484276</v>
      </c>
      <c r="Q77" s="432">
        <v>320.83333333333331</v>
      </c>
    </row>
    <row r="78" spans="1:17" ht="14.4" customHeight="1" x14ac:dyDescent="0.3">
      <c r="A78" s="406" t="s">
        <v>457</v>
      </c>
      <c r="B78" s="430" t="s">
        <v>376</v>
      </c>
      <c r="C78" s="430" t="s">
        <v>377</v>
      </c>
      <c r="D78" s="430" t="s">
        <v>382</v>
      </c>
      <c r="E78" s="430" t="s">
        <v>383</v>
      </c>
      <c r="F78" s="407"/>
      <c r="G78" s="407"/>
      <c r="H78" s="407"/>
      <c r="I78" s="407"/>
      <c r="J78" s="407"/>
      <c r="K78" s="407"/>
      <c r="L78" s="407"/>
      <c r="M78" s="407"/>
      <c r="N78" s="407">
        <v>4</v>
      </c>
      <c r="O78" s="407">
        <v>2176</v>
      </c>
      <c r="P78" s="431"/>
      <c r="Q78" s="432">
        <v>544</v>
      </c>
    </row>
    <row r="79" spans="1:17" ht="14.4" customHeight="1" x14ac:dyDescent="0.3">
      <c r="A79" s="406" t="s">
        <v>458</v>
      </c>
      <c r="B79" s="430" t="s">
        <v>376</v>
      </c>
      <c r="C79" s="430" t="s">
        <v>377</v>
      </c>
      <c r="D79" s="430" t="s">
        <v>378</v>
      </c>
      <c r="E79" s="430" t="s">
        <v>379</v>
      </c>
      <c r="F79" s="407">
        <v>16</v>
      </c>
      <c r="G79" s="407">
        <v>5088</v>
      </c>
      <c r="H79" s="407">
        <v>1</v>
      </c>
      <c r="I79" s="407">
        <v>318</v>
      </c>
      <c r="J79" s="407">
        <v>24</v>
      </c>
      <c r="K79" s="407">
        <v>7656</v>
      </c>
      <c r="L79" s="407">
        <v>1.5047169811320755</v>
      </c>
      <c r="M79" s="407">
        <v>319</v>
      </c>
      <c r="N79" s="407">
        <v>59</v>
      </c>
      <c r="O79" s="407">
        <v>18998</v>
      </c>
      <c r="P79" s="431">
        <v>3.7338836477987423</v>
      </c>
      <c r="Q79" s="432">
        <v>322</v>
      </c>
    </row>
    <row r="80" spans="1:17" ht="14.4" customHeight="1" thickBot="1" x14ac:dyDescent="0.35">
      <c r="A80" s="410" t="s">
        <v>458</v>
      </c>
      <c r="B80" s="433" t="s">
        <v>376</v>
      </c>
      <c r="C80" s="433" t="s">
        <v>377</v>
      </c>
      <c r="D80" s="433" t="s">
        <v>390</v>
      </c>
      <c r="E80" s="433" t="s">
        <v>391</v>
      </c>
      <c r="F80" s="411">
        <v>22</v>
      </c>
      <c r="G80" s="411">
        <v>6996</v>
      </c>
      <c r="H80" s="411">
        <v>1</v>
      </c>
      <c r="I80" s="411">
        <v>318</v>
      </c>
      <c r="J80" s="411">
        <v>28</v>
      </c>
      <c r="K80" s="411">
        <v>8932</v>
      </c>
      <c r="L80" s="411">
        <v>1.2767295597484276</v>
      </c>
      <c r="M80" s="411">
        <v>319</v>
      </c>
      <c r="N80" s="411">
        <v>26</v>
      </c>
      <c r="O80" s="411">
        <v>8306</v>
      </c>
      <c r="P80" s="434">
        <v>1.1872498570611778</v>
      </c>
      <c r="Q80" s="435">
        <v>319.46153846153845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74" t="s">
        <v>95</v>
      </c>
      <c r="B1" s="274"/>
      <c r="C1" s="275"/>
      <c r="D1" s="275"/>
      <c r="E1" s="275"/>
    </row>
    <row r="2" spans="1:5" ht="14.4" customHeight="1" thickBot="1" x14ac:dyDescent="0.35">
      <c r="A2" s="195" t="s">
        <v>221</v>
      </c>
      <c r="B2" s="121"/>
    </row>
    <row r="3" spans="1:5" ht="14.4" customHeight="1" thickBot="1" x14ac:dyDescent="0.35">
      <c r="A3" s="124"/>
      <c r="C3" s="125" t="s">
        <v>85</v>
      </c>
      <c r="D3" s="126" t="s">
        <v>50</v>
      </c>
      <c r="E3" s="127" t="s">
        <v>52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5417.3518929946495</v>
      </c>
      <c r="D4" s="130">
        <f ca="1">IF(ISERROR(VLOOKUP("Náklady celkem",INDIRECT("HI!$A:$G"),5,0)),0,VLOOKUP("Náklady celkem",INDIRECT("HI!$A:$G"),5,0))</f>
        <v>5207.0513000000028</v>
      </c>
      <c r="E4" s="131">
        <f ca="1">IF(C4=0,0,D4/C4)</f>
        <v>0.96118018597488686</v>
      </c>
    </row>
    <row r="5" spans="1:5" ht="14.4" customHeight="1" x14ac:dyDescent="0.3">
      <c r="A5" s="132" t="s">
        <v>109</v>
      </c>
      <c r="B5" s="133"/>
      <c r="C5" s="134"/>
      <c r="D5" s="134"/>
      <c r="E5" s="135"/>
    </row>
    <row r="6" spans="1:5" ht="14.4" customHeight="1" x14ac:dyDescent="0.3">
      <c r="A6" s="136" t="s">
        <v>114</v>
      </c>
      <c r="B6" s="137"/>
      <c r="C6" s="138"/>
      <c r="D6" s="138"/>
      <c r="E6" s="135"/>
    </row>
    <row r="7" spans="1:5" ht="14.4" customHeight="1" x14ac:dyDescent="0.3">
      <c r="A7" s="1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89</v>
      </c>
      <c r="C7" s="138">
        <f>IF(ISERROR(HI!F5),"",HI!F5)</f>
        <v>0.42279502086525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1" t="s">
        <v>110</v>
      </c>
      <c r="B8" s="137"/>
      <c r="C8" s="138"/>
      <c r="D8" s="138"/>
      <c r="E8" s="135"/>
    </row>
    <row r="9" spans="1:5" ht="14.4" customHeight="1" x14ac:dyDescent="0.3">
      <c r="A9" s="141" t="s">
        <v>111</v>
      </c>
      <c r="B9" s="137"/>
      <c r="C9" s="138"/>
      <c r="D9" s="138"/>
      <c r="E9" s="135"/>
    </row>
    <row r="10" spans="1:5" ht="14.4" customHeight="1" x14ac:dyDescent="0.3">
      <c r="A10" s="142" t="s">
        <v>115</v>
      </c>
      <c r="B10" s="137"/>
      <c r="C10" s="134"/>
      <c r="D10" s="134"/>
      <c r="E10" s="135"/>
    </row>
    <row r="11" spans="1:5" ht="14.4" customHeight="1" x14ac:dyDescent="0.3">
      <c r="A11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89</v>
      </c>
      <c r="C11" s="138">
        <f>IF(ISERROR(HI!F6),"",HI!F6)</f>
        <v>0.17397053547899999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4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5229.0258832278678</v>
      </c>
      <c r="D12" s="134">
        <f ca="1">IF(ISERROR(VLOOKUP("Osobní náklady (Kč) *",INDIRECT("HI!$A:$G"),5,0)),0,VLOOKUP("Osobní náklady (Kč) *",INDIRECT("HI!$A:$G"),5,0))</f>
        <v>4993.3243600000033</v>
      </c>
      <c r="E12" s="135">
        <f ca="1">IF(C12=0,0,D12/C12)</f>
        <v>0.95492439156136544</v>
      </c>
    </row>
    <row r="13" spans="1:5" ht="14.4" customHeight="1" thickBot="1" x14ac:dyDescent="0.35">
      <c r="A13" s="148"/>
      <c r="B13" s="149"/>
      <c r="C13" s="150"/>
      <c r="D13" s="150"/>
      <c r="E13" s="151"/>
    </row>
    <row r="14" spans="1:5" ht="14.4" customHeight="1" thickBot="1" x14ac:dyDescent="0.35">
      <c r="A14" s="152" t="str">
        <f>HYPERLINK("#HI!A1","VÝNOSY CELKEM (v tisících)")</f>
        <v>VÝNOSY CELKEM (v tisících)</v>
      </c>
      <c r="B14" s="153"/>
      <c r="C14" s="154">
        <f ca="1">IF(ISERROR(VLOOKUP("Výnosy celkem",INDIRECT("HI!$A:$G"),6,0)),0,VLOOKUP("Výnosy celkem",INDIRECT("HI!$A:$G"),6,0))</f>
        <v>2525.1019999999999</v>
      </c>
      <c r="D14" s="154">
        <f ca="1">IF(ISERROR(VLOOKUP("Výnosy celkem",INDIRECT("HI!$A:$G"),5,0)),0,VLOOKUP("Výnosy celkem",INDIRECT("HI!$A:$G"),5,0))</f>
        <v>3212.1109999999999</v>
      </c>
      <c r="E14" s="155">
        <f t="shared" ref="E14:E17" ca="1" si="1">IF(C14=0,0,D14/C14)</f>
        <v>1.2720717816547609</v>
      </c>
    </row>
    <row r="15" spans="1:5" ht="14.4" customHeight="1" x14ac:dyDescent="0.3">
      <c r="A15" s="156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2525.1019999999999</v>
      </c>
      <c r="D15" s="134">
        <f ca="1">IF(ISERROR(VLOOKUP("Ambulance *",INDIRECT("HI!$A:$G"),5,0)),0,VLOOKUP("Ambulance *",INDIRECT("HI!$A:$G"),5,0))</f>
        <v>3212.1109999999999</v>
      </c>
      <c r="E15" s="135">
        <f t="shared" ca="1" si="1"/>
        <v>1.2720717816547609</v>
      </c>
    </row>
    <row r="16" spans="1:5" ht="14.4" customHeight="1" x14ac:dyDescent="0.3">
      <c r="A16" s="157" t="str">
        <f>HYPERLINK("#'ZV Vykáz.-A'!A1","Zdravotní výkony vykázané u ambulantních pacientů (min. 100 %)")</f>
        <v>Zdravotní výkony vykázané u ambulantních pacientů (min. 100 %)</v>
      </c>
      <c r="B16" s="120" t="s">
        <v>97</v>
      </c>
      <c r="C16" s="140">
        <v>1</v>
      </c>
      <c r="D16" s="140">
        <f>IF(ISERROR(VLOOKUP("Celkem:",'ZV Vykáz.-A'!$A:$S,7,0)),"",VLOOKUP("Celkem:",'ZV Vykáz.-A'!$A:$S,7,0))</f>
        <v>1.2720717816547609</v>
      </c>
      <c r="E16" s="135">
        <f t="shared" si="1"/>
        <v>1.2720717816547609</v>
      </c>
    </row>
    <row r="17" spans="1:5" ht="14.4" customHeight="1" x14ac:dyDescent="0.3">
      <c r="A17" s="157" t="str">
        <f>HYPERLINK("#'ZV Vykáz.-H'!A1","Zdravotní výkony vykázané u hospitalizovaných pacientů (max. 85 %)")</f>
        <v>Zdravotní výkony vykázané u hospitalizovaných pacientů (max. 85 %)</v>
      </c>
      <c r="B17" s="120" t="s">
        <v>99</v>
      </c>
      <c r="C17" s="140">
        <v>0.85</v>
      </c>
      <c r="D17" s="140">
        <f>IF(ISERROR(VLOOKUP("Celkem:",'ZV Vykáz.-H'!$A:$S,7,0)),"",VLOOKUP("Celkem:",'ZV Vykáz.-H'!$A:$S,7,0))</f>
        <v>1.006443766447541</v>
      </c>
      <c r="E17" s="135">
        <f t="shared" si="1"/>
        <v>1.1840514899382835</v>
      </c>
    </row>
    <row r="18" spans="1:5" ht="14.4" customHeight="1" x14ac:dyDescent="0.3">
      <c r="A18" s="158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9" t="s">
        <v>112</v>
      </c>
      <c r="B19" s="145"/>
      <c r="C19" s="146"/>
      <c r="D19" s="146"/>
      <c r="E19" s="147"/>
    </row>
    <row r="20" spans="1:5" ht="14.4" customHeight="1" thickBot="1" x14ac:dyDescent="0.35">
      <c r="A20" s="160"/>
      <c r="B20" s="161"/>
      <c r="C20" s="162"/>
      <c r="D20" s="162"/>
      <c r="E20" s="163"/>
    </row>
    <row r="21" spans="1:5" ht="14.4" customHeight="1" thickBot="1" x14ac:dyDescent="0.35">
      <c r="A21" s="164" t="s">
        <v>113</v>
      </c>
      <c r="B21" s="165"/>
      <c r="C21" s="166"/>
      <c r="D21" s="166"/>
      <c r="E21" s="167"/>
    </row>
  </sheetData>
  <mergeCells count="1">
    <mergeCell ref="A1:E1"/>
  </mergeCells>
  <conditionalFormatting sqref="E5">
    <cfRule type="cellIs" dxfId="4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2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41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74" t="s">
        <v>104</v>
      </c>
      <c r="B1" s="274"/>
      <c r="C1" s="274"/>
      <c r="D1" s="274"/>
      <c r="E1" s="274"/>
      <c r="F1" s="274"/>
      <c r="G1" s="275"/>
      <c r="H1" s="275"/>
    </row>
    <row r="2" spans="1:8" ht="14.4" customHeight="1" thickBot="1" x14ac:dyDescent="0.35">
      <c r="A2" s="195" t="s">
        <v>221</v>
      </c>
      <c r="B2" s="83"/>
      <c r="C2" s="83"/>
      <c r="D2" s="83"/>
      <c r="E2" s="83"/>
      <c r="F2" s="83"/>
    </row>
    <row r="3" spans="1:8" ht="14.4" customHeight="1" x14ac:dyDescent="0.3">
      <c r="A3" s="276"/>
      <c r="B3" s="79">
        <v>2012</v>
      </c>
      <c r="C3" s="40">
        <v>2013</v>
      </c>
      <c r="D3" s="7"/>
      <c r="E3" s="280">
        <v>2014</v>
      </c>
      <c r="F3" s="281"/>
      <c r="G3" s="281"/>
      <c r="H3" s="282"/>
    </row>
    <row r="4" spans="1:8" ht="14.4" customHeight="1" thickBot="1" x14ac:dyDescent="0.35">
      <c r="A4" s="277"/>
      <c r="B4" s="278" t="s">
        <v>50</v>
      </c>
      <c r="C4" s="279"/>
      <c r="D4" s="7"/>
      <c r="E4" s="100" t="s">
        <v>50</v>
      </c>
      <c r="F4" s="81" t="s">
        <v>51</v>
      </c>
      <c r="G4" s="81" t="s">
        <v>45</v>
      </c>
      <c r="H4" s="82" t="s">
        <v>52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0.56330000000000002</v>
      </c>
      <c r="D5" s="8"/>
      <c r="E5" s="89">
        <v>0</v>
      </c>
      <c r="F5" s="28">
        <v>0.42279502086525</v>
      </c>
      <c r="G5" s="88">
        <f>E5-F5</f>
        <v>-0.42279502086525</v>
      </c>
      <c r="H5" s="94">
        <f>IF(F5&lt;0.00000001,"",E5/F5)</f>
        <v>0</v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0.23154</v>
      </c>
      <c r="D6" s="8"/>
      <c r="E6" s="90">
        <v>0</v>
      </c>
      <c r="F6" s="30">
        <v>0.17397053547899999</v>
      </c>
      <c r="G6" s="91">
        <f>E6-F6</f>
        <v>-0.17397053547899999</v>
      </c>
      <c r="H6" s="95">
        <f>IF(F6&lt;0.00000001,"",E6/F6)</f>
        <v>0</v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4621.5496700000003</v>
      </c>
      <c r="C7" s="31">
        <v>4850.4720599999982</v>
      </c>
      <c r="D7" s="8"/>
      <c r="E7" s="90">
        <v>4993.3243600000033</v>
      </c>
      <c r="F7" s="30">
        <v>5229.0258832278678</v>
      </c>
      <c r="G7" s="91">
        <f>E7-F7</f>
        <v>-235.70152322786453</v>
      </c>
      <c r="H7" s="95">
        <f>IF(F7&lt;0.00000001,"",E7/F7)</f>
        <v>0.95492439156136544</v>
      </c>
    </row>
    <row r="8" spans="1:8" ht="14.4" customHeight="1" thickBot="1" x14ac:dyDescent="0.35">
      <c r="A8" s="1" t="s">
        <v>53</v>
      </c>
      <c r="B8" s="11">
        <v>273.25662999999986</v>
      </c>
      <c r="C8" s="33">
        <v>161.535370000001</v>
      </c>
      <c r="D8" s="8"/>
      <c r="E8" s="92">
        <v>213.72693999999956</v>
      </c>
      <c r="F8" s="32">
        <v>187.72924421043746</v>
      </c>
      <c r="G8" s="93">
        <f>E8-F8</f>
        <v>25.997695789562101</v>
      </c>
      <c r="H8" s="96">
        <f>IF(F8&lt;0.00000001,"",E8/F8)</f>
        <v>1.138485060752813</v>
      </c>
    </row>
    <row r="9" spans="1:8" ht="14.4" customHeight="1" thickBot="1" x14ac:dyDescent="0.35">
      <c r="A9" s="2" t="s">
        <v>54</v>
      </c>
      <c r="B9" s="3">
        <v>4894.8063000000002</v>
      </c>
      <c r="C9" s="35">
        <v>5012.8022699999992</v>
      </c>
      <c r="D9" s="8"/>
      <c r="E9" s="3">
        <v>5207.0513000000028</v>
      </c>
      <c r="F9" s="34">
        <v>5417.3518929946495</v>
      </c>
      <c r="G9" s="34">
        <f>E9-F9</f>
        <v>-210.30059299464665</v>
      </c>
      <c r="H9" s="97">
        <f>IF(F9&lt;0.00000001,"",E9/F9)</f>
        <v>0.96118018597488686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2525.1019999999999</v>
      </c>
      <c r="C11" s="29">
        <f>IF(ISERROR(VLOOKUP("Celkem:",'ZV Vykáz.-A'!A:F,4,0)),0,VLOOKUP("Celkem:",'ZV Vykáz.-A'!A:F,4,0)/1000)</f>
        <v>2735.087</v>
      </c>
      <c r="D11" s="8"/>
      <c r="E11" s="89">
        <f>IF(ISERROR(VLOOKUP("Celkem:",'ZV Vykáz.-A'!A:F,6,0)),0,VLOOKUP("Celkem:",'ZV Vykáz.-A'!A:F,6,0)/1000)</f>
        <v>3212.1109999999999</v>
      </c>
      <c r="F11" s="28">
        <f>B11</f>
        <v>2525.1019999999999</v>
      </c>
      <c r="G11" s="88">
        <f>E11-F11</f>
        <v>687.00900000000001</v>
      </c>
      <c r="H11" s="94">
        <f>IF(F11&lt;0.00000001,"",E11/F11)</f>
        <v>1.2720717816547609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57</v>
      </c>
      <c r="B13" s="5">
        <f>SUM(B11:B12)</f>
        <v>2525.1019999999999</v>
      </c>
      <c r="C13" s="37">
        <f>SUM(C11:C12)</f>
        <v>2735.087</v>
      </c>
      <c r="D13" s="8"/>
      <c r="E13" s="5">
        <f>SUM(E11:E12)</f>
        <v>3212.1109999999999</v>
      </c>
      <c r="F13" s="36">
        <f>SUM(F11:F12)</f>
        <v>2525.1019999999999</v>
      </c>
      <c r="G13" s="36">
        <f>E13-F13</f>
        <v>687.00900000000001</v>
      </c>
      <c r="H13" s="98">
        <f>IF(F13&lt;0.00000001,"",E13/F13)</f>
        <v>1.2720717816547609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0.51587373334875375</v>
      </c>
      <c r="C15" s="39">
        <f>IF(C9=0,"",C13/C9)</f>
        <v>0.54562036415611515</v>
      </c>
      <c r="D15" s="8"/>
      <c r="E15" s="6">
        <f>IF(E9=0,"",E13/E9)</f>
        <v>0.61687715655883746</v>
      </c>
      <c r="F15" s="38">
        <f>IF(F9=0,"",F13/F9)</f>
        <v>0.46611371199003887</v>
      </c>
      <c r="G15" s="38">
        <f>IF(ISERROR(F15-E15),"",E15-F15)</f>
        <v>0.15076344456879859</v>
      </c>
      <c r="H15" s="99">
        <f>IF(ISERROR(F15-E15),"",IF(F15&lt;0.00000001,"",E15/F15))</f>
        <v>1.3234477782795209</v>
      </c>
    </row>
    <row r="17" spans="1:8" ht="14.4" customHeight="1" x14ac:dyDescent="0.3">
      <c r="A17" s="85" t="s">
        <v>116</v>
      </c>
    </row>
    <row r="18" spans="1:8" ht="14.4" customHeight="1" x14ac:dyDescent="0.3">
      <c r="A18" s="248" t="s">
        <v>175</v>
      </c>
      <c r="B18" s="249"/>
      <c r="C18" s="249"/>
      <c r="D18" s="249"/>
      <c r="E18" s="249"/>
      <c r="F18" s="249"/>
      <c r="G18" s="249"/>
      <c r="H18" s="249"/>
    </row>
    <row r="19" spans="1:8" x14ac:dyDescent="0.3">
      <c r="A19" s="247" t="s">
        <v>174</v>
      </c>
      <c r="B19" s="249"/>
      <c r="C19" s="249"/>
      <c r="D19" s="249"/>
      <c r="E19" s="249"/>
      <c r="F19" s="249"/>
      <c r="G19" s="249"/>
      <c r="H19" s="249"/>
    </row>
    <row r="20" spans="1:8" ht="14.4" customHeight="1" x14ac:dyDescent="0.3">
      <c r="A20" s="86" t="s">
        <v>218</v>
      </c>
    </row>
    <row r="21" spans="1:8" ht="14.4" customHeight="1" x14ac:dyDescent="0.3">
      <c r="A21" s="86" t="s">
        <v>117</v>
      </c>
    </row>
    <row r="22" spans="1:8" ht="14.4" customHeight="1" x14ac:dyDescent="0.3">
      <c r="A22" s="87" t="s">
        <v>118</v>
      </c>
    </row>
    <row r="23" spans="1:8" ht="14.4" customHeight="1" x14ac:dyDescent="0.3">
      <c r="A23" s="87" t="s">
        <v>119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74" t="s">
        <v>82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3" ht="14.4" customHeight="1" x14ac:dyDescent="0.3">
      <c r="A2" s="195" t="s">
        <v>221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8"/>
      <c r="B3" s="169" t="s">
        <v>59</v>
      </c>
      <c r="C3" s="170" t="s">
        <v>60</v>
      </c>
      <c r="D3" s="170" t="s">
        <v>61</v>
      </c>
      <c r="E3" s="169" t="s">
        <v>62</v>
      </c>
      <c r="F3" s="170" t="s">
        <v>63</v>
      </c>
      <c r="G3" s="170" t="s">
        <v>64</v>
      </c>
      <c r="H3" s="170" t="s">
        <v>65</v>
      </c>
      <c r="I3" s="170" t="s">
        <v>66</v>
      </c>
      <c r="J3" s="170" t="s">
        <v>67</v>
      </c>
      <c r="K3" s="170" t="s">
        <v>68</v>
      </c>
      <c r="L3" s="170" t="s">
        <v>69</v>
      </c>
      <c r="M3" s="170" t="s">
        <v>70</v>
      </c>
    </row>
    <row r="4" spans="1:13" ht="14.4" customHeight="1" x14ac:dyDescent="0.3">
      <c r="A4" s="168" t="s">
        <v>58</v>
      </c>
      <c r="B4" s="171">
        <f>(B10+B8)/B6</f>
        <v>0.6001961374563286</v>
      </c>
      <c r="C4" s="171">
        <f t="shared" ref="C4:M4" si="0">(C10+C8)/C6</f>
        <v>0.62930821251256364</v>
      </c>
      <c r="D4" s="171">
        <f t="shared" si="0"/>
        <v>0.68105122210226798</v>
      </c>
      <c r="E4" s="171">
        <f t="shared" si="0"/>
        <v>0.72165802968250603</v>
      </c>
      <c r="F4" s="171">
        <f t="shared" si="0"/>
        <v>0.73376548160318267</v>
      </c>
      <c r="G4" s="171">
        <f t="shared" si="0"/>
        <v>0.72971607383517412</v>
      </c>
      <c r="H4" s="171">
        <f t="shared" si="0"/>
        <v>0.66119765836110667</v>
      </c>
      <c r="I4" s="171">
        <f t="shared" si="0"/>
        <v>0.62869789667266718</v>
      </c>
      <c r="J4" s="171">
        <f t="shared" si="0"/>
        <v>0.61687715655883757</v>
      </c>
      <c r="K4" s="171">
        <f t="shared" si="0"/>
        <v>0.61687715655883757</v>
      </c>
      <c r="L4" s="171">
        <f t="shared" si="0"/>
        <v>0.61687715655883757</v>
      </c>
      <c r="M4" s="171">
        <f t="shared" si="0"/>
        <v>0.61687715655883757</v>
      </c>
    </row>
    <row r="5" spans="1:13" ht="14.4" customHeight="1" x14ac:dyDescent="0.3">
      <c r="A5" s="172" t="s">
        <v>30</v>
      </c>
      <c r="B5" s="171">
        <f>IF(ISERROR(VLOOKUP($A5,'Man Tab'!$A:$Q,COLUMN()+2,0)),0,VLOOKUP($A5,'Man Tab'!$A:$Q,COLUMN()+2,0))</f>
        <v>587.58792000000301</v>
      </c>
      <c r="C5" s="171">
        <f>IF(ISERROR(VLOOKUP($A5,'Man Tab'!$A:$Q,COLUMN()+2,0)),0,VLOOKUP($A5,'Man Tab'!$A:$Q,COLUMN()+2,0))</f>
        <v>525.25469999999996</v>
      </c>
      <c r="D5" s="171">
        <f>IF(ISERROR(VLOOKUP($A5,'Man Tab'!$A:$Q,COLUMN()+2,0)),0,VLOOKUP($A5,'Man Tab'!$A:$Q,COLUMN()+2,0))</f>
        <v>548.74459000000002</v>
      </c>
      <c r="E5" s="171">
        <f>IF(ISERROR(VLOOKUP($A5,'Man Tab'!$A:$Q,COLUMN()+2,0)),0,VLOOKUP($A5,'Man Tab'!$A:$Q,COLUMN()+2,0))</f>
        <v>544.28306999999995</v>
      </c>
      <c r="F5" s="171">
        <f>IF(ISERROR(VLOOKUP($A5,'Man Tab'!$A:$Q,COLUMN()+2,0)),0,VLOOKUP($A5,'Man Tab'!$A:$Q,COLUMN()+2,0))</f>
        <v>545.76093000000003</v>
      </c>
      <c r="G5" s="171">
        <f>IF(ISERROR(VLOOKUP($A5,'Man Tab'!$A:$Q,COLUMN()+2,0)),0,VLOOKUP($A5,'Man Tab'!$A:$Q,COLUMN()+2,0))</f>
        <v>569.47694000000001</v>
      </c>
      <c r="H5" s="171">
        <f>IF(ISERROR(VLOOKUP($A5,'Man Tab'!$A:$Q,COLUMN()+2,0)),0,VLOOKUP($A5,'Man Tab'!$A:$Q,COLUMN()+2,0))</f>
        <v>767.19429000000002</v>
      </c>
      <c r="I5" s="171">
        <f>IF(ISERROR(VLOOKUP($A5,'Man Tab'!$A:$Q,COLUMN()+2,0)),0,VLOOKUP($A5,'Man Tab'!$A:$Q,COLUMN()+2,0))</f>
        <v>529.69773999999995</v>
      </c>
      <c r="J5" s="171">
        <f>IF(ISERROR(VLOOKUP($A5,'Man Tab'!$A:$Q,COLUMN()+2,0)),0,VLOOKUP($A5,'Man Tab'!$A:$Q,COLUMN()+2,0))</f>
        <v>589.05111999999997</v>
      </c>
      <c r="K5" s="171">
        <f>IF(ISERROR(VLOOKUP($A5,'Man Tab'!$A:$Q,COLUMN()+2,0)),0,VLOOKUP($A5,'Man Tab'!$A:$Q,COLUMN()+2,0))</f>
        <v>0</v>
      </c>
      <c r="L5" s="171">
        <f>IF(ISERROR(VLOOKUP($A5,'Man Tab'!$A:$Q,COLUMN()+2,0)),0,VLOOKUP($A5,'Man Tab'!$A:$Q,COLUMN()+2,0))</f>
        <v>0</v>
      </c>
      <c r="M5" s="171">
        <f>IF(ISERROR(VLOOKUP($A5,'Man Tab'!$A:$Q,COLUMN()+2,0)),0,VLOOKUP($A5,'Man Tab'!$A:$Q,COLUMN()+2,0))</f>
        <v>0</v>
      </c>
    </row>
    <row r="6" spans="1:13" ht="14.4" customHeight="1" x14ac:dyDescent="0.3">
      <c r="A6" s="172" t="s">
        <v>54</v>
      </c>
      <c r="B6" s="173">
        <f>B5</f>
        <v>587.58792000000301</v>
      </c>
      <c r="C6" s="173">
        <f t="shared" ref="C6:M6" si="1">C5+B6</f>
        <v>1112.8426200000031</v>
      </c>
      <c r="D6" s="173">
        <f t="shared" si="1"/>
        <v>1661.5872100000031</v>
      </c>
      <c r="E6" s="173">
        <f t="shared" si="1"/>
        <v>2205.8702800000028</v>
      </c>
      <c r="F6" s="173">
        <f t="shared" si="1"/>
        <v>2751.6312100000027</v>
      </c>
      <c r="G6" s="173">
        <f t="shared" si="1"/>
        <v>3321.1081500000028</v>
      </c>
      <c r="H6" s="173">
        <f t="shared" si="1"/>
        <v>4088.3024400000027</v>
      </c>
      <c r="I6" s="173">
        <f t="shared" si="1"/>
        <v>4618.0001800000027</v>
      </c>
      <c r="J6" s="173">
        <f t="shared" si="1"/>
        <v>5207.0513000000028</v>
      </c>
      <c r="K6" s="173">
        <f t="shared" si="1"/>
        <v>5207.0513000000028</v>
      </c>
      <c r="L6" s="173">
        <f t="shared" si="1"/>
        <v>5207.0513000000028</v>
      </c>
      <c r="M6" s="173">
        <f t="shared" si="1"/>
        <v>5207.0513000000028</v>
      </c>
    </row>
    <row r="7" spans="1:13" ht="14.4" customHeight="1" x14ac:dyDescent="0.3">
      <c r="A7" s="172" t="s">
        <v>80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4.4" customHeight="1" x14ac:dyDescent="0.3">
      <c r="A8" s="172" t="s">
        <v>55</v>
      </c>
      <c r="B8" s="173">
        <f>B7*30</f>
        <v>0</v>
      </c>
      <c r="C8" s="173">
        <f t="shared" ref="C8:M8" si="2">C7*30</f>
        <v>0</v>
      </c>
      <c r="D8" s="173">
        <f t="shared" si="2"/>
        <v>0</v>
      </c>
      <c r="E8" s="173">
        <f t="shared" si="2"/>
        <v>0</v>
      </c>
      <c r="F8" s="173">
        <f t="shared" si="2"/>
        <v>0</v>
      </c>
      <c r="G8" s="173">
        <f t="shared" si="2"/>
        <v>0</v>
      </c>
      <c r="H8" s="173">
        <f t="shared" si="2"/>
        <v>0</v>
      </c>
      <c r="I8" s="173">
        <f t="shared" si="2"/>
        <v>0</v>
      </c>
      <c r="J8" s="173">
        <f t="shared" si="2"/>
        <v>0</v>
      </c>
      <c r="K8" s="173">
        <f t="shared" si="2"/>
        <v>0</v>
      </c>
      <c r="L8" s="173">
        <f t="shared" si="2"/>
        <v>0</v>
      </c>
      <c r="M8" s="173">
        <f t="shared" si="2"/>
        <v>0</v>
      </c>
    </row>
    <row r="9" spans="1:13" ht="14.4" customHeight="1" x14ac:dyDescent="0.3">
      <c r="A9" s="172" t="s">
        <v>81</v>
      </c>
      <c r="B9" s="172">
        <v>352668</v>
      </c>
      <c r="C9" s="172">
        <v>347653</v>
      </c>
      <c r="D9" s="172">
        <v>431305</v>
      </c>
      <c r="E9" s="172">
        <v>460258</v>
      </c>
      <c r="F9" s="172">
        <v>427168</v>
      </c>
      <c r="G9" s="172">
        <v>404414</v>
      </c>
      <c r="H9" s="172">
        <v>279710</v>
      </c>
      <c r="I9" s="172">
        <v>200151</v>
      </c>
      <c r="J9" s="172">
        <v>308784</v>
      </c>
      <c r="K9" s="172">
        <v>0</v>
      </c>
      <c r="L9" s="172">
        <v>0</v>
      </c>
      <c r="M9" s="172">
        <v>0</v>
      </c>
    </row>
    <row r="10" spans="1:13" ht="14.4" customHeight="1" x14ac:dyDescent="0.3">
      <c r="A10" s="172" t="s">
        <v>56</v>
      </c>
      <c r="B10" s="173">
        <f>B9/1000</f>
        <v>352.66800000000001</v>
      </c>
      <c r="C10" s="173">
        <f t="shared" ref="C10:M10" si="3">C9/1000+B10</f>
        <v>700.32100000000003</v>
      </c>
      <c r="D10" s="173">
        <f t="shared" si="3"/>
        <v>1131.626</v>
      </c>
      <c r="E10" s="173">
        <f t="shared" si="3"/>
        <v>1591.884</v>
      </c>
      <c r="F10" s="173">
        <f t="shared" si="3"/>
        <v>2019.0520000000001</v>
      </c>
      <c r="G10" s="173">
        <f t="shared" si="3"/>
        <v>2423.4660000000003</v>
      </c>
      <c r="H10" s="173">
        <f t="shared" si="3"/>
        <v>2703.1760000000004</v>
      </c>
      <c r="I10" s="173">
        <f t="shared" si="3"/>
        <v>2903.3270000000002</v>
      </c>
      <c r="J10" s="173">
        <f t="shared" si="3"/>
        <v>3212.1110000000003</v>
      </c>
      <c r="K10" s="173">
        <f t="shared" si="3"/>
        <v>3212.1110000000003</v>
      </c>
      <c r="L10" s="173">
        <f t="shared" si="3"/>
        <v>3212.1110000000003</v>
      </c>
      <c r="M10" s="173">
        <f t="shared" si="3"/>
        <v>3212.1110000000003</v>
      </c>
    </row>
    <row r="11" spans="1:13" ht="14.4" customHeight="1" x14ac:dyDescent="0.3">
      <c r="A11" s="168"/>
      <c r="B11" s="168" t="s">
        <v>71</v>
      </c>
      <c r="C11" s="168">
        <f ca="1">IF(MONTH(TODAY())=1,12,MONTH(TODAY())-1)</f>
        <v>9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ht="14.4" customHeight="1" x14ac:dyDescent="0.3">
      <c r="A12" s="168">
        <v>0</v>
      </c>
      <c r="B12" s="171">
        <f>IF(ISERROR(HI!F15),#REF!,HI!F15)</f>
        <v>0.46611371199003887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</row>
    <row r="13" spans="1:13" ht="14.4" customHeight="1" x14ac:dyDescent="0.3">
      <c r="A13" s="168">
        <v>1</v>
      </c>
      <c r="B13" s="171">
        <f>IF(ISERROR(HI!F15),#REF!,HI!F15)</f>
        <v>0.46611371199003887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4" customFormat="1" ht="18.600000000000001" customHeight="1" thickBot="1" x14ac:dyDescent="0.4">
      <c r="A1" s="283" t="s">
        <v>223</v>
      </c>
      <c r="B1" s="283"/>
      <c r="C1" s="283"/>
      <c r="D1" s="283"/>
      <c r="E1" s="283"/>
      <c r="F1" s="283"/>
      <c r="G1" s="283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 s="174" customFormat="1" ht="14.4" customHeight="1" thickBot="1" x14ac:dyDescent="0.3">
      <c r="A2" s="195" t="s">
        <v>221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4.4" customHeight="1" x14ac:dyDescent="0.3">
      <c r="A3" s="59"/>
      <c r="B3" s="284" t="s">
        <v>6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110"/>
      <c r="Q3" s="112"/>
    </row>
    <row r="4" spans="1:17" ht="14.4" customHeight="1" x14ac:dyDescent="0.3">
      <c r="A4" s="60"/>
      <c r="B4" s="20">
        <v>2014</v>
      </c>
      <c r="C4" s="111" t="s">
        <v>7</v>
      </c>
      <c r="D4" s="101" t="s">
        <v>120</v>
      </c>
      <c r="E4" s="101" t="s">
        <v>121</v>
      </c>
      <c r="F4" s="101" t="s">
        <v>122</v>
      </c>
      <c r="G4" s="101" t="s">
        <v>123</v>
      </c>
      <c r="H4" s="101" t="s">
        <v>124</v>
      </c>
      <c r="I4" s="101" t="s">
        <v>125</v>
      </c>
      <c r="J4" s="101" t="s">
        <v>126</v>
      </c>
      <c r="K4" s="101" t="s">
        <v>127</v>
      </c>
      <c r="L4" s="101" t="s">
        <v>128</v>
      </c>
      <c r="M4" s="101" t="s">
        <v>129</v>
      </c>
      <c r="N4" s="101" t="s">
        <v>130</v>
      </c>
      <c r="O4" s="101" t="s">
        <v>131</v>
      </c>
      <c r="P4" s="286" t="s">
        <v>3</v>
      </c>
      <c r="Q4" s="287"/>
    </row>
    <row r="5" spans="1:17" ht="14.4" customHeight="1" thickBot="1" x14ac:dyDescent="0.35">
      <c r="A5" s="61"/>
      <c r="B5" s="21" t="s">
        <v>8</v>
      </c>
      <c r="C5" s="22" t="s">
        <v>8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2" t="s">
        <v>9</v>
      </c>
      <c r="M5" s="22" t="s">
        <v>9</v>
      </c>
      <c r="N5" s="22" t="s">
        <v>9</v>
      </c>
      <c r="O5" s="22" t="s">
        <v>9</v>
      </c>
      <c r="P5" s="22" t="s">
        <v>9</v>
      </c>
      <c r="Q5" s="23" t="s">
        <v>10</v>
      </c>
    </row>
    <row r="6" spans="1:17" ht="14.4" customHeight="1" x14ac:dyDescent="0.3">
      <c r="A6" s="14" t="s">
        <v>11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222</v>
      </c>
    </row>
    <row r="7" spans="1:17" ht="14.4" customHeight="1" x14ac:dyDescent="0.3">
      <c r="A7" s="15" t="s">
        <v>12</v>
      </c>
      <c r="B7" s="46">
        <v>0.56372669448699997</v>
      </c>
      <c r="C7" s="47">
        <v>4.6977224540000001E-2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>
        <v>0</v>
      </c>
    </row>
    <row r="8" spans="1:17" ht="14.4" customHeight="1" x14ac:dyDescent="0.3">
      <c r="A8" s="15" t="s">
        <v>13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222</v>
      </c>
    </row>
    <row r="9" spans="1:17" ht="14.4" customHeight="1" x14ac:dyDescent="0.3">
      <c r="A9" s="15" t="s">
        <v>14</v>
      </c>
      <c r="B9" s="46">
        <v>0.23196071397199999</v>
      </c>
      <c r="C9" s="47">
        <v>1.9330059497E-2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>
        <v>0</v>
      </c>
    </row>
    <row r="10" spans="1:17" ht="14.4" customHeight="1" x14ac:dyDescent="0.3">
      <c r="A10" s="15" t="s">
        <v>15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222</v>
      </c>
    </row>
    <row r="11" spans="1:17" ht="14.4" customHeight="1" x14ac:dyDescent="0.3">
      <c r="A11" s="15" t="s">
        <v>16</v>
      </c>
      <c r="B11" s="46">
        <v>55.702476088228998</v>
      </c>
      <c r="C11" s="47">
        <v>4.6418730073520003</v>
      </c>
      <c r="D11" s="47">
        <v>0</v>
      </c>
      <c r="E11" s="47">
        <v>0.67972999999999995</v>
      </c>
      <c r="F11" s="47">
        <v>0.51022999999999996</v>
      </c>
      <c r="G11" s="47">
        <v>0</v>
      </c>
      <c r="H11" s="47">
        <v>6.1225899999999998</v>
      </c>
      <c r="I11" s="47">
        <v>0.2097</v>
      </c>
      <c r="J11" s="47">
        <v>0</v>
      </c>
      <c r="K11" s="47">
        <v>0.30049999999999999</v>
      </c>
      <c r="L11" s="47">
        <v>0</v>
      </c>
      <c r="M11" s="47">
        <v>0</v>
      </c>
      <c r="N11" s="47">
        <v>0</v>
      </c>
      <c r="O11" s="47">
        <v>0</v>
      </c>
      <c r="P11" s="48">
        <v>7.8227500000000001</v>
      </c>
      <c r="Q11" s="70">
        <v>0.187250802223</v>
      </c>
    </row>
    <row r="12" spans="1:17" ht="14.4" customHeight="1" x14ac:dyDescent="0.3">
      <c r="A12" s="15" t="s">
        <v>17</v>
      </c>
      <c r="B12" s="46">
        <v>1.0001864980149999</v>
      </c>
      <c r="C12" s="47">
        <v>8.3348874833999997E-2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>
        <v>0</v>
      </c>
    </row>
    <row r="13" spans="1:17" ht="14.4" customHeight="1" x14ac:dyDescent="0.3">
      <c r="A13" s="15" t="s">
        <v>18</v>
      </c>
      <c r="B13" s="46">
        <v>1.08824989601</v>
      </c>
      <c r="C13" s="47">
        <v>9.0687491334000003E-2</v>
      </c>
      <c r="D13" s="47">
        <v>0</v>
      </c>
      <c r="E13" s="47">
        <v>0</v>
      </c>
      <c r="F13" s="47">
        <v>0.15124000000000001</v>
      </c>
      <c r="G13" s="47">
        <v>0.41747000000000001</v>
      </c>
      <c r="H13" s="47">
        <v>0</v>
      </c>
      <c r="I13" s="47">
        <v>0.31218000000000001</v>
      </c>
      <c r="J13" s="47">
        <v>0.54208000000000001</v>
      </c>
      <c r="K13" s="47">
        <v>0</v>
      </c>
      <c r="L13" s="47">
        <v>2.04304</v>
      </c>
      <c r="M13" s="47">
        <v>0</v>
      </c>
      <c r="N13" s="47">
        <v>0</v>
      </c>
      <c r="O13" s="47">
        <v>0</v>
      </c>
      <c r="P13" s="48">
        <v>3.4660099999999998</v>
      </c>
      <c r="Q13" s="70">
        <v>4.2465859023799997</v>
      </c>
    </row>
    <row r="14" spans="1:17" ht="14.4" customHeight="1" x14ac:dyDescent="0.3">
      <c r="A14" s="15" t="s">
        <v>19</v>
      </c>
      <c r="B14" s="46">
        <v>90.094900233475997</v>
      </c>
      <c r="C14" s="47">
        <v>7.5079083527890003</v>
      </c>
      <c r="D14" s="47">
        <v>10.763</v>
      </c>
      <c r="E14" s="47">
        <v>8.9239999999999995</v>
      </c>
      <c r="F14" s="47">
        <v>7.8120000000000003</v>
      </c>
      <c r="G14" s="47">
        <v>6.5739999999999998</v>
      </c>
      <c r="H14" s="47">
        <v>5.4249999999999998</v>
      </c>
      <c r="I14" s="47">
        <v>4.4790000000000001</v>
      </c>
      <c r="J14" s="47">
        <v>4.2439999999999998</v>
      </c>
      <c r="K14" s="47">
        <v>4.0579999999999998</v>
      </c>
      <c r="L14" s="47">
        <v>4.5540000000000003</v>
      </c>
      <c r="M14" s="47">
        <v>0</v>
      </c>
      <c r="N14" s="47">
        <v>0</v>
      </c>
      <c r="O14" s="47">
        <v>0</v>
      </c>
      <c r="P14" s="48">
        <v>56.832999999999998</v>
      </c>
      <c r="Q14" s="70">
        <v>0.84108349237199997</v>
      </c>
    </row>
    <row r="15" spans="1:17" ht="14.4" customHeight="1" x14ac:dyDescent="0.3">
      <c r="A15" s="15" t="s">
        <v>20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222</v>
      </c>
    </row>
    <row r="16" spans="1:17" ht="14.4" customHeight="1" x14ac:dyDescent="0.3">
      <c r="A16" s="15" t="s">
        <v>21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222</v>
      </c>
    </row>
    <row r="17" spans="1:17" ht="14.4" customHeight="1" x14ac:dyDescent="0.3">
      <c r="A17" s="15" t="s">
        <v>22</v>
      </c>
      <c r="B17" s="46">
        <v>5.4329011407929997</v>
      </c>
      <c r="C17" s="47">
        <v>0.45274176173199998</v>
      </c>
      <c r="D17" s="47">
        <v>0</v>
      </c>
      <c r="E17" s="47">
        <v>0.23744999999999999</v>
      </c>
      <c r="F17" s="47">
        <v>12.093400000000001</v>
      </c>
      <c r="G17" s="47">
        <v>2.4127399999999999</v>
      </c>
      <c r="H17" s="47">
        <v>0</v>
      </c>
      <c r="I17" s="47">
        <v>0.80344000000000004</v>
      </c>
      <c r="J17" s="47">
        <v>0</v>
      </c>
      <c r="K17" s="47">
        <v>0</v>
      </c>
      <c r="L17" s="47">
        <v>27.362259999999999</v>
      </c>
      <c r="M17" s="47">
        <v>0</v>
      </c>
      <c r="N17" s="47">
        <v>0</v>
      </c>
      <c r="O17" s="47">
        <v>0</v>
      </c>
      <c r="P17" s="48">
        <v>42.909289999999999</v>
      </c>
      <c r="Q17" s="70">
        <v>10.530724779268001</v>
      </c>
    </row>
    <row r="18" spans="1:17" ht="14.4" customHeight="1" x14ac:dyDescent="0.3">
      <c r="A18" s="15" t="s">
        <v>23</v>
      </c>
      <c r="B18" s="46">
        <v>0</v>
      </c>
      <c r="C18" s="47">
        <v>0</v>
      </c>
      <c r="D18" s="47">
        <v>0.48399999999999999</v>
      </c>
      <c r="E18" s="47">
        <v>0</v>
      </c>
      <c r="F18" s="47">
        <v>0.34699999999999998</v>
      </c>
      <c r="G18" s="47">
        <v>0.93200000000000005</v>
      </c>
      <c r="H18" s="47">
        <v>0.502</v>
      </c>
      <c r="I18" s="47">
        <v>1.7749999999999999</v>
      </c>
      <c r="J18" s="47">
        <v>0</v>
      </c>
      <c r="K18" s="47">
        <v>0</v>
      </c>
      <c r="L18" s="47">
        <v>0.51800000000000002</v>
      </c>
      <c r="M18" s="47">
        <v>0</v>
      </c>
      <c r="N18" s="47">
        <v>0</v>
      </c>
      <c r="O18" s="47">
        <v>0</v>
      </c>
      <c r="P18" s="48">
        <v>4.5579999999999998</v>
      </c>
      <c r="Q18" s="70" t="s">
        <v>222</v>
      </c>
    </row>
    <row r="19" spans="1:17" ht="14.4" customHeight="1" x14ac:dyDescent="0.3">
      <c r="A19" s="15" t="s">
        <v>24</v>
      </c>
      <c r="B19" s="46">
        <v>56.987834024073003</v>
      </c>
      <c r="C19" s="47">
        <v>4.7489861686720003</v>
      </c>
      <c r="D19" s="47">
        <v>5.53308</v>
      </c>
      <c r="E19" s="47">
        <v>0.59694999999999998</v>
      </c>
      <c r="F19" s="47">
        <v>4.5924800000000001</v>
      </c>
      <c r="G19" s="47">
        <v>1.95089</v>
      </c>
      <c r="H19" s="47">
        <v>8.7136099999999992</v>
      </c>
      <c r="I19" s="47">
        <v>13.362920000000001</v>
      </c>
      <c r="J19" s="47">
        <v>7.6259100000000002</v>
      </c>
      <c r="K19" s="47">
        <v>6.6296999999999997</v>
      </c>
      <c r="L19" s="47">
        <v>10.10323</v>
      </c>
      <c r="M19" s="47">
        <v>0</v>
      </c>
      <c r="N19" s="47">
        <v>0</v>
      </c>
      <c r="O19" s="47">
        <v>0</v>
      </c>
      <c r="P19" s="48">
        <v>59.10877</v>
      </c>
      <c r="Q19" s="70">
        <v>1.382956462251</v>
      </c>
    </row>
    <row r="20" spans="1:17" ht="14.4" customHeight="1" x14ac:dyDescent="0.3">
      <c r="A20" s="15" t="s">
        <v>25</v>
      </c>
      <c r="B20" s="46">
        <v>6972.0345109704904</v>
      </c>
      <c r="C20" s="47">
        <v>581.00287591420795</v>
      </c>
      <c r="D20" s="47">
        <v>567.49384000000305</v>
      </c>
      <c r="E20" s="47">
        <v>511.49457000000001</v>
      </c>
      <c r="F20" s="47">
        <v>519.01624000000004</v>
      </c>
      <c r="G20" s="47">
        <v>528.67397000000005</v>
      </c>
      <c r="H20" s="47">
        <v>520.58272999999997</v>
      </c>
      <c r="I20" s="47">
        <v>539.46558000000005</v>
      </c>
      <c r="J20" s="47">
        <v>751.3673</v>
      </c>
      <c r="K20" s="47">
        <v>515.29453999999998</v>
      </c>
      <c r="L20" s="47">
        <v>539.93559000000005</v>
      </c>
      <c r="M20" s="47">
        <v>0</v>
      </c>
      <c r="N20" s="47">
        <v>0</v>
      </c>
      <c r="O20" s="47">
        <v>0</v>
      </c>
      <c r="P20" s="48">
        <v>4993.3243599999996</v>
      </c>
      <c r="Q20" s="70">
        <v>0.95492439156099995</v>
      </c>
    </row>
    <row r="21" spans="1:17" ht="14.4" customHeight="1" x14ac:dyDescent="0.3">
      <c r="A21" s="16" t="s">
        <v>26</v>
      </c>
      <c r="B21" s="46">
        <v>39.999111066650002</v>
      </c>
      <c r="C21" s="47">
        <v>3.3332592555540002</v>
      </c>
      <c r="D21" s="47">
        <v>3.3140000000000001</v>
      </c>
      <c r="E21" s="47">
        <v>3.3220000000000001</v>
      </c>
      <c r="F21" s="47">
        <v>3.3220000000000001</v>
      </c>
      <c r="G21" s="47">
        <v>3.3220000000000001</v>
      </c>
      <c r="H21" s="47">
        <v>3.415</v>
      </c>
      <c r="I21" s="47">
        <v>3.415</v>
      </c>
      <c r="J21" s="47">
        <v>3.415</v>
      </c>
      <c r="K21" s="47">
        <v>3.415</v>
      </c>
      <c r="L21" s="47">
        <v>3.4350000000000001</v>
      </c>
      <c r="M21" s="47">
        <v>0</v>
      </c>
      <c r="N21" s="47">
        <v>0</v>
      </c>
      <c r="O21" s="47">
        <v>0</v>
      </c>
      <c r="P21" s="48">
        <v>30.375</v>
      </c>
      <c r="Q21" s="70">
        <v>1.0125225016249999</v>
      </c>
    </row>
    <row r="22" spans="1:17" ht="14.4" customHeight="1" x14ac:dyDescent="0.3">
      <c r="A22" s="15" t="s">
        <v>27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4.4649999999999999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4.4649999999999999</v>
      </c>
      <c r="Q22" s="70" t="s">
        <v>222</v>
      </c>
    </row>
    <row r="23" spans="1:17" ht="14.4" customHeight="1" x14ac:dyDescent="0.3">
      <c r="A23" s="16" t="s">
        <v>28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222</v>
      </c>
    </row>
    <row r="24" spans="1:17" ht="14.4" customHeight="1" x14ac:dyDescent="0.3">
      <c r="A24" s="16" t="s">
        <v>29</v>
      </c>
      <c r="B24" s="46">
        <v>-1.8189894035458601E-12</v>
      </c>
      <c r="C24" s="47">
        <v>0</v>
      </c>
      <c r="D24" s="47">
        <v>-1.13686837721616E-13</v>
      </c>
      <c r="E24" s="47">
        <v>0</v>
      </c>
      <c r="F24" s="47">
        <v>0.89999999999900004</v>
      </c>
      <c r="G24" s="47">
        <v>0</v>
      </c>
      <c r="H24" s="47">
        <v>1</v>
      </c>
      <c r="I24" s="47">
        <v>1.18912</v>
      </c>
      <c r="J24" s="47">
        <v>0</v>
      </c>
      <c r="K24" s="47">
        <v>0</v>
      </c>
      <c r="L24" s="47">
        <v>1.1000000000000001</v>
      </c>
      <c r="M24" s="47">
        <v>0</v>
      </c>
      <c r="N24" s="47">
        <v>0</v>
      </c>
      <c r="O24" s="47">
        <v>0</v>
      </c>
      <c r="P24" s="48">
        <v>4.18912</v>
      </c>
      <c r="Q24" s="70"/>
    </row>
    <row r="25" spans="1:17" ht="14.4" customHeight="1" x14ac:dyDescent="0.3">
      <c r="A25" s="17" t="s">
        <v>30</v>
      </c>
      <c r="B25" s="49">
        <v>7223.1358573261996</v>
      </c>
      <c r="C25" s="50">
        <v>601.92798811051705</v>
      </c>
      <c r="D25" s="50">
        <v>587.58792000000301</v>
      </c>
      <c r="E25" s="50">
        <v>525.25469999999996</v>
      </c>
      <c r="F25" s="50">
        <v>548.74459000000002</v>
      </c>
      <c r="G25" s="50">
        <v>544.28306999999995</v>
      </c>
      <c r="H25" s="50">
        <v>545.76093000000003</v>
      </c>
      <c r="I25" s="50">
        <v>569.47694000000001</v>
      </c>
      <c r="J25" s="50">
        <v>767.19429000000002</v>
      </c>
      <c r="K25" s="50">
        <v>529.69773999999995</v>
      </c>
      <c r="L25" s="50">
        <v>589.05111999999997</v>
      </c>
      <c r="M25" s="50">
        <v>0</v>
      </c>
      <c r="N25" s="50">
        <v>0</v>
      </c>
      <c r="O25" s="50">
        <v>0</v>
      </c>
      <c r="P25" s="51">
        <v>5207.0513000000001</v>
      </c>
      <c r="Q25" s="71">
        <v>0.96118018597400001</v>
      </c>
    </row>
    <row r="26" spans="1:17" ht="14.4" customHeight="1" x14ac:dyDescent="0.3">
      <c r="A26" s="15" t="s">
        <v>31</v>
      </c>
      <c r="B26" s="46">
        <v>1142.00028352708</v>
      </c>
      <c r="C26" s="47">
        <v>95.166690293922997</v>
      </c>
      <c r="D26" s="47">
        <v>88.665450000000007</v>
      </c>
      <c r="E26" s="47">
        <v>75.822580000000002</v>
      </c>
      <c r="F26" s="47">
        <v>82.433869999999999</v>
      </c>
      <c r="G26" s="47">
        <v>81.828400000000002</v>
      </c>
      <c r="H26" s="47">
        <v>83.441429999999997</v>
      </c>
      <c r="I26" s="47">
        <v>74.11045</v>
      </c>
      <c r="J26" s="47">
        <v>139.36384000000001</v>
      </c>
      <c r="K26" s="47">
        <v>72.815939999999998</v>
      </c>
      <c r="L26" s="47">
        <v>78.843490000000003</v>
      </c>
      <c r="M26" s="47">
        <v>0</v>
      </c>
      <c r="N26" s="47">
        <v>0</v>
      </c>
      <c r="O26" s="47">
        <v>0</v>
      </c>
      <c r="P26" s="48">
        <v>777.32545000000005</v>
      </c>
      <c r="Q26" s="70">
        <v>0.90756013661500001</v>
      </c>
    </row>
    <row r="27" spans="1:17" ht="14.4" customHeight="1" x14ac:dyDescent="0.3">
      <c r="A27" s="18" t="s">
        <v>32</v>
      </c>
      <c r="B27" s="49">
        <v>8365.1361408532794</v>
      </c>
      <c r="C27" s="50">
        <v>697.09467840443995</v>
      </c>
      <c r="D27" s="50">
        <v>676.25337000000297</v>
      </c>
      <c r="E27" s="50">
        <v>601.07727999999997</v>
      </c>
      <c r="F27" s="50">
        <v>631.17845999999997</v>
      </c>
      <c r="G27" s="50">
        <v>626.11147000000005</v>
      </c>
      <c r="H27" s="50">
        <v>629.20236</v>
      </c>
      <c r="I27" s="50">
        <v>643.58739000000003</v>
      </c>
      <c r="J27" s="50">
        <v>906.55813000000001</v>
      </c>
      <c r="K27" s="50">
        <v>602.51368000000002</v>
      </c>
      <c r="L27" s="50">
        <v>667.89460999999994</v>
      </c>
      <c r="M27" s="50">
        <v>0</v>
      </c>
      <c r="N27" s="50">
        <v>0</v>
      </c>
      <c r="O27" s="50">
        <v>0</v>
      </c>
      <c r="P27" s="51">
        <v>5984.3767500000004</v>
      </c>
      <c r="Q27" s="71">
        <v>0.95386002877200005</v>
      </c>
    </row>
    <row r="28" spans="1:17" ht="14.4" customHeight="1" x14ac:dyDescent="0.3">
      <c r="A28" s="16" t="s">
        <v>33</v>
      </c>
      <c r="B28" s="46">
        <v>16.646246152012001</v>
      </c>
      <c r="C28" s="47">
        <v>1.387187179334</v>
      </c>
      <c r="D28" s="47">
        <v>0</v>
      </c>
      <c r="E28" s="47">
        <v>0</v>
      </c>
      <c r="F28" s="47">
        <v>3.1789800000000001</v>
      </c>
      <c r="G28" s="47">
        <v>1.5924100000000001</v>
      </c>
      <c r="H28" s="47">
        <v>3.4129800000000001</v>
      </c>
      <c r="I28" s="47">
        <v>0.61199999999999999</v>
      </c>
      <c r="J28" s="47">
        <v>3.4129800000000001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12.209350000000001</v>
      </c>
      <c r="Q28" s="70">
        <v>0.97794620989400005</v>
      </c>
    </row>
    <row r="29" spans="1:17" ht="14.4" customHeight="1" x14ac:dyDescent="0.3">
      <c r="A29" s="16" t="s">
        <v>34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222</v>
      </c>
    </row>
    <row r="30" spans="1:17" ht="14.4" customHeight="1" x14ac:dyDescent="0.3">
      <c r="A30" s="16" t="s">
        <v>35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222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116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140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3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83" t="s">
        <v>38</v>
      </c>
      <c r="B1" s="283"/>
      <c r="C1" s="283"/>
      <c r="D1" s="283"/>
      <c r="E1" s="283"/>
      <c r="F1" s="283"/>
      <c r="G1" s="283"/>
      <c r="H1" s="288"/>
      <c r="I1" s="288"/>
      <c r="J1" s="288"/>
      <c r="K1" s="288"/>
    </row>
    <row r="2" spans="1:11" s="55" customFormat="1" ht="14.4" customHeight="1" thickBot="1" x14ac:dyDescent="0.35">
      <c r="A2" s="195" t="s">
        <v>221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84" t="s">
        <v>39</v>
      </c>
      <c r="C3" s="285"/>
      <c r="D3" s="285"/>
      <c r="E3" s="285"/>
      <c r="F3" s="291" t="s">
        <v>40</v>
      </c>
      <c r="G3" s="285"/>
      <c r="H3" s="285"/>
      <c r="I3" s="285"/>
      <c r="J3" s="285"/>
      <c r="K3" s="292"/>
    </row>
    <row r="4" spans="1:11" ht="14.4" customHeight="1" x14ac:dyDescent="0.3">
      <c r="A4" s="60"/>
      <c r="B4" s="289"/>
      <c r="C4" s="290"/>
      <c r="D4" s="290"/>
      <c r="E4" s="290"/>
      <c r="F4" s="293" t="s">
        <v>136</v>
      </c>
      <c r="G4" s="295" t="s">
        <v>41</v>
      </c>
      <c r="H4" s="113" t="s">
        <v>108</v>
      </c>
      <c r="I4" s="293" t="s">
        <v>42</v>
      </c>
      <c r="J4" s="295" t="s">
        <v>138</v>
      </c>
      <c r="K4" s="296" t="s">
        <v>139</v>
      </c>
    </row>
    <row r="5" spans="1:11" ht="42" thickBot="1" x14ac:dyDescent="0.35">
      <c r="A5" s="61"/>
      <c r="B5" s="24" t="s">
        <v>132</v>
      </c>
      <c r="C5" s="25" t="s">
        <v>133</v>
      </c>
      <c r="D5" s="26" t="s">
        <v>134</v>
      </c>
      <c r="E5" s="26" t="s">
        <v>135</v>
      </c>
      <c r="F5" s="294"/>
      <c r="G5" s="294"/>
      <c r="H5" s="25" t="s">
        <v>137</v>
      </c>
      <c r="I5" s="294"/>
      <c r="J5" s="294"/>
      <c r="K5" s="297"/>
    </row>
    <row r="6" spans="1:11" ht="14.4" customHeight="1" thickBot="1" x14ac:dyDescent="0.35">
      <c r="A6" s="347" t="s">
        <v>224</v>
      </c>
      <c r="B6" s="329">
        <v>6261.43897484641</v>
      </c>
      <c r="C6" s="329">
        <v>6879.8286099999996</v>
      </c>
      <c r="D6" s="330">
        <v>618.38963515359796</v>
      </c>
      <c r="E6" s="331">
        <v>1.098761584619</v>
      </c>
      <c r="F6" s="329">
        <v>7223.1358573261996</v>
      </c>
      <c r="G6" s="330">
        <v>5417.3518929946504</v>
      </c>
      <c r="H6" s="332">
        <v>589.05111999999997</v>
      </c>
      <c r="I6" s="329">
        <v>5207.0513000000001</v>
      </c>
      <c r="J6" s="330">
        <v>-210.30059299464801</v>
      </c>
      <c r="K6" s="333">
        <v>0.72088513948099997</v>
      </c>
    </row>
    <row r="7" spans="1:11" ht="14.4" customHeight="1" thickBot="1" x14ac:dyDescent="0.35">
      <c r="A7" s="348" t="s">
        <v>225</v>
      </c>
      <c r="B7" s="329">
        <v>148.58384190071101</v>
      </c>
      <c r="C7" s="329">
        <v>142.01738</v>
      </c>
      <c r="D7" s="330">
        <v>-6.5664619007100002</v>
      </c>
      <c r="E7" s="331">
        <v>0.95580635271799996</v>
      </c>
      <c r="F7" s="329">
        <v>148.68150012419201</v>
      </c>
      <c r="G7" s="330">
        <v>111.511125093144</v>
      </c>
      <c r="H7" s="332">
        <v>6.5970399999999998</v>
      </c>
      <c r="I7" s="329">
        <v>68.121759999999995</v>
      </c>
      <c r="J7" s="330">
        <v>-43.389365093144001</v>
      </c>
      <c r="K7" s="333">
        <v>0.458172401698</v>
      </c>
    </row>
    <row r="8" spans="1:11" ht="14.4" customHeight="1" thickBot="1" x14ac:dyDescent="0.35">
      <c r="A8" s="349" t="s">
        <v>226</v>
      </c>
      <c r="B8" s="329">
        <v>56.458315378370003</v>
      </c>
      <c r="C8" s="329">
        <v>52.883380000000002</v>
      </c>
      <c r="D8" s="330">
        <v>-3.5749353783700002</v>
      </c>
      <c r="E8" s="331">
        <v>0.93668009124200002</v>
      </c>
      <c r="F8" s="329">
        <v>58.586599890715</v>
      </c>
      <c r="G8" s="330">
        <v>43.939949918036</v>
      </c>
      <c r="H8" s="332">
        <v>2.04304</v>
      </c>
      <c r="I8" s="329">
        <v>11.28876</v>
      </c>
      <c r="J8" s="330">
        <v>-32.651189918036003</v>
      </c>
      <c r="K8" s="333">
        <v>0.19268501706899999</v>
      </c>
    </row>
    <row r="9" spans="1:11" ht="14.4" customHeight="1" thickBot="1" x14ac:dyDescent="0.35">
      <c r="A9" s="350" t="s">
        <v>227</v>
      </c>
      <c r="B9" s="334">
        <v>0</v>
      </c>
      <c r="C9" s="334">
        <v>0.56330000000000002</v>
      </c>
      <c r="D9" s="335">
        <v>0.56330000000000002</v>
      </c>
      <c r="E9" s="336" t="s">
        <v>228</v>
      </c>
      <c r="F9" s="334">
        <v>0.56372669448699997</v>
      </c>
      <c r="G9" s="335">
        <v>0.42279502086499998</v>
      </c>
      <c r="H9" s="337">
        <v>0</v>
      </c>
      <c r="I9" s="334">
        <v>0</v>
      </c>
      <c r="J9" s="335">
        <v>-0.42279502086499998</v>
      </c>
      <c r="K9" s="338">
        <v>0</v>
      </c>
    </row>
    <row r="10" spans="1:11" ht="14.4" customHeight="1" thickBot="1" x14ac:dyDescent="0.35">
      <c r="A10" s="351" t="s">
        <v>229</v>
      </c>
      <c r="B10" s="329">
        <v>0</v>
      </c>
      <c r="C10" s="329">
        <v>0.56330000000000002</v>
      </c>
      <c r="D10" s="330">
        <v>0.56330000000000002</v>
      </c>
      <c r="E10" s="339" t="s">
        <v>228</v>
      </c>
      <c r="F10" s="329">
        <v>0.56372669448699997</v>
      </c>
      <c r="G10" s="330">
        <v>0.42279502086499998</v>
      </c>
      <c r="H10" s="332">
        <v>0</v>
      </c>
      <c r="I10" s="329">
        <v>0</v>
      </c>
      <c r="J10" s="330">
        <v>-0.42279502086499998</v>
      </c>
      <c r="K10" s="333">
        <v>0</v>
      </c>
    </row>
    <row r="11" spans="1:11" ht="14.4" customHeight="1" thickBot="1" x14ac:dyDescent="0.35">
      <c r="A11" s="350" t="s">
        <v>230</v>
      </c>
      <c r="B11" s="334">
        <v>0</v>
      </c>
      <c r="C11" s="334">
        <v>0.23154</v>
      </c>
      <c r="D11" s="335">
        <v>0.23154</v>
      </c>
      <c r="E11" s="336" t="s">
        <v>222</v>
      </c>
      <c r="F11" s="334">
        <v>0.23196071397199999</v>
      </c>
      <c r="G11" s="335">
        <v>0.17397053547899999</v>
      </c>
      <c r="H11" s="337">
        <v>0</v>
      </c>
      <c r="I11" s="334">
        <v>0</v>
      </c>
      <c r="J11" s="335">
        <v>-0.17397053547899999</v>
      </c>
      <c r="K11" s="338">
        <v>0</v>
      </c>
    </row>
    <row r="12" spans="1:11" ht="14.4" customHeight="1" thickBot="1" x14ac:dyDescent="0.35">
      <c r="A12" s="351" t="s">
        <v>231</v>
      </c>
      <c r="B12" s="329">
        <v>0</v>
      </c>
      <c r="C12" s="329">
        <v>0.18515999999999999</v>
      </c>
      <c r="D12" s="330">
        <v>0.18515999999999999</v>
      </c>
      <c r="E12" s="339" t="s">
        <v>228</v>
      </c>
      <c r="F12" s="329">
        <v>0.18558106336800001</v>
      </c>
      <c r="G12" s="330">
        <v>0.13918579752599999</v>
      </c>
      <c r="H12" s="332">
        <v>0</v>
      </c>
      <c r="I12" s="329">
        <v>0</v>
      </c>
      <c r="J12" s="330">
        <v>-0.13918579752599999</v>
      </c>
      <c r="K12" s="333">
        <v>0</v>
      </c>
    </row>
    <row r="13" spans="1:11" ht="14.4" customHeight="1" thickBot="1" x14ac:dyDescent="0.35">
      <c r="A13" s="351" t="s">
        <v>232</v>
      </c>
      <c r="B13" s="329">
        <v>0</v>
      </c>
      <c r="C13" s="329">
        <v>4.6379999999999998E-2</v>
      </c>
      <c r="D13" s="330">
        <v>4.6379999999999998E-2</v>
      </c>
      <c r="E13" s="339" t="s">
        <v>228</v>
      </c>
      <c r="F13" s="329">
        <v>4.6379650602999999E-2</v>
      </c>
      <c r="G13" s="330">
        <v>3.4784737952000003E-2</v>
      </c>
      <c r="H13" s="332">
        <v>0</v>
      </c>
      <c r="I13" s="329">
        <v>0</v>
      </c>
      <c r="J13" s="330">
        <v>-3.4784737952000003E-2</v>
      </c>
      <c r="K13" s="333">
        <v>0</v>
      </c>
    </row>
    <row r="14" spans="1:11" ht="14.4" customHeight="1" thickBot="1" x14ac:dyDescent="0.35">
      <c r="A14" s="350" t="s">
        <v>233</v>
      </c>
      <c r="B14" s="334">
        <v>55.016524255577004</v>
      </c>
      <c r="C14" s="334">
        <v>50.583660000000002</v>
      </c>
      <c r="D14" s="335">
        <v>-4.4328642555759998</v>
      </c>
      <c r="E14" s="340">
        <v>0.919426675611</v>
      </c>
      <c r="F14" s="334">
        <v>55.702476088228998</v>
      </c>
      <c r="G14" s="335">
        <v>41.776857066170997</v>
      </c>
      <c r="H14" s="337">
        <v>0</v>
      </c>
      <c r="I14" s="334">
        <v>7.8227500000000001</v>
      </c>
      <c r="J14" s="335">
        <v>-33.954107066170998</v>
      </c>
      <c r="K14" s="338">
        <v>0.14043810166699999</v>
      </c>
    </row>
    <row r="15" spans="1:11" ht="14.4" customHeight="1" thickBot="1" x14ac:dyDescent="0.35">
      <c r="A15" s="351" t="s">
        <v>234</v>
      </c>
      <c r="B15" s="329">
        <v>2.3196337005559999</v>
      </c>
      <c r="C15" s="329">
        <v>1.2849999999999999</v>
      </c>
      <c r="D15" s="330">
        <v>-1.034633700556</v>
      </c>
      <c r="E15" s="331">
        <v>0.55396677487900003</v>
      </c>
      <c r="F15" s="329">
        <v>1.4830251625590001</v>
      </c>
      <c r="G15" s="330">
        <v>1.1122688719189999</v>
      </c>
      <c r="H15" s="332">
        <v>0</v>
      </c>
      <c r="I15" s="329">
        <v>0</v>
      </c>
      <c r="J15" s="330">
        <v>-1.1122688719189999</v>
      </c>
      <c r="K15" s="333">
        <v>0</v>
      </c>
    </row>
    <row r="16" spans="1:11" ht="14.4" customHeight="1" thickBot="1" x14ac:dyDescent="0.35">
      <c r="A16" s="351" t="s">
        <v>235</v>
      </c>
      <c r="B16" s="329">
        <v>0.27081734102799998</v>
      </c>
      <c r="C16" s="329">
        <v>0.24240999999999999</v>
      </c>
      <c r="D16" s="330">
        <v>-2.8407341028000001E-2</v>
      </c>
      <c r="E16" s="331">
        <v>0.89510516231699999</v>
      </c>
      <c r="F16" s="329">
        <v>0.24399972333299999</v>
      </c>
      <c r="G16" s="330">
        <v>0.182999792499</v>
      </c>
      <c r="H16" s="332">
        <v>0</v>
      </c>
      <c r="I16" s="329">
        <v>0.19153000000000001</v>
      </c>
      <c r="J16" s="330">
        <v>8.5302074999999995E-3</v>
      </c>
      <c r="K16" s="333">
        <v>0.78495990644299996</v>
      </c>
    </row>
    <row r="17" spans="1:11" ht="14.4" customHeight="1" thickBot="1" x14ac:dyDescent="0.35">
      <c r="A17" s="351" t="s">
        <v>236</v>
      </c>
      <c r="B17" s="329">
        <v>45.537908232696999</v>
      </c>
      <c r="C17" s="329">
        <v>42.546759999999999</v>
      </c>
      <c r="D17" s="330">
        <v>-2.9911482326969998</v>
      </c>
      <c r="E17" s="331">
        <v>0.93431520355700004</v>
      </c>
      <c r="F17" s="329">
        <v>46.69464316482</v>
      </c>
      <c r="G17" s="330">
        <v>35.020982373614999</v>
      </c>
      <c r="H17" s="332">
        <v>0</v>
      </c>
      <c r="I17" s="329">
        <v>4.0433899999999996</v>
      </c>
      <c r="J17" s="330">
        <v>-30.977592373615</v>
      </c>
      <c r="K17" s="333">
        <v>8.6592159740999999E-2</v>
      </c>
    </row>
    <row r="18" spans="1:11" ht="14.4" customHeight="1" thickBot="1" x14ac:dyDescent="0.35">
      <c r="A18" s="351" t="s">
        <v>237</v>
      </c>
      <c r="B18" s="329">
        <v>0.109155691429</v>
      </c>
      <c r="C18" s="329">
        <v>0.20003000000000001</v>
      </c>
      <c r="D18" s="330">
        <v>9.0874308570000006E-2</v>
      </c>
      <c r="E18" s="331">
        <v>1.8325201130569999</v>
      </c>
      <c r="F18" s="329">
        <v>0.99991897388999995</v>
      </c>
      <c r="G18" s="330">
        <v>0.74993923041800004</v>
      </c>
      <c r="H18" s="332">
        <v>0</v>
      </c>
      <c r="I18" s="329">
        <v>0.25402999999999998</v>
      </c>
      <c r="J18" s="330">
        <v>-0.495909230418</v>
      </c>
      <c r="K18" s="333">
        <v>0.25405058472999997</v>
      </c>
    </row>
    <row r="19" spans="1:11" ht="14.4" customHeight="1" thickBot="1" x14ac:dyDescent="0.35">
      <c r="A19" s="351" t="s">
        <v>238</v>
      </c>
      <c r="B19" s="329">
        <v>2.4610863205409998</v>
      </c>
      <c r="C19" s="329">
        <v>3.4896600000000002</v>
      </c>
      <c r="D19" s="330">
        <v>1.028573679458</v>
      </c>
      <c r="E19" s="331">
        <v>1.4179348245009999</v>
      </c>
      <c r="F19" s="329">
        <v>3.9017569780520001</v>
      </c>
      <c r="G19" s="330">
        <v>2.9263177335389998</v>
      </c>
      <c r="H19" s="332">
        <v>0</v>
      </c>
      <c r="I19" s="329">
        <v>2.2172999999999998</v>
      </c>
      <c r="J19" s="330">
        <v>-0.70901773353899999</v>
      </c>
      <c r="K19" s="333">
        <v>0.56828244620799995</v>
      </c>
    </row>
    <row r="20" spans="1:11" ht="14.4" customHeight="1" thickBot="1" x14ac:dyDescent="0.35">
      <c r="A20" s="351" t="s">
        <v>239</v>
      </c>
      <c r="B20" s="329">
        <v>0</v>
      </c>
      <c r="C20" s="329">
        <v>2.8197999999999999</v>
      </c>
      <c r="D20" s="330">
        <v>2.8197999999999999</v>
      </c>
      <c r="E20" s="339" t="s">
        <v>228</v>
      </c>
      <c r="F20" s="329">
        <v>2.379132085573</v>
      </c>
      <c r="G20" s="330">
        <v>1.7843490641790001</v>
      </c>
      <c r="H20" s="332">
        <v>0</v>
      </c>
      <c r="I20" s="329">
        <v>1.1165</v>
      </c>
      <c r="J20" s="330">
        <v>-0.66784906417900003</v>
      </c>
      <c r="K20" s="333">
        <v>0.46928878256500001</v>
      </c>
    </row>
    <row r="21" spans="1:11" ht="14.4" customHeight="1" thickBot="1" x14ac:dyDescent="0.35">
      <c r="A21" s="350" t="s">
        <v>240</v>
      </c>
      <c r="B21" s="334">
        <v>0.32354443690099999</v>
      </c>
      <c r="C21" s="334">
        <v>8.3199999999999993E-3</v>
      </c>
      <c r="D21" s="335">
        <v>-0.31522443690099999</v>
      </c>
      <c r="E21" s="340">
        <v>2.5715169388999998E-2</v>
      </c>
      <c r="F21" s="334">
        <v>1.0001864980149999</v>
      </c>
      <c r="G21" s="335">
        <v>0.75013987351099998</v>
      </c>
      <c r="H21" s="337">
        <v>0</v>
      </c>
      <c r="I21" s="334">
        <v>0</v>
      </c>
      <c r="J21" s="335">
        <v>-0.75013987351099998</v>
      </c>
      <c r="K21" s="338">
        <v>0</v>
      </c>
    </row>
    <row r="22" spans="1:11" ht="14.4" customHeight="1" thickBot="1" x14ac:dyDescent="0.35">
      <c r="A22" s="351" t="s">
        <v>241</v>
      </c>
      <c r="B22" s="329">
        <v>0.32354443690099999</v>
      </c>
      <c r="C22" s="329">
        <v>8.3199999999999993E-3</v>
      </c>
      <c r="D22" s="330">
        <v>-0.31522443690099999</v>
      </c>
      <c r="E22" s="331">
        <v>2.5715169388999998E-2</v>
      </c>
      <c r="F22" s="329">
        <v>1.0001864980149999</v>
      </c>
      <c r="G22" s="330">
        <v>0.75013987351099998</v>
      </c>
      <c r="H22" s="332">
        <v>0</v>
      </c>
      <c r="I22" s="329">
        <v>0</v>
      </c>
      <c r="J22" s="330">
        <v>-0.75013987351099998</v>
      </c>
      <c r="K22" s="333">
        <v>0</v>
      </c>
    </row>
    <row r="23" spans="1:11" ht="14.4" customHeight="1" thickBot="1" x14ac:dyDescent="0.35">
      <c r="A23" s="350" t="s">
        <v>242</v>
      </c>
      <c r="B23" s="334">
        <v>1.1182466858919999</v>
      </c>
      <c r="C23" s="334">
        <v>1.2165600000000001</v>
      </c>
      <c r="D23" s="335">
        <v>9.8313314107000005E-2</v>
      </c>
      <c r="E23" s="340">
        <v>1.0879173757880001</v>
      </c>
      <c r="F23" s="334">
        <v>1.08824989601</v>
      </c>
      <c r="G23" s="335">
        <v>0.81618742200799999</v>
      </c>
      <c r="H23" s="337">
        <v>2.04304</v>
      </c>
      <c r="I23" s="334">
        <v>3.4660099999999998</v>
      </c>
      <c r="J23" s="335">
        <v>2.6498225779909999</v>
      </c>
      <c r="K23" s="338">
        <v>3.1849394267850002</v>
      </c>
    </row>
    <row r="24" spans="1:11" ht="14.4" customHeight="1" thickBot="1" x14ac:dyDescent="0.35">
      <c r="A24" s="351" t="s">
        <v>243</v>
      </c>
      <c r="B24" s="329">
        <v>1.1182466858919999</v>
      </c>
      <c r="C24" s="329">
        <v>1.2165600000000001</v>
      </c>
      <c r="D24" s="330">
        <v>9.8313314107000005E-2</v>
      </c>
      <c r="E24" s="331">
        <v>1.0879173757880001</v>
      </c>
      <c r="F24" s="329">
        <v>1.08824989601</v>
      </c>
      <c r="G24" s="330">
        <v>0.81618742200799999</v>
      </c>
      <c r="H24" s="332">
        <v>2.04304</v>
      </c>
      <c r="I24" s="329">
        <v>3.4660099999999998</v>
      </c>
      <c r="J24" s="330">
        <v>2.6498225779909999</v>
      </c>
      <c r="K24" s="333">
        <v>3.1849394267850002</v>
      </c>
    </row>
    <row r="25" spans="1:11" ht="14.4" customHeight="1" thickBot="1" x14ac:dyDescent="0.35">
      <c r="A25" s="350" t="s">
        <v>244</v>
      </c>
      <c r="B25" s="334">
        <v>0</v>
      </c>
      <c r="C25" s="334">
        <v>0.28000000000000003</v>
      </c>
      <c r="D25" s="335">
        <v>0.28000000000000003</v>
      </c>
      <c r="E25" s="336" t="s">
        <v>222</v>
      </c>
      <c r="F25" s="334">
        <v>0</v>
      </c>
      <c r="G25" s="335">
        <v>0</v>
      </c>
      <c r="H25" s="337">
        <v>0</v>
      </c>
      <c r="I25" s="334">
        <v>0</v>
      </c>
      <c r="J25" s="335">
        <v>0</v>
      </c>
      <c r="K25" s="341" t="s">
        <v>222</v>
      </c>
    </row>
    <row r="26" spans="1:11" ht="14.4" customHeight="1" thickBot="1" x14ac:dyDescent="0.35">
      <c r="A26" s="351" t="s">
        <v>245</v>
      </c>
      <c r="B26" s="329">
        <v>0</v>
      </c>
      <c r="C26" s="329">
        <v>0.28000000000000003</v>
      </c>
      <c r="D26" s="330">
        <v>0.28000000000000003</v>
      </c>
      <c r="E26" s="339" t="s">
        <v>222</v>
      </c>
      <c r="F26" s="329">
        <v>0</v>
      </c>
      <c r="G26" s="330">
        <v>0</v>
      </c>
      <c r="H26" s="332">
        <v>0</v>
      </c>
      <c r="I26" s="329">
        <v>0</v>
      </c>
      <c r="J26" s="330">
        <v>0</v>
      </c>
      <c r="K26" s="342" t="s">
        <v>222</v>
      </c>
    </row>
    <row r="27" spans="1:11" ht="14.4" customHeight="1" thickBot="1" x14ac:dyDescent="0.35">
      <c r="A27" s="349" t="s">
        <v>19</v>
      </c>
      <c r="B27" s="329">
        <v>92.125526522339996</v>
      </c>
      <c r="C27" s="329">
        <v>89.134</v>
      </c>
      <c r="D27" s="330">
        <v>-2.991526522339</v>
      </c>
      <c r="E27" s="331">
        <v>0.96752771316099995</v>
      </c>
      <c r="F27" s="329">
        <v>90.094900233475997</v>
      </c>
      <c r="G27" s="330">
        <v>67.571175175107001</v>
      </c>
      <c r="H27" s="332">
        <v>4.5540000000000003</v>
      </c>
      <c r="I27" s="329">
        <v>56.832999999999998</v>
      </c>
      <c r="J27" s="330">
        <v>-10.738175175106999</v>
      </c>
      <c r="K27" s="333">
        <v>0.63081261927900001</v>
      </c>
    </row>
    <row r="28" spans="1:11" ht="14.4" customHeight="1" thickBot="1" x14ac:dyDescent="0.35">
      <c r="A28" s="350" t="s">
        <v>246</v>
      </c>
      <c r="B28" s="334">
        <v>92.125526522339996</v>
      </c>
      <c r="C28" s="334">
        <v>89.134</v>
      </c>
      <c r="D28" s="335">
        <v>-2.991526522339</v>
      </c>
      <c r="E28" s="340">
        <v>0.96752771316099995</v>
      </c>
      <c r="F28" s="334">
        <v>90.094900233475997</v>
      </c>
      <c r="G28" s="335">
        <v>67.571175175107001</v>
      </c>
      <c r="H28" s="337">
        <v>4.5540000000000003</v>
      </c>
      <c r="I28" s="334">
        <v>56.832999999999998</v>
      </c>
      <c r="J28" s="335">
        <v>-10.738175175106999</v>
      </c>
      <c r="K28" s="338">
        <v>0.63081261927900001</v>
      </c>
    </row>
    <row r="29" spans="1:11" ht="14.4" customHeight="1" thickBot="1" x14ac:dyDescent="0.35">
      <c r="A29" s="351" t="s">
        <v>247</v>
      </c>
      <c r="B29" s="329">
        <v>18.120367464866</v>
      </c>
      <c r="C29" s="329">
        <v>18.321000000000002</v>
      </c>
      <c r="D29" s="330">
        <v>0.200632535133</v>
      </c>
      <c r="E29" s="331">
        <v>1.011072211174</v>
      </c>
      <c r="F29" s="329">
        <v>18.184072720145</v>
      </c>
      <c r="G29" s="330">
        <v>13.638054540109</v>
      </c>
      <c r="H29" s="332">
        <v>1.2470000000000001</v>
      </c>
      <c r="I29" s="329">
        <v>11.444000000000001</v>
      </c>
      <c r="J29" s="330">
        <v>-2.1940545401090001</v>
      </c>
      <c r="K29" s="333">
        <v>0.62934196184299995</v>
      </c>
    </row>
    <row r="30" spans="1:11" ht="14.4" customHeight="1" thickBot="1" x14ac:dyDescent="0.35">
      <c r="A30" s="351" t="s">
        <v>248</v>
      </c>
      <c r="B30" s="329">
        <v>15.000644699174</v>
      </c>
      <c r="C30" s="329">
        <v>14.686999999999999</v>
      </c>
      <c r="D30" s="330">
        <v>-0.31364469917400001</v>
      </c>
      <c r="E30" s="331">
        <v>0.97909125204500003</v>
      </c>
      <c r="F30" s="329">
        <v>15.000101608584</v>
      </c>
      <c r="G30" s="330">
        <v>11.250076206438001</v>
      </c>
      <c r="H30" s="332">
        <v>1.1779999999999999</v>
      </c>
      <c r="I30" s="329">
        <v>10.518000000000001</v>
      </c>
      <c r="J30" s="330">
        <v>-0.73207620643799998</v>
      </c>
      <c r="K30" s="333">
        <v>0.70119525016899997</v>
      </c>
    </row>
    <row r="31" spans="1:11" ht="14.4" customHeight="1" thickBot="1" x14ac:dyDescent="0.35">
      <c r="A31" s="351" t="s">
        <v>249</v>
      </c>
      <c r="B31" s="329">
        <v>59.004514358298003</v>
      </c>
      <c r="C31" s="329">
        <v>56.125999999999998</v>
      </c>
      <c r="D31" s="330">
        <v>-2.8785143582980002</v>
      </c>
      <c r="E31" s="331">
        <v>0.95121535377999999</v>
      </c>
      <c r="F31" s="329">
        <v>56.910725904746002</v>
      </c>
      <c r="G31" s="330">
        <v>42.683044428560002</v>
      </c>
      <c r="H31" s="332">
        <v>2.129</v>
      </c>
      <c r="I31" s="329">
        <v>34.871000000000002</v>
      </c>
      <c r="J31" s="330">
        <v>-7.8120444285600001</v>
      </c>
      <c r="K31" s="333">
        <v>0.61273159752600004</v>
      </c>
    </row>
    <row r="32" spans="1:11" ht="14.4" customHeight="1" thickBot="1" x14ac:dyDescent="0.35">
      <c r="A32" s="352" t="s">
        <v>250</v>
      </c>
      <c r="B32" s="334">
        <v>64.856757567871</v>
      </c>
      <c r="C32" s="334">
        <v>70.983530000000002</v>
      </c>
      <c r="D32" s="335">
        <v>6.1267724321279999</v>
      </c>
      <c r="E32" s="340">
        <v>1.0944662154239999</v>
      </c>
      <c r="F32" s="334">
        <v>62.420735164866002</v>
      </c>
      <c r="G32" s="335">
        <v>46.815551373649001</v>
      </c>
      <c r="H32" s="337">
        <v>37.983490000000003</v>
      </c>
      <c r="I32" s="334">
        <v>106.57606</v>
      </c>
      <c r="J32" s="335">
        <v>59.760508626350003</v>
      </c>
      <c r="K32" s="338">
        <v>1.707382326057</v>
      </c>
    </row>
    <row r="33" spans="1:11" ht="14.4" customHeight="1" thickBot="1" x14ac:dyDescent="0.35">
      <c r="A33" s="349" t="s">
        <v>22</v>
      </c>
      <c r="B33" s="329">
        <v>8.9992811129650008</v>
      </c>
      <c r="C33" s="329">
        <v>3.43404</v>
      </c>
      <c r="D33" s="330">
        <v>-5.5652411129650003</v>
      </c>
      <c r="E33" s="331">
        <v>0.38159048004899998</v>
      </c>
      <c r="F33" s="329">
        <v>5.4329011407929997</v>
      </c>
      <c r="G33" s="330">
        <v>4.0746758555940001</v>
      </c>
      <c r="H33" s="332">
        <v>27.362259999999999</v>
      </c>
      <c r="I33" s="329">
        <v>42.909289999999999</v>
      </c>
      <c r="J33" s="330">
        <v>38.834614144405002</v>
      </c>
      <c r="K33" s="333">
        <v>7.898043584451</v>
      </c>
    </row>
    <row r="34" spans="1:11" ht="14.4" customHeight="1" thickBot="1" x14ac:dyDescent="0.35">
      <c r="A34" s="353" t="s">
        <v>251</v>
      </c>
      <c r="B34" s="329">
        <v>8.9992811129650008</v>
      </c>
      <c r="C34" s="329">
        <v>3.43404</v>
      </c>
      <c r="D34" s="330">
        <v>-5.5652411129650003</v>
      </c>
      <c r="E34" s="331">
        <v>0.38159048004899998</v>
      </c>
      <c r="F34" s="329">
        <v>5.4329011407929997</v>
      </c>
      <c r="G34" s="330">
        <v>4.0746758555940001</v>
      </c>
      <c r="H34" s="332">
        <v>27.362259999999999</v>
      </c>
      <c r="I34" s="329">
        <v>42.909289999999999</v>
      </c>
      <c r="J34" s="330">
        <v>38.834614144405002</v>
      </c>
      <c r="K34" s="333">
        <v>7.898043584451</v>
      </c>
    </row>
    <row r="35" spans="1:11" ht="14.4" customHeight="1" thickBot="1" x14ac:dyDescent="0.35">
      <c r="A35" s="351" t="s">
        <v>252</v>
      </c>
      <c r="B35" s="329">
        <v>7.9993548725509998</v>
      </c>
      <c r="C35" s="329">
        <v>1.8149999999999999</v>
      </c>
      <c r="D35" s="330">
        <v>-6.1843548725510002</v>
      </c>
      <c r="E35" s="331">
        <v>0.22689329688599999</v>
      </c>
      <c r="F35" s="329">
        <v>4.9999915584819998</v>
      </c>
      <c r="G35" s="330">
        <v>3.7499936688619999</v>
      </c>
      <c r="H35" s="332">
        <v>27.014410000000002</v>
      </c>
      <c r="I35" s="329">
        <v>42.323990000000002</v>
      </c>
      <c r="J35" s="330">
        <v>38.573996331137003</v>
      </c>
      <c r="K35" s="333">
        <v>8.4648122911710004</v>
      </c>
    </row>
    <row r="36" spans="1:11" ht="14.4" customHeight="1" thickBot="1" x14ac:dyDescent="0.35">
      <c r="A36" s="351" t="s">
        <v>253</v>
      </c>
      <c r="B36" s="329">
        <v>0.99992624041400002</v>
      </c>
      <c r="C36" s="329">
        <v>1.61904</v>
      </c>
      <c r="D36" s="330">
        <v>0.61911375958500003</v>
      </c>
      <c r="E36" s="331">
        <v>1.6191594285290001</v>
      </c>
      <c r="F36" s="329">
        <v>0.43290958230999999</v>
      </c>
      <c r="G36" s="330">
        <v>0.324682186732</v>
      </c>
      <c r="H36" s="332">
        <v>0.34784999999999999</v>
      </c>
      <c r="I36" s="329">
        <v>0.58530000000000004</v>
      </c>
      <c r="J36" s="330">
        <v>0.26061781326700001</v>
      </c>
      <c r="K36" s="333">
        <v>0</v>
      </c>
    </row>
    <row r="37" spans="1:11" ht="14.4" customHeight="1" thickBot="1" x14ac:dyDescent="0.35">
      <c r="A37" s="354" t="s">
        <v>23</v>
      </c>
      <c r="B37" s="334">
        <v>0</v>
      </c>
      <c r="C37" s="334">
        <v>10.398</v>
      </c>
      <c r="D37" s="335">
        <v>10.398</v>
      </c>
      <c r="E37" s="336" t="s">
        <v>222</v>
      </c>
      <c r="F37" s="334">
        <v>0</v>
      </c>
      <c r="G37" s="335">
        <v>0</v>
      </c>
      <c r="H37" s="337">
        <v>0.51800000000000002</v>
      </c>
      <c r="I37" s="334">
        <v>4.5579999999999998</v>
      </c>
      <c r="J37" s="335">
        <v>4.5579999999999998</v>
      </c>
      <c r="K37" s="341" t="s">
        <v>222</v>
      </c>
    </row>
    <row r="38" spans="1:11" ht="14.4" customHeight="1" thickBot="1" x14ac:dyDescent="0.35">
      <c r="A38" s="350" t="s">
        <v>254</v>
      </c>
      <c r="B38" s="334">
        <v>0</v>
      </c>
      <c r="C38" s="334">
        <v>10.398</v>
      </c>
      <c r="D38" s="335">
        <v>10.398</v>
      </c>
      <c r="E38" s="336" t="s">
        <v>222</v>
      </c>
      <c r="F38" s="334">
        <v>0</v>
      </c>
      <c r="G38" s="335">
        <v>0</v>
      </c>
      <c r="H38" s="337">
        <v>0.51800000000000002</v>
      </c>
      <c r="I38" s="334">
        <v>4.5579999999999998</v>
      </c>
      <c r="J38" s="335">
        <v>4.5579999999999998</v>
      </c>
      <c r="K38" s="341" t="s">
        <v>222</v>
      </c>
    </row>
    <row r="39" spans="1:11" ht="14.4" customHeight="1" thickBot="1" x14ac:dyDescent="0.35">
      <c r="A39" s="351" t="s">
        <v>255</v>
      </c>
      <c r="B39" s="329">
        <v>0</v>
      </c>
      <c r="C39" s="329">
        <v>10.398</v>
      </c>
      <c r="D39" s="330">
        <v>10.398</v>
      </c>
      <c r="E39" s="339" t="s">
        <v>222</v>
      </c>
      <c r="F39" s="329">
        <v>0</v>
      </c>
      <c r="G39" s="330">
        <v>0</v>
      </c>
      <c r="H39" s="332">
        <v>0.51800000000000002</v>
      </c>
      <c r="I39" s="329">
        <v>4.5579999999999998</v>
      </c>
      <c r="J39" s="330">
        <v>4.5579999999999998</v>
      </c>
      <c r="K39" s="342" t="s">
        <v>222</v>
      </c>
    </row>
    <row r="40" spans="1:11" ht="14.4" customHeight="1" thickBot="1" x14ac:dyDescent="0.35">
      <c r="A40" s="349" t="s">
        <v>24</v>
      </c>
      <c r="B40" s="329">
        <v>55.857476454905999</v>
      </c>
      <c r="C40" s="329">
        <v>57.151490000000003</v>
      </c>
      <c r="D40" s="330">
        <v>1.2940135450929999</v>
      </c>
      <c r="E40" s="331">
        <v>1.0231663445470001</v>
      </c>
      <c r="F40" s="329">
        <v>56.987834024073003</v>
      </c>
      <c r="G40" s="330">
        <v>42.740875518054999</v>
      </c>
      <c r="H40" s="332">
        <v>10.10323</v>
      </c>
      <c r="I40" s="329">
        <v>59.10877</v>
      </c>
      <c r="J40" s="330">
        <v>16.367894481945001</v>
      </c>
      <c r="K40" s="333">
        <v>1.0372173466879999</v>
      </c>
    </row>
    <row r="41" spans="1:11" ht="14.4" customHeight="1" thickBot="1" x14ac:dyDescent="0.35">
      <c r="A41" s="350" t="s">
        <v>256</v>
      </c>
      <c r="B41" s="334">
        <v>5.4969751995629998</v>
      </c>
      <c r="C41" s="334">
        <v>7.4853800000000001</v>
      </c>
      <c r="D41" s="335">
        <v>1.988404800436</v>
      </c>
      <c r="E41" s="340">
        <v>1.361727082304</v>
      </c>
      <c r="F41" s="334">
        <v>7.4225831352579998</v>
      </c>
      <c r="G41" s="335">
        <v>5.5669373514430003</v>
      </c>
      <c r="H41" s="337">
        <v>0.75868000000000002</v>
      </c>
      <c r="I41" s="334">
        <v>6.4235699999999998</v>
      </c>
      <c r="J41" s="335">
        <v>0.85663264855599996</v>
      </c>
      <c r="K41" s="338">
        <v>0.86540896652099997</v>
      </c>
    </row>
    <row r="42" spans="1:11" ht="14.4" customHeight="1" thickBot="1" x14ac:dyDescent="0.35">
      <c r="A42" s="351" t="s">
        <v>257</v>
      </c>
      <c r="B42" s="329">
        <v>3.4204159218369998</v>
      </c>
      <c r="C42" s="329">
        <v>4.6825999999999999</v>
      </c>
      <c r="D42" s="330">
        <v>1.262184078162</v>
      </c>
      <c r="E42" s="331">
        <v>1.3690147944</v>
      </c>
      <c r="F42" s="329">
        <v>4.7902353100199999</v>
      </c>
      <c r="G42" s="330">
        <v>3.5926764825149999</v>
      </c>
      <c r="H42" s="332">
        <v>0.54530000000000001</v>
      </c>
      <c r="I42" s="329">
        <v>4.6303999999999998</v>
      </c>
      <c r="J42" s="330">
        <v>1.037723517484</v>
      </c>
      <c r="K42" s="333">
        <v>0.96663309844300005</v>
      </c>
    </row>
    <row r="43" spans="1:11" ht="14.4" customHeight="1" thickBot="1" x14ac:dyDescent="0.35">
      <c r="A43" s="351" t="s">
        <v>258</v>
      </c>
      <c r="B43" s="329">
        <v>2.0765592777249999</v>
      </c>
      <c r="C43" s="329">
        <v>2.8027799999999998</v>
      </c>
      <c r="D43" s="330">
        <v>0.72622072227400003</v>
      </c>
      <c r="E43" s="331">
        <v>1.3497230876399999</v>
      </c>
      <c r="F43" s="329">
        <v>2.6323478252379999</v>
      </c>
      <c r="G43" s="330">
        <v>1.9742608689279999</v>
      </c>
      <c r="H43" s="332">
        <v>0.21337999999999999</v>
      </c>
      <c r="I43" s="329">
        <v>1.7931699999999999</v>
      </c>
      <c r="J43" s="330">
        <v>-0.181090868928</v>
      </c>
      <c r="K43" s="333">
        <v>0.68120556972199997</v>
      </c>
    </row>
    <row r="44" spans="1:11" ht="14.4" customHeight="1" thickBot="1" x14ac:dyDescent="0.35">
      <c r="A44" s="350" t="s">
        <v>259</v>
      </c>
      <c r="B44" s="334">
        <v>4.1326318384169998</v>
      </c>
      <c r="C44" s="334">
        <v>3.78</v>
      </c>
      <c r="D44" s="335">
        <v>-0.35263183841700002</v>
      </c>
      <c r="E44" s="340">
        <v>0.91467136386500003</v>
      </c>
      <c r="F44" s="334">
        <v>3.915363845471</v>
      </c>
      <c r="G44" s="335">
        <v>2.9365228841030002</v>
      </c>
      <c r="H44" s="337">
        <v>0</v>
      </c>
      <c r="I44" s="334">
        <v>2.97</v>
      </c>
      <c r="J44" s="335">
        <v>3.3477115895999998E-2</v>
      </c>
      <c r="K44" s="338">
        <v>0.75855019283400005</v>
      </c>
    </row>
    <row r="45" spans="1:11" ht="14.4" customHeight="1" thickBot="1" x14ac:dyDescent="0.35">
      <c r="A45" s="351" t="s">
        <v>260</v>
      </c>
      <c r="B45" s="329">
        <v>4.1326318384169998</v>
      </c>
      <c r="C45" s="329">
        <v>3.78</v>
      </c>
      <c r="D45" s="330">
        <v>-0.35263183841700002</v>
      </c>
      <c r="E45" s="331">
        <v>0.91467136386500003</v>
      </c>
      <c r="F45" s="329">
        <v>3.915363845471</v>
      </c>
      <c r="G45" s="330">
        <v>2.9365228841030002</v>
      </c>
      <c r="H45" s="332">
        <v>0</v>
      </c>
      <c r="I45" s="329">
        <v>2.97</v>
      </c>
      <c r="J45" s="330">
        <v>3.3477115895999998E-2</v>
      </c>
      <c r="K45" s="333">
        <v>0.75855019283400005</v>
      </c>
    </row>
    <row r="46" spans="1:11" ht="14.4" customHeight="1" thickBot="1" x14ac:dyDescent="0.35">
      <c r="A46" s="350" t="s">
        <v>261</v>
      </c>
      <c r="B46" s="334">
        <v>46.000046709309999</v>
      </c>
      <c r="C46" s="334">
        <v>45.886110000000002</v>
      </c>
      <c r="D46" s="335">
        <v>-0.11393670931</v>
      </c>
      <c r="E46" s="340">
        <v>0.99752311753</v>
      </c>
      <c r="F46" s="334">
        <v>45.649887043343</v>
      </c>
      <c r="G46" s="335">
        <v>34.237415282507001</v>
      </c>
      <c r="H46" s="337">
        <v>9.3445499999999999</v>
      </c>
      <c r="I46" s="334">
        <v>47.520200000000003</v>
      </c>
      <c r="J46" s="335">
        <v>13.282784717492</v>
      </c>
      <c r="K46" s="338">
        <v>1.0409708123670001</v>
      </c>
    </row>
    <row r="47" spans="1:11" ht="14.4" customHeight="1" thickBot="1" x14ac:dyDescent="0.35">
      <c r="A47" s="351" t="s">
        <v>262</v>
      </c>
      <c r="B47" s="329">
        <v>46.000046709309999</v>
      </c>
      <c r="C47" s="329">
        <v>45.886110000000002</v>
      </c>
      <c r="D47" s="330">
        <v>-0.11393670931</v>
      </c>
      <c r="E47" s="331">
        <v>0.99752311753</v>
      </c>
      <c r="F47" s="329">
        <v>45.649887043343</v>
      </c>
      <c r="G47" s="330">
        <v>34.237415282507001</v>
      </c>
      <c r="H47" s="332">
        <v>6.2118599999999997</v>
      </c>
      <c r="I47" s="329">
        <v>44.387509999999999</v>
      </c>
      <c r="J47" s="330">
        <v>10.150094717491999</v>
      </c>
      <c r="K47" s="333">
        <v>0.972346546177</v>
      </c>
    </row>
    <row r="48" spans="1:11" ht="14.4" customHeight="1" thickBot="1" x14ac:dyDescent="0.35">
      <c r="A48" s="351" t="s">
        <v>263</v>
      </c>
      <c r="B48" s="329">
        <v>0</v>
      </c>
      <c r="C48" s="329">
        <v>0</v>
      </c>
      <c r="D48" s="330">
        <v>0</v>
      </c>
      <c r="E48" s="331">
        <v>1</v>
      </c>
      <c r="F48" s="329">
        <v>0</v>
      </c>
      <c r="G48" s="330">
        <v>0</v>
      </c>
      <c r="H48" s="332">
        <v>3.1326900000000002</v>
      </c>
      <c r="I48" s="329">
        <v>3.1326900000000002</v>
      </c>
      <c r="J48" s="330">
        <v>3.1326900000000002</v>
      </c>
      <c r="K48" s="342" t="s">
        <v>228</v>
      </c>
    </row>
    <row r="49" spans="1:11" ht="14.4" customHeight="1" thickBot="1" x14ac:dyDescent="0.35">
      <c r="A49" s="350" t="s">
        <v>264</v>
      </c>
      <c r="B49" s="334">
        <v>0</v>
      </c>
      <c r="C49" s="334">
        <v>0</v>
      </c>
      <c r="D49" s="335">
        <v>0</v>
      </c>
      <c r="E49" s="336" t="s">
        <v>222</v>
      </c>
      <c r="F49" s="334">
        <v>0</v>
      </c>
      <c r="G49" s="335">
        <v>0</v>
      </c>
      <c r="H49" s="337">
        <v>0</v>
      </c>
      <c r="I49" s="334">
        <v>2.1949999999999998</v>
      </c>
      <c r="J49" s="335">
        <v>2.1949999999999998</v>
      </c>
      <c r="K49" s="341" t="s">
        <v>228</v>
      </c>
    </row>
    <row r="50" spans="1:11" ht="14.4" customHeight="1" thickBot="1" x14ac:dyDescent="0.35">
      <c r="A50" s="351" t="s">
        <v>265</v>
      </c>
      <c r="B50" s="329">
        <v>0</v>
      </c>
      <c r="C50" s="329">
        <v>0</v>
      </c>
      <c r="D50" s="330">
        <v>0</v>
      </c>
      <c r="E50" s="339" t="s">
        <v>222</v>
      </c>
      <c r="F50" s="329">
        <v>0</v>
      </c>
      <c r="G50" s="330">
        <v>0</v>
      </c>
      <c r="H50" s="332">
        <v>0</v>
      </c>
      <c r="I50" s="329">
        <v>2.1949999999999998</v>
      </c>
      <c r="J50" s="330">
        <v>2.1949999999999998</v>
      </c>
      <c r="K50" s="342" t="s">
        <v>228</v>
      </c>
    </row>
    <row r="51" spans="1:11" ht="14.4" customHeight="1" thickBot="1" x14ac:dyDescent="0.35">
      <c r="A51" s="348" t="s">
        <v>25</v>
      </c>
      <c r="B51" s="329">
        <v>6009.9983753778297</v>
      </c>
      <c r="C51" s="329">
        <v>6584.1597000000002</v>
      </c>
      <c r="D51" s="330">
        <v>574.16132462217604</v>
      </c>
      <c r="E51" s="331">
        <v>1.0955343560440001</v>
      </c>
      <c r="F51" s="329">
        <v>6972.0345109704904</v>
      </c>
      <c r="G51" s="330">
        <v>5229.0258832278696</v>
      </c>
      <c r="H51" s="332">
        <v>539.93559000000005</v>
      </c>
      <c r="I51" s="329">
        <v>4993.3243599999996</v>
      </c>
      <c r="J51" s="330">
        <v>-235.70152322786601</v>
      </c>
      <c r="K51" s="333">
        <v>0.71619329367100004</v>
      </c>
    </row>
    <row r="52" spans="1:11" ht="14.4" customHeight="1" thickBot="1" x14ac:dyDescent="0.35">
      <c r="A52" s="354" t="s">
        <v>266</v>
      </c>
      <c r="B52" s="334">
        <v>4450.9999999997499</v>
      </c>
      <c r="C52" s="334">
        <v>4878.5590000000002</v>
      </c>
      <c r="D52" s="335">
        <v>427.55900000024798</v>
      </c>
      <c r="E52" s="340">
        <v>1.0960590878450001</v>
      </c>
      <c r="F52" s="334">
        <v>5167.99999999991</v>
      </c>
      <c r="G52" s="335">
        <v>3875.99999999993</v>
      </c>
      <c r="H52" s="337">
        <v>399.95299999999997</v>
      </c>
      <c r="I52" s="334">
        <v>3699.511</v>
      </c>
      <c r="J52" s="335">
        <v>-176.48899999992699</v>
      </c>
      <c r="K52" s="338">
        <v>0.71584965170199999</v>
      </c>
    </row>
    <row r="53" spans="1:11" ht="14.4" customHeight="1" thickBot="1" x14ac:dyDescent="0.35">
      <c r="A53" s="350" t="s">
        <v>267</v>
      </c>
      <c r="B53" s="334">
        <v>4450.9999999997499</v>
      </c>
      <c r="C53" s="334">
        <v>4872.7939999999999</v>
      </c>
      <c r="D53" s="335">
        <v>421.79400000024799</v>
      </c>
      <c r="E53" s="340">
        <v>1.0947638732860001</v>
      </c>
      <c r="F53" s="334">
        <v>5149.99999999991</v>
      </c>
      <c r="G53" s="335">
        <v>3862.49999999993</v>
      </c>
      <c r="H53" s="337">
        <v>399.95299999999997</v>
      </c>
      <c r="I53" s="334">
        <v>3696.2</v>
      </c>
      <c r="J53" s="335">
        <v>-166.299999999927</v>
      </c>
      <c r="K53" s="338">
        <v>0.71770873786400002</v>
      </c>
    </row>
    <row r="54" spans="1:11" ht="14.4" customHeight="1" thickBot="1" x14ac:dyDescent="0.35">
      <c r="A54" s="351" t="s">
        <v>268</v>
      </c>
      <c r="B54" s="329">
        <v>4450.9999999997499</v>
      </c>
      <c r="C54" s="329">
        <v>4872.7939999999999</v>
      </c>
      <c r="D54" s="330">
        <v>421.79400000024799</v>
      </c>
      <c r="E54" s="331">
        <v>1.0947638732860001</v>
      </c>
      <c r="F54" s="329">
        <v>5149.99999999991</v>
      </c>
      <c r="G54" s="330">
        <v>3862.49999999993</v>
      </c>
      <c r="H54" s="332">
        <v>399.95299999999997</v>
      </c>
      <c r="I54" s="329">
        <v>3696.2</v>
      </c>
      <c r="J54" s="330">
        <v>-166.299999999927</v>
      </c>
      <c r="K54" s="333">
        <v>0.71770873786400002</v>
      </c>
    </row>
    <row r="55" spans="1:11" ht="14.4" customHeight="1" thickBot="1" x14ac:dyDescent="0.35">
      <c r="A55" s="350" t="s">
        <v>269</v>
      </c>
      <c r="B55" s="334">
        <v>0</v>
      </c>
      <c r="C55" s="334">
        <v>5.7649999999999997</v>
      </c>
      <c r="D55" s="335">
        <v>5.7649999999999997</v>
      </c>
      <c r="E55" s="336" t="s">
        <v>222</v>
      </c>
      <c r="F55" s="334">
        <v>17.999999999999002</v>
      </c>
      <c r="G55" s="335">
        <v>13.499999999999</v>
      </c>
      <c r="H55" s="337">
        <v>0</v>
      </c>
      <c r="I55" s="334">
        <v>3.3109999999999999</v>
      </c>
      <c r="J55" s="335">
        <v>-10.188999999999</v>
      </c>
      <c r="K55" s="338">
        <v>0.18394444444399999</v>
      </c>
    </row>
    <row r="56" spans="1:11" ht="14.4" customHeight="1" thickBot="1" x14ac:dyDescent="0.35">
      <c r="A56" s="351" t="s">
        <v>270</v>
      </c>
      <c r="B56" s="329">
        <v>0</v>
      </c>
      <c r="C56" s="329">
        <v>5.7649999999999997</v>
      </c>
      <c r="D56" s="330">
        <v>5.7649999999999997</v>
      </c>
      <c r="E56" s="339" t="s">
        <v>222</v>
      </c>
      <c r="F56" s="329">
        <v>17.999999999999002</v>
      </c>
      <c r="G56" s="330">
        <v>13.499999999999</v>
      </c>
      <c r="H56" s="332">
        <v>0</v>
      </c>
      <c r="I56" s="329">
        <v>3.3109999999999999</v>
      </c>
      <c r="J56" s="330">
        <v>-10.188999999999</v>
      </c>
      <c r="K56" s="333">
        <v>0.18394444444399999</v>
      </c>
    </row>
    <row r="57" spans="1:11" ht="14.4" customHeight="1" thickBot="1" x14ac:dyDescent="0.35">
      <c r="A57" s="349" t="s">
        <v>271</v>
      </c>
      <c r="B57" s="329">
        <v>1513.99837537808</v>
      </c>
      <c r="C57" s="329">
        <v>1656.81503</v>
      </c>
      <c r="D57" s="330">
        <v>142.81665462192399</v>
      </c>
      <c r="E57" s="331">
        <v>1.0943307845920001</v>
      </c>
      <c r="F57" s="329">
        <v>1752.03451097059</v>
      </c>
      <c r="G57" s="330">
        <v>1314.0258832279401</v>
      </c>
      <c r="H57" s="332">
        <v>135.98326</v>
      </c>
      <c r="I57" s="329">
        <v>1256.79585</v>
      </c>
      <c r="J57" s="330">
        <v>-57.230033227939998</v>
      </c>
      <c r="K57" s="333">
        <v>0.71733509935399997</v>
      </c>
    </row>
    <row r="58" spans="1:11" ht="14.4" customHeight="1" thickBot="1" x14ac:dyDescent="0.35">
      <c r="A58" s="350" t="s">
        <v>272</v>
      </c>
      <c r="B58" s="334">
        <v>400.99999691353599</v>
      </c>
      <c r="C58" s="334">
        <v>438.61649</v>
      </c>
      <c r="D58" s="335">
        <v>37.616493086463002</v>
      </c>
      <c r="E58" s="340">
        <v>1.0938067166480001</v>
      </c>
      <c r="F58" s="334">
        <v>464.03451097061401</v>
      </c>
      <c r="G58" s="335">
        <v>348.02588322795998</v>
      </c>
      <c r="H58" s="337">
        <v>35.995010000000001</v>
      </c>
      <c r="I58" s="334">
        <v>332.74585000000002</v>
      </c>
      <c r="J58" s="335">
        <v>-15.280033227960001</v>
      </c>
      <c r="K58" s="338">
        <v>0.71707134304300002</v>
      </c>
    </row>
    <row r="59" spans="1:11" ht="14.4" customHeight="1" thickBot="1" x14ac:dyDescent="0.35">
      <c r="A59" s="351" t="s">
        <v>273</v>
      </c>
      <c r="B59" s="329">
        <v>400.99999691353599</v>
      </c>
      <c r="C59" s="329">
        <v>438.61649</v>
      </c>
      <c r="D59" s="330">
        <v>37.616493086463002</v>
      </c>
      <c r="E59" s="331">
        <v>1.0938067166480001</v>
      </c>
      <c r="F59" s="329">
        <v>464.03451097061401</v>
      </c>
      <c r="G59" s="330">
        <v>348.02588322795998</v>
      </c>
      <c r="H59" s="332">
        <v>35.995010000000001</v>
      </c>
      <c r="I59" s="329">
        <v>332.74585000000002</v>
      </c>
      <c r="J59" s="330">
        <v>-15.280033227960001</v>
      </c>
      <c r="K59" s="333">
        <v>0.71707134304300002</v>
      </c>
    </row>
    <row r="60" spans="1:11" ht="14.4" customHeight="1" thickBot="1" x14ac:dyDescent="0.35">
      <c r="A60" s="350" t="s">
        <v>274</v>
      </c>
      <c r="B60" s="334">
        <v>1112.9983784645401</v>
      </c>
      <c r="C60" s="334">
        <v>1218.1985400000001</v>
      </c>
      <c r="D60" s="335">
        <v>105.20016153546</v>
      </c>
      <c r="E60" s="340">
        <v>1.0945196000020001</v>
      </c>
      <c r="F60" s="334">
        <v>1287.99999999997</v>
      </c>
      <c r="G60" s="335">
        <v>965.99999999998101</v>
      </c>
      <c r="H60" s="337">
        <v>99.988249999999994</v>
      </c>
      <c r="I60" s="334">
        <v>924.05000000000098</v>
      </c>
      <c r="J60" s="335">
        <v>-41.949999999980001</v>
      </c>
      <c r="K60" s="338">
        <v>0.71743012422300001</v>
      </c>
    </row>
    <row r="61" spans="1:11" ht="14.4" customHeight="1" thickBot="1" x14ac:dyDescent="0.35">
      <c r="A61" s="351" t="s">
        <v>275</v>
      </c>
      <c r="B61" s="329">
        <v>1112.9983784645401</v>
      </c>
      <c r="C61" s="329">
        <v>1218.1985400000001</v>
      </c>
      <c r="D61" s="330">
        <v>105.20016153546</v>
      </c>
      <c r="E61" s="331">
        <v>1.0945196000020001</v>
      </c>
      <c r="F61" s="329">
        <v>1287.99999999997</v>
      </c>
      <c r="G61" s="330">
        <v>965.99999999998101</v>
      </c>
      <c r="H61" s="332">
        <v>99.988249999999994</v>
      </c>
      <c r="I61" s="329">
        <v>924.05000000000098</v>
      </c>
      <c r="J61" s="330">
        <v>-41.949999999980001</v>
      </c>
      <c r="K61" s="333">
        <v>0.71743012422300001</v>
      </c>
    </row>
    <row r="62" spans="1:11" ht="14.4" customHeight="1" thickBot="1" x14ac:dyDescent="0.35">
      <c r="A62" s="349" t="s">
        <v>276</v>
      </c>
      <c r="B62" s="329">
        <v>44.999999999997002</v>
      </c>
      <c r="C62" s="329">
        <v>48.785670000000003</v>
      </c>
      <c r="D62" s="330">
        <v>3.7856700000019998</v>
      </c>
      <c r="E62" s="331">
        <v>1.0841259999999999</v>
      </c>
      <c r="F62" s="329">
        <v>51.999999999998998</v>
      </c>
      <c r="G62" s="330">
        <v>38.999999999998998</v>
      </c>
      <c r="H62" s="332">
        <v>3.9993300000000001</v>
      </c>
      <c r="I62" s="329">
        <v>37.017510000000001</v>
      </c>
      <c r="J62" s="330">
        <v>-1.982489999999</v>
      </c>
      <c r="K62" s="333">
        <v>0.71187519230700003</v>
      </c>
    </row>
    <row r="63" spans="1:11" ht="14.4" customHeight="1" thickBot="1" x14ac:dyDescent="0.35">
      <c r="A63" s="350" t="s">
        <v>277</v>
      </c>
      <c r="B63" s="334">
        <v>44.999999999997002</v>
      </c>
      <c r="C63" s="334">
        <v>48.785670000000003</v>
      </c>
      <c r="D63" s="335">
        <v>3.7856700000019998</v>
      </c>
      <c r="E63" s="340">
        <v>1.0841259999999999</v>
      </c>
      <c r="F63" s="334">
        <v>51.999999999998998</v>
      </c>
      <c r="G63" s="335">
        <v>38.999999999998998</v>
      </c>
      <c r="H63" s="337">
        <v>3.9993300000000001</v>
      </c>
      <c r="I63" s="334">
        <v>37.017510000000001</v>
      </c>
      <c r="J63" s="335">
        <v>-1.982489999999</v>
      </c>
      <c r="K63" s="338">
        <v>0.71187519230700003</v>
      </c>
    </row>
    <row r="64" spans="1:11" ht="14.4" customHeight="1" thickBot="1" x14ac:dyDescent="0.35">
      <c r="A64" s="351" t="s">
        <v>278</v>
      </c>
      <c r="B64" s="329">
        <v>44.999999999997002</v>
      </c>
      <c r="C64" s="329">
        <v>48.785670000000003</v>
      </c>
      <c r="D64" s="330">
        <v>3.7856700000019998</v>
      </c>
      <c r="E64" s="331">
        <v>1.0841259999999999</v>
      </c>
      <c r="F64" s="329">
        <v>51.999999999998998</v>
      </c>
      <c r="G64" s="330">
        <v>38.999999999998998</v>
      </c>
      <c r="H64" s="332">
        <v>3.9993300000000001</v>
      </c>
      <c r="I64" s="329">
        <v>37.017510000000001</v>
      </c>
      <c r="J64" s="330">
        <v>-1.982489999999</v>
      </c>
      <c r="K64" s="333">
        <v>0.71187519230700003</v>
      </c>
    </row>
    <row r="65" spans="1:11" ht="14.4" customHeight="1" thickBot="1" x14ac:dyDescent="0.35">
      <c r="A65" s="348" t="s">
        <v>279</v>
      </c>
      <c r="B65" s="329">
        <v>0</v>
      </c>
      <c r="C65" s="329">
        <v>42.28</v>
      </c>
      <c r="D65" s="330">
        <v>42.28</v>
      </c>
      <c r="E65" s="339" t="s">
        <v>222</v>
      </c>
      <c r="F65" s="329">
        <v>0</v>
      </c>
      <c r="G65" s="330">
        <v>0</v>
      </c>
      <c r="H65" s="332">
        <v>1.1000000000000001</v>
      </c>
      <c r="I65" s="329">
        <v>4.18912</v>
      </c>
      <c r="J65" s="330">
        <v>4.18912</v>
      </c>
      <c r="K65" s="342" t="s">
        <v>222</v>
      </c>
    </row>
    <row r="66" spans="1:11" ht="14.4" customHeight="1" thickBot="1" x14ac:dyDescent="0.35">
      <c r="A66" s="349" t="s">
        <v>280</v>
      </c>
      <c r="B66" s="329">
        <v>0</v>
      </c>
      <c r="C66" s="329">
        <v>42.28</v>
      </c>
      <c r="D66" s="330">
        <v>42.28</v>
      </c>
      <c r="E66" s="339" t="s">
        <v>222</v>
      </c>
      <c r="F66" s="329">
        <v>0</v>
      </c>
      <c r="G66" s="330">
        <v>0</v>
      </c>
      <c r="H66" s="332">
        <v>1.1000000000000001</v>
      </c>
      <c r="I66" s="329">
        <v>4.18912</v>
      </c>
      <c r="J66" s="330">
        <v>4.18912</v>
      </c>
      <c r="K66" s="342" t="s">
        <v>222</v>
      </c>
    </row>
    <row r="67" spans="1:11" ht="14.4" customHeight="1" thickBot="1" x14ac:dyDescent="0.35">
      <c r="A67" s="350" t="s">
        <v>281</v>
      </c>
      <c r="B67" s="334">
        <v>0</v>
      </c>
      <c r="C67" s="334">
        <v>0</v>
      </c>
      <c r="D67" s="335">
        <v>0</v>
      </c>
      <c r="E67" s="336" t="s">
        <v>222</v>
      </c>
      <c r="F67" s="334">
        <v>0</v>
      </c>
      <c r="G67" s="335">
        <v>0</v>
      </c>
      <c r="H67" s="337">
        <v>0</v>
      </c>
      <c r="I67" s="334">
        <v>1.0820000000000001</v>
      </c>
      <c r="J67" s="335">
        <v>1.0820000000000001</v>
      </c>
      <c r="K67" s="341" t="s">
        <v>228</v>
      </c>
    </row>
    <row r="68" spans="1:11" ht="14.4" customHeight="1" thickBot="1" x14ac:dyDescent="0.35">
      <c r="A68" s="351" t="s">
        <v>282</v>
      </c>
      <c r="B68" s="329">
        <v>0</v>
      </c>
      <c r="C68" s="329">
        <v>0</v>
      </c>
      <c r="D68" s="330">
        <v>0</v>
      </c>
      <c r="E68" s="339" t="s">
        <v>222</v>
      </c>
      <c r="F68" s="329">
        <v>0</v>
      </c>
      <c r="G68" s="330">
        <v>0</v>
      </c>
      <c r="H68" s="332">
        <v>0</v>
      </c>
      <c r="I68" s="329">
        <v>0.182</v>
      </c>
      <c r="J68" s="330">
        <v>0.182</v>
      </c>
      <c r="K68" s="342" t="s">
        <v>228</v>
      </c>
    </row>
    <row r="69" spans="1:11" ht="14.4" customHeight="1" thickBot="1" x14ac:dyDescent="0.35">
      <c r="A69" s="351" t="s">
        <v>283</v>
      </c>
      <c r="B69" s="329">
        <v>0</v>
      </c>
      <c r="C69" s="329">
        <v>0</v>
      </c>
      <c r="D69" s="330">
        <v>0</v>
      </c>
      <c r="E69" s="339" t="s">
        <v>222</v>
      </c>
      <c r="F69" s="329">
        <v>0</v>
      </c>
      <c r="G69" s="330">
        <v>0</v>
      </c>
      <c r="H69" s="332">
        <v>0</v>
      </c>
      <c r="I69" s="329">
        <v>0.9</v>
      </c>
      <c r="J69" s="330">
        <v>0.9</v>
      </c>
      <c r="K69" s="342" t="s">
        <v>228</v>
      </c>
    </row>
    <row r="70" spans="1:11" ht="14.4" customHeight="1" thickBot="1" x14ac:dyDescent="0.35">
      <c r="A70" s="350" t="s">
        <v>284</v>
      </c>
      <c r="B70" s="334">
        <v>0</v>
      </c>
      <c r="C70" s="334">
        <v>5.08</v>
      </c>
      <c r="D70" s="335">
        <v>5.08</v>
      </c>
      <c r="E70" s="336" t="s">
        <v>228</v>
      </c>
      <c r="F70" s="334">
        <v>0</v>
      </c>
      <c r="G70" s="335">
        <v>0</v>
      </c>
      <c r="H70" s="337">
        <v>0</v>
      </c>
      <c r="I70" s="334">
        <v>0</v>
      </c>
      <c r="J70" s="335">
        <v>0</v>
      </c>
      <c r="K70" s="341" t="s">
        <v>222</v>
      </c>
    </row>
    <row r="71" spans="1:11" ht="14.4" customHeight="1" thickBot="1" x14ac:dyDescent="0.35">
      <c r="A71" s="351" t="s">
        <v>285</v>
      </c>
      <c r="B71" s="329">
        <v>0</v>
      </c>
      <c r="C71" s="329">
        <v>5.08</v>
      </c>
      <c r="D71" s="330">
        <v>5.08</v>
      </c>
      <c r="E71" s="339" t="s">
        <v>228</v>
      </c>
      <c r="F71" s="329">
        <v>0</v>
      </c>
      <c r="G71" s="330">
        <v>0</v>
      </c>
      <c r="H71" s="332">
        <v>0</v>
      </c>
      <c r="I71" s="329">
        <v>0</v>
      </c>
      <c r="J71" s="330">
        <v>0</v>
      </c>
      <c r="K71" s="342" t="s">
        <v>222</v>
      </c>
    </row>
    <row r="72" spans="1:11" ht="14.4" customHeight="1" thickBot="1" x14ac:dyDescent="0.35">
      <c r="A72" s="350" t="s">
        <v>286</v>
      </c>
      <c r="B72" s="334">
        <v>0</v>
      </c>
      <c r="C72" s="334">
        <v>0</v>
      </c>
      <c r="D72" s="335">
        <v>0</v>
      </c>
      <c r="E72" s="340">
        <v>1</v>
      </c>
      <c r="F72" s="334">
        <v>0</v>
      </c>
      <c r="G72" s="335">
        <v>0</v>
      </c>
      <c r="H72" s="337">
        <v>0</v>
      </c>
      <c r="I72" s="334">
        <v>-0.49287999999999998</v>
      </c>
      <c r="J72" s="335">
        <v>-0.49287999999999998</v>
      </c>
      <c r="K72" s="341" t="s">
        <v>228</v>
      </c>
    </row>
    <row r="73" spans="1:11" ht="14.4" customHeight="1" thickBot="1" x14ac:dyDescent="0.35">
      <c r="A73" s="351" t="s">
        <v>287</v>
      </c>
      <c r="B73" s="329">
        <v>0</v>
      </c>
      <c r="C73" s="329">
        <v>0</v>
      </c>
      <c r="D73" s="330">
        <v>0</v>
      </c>
      <c r="E73" s="331">
        <v>1</v>
      </c>
      <c r="F73" s="329">
        <v>0</v>
      </c>
      <c r="G73" s="330">
        <v>0</v>
      </c>
      <c r="H73" s="332">
        <v>0</v>
      </c>
      <c r="I73" s="329">
        <v>-0.49287999999999998</v>
      </c>
      <c r="J73" s="330">
        <v>-0.49287999999999998</v>
      </c>
      <c r="K73" s="342" t="s">
        <v>228</v>
      </c>
    </row>
    <row r="74" spans="1:11" ht="14.4" customHeight="1" thickBot="1" x14ac:dyDescent="0.35">
      <c r="A74" s="353" t="s">
        <v>288</v>
      </c>
      <c r="B74" s="329">
        <v>0</v>
      </c>
      <c r="C74" s="329">
        <v>37.200000000000003</v>
      </c>
      <c r="D74" s="330">
        <v>37.200000000000003</v>
      </c>
      <c r="E74" s="339" t="s">
        <v>222</v>
      </c>
      <c r="F74" s="329">
        <v>0</v>
      </c>
      <c r="G74" s="330">
        <v>0</v>
      </c>
      <c r="H74" s="332">
        <v>1.1000000000000001</v>
      </c>
      <c r="I74" s="329">
        <v>3.6</v>
      </c>
      <c r="J74" s="330">
        <v>3.6</v>
      </c>
      <c r="K74" s="342" t="s">
        <v>222</v>
      </c>
    </row>
    <row r="75" spans="1:11" ht="14.4" customHeight="1" thickBot="1" x14ac:dyDescent="0.35">
      <c r="A75" s="351" t="s">
        <v>289</v>
      </c>
      <c r="B75" s="329">
        <v>0</v>
      </c>
      <c r="C75" s="329">
        <v>37.200000000000003</v>
      </c>
      <c r="D75" s="330">
        <v>37.200000000000003</v>
      </c>
      <c r="E75" s="339" t="s">
        <v>222</v>
      </c>
      <c r="F75" s="329">
        <v>0</v>
      </c>
      <c r="G75" s="330">
        <v>0</v>
      </c>
      <c r="H75" s="332">
        <v>1.1000000000000001</v>
      </c>
      <c r="I75" s="329">
        <v>3.6</v>
      </c>
      <c r="J75" s="330">
        <v>3.6</v>
      </c>
      <c r="K75" s="342" t="s">
        <v>222</v>
      </c>
    </row>
    <row r="76" spans="1:11" ht="14.4" customHeight="1" thickBot="1" x14ac:dyDescent="0.35">
      <c r="A76" s="348" t="s">
        <v>290</v>
      </c>
      <c r="B76" s="329">
        <v>37.999999999997002</v>
      </c>
      <c r="C76" s="329">
        <v>40.387999999999998</v>
      </c>
      <c r="D76" s="330">
        <v>2.3880000000020001</v>
      </c>
      <c r="E76" s="331">
        <v>1.0628421052629999</v>
      </c>
      <c r="F76" s="329">
        <v>39.999111066650002</v>
      </c>
      <c r="G76" s="330">
        <v>29.999333299987001</v>
      </c>
      <c r="H76" s="332">
        <v>3.4350000000000001</v>
      </c>
      <c r="I76" s="329">
        <v>34.840000000000003</v>
      </c>
      <c r="J76" s="330">
        <v>4.8406667000120001</v>
      </c>
      <c r="K76" s="333">
        <v>0.87101935695300003</v>
      </c>
    </row>
    <row r="77" spans="1:11" ht="14.4" customHeight="1" thickBot="1" x14ac:dyDescent="0.35">
      <c r="A77" s="349" t="s">
        <v>291</v>
      </c>
      <c r="B77" s="329">
        <v>37.999999999997002</v>
      </c>
      <c r="C77" s="329">
        <v>39.353999999999999</v>
      </c>
      <c r="D77" s="330">
        <v>1.354000000002</v>
      </c>
      <c r="E77" s="331">
        <v>1.0356315789470001</v>
      </c>
      <c r="F77" s="329">
        <v>39.999111066650002</v>
      </c>
      <c r="G77" s="330">
        <v>29.999333299987001</v>
      </c>
      <c r="H77" s="332">
        <v>3.4350000000000001</v>
      </c>
      <c r="I77" s="329">
        <v>30.375</v>
      </c>
      <c r="J77" s="330">
        <v>0.37566670001199998</v>
      </c>
      <c r="K77" s="333">
        <v>0.75939187621899995</v>
      </c>
    </row>
    <row r="78" spans="1:11" ht="14.4" customHeight="1" thickBot="1" x14ac:dyDescent="0.35">
      <c r="A78" s="350" t="s">
        <v>292</v>
      </c>
      <c r="B78" s="334">
        <v>37.999999999997002</v>
      </c>
      <c r="C78" s="334">
        <v>39.353999999999999</v>
      </c>
      <c r="D78" s="335">
        <v>1.354000000002</v>
      </c>
      <c r="E78" s="340">
        <v>1.0356315789470001</v>
      </c>
      <c r="F78" s="334">
        <v>39.999111066650002</v>
      </c>
      <c r="G78" s="335">
        <v>29.999333299987001</v>
      </c>
      <c r="H78" s="337">
        <v>3.4350000000000001</v>
      </c>
      <c r="I78" s="334">
        <v>30.375</v>
      </c>
      <c r="J78" s="335">
        <v>0.37566670001199998</v>
      </c>
      <c r="K78" s="338">
        <v>0.75939187621899995</v>
      </c>
    </row>
    <row r="79" spans="1:11" ht="14.4" customHeight="1" thickBot="1" x14ac:dyDescent="0.35">
      <c r="A79" s="351" t="s">
        <v>293</v>
      </c>
      <c r="B79" s="329">
        <v>20.999999999998</v>
      </c>
      <c r="C79" s="329">
        <v>21.963999999999999</v>
      </c>
      <c r="D79" s="330">
        <v>0.96400000000099995</v>
      </c>
      <c r="E79" s="331">
        <v>1.0459047619040001</v>
      </c>
      <c r="F79" s="329">
        <v>21.999125944873999</v>
      </c>
      <c r="G79" s="330">
        <v>16.499344458654999</v>
      </c>
      <c r="H79" s="332">
        <v>1.9710000000000001</v>
      </c>
      <c r="I79" s="329">
        <v>17.251000000000001</v>
      </c>
      <c r="J79" s="330">
        <v>0.75165554134400003</v>
      </c>
      <c r="K79" s="333">
        <v>0.78416751843800003</v>
      </c>
    </row>
    <row r="80" spans="1:11" ht="14.4" customHeight="1" thickBot="1" x14ac:dyDescent="0.35">
      <c r="A80" s="351" t="s">
        <v>294</v>
      </c>
      <c r="B80" s="329">
        <v>9.9999999999989999</v>
      </c>
      <c r="C80" s="329">
        <v>9.9120000000000008</v>
      </c>
      <c r="D80" s="330">
        <v>-8.7999999999000003E-2</v>
      </c>
      <c r="E80" s="331">
        <v>0.99119999999999997</v>
      </c>
      <c r="F80" s="329">
        <v>10.000083664575</v>
      </c>
      <c r="G80" s="330">
        <v>7.5000627484309996</v>
      </c>
      <c r="H80" s="332">
        <v>0.82599999999999996</v>
      </c>
      <c r="I80" s="329">
        <v>7.4340000000000002</v>
      </c>
      <c r="J80" s="330">
        <v>-6.6062748431000004E-2</v>
      </c>
      <c r="K80" s="333">
        <v>0.74339378042699999</v>
      </c>
    </row>
    <row r="81" spans="1:11" ht="14.4" customHeight="1" thickBot="1" x14ac:dyDescent="0.35">
      <c r="A81" s="351" t="s">
        <v>295</v>
      </c>
      <c r="B81" s="329">
        <v>6.9999999999989999</v>
      </c>
      <c r="C81" s="329">
        <v>7.4779999999999998</v>
      </c>
      <c r="D81" s="330">
        <v>0.47799999999999998</v>
      </c>
      <c r="E81" s="331">
        <v>1.068285714285</v>
      </c>
      <c r="F81" s="329">
        <v>7.9999014572</v>
      </c>
      <c r="G81" s="330">
        <v>5.9999260929</v>
      </c>
      <c r="H81" s="332">
        <v>0.63800000000000001</v>
      </c>
      <c r="I81" s="329">
        <v>5.69</v>
      </c>
      <c r="J81" s="330">
        <v>-0.30992609290000001</v>
      </c>
      <c r="K81" s="333">
        <v>0.71125876117800002</v>
      </c>
    </row>
    <row r="82" spans="1:11" ht="14.4" customHeight="1" thickBot="1" x14ac:dyDescent="0.35">
      <c r="A82" s="349" t="s">
        <v>296</v>
      </c>
      <c r="B82" s="329">
        <v>0</v>
      </c>
      <c r="C82" s="329">
        <v>1.034</v>
      </c>
      <c r="D82" s="330">
        <v>1.034</v>
      </c>
      <c r="E82" s="339" t="s">
        <v>222</v>
      </c>
      <c r="F82" s="329">
        <v>0</v>
      </c>
      <c r="G82" s="330">
        <v>0</v>
      </c>
      <c r="H82" s="332">
        <v>0</v>
      </c>
      <c r="I82" s="329">
        <v>4.4649999999999999</v>
      </c>
      <c r="J82" s="330">
        <v>4.4649999999999999</v>
      </c>
      <c r="K82" s="342" t="s">
        <v>222</v>
      </c>
    </row>
    <row r="83" spans="1:11" ht="14.4" customHeight="1" thickBot="1" x14ac:dyDescent="0.35">
      <c r="A83" s="350" t="s">
        <v>297</v>
      </c>
      <c r="B83" s="334">
        <v>0</v>
      </c>
      <c r="C83" s="334">
        <v>1.034</v>
      </c>
      <c r="D83" s="335">
        <v>1.034</v>
      </c>
      <c r="E83" s="336" t="s">
        <v>228</v>
      </c>
      <c r="F83" s="334">
        <v>0</v>
      </c>
      <c r="G83" s="335">
        <v>0</v>
      </c>
      <c r="H83" s="337">
        <v>0</v>
      </c>
      <c r="I83" s="334">
        <v>4.4649999999999999</v>
      </c>
      <c r="J83" s="335">
        <v>4.4649999999999999</v>
      </c>
      <c r="K83" s="341" t="s">
        <v>222</v>
      </c>
    </row>
    <row r="84" spans="1:11" ht="14.4" customHeight="1" thickBot="1" x14ac:dyDescent="0.35">
      <c r="A84" s="351" t="s">
        <v>298</v>
      </c>
      <c r="B84" s="329">
        <v>0</v>
      </c>
      <c r="C84" s="329">
        <v>1.034</v>
      </c>
      <c r="D84" s="330">
        <v>1.034</v>
      </c>
      <c r="E84" s="339" t="s">
        <v>228</v>
      </c>
      <c r="F84" s="329">
        <v>0</v>
      </c>
      <c r="G84" s="330">
        <v>0</v>
      </c>
      <c r="H84" s="332">
        <v>0</v>
      </c>
      <c r="I84" s="329">
        <v>4.4649999999999999</v>
      </c>
      <c r="J84" s="330">
        <v>4.4649999999999999</v>
      </c>
      <c r="K84" s="342" t="s">
        <v>222</v>
      </c>
    </row>
    <row r="85" spans="1:11" ht="14.4" customHeight="1" thickBot="1" x14ac:dyDescent="0.35">
      <c r="A85" s="347" t="s">
        <v>299</v>
      </c>
      <c r="B85" s="329">
        <v>7524.2164956824199</v>
      </c>
      <c r="C85" s="329">
        <v>6631.3378499999999</v>
      </c>
      <c r="D85" s="330">
        <v>-892.87864568242196</v>
      </c>
      <c r="E85" s="331">
        <v>0.88133267481099997</v>
      </c>
      <c r="F85" s="329">
        <v>7065.5011840815296</v>
      </c>
      <c r="G85" s="330">
        <v>5299.1258880611504</v>
      </c>
      <c r="H85" s="332">
        <v>738.37977999999998</v>
      </c>
      <c r="I85" s="329">
        <v>5971.9197000000004</v>
      </c>
      <c r="J85" s="330">
        <v>672.79381193885297</v>
      </c>
      <c r="K85" s="333">
        <v>0.84522237621999996</v>
      </c>
    </row>
    <row r="86" spans="1:11" ht="14.4" customHeight="1" thickBot="1" x14ac:dyDescent="0.35">
      <c r="A86" s="348" t="s">
        <v>300</v>
      </c>
      <c r="B86" s="329">
        <v>7469.3623792708404</v>
      </c>
      <c r="C86" s="329">
        <v>6567.9650000000001</v>
      </c>
      <c r="D86" s="330">
        <v>-901.39737927084002</v>
      </c>
      <c r="E86" s="331">
        <v>0.87932070590400002</v>
      </c>
      <c r="F86" s="329">
        <v>7019.6462461520096</v>
      </c>
      <c r="G86" s="330">
        <v>5264.7346846140099</v>
      </c>
      <c r="H86" s="332">
        <v>734.06579999999997</v>
      </c>
      <c r="I86" s="329">
        <v>5930.7550199999996</v>
      </c>
      <c r="J86" s="330">
        <v>666.02033538599096</v>
      </c>
      <c r="K86" s="333">
        <v>0.84487947284300002</v>
      </c>
    </row>
    <row r="87" spans="1:11" ht="14.4" customHeight="1" thickBot="1" x14ac:dyDescent="0.35">
      <c r="A87" s="349" t="s">
        <v>301</v>
      </c>
      <c r="B87" s="329">
        <v>7469.3623792708404</v>
      </c>
      <c r="C87" s="329">
        <v>6567.9650000000001</v>
      </c>
      <c r="D87" s="330">
        <v>-901.39737927084002</v>
      </c>
      <c r="E87" s="331">
        <v>0.87932070590400002</v>
      </c>
      <c r="F87" s="329">
        <v>7019.6462461520096</v>
      </c>
      <c r="G87" s="330">
        <v>5264.7346846140099</v>
      </c>
      <c r="H87" s="332">
        <v>734.06579999999997</v>
      </c>
      <c r="I87" s="329">
        <v>5930.7550199999996</v>
      </c>
      <c r="J87" s="330">
        <v>666.02033538599096</v>
      </c>
      <c r="K87" s="333">
        <v>0.84487947284300002</v>
      </c>
    </row>
    <row r="88" spans="1:11" ht="14.4" customHeight="1" thickBot="1" x14ac:dyDescent="0.35">
      <c r="A88" s="350" t="s">
        <v>302</v>
      </c>
      <c r="B88" s="334">
        <v>16.361912648484001</v>
      </c>
      <c r="C88" s="334">
        <v>15.66342</v>
      </c>
      <c r="D88" s="335">
        <v>-0.69849264848399994</v>
      </c>
      <c r="E88" s="340">
        <v>0.95730984124499996</v>
      </c>
      <c r="F88" s="334">
        <v>16.646246152012001</v>
      </c>
      <c r="G88" s="335">
        <v>12.484684614009</v>
      </c>
      <c r="H88" s="337">
        <v>0</v>
      </c>
      <c r="I88" s="334">
        <v>12.209350000000001</v>
      </c>
      <c r="J88" s="335">
        <v>-0.27533461400800002</v>
      </c>
      <c r="K88" s="338">
        <v>0.73345965741999997</v>
      </c>
    </row>
    <row r="89" spans="1:11" ht="14.4" customHeight="1" thickBot="1" x14ac:dyDescent="0.35">
      <c r="A89" s="351" t="s">
        <v>303</v>
      </c>
      <c r="B89" s="329">
        <v>16.361912648484001</v>
      </c>
      <c r="C89" s="329">
        <v>15.66342</v>
      </c>
      <c r="D89" s="330">
        <v>-0.69849264848399994</v>
      </c>
      <c r="E89" s="331">
        <v>0.95730984124499996</v>
      </c>
      <c r="F89" s="329">
        <v>16.646246152012001</v>
      </c>
      <c r="G89" s="330">
        <v>12.484684614009</v>
      </c>
      <c r="H89" s="332">
        <v>0</v>
      </c>
      <c r="I89" s="329">
        <v>12.209350000000001</v>
      </c>
      <c r="J89" s="330">
        <v>-0.27533461400800002</v>
      </c>
      <c r="K89" s="333">
        <v>0.73345965741999997</v>
      </c>
    </row>
    <row r="90" spans="1:11" ht="14.4" customHeight="1" thickBot="1" x14ac:dyDescent="0.35">
      <c r="A90" s="350" t="s">
        <v>304</v>
      </c>
      <c r="B90" s="334">
        <v>13.000067426026</v>
      </c>
      <c r="C90" s="334">
        <v>8.74282</v>
      </c>
      <c r="D90" s="335">
        <v>-4.2572474260259998</v>
      </c>
      <c r="E90" s="340">
        <v>0.67252112727400004</v>
      </c>
      <c r="F90" s="334">
        <v>0</v>
      </c>
      <c r="G90" s="335">
        <v>0</v>
      </c>
      <c r="H90" s="337">
        <v>0</v>
      </c>
      <c r="I90" s="334">
        <v>10.505319999999999</v>
      </c>
      <c r="J90" s="335">
        <v>10.505319999999999</v>
      </c>
      <c r="K90" s="341" t="s">
        <v>222</v>
      </c>
    </row>
    <row r="91" spans="1:11" ht="14.4" customHeight="1" thickBot="1" x14ac:dyDescent="0.35">
      <c r="A91" s="351" t="s">
        <v>305</v>
      </c>
      <c r="B91" s="329">
        <v>5.0000697404340002</v>
      </c>
      <c r="C91" s="329">
        <v>8.74282</v>
      </c>
      <c r="D91" s="330">
        <v>3.7427502595650002</v>
      </c>
      <c r="E91" s="331">
        <v>1.748539611217</v>
      </c>
      <c r="F91" s="329">
        <v>0</v>
      </c>
      <c r="G91" s="330">
        <v>0</v>
      </c>
      <c r="H91" s="332">
        <v>0</v>
      </c>
      <c r="I91" s="329">
        <v>10.505319999999999</v>
      </c>
      <c r="J91" s="330">
        <v>10.505319999999999</v>
      </c>
      <c r="K91" s="342" t="s">
        <v>222</v>
      </c>
    </row>
    <row r="92" spans="1:11" ht="14.4" customHeight="1" thickBot="1" x14ac:dyDescent="0.35">
      <c r="A92" s="350" t="s">
        <v>306</v>
      </c>
      <c r="B92" s="334">
        <v>8.0004244643270006</v>
      </c>
      <c r="C92" s="334">
        <v>2.9051999999999998</v>
      </c>
      <c r="D92" s="335">
        <v>-5.0952244643269999</v>
      </c>
      <c r="E92" s="340">
        <v>0.36313073299400001</v>
      </c>
      <c r="F92" s="334">
        <v>0</v>
      </c>
      <c r="G92" s="335">
        <v>0</v>
      </c>
      <c r="H92" s="337">
        <v>0</v>
      </c>
      <c r="I92" s="334">
        <v>1.1484000000000001</v>
      </c>
      <c r="J92" s="335">
        <v>1.1484000000000001</v>
      </c>
      <c r="K92" s="341" t="s">
        <v>222</v>
      </c>
    </row>
    <row r="93" spans="1:11" ht="14.4" customHeight="1" thickBot="1" x14ac:dyDescent="0.35">
      <c r="A93" s="351" t="s">
        <v>307</v>
      </c>
      <c r="B93" s="329">
        <v>4.9998308612600004</v>
      </c>
      <c r="C93" s="329">
        <v>2.9051999999999998</v>
      </c>
      <c r="D93" s="330">
        <v>-2.0946308612600002</v>
      </c>
      <c r="E93" s="331">
        <v>0.581059655939</v>
      </c>
      <c r="F93" s="329">
        <v>0</v>
      </c>
      <c r="G93" s="330">
        <v>0</v>
      </c>
      <c r="H93" s="332">
        <v>0</v>
      </c>
      <c r="I93" s="329">
        <v>0</v>
      </c>
      <c r="J93" s="330">
        <v>0</v>
      </c>
      <c r="K93" s="342" t="s">
        <v>222</v>
      </c>
    </row>
    <row r="94" spans="1:11" ht="14.4" customHeight="1" thickBot="1" x14ac:dyDescent="0.35">
      <c r="A94" s="351" t="s">
        <v>308</v>
      </c>
      <c r="B94" s="329">
        <v>3.0005936030670002</v>
      </c>
      <c r="C94" s="329">
        <v>0</v>
      </c>
      <c r="D94" s="330">
        <v>-3.0005936030670002</v>
      </c>
      <c r="E94" s="331">
        <v>0</v>
      </c>
      <c r="F94" s="329">
        <v>0</v>
      </c>
      <c r="G94" s="330">
        <v>0</v>
      </c>
      <c r="H94" s="332">
        <v>0</v>
      </c>
      <c r="I94" s="329">
        <v>1.1484000000000001</v>
      </c>
      <c r="J94" s="330">
        <v>1.1484000000000001</v>
      </c>
      <c r="K94" s="342" t="s">
        <v>228</v>
      </c>
    </row>
    <row r="95" spans="1:11" ht="14.4" customHeight="1" thickBot="1" x14ac:dyDescent="0.35">
      <c r="A95" s="350" t="s">
        <v>309</v>
      </c>
      <c r="B95" s="334">
        <v>0</v>
      </c>
      <c r="C95" s="334">
        <v>-0.15060999999999999</v>
      </c>
      <c r="D95" s="335">
        <v>-0.15060999999999999</v>
      </c>
      <c r="E95" s="336" t="s">
        <v>228</v>
      </c>
      <c r="F95" s="334">
        <v>0</v>
      </c>
      <c r="G95" s="335">
        <v>0</v>
      </c>
      <c r="H95" s="337">
        <v>0</v>
      </c>
      <c r="I95" s="334">
        <v>0</v>
      </c>
      <c r="J95" s="335">
        <v>0</v>
      </c>
      <c r="K95" s="341" t="s">
        <v>222</v>
      </c>
    </row>
    <row r="96" spans="1:11" ht="14.4" customHeight="1" thickBot="1" x14ac:dyDescent="0.35">
      <c r="A96" s="351" t="s">
        <v>310</v>
      </c>
      <c r="B96" s="329">
        <v>0</v>
      </c>
      <c r="C96" s="329">
        <v>-0.15060999999999999</v>
      </c>
      <c r="D96" s="330">
        <v>-0.15060999999999999</v>
      </c>
      <c r="E96" s="339" t="s">
        <v>228</v>
      </c>
      <c r="F96" s="329">
        <v>0</v>
      </c>
      <c r="G96" s="330">
        <v>0</v>
      </c>
      <c r="H96" s="332">
        <v>0</v>
      </c>
      <c r="I96" s="329">
        <v>0</v>
      </c>
      <c r="J96" s="330">
        <v>0</v>
      </c>
      <c r="K96" s="342" t="s">
        <v>222</v>
      </c>
    </row>
    <row r="97" spans="1:11" ht="14.4" customHeight="1" thickBot="1" x14ac:dyDescent="0.35">
      <c r="A97" s="350" t="s">
        <v>311</v>
      </c>
      <c r="B97" s="334">
        <v>7431.9999747319998</v>
      </c>
      <c r="C97" s="334">
        <v>6205.1005100000002</v>
      </c>
      <c r="D97" s="335">
        <v>-1226.8994647320001</v>
      </c>
      <c r="E97" s="340">
        <v>0.83491664842500002</v>
      </c>
      <c r="F97" s="334">
        <v>7003</v>
      </c>
      <c r="G97" s="335">
        <v>5252.25</v>
      </c>
      <c r="H97" s="337">
        <v>582.51901999999995</v>
      </c>
      <c r="I97" s="334">
        <v>5531.3744100000004</v>
      </c>
      <c r="J97" s="335">
        <v>279.12440999999899</v>
      </c>
      <c r="K97" s="338">
        <v>0.78985783378499996</v>
      </c>
    </row>
    <row r="98" spans="1:11" ht="14.4" customHeight="1" thickBot="1" x14ac:dyDescent="0.35">
      <c r="A98" s="351" t="s">
        <v>312</v>
      </c>
      <c r="B98" s="329">
        <v>2724.9999917847999</v>
      </c>
      <c r="C98" s="329">
        <v>2232.4823200000001</v>
      </c>
      <c r="D98" s="330">
        <v>-492.51767178479798</v>
      </c>
      <c r="E98" s="331">
        <v>0.81925956944199996</v>
      </c>
      <c r="F98" s="329">
        <v>2495</v>
      </c>
      <c r="G98" s="330">
        <v>1871.25</v>
      </c>
      <c r="H98" s="332">
        <v>197.72229999999999</v>
      </c>
      <c r="I98" s="329">
        <v>1856.6607300000001</v>
      </c>
      <c r="J98" s="330">
        <v>-14.589270000000999</v>
      </c>
      <c r="K98" s="333">
        <v>0.74415259719399995</v>
      </c>
    </row>
    <row r="99" spans="1:11" ht="14.4" customHeight="1" thickBot="1" x14ac:dyDescent="0.35">
      <c r="A99" s="351" t="s">
        <v>313</v>
      </c>
      <c r="B99" s="329">
        <v>4706.9999829471999</v>
      </c>
      <c r="C99" s="329">
        <v>3972.6181900000001</v>
      </c>
      <c r="D99" s="330">
        <v>-734.38179294720305</v>
      </c>
      <c r="E99" s="331">
        <v>0.84398092296399996</v>
      </c>
      <c r="F99" s="329">
        <v>4508</v>
      </c>
      <c r="G99" s="330">
        <v>3381</v>
      </c>
      <c r="H99" s="332">
        <v>384.79671999999999</v>
      </c>
      <c r="I99" s="329">
        <v>3674.7136799999998</v>
      </c>
      <c r="J99" s="330">
        <v>293.71367999999899</v>
      </c>
      <c r="K99" s="333">
        <v>0.81515387755099999</v>
      </c>
    </row>
    <row r="100" spans="1:11" ht="14.4" customHeight="1" thickBot="1" x14ac:dyDescent="0.35">
      <c r="A100" s="350" t="s">
        <v>314</v>
      </c>
      <c r="B100" s="334">
        <v>0</v>
      </c>
      <c r="C100" s="334">
        <v>335.70366000000001</v>
      </c>
      <c r="D100" s="335">
        <v>335.70366000000001</v>
      </c>
      <c r="E100" s="336" t="s">
        <v>222</v>
      </c>
      <c r="F100" s="334">
        <v>0</v>
      </c>
      <c r="G100" s="335">
        <v>0</v>
      </c>
      <c r="H100" s="337">
        <v>151.54678000000001</v>
      </c>
      <c r="I100" s="334">
        <v>375.51754</v>
      </c>
      <c r="J100" s="335">
        <v>375.51754</v>
      </c>
      <c r="K100" s="341" t="s">
        <v>222</v>
      </c>
    </row>
    <row r="101" spans="1:11" ht="14.4" customHeight="1" thickBot="1" x14ac:dyDescent="0.35">
      <c r="A101" s="351" t="s">
        <v>315</v>
      </c>
      <c r="B101" s="329">
        <v>0</v>
      </c>
      <c r="C101" s="329">
        <v>185.40097</v>
      </c>
      <c r="D101" s="330">
        <v>185.40097</v>
      </c>
      <c r="E101" s="339" t="s">
        <v>228</v>
      </c>
      <c r="F101" s="329">
        <v>0</v>
      </c>
      <c r="G101" s="330">
        <v>0</v>
      </c>
      <c r="H101" s="332">
        <v>84.031940000000006</v>
      </c>
      <c r="I101" s="329">
        <v>17.632930000000002</v>
      </c>
      <c r="J101" s="330">
        <v>17.632930000000002</v>
      </c>
      <c r="K101" s="342" t="s">
        <v>222</v>
      </c>
    </row>
    <row r="102" spans="1:11" ht="14.4" customHeight="1" thickBot="1" x14ac:dyDescent="0.35">
      <c r="A102" s="351" t="s">
        <v>316</v>
      </c>
      <c r="B102" s="329">
        <v>0</v>
      </c>
      <c r="C102" s="329">
        <v>150.30269000000001</v>
      </c>
      <c r="D102" s="330">
        <v>150.30269000000001</v>
      </c>
      <c r="E102" s="339" t="s">
        <v>222</v>
      </c>
      <c r="F102" s="329">
        <v>0</v>
      </c>
      <c r="G102" s="330">
        <v>0</v>
      </c>
      <c r="H102" s="332">
        <v>67.514840000000007</v>
      </c>
      <c r="I102" s="329">
        <v>357.88461000000001</v>
      </c>
      <c r="J102" s="330">
        <v>357.88461000000001</v>
      </c>
      <c r="K102" s="342" t="s">
        <v>222</v>
      </c>
    </row>
    <row r="103" spans="1:11" ht="14.4" customHeight="1" thickBot="1" x14ac:dyDescent="0.35">
      <c r="A103" s="348" t="s">
        <v>317</v>
      </c>
      <c r="B103" s="329">
        <v>54.854116411581998</v>
      </c>
      <c r="C103" s="329">
        <v>63.37285</v>
      </c>
      <c r="D103" s="330">
        <v>8.5187335884179998</v>
      </c>
      <c r="E103" s="331">
        <v>1.1552979820960001</v>
      </c>
      <c r="F103" s="329">
        <v>45.854937929517</v>
      </c>
      <c r="G103" s="330">
        <v>34.391203447137997</v>
      </c>
      <c r="H103" s="332">
        <v>4.3139799999999999</v>
      </c>
      <c r="I103" s="329">
        <v>41.164679999999997</v>
      </c>
      <c r="J103" s="330">
        <v>6.7734765528610001</v>
      </c>
      <c r="K103" s="333">
        <v>0.89771531395899995</v>
      </c>
    </row>
    <row r="104" spans="1:11" ht="14.4" customHeight="1" thickBot="1" x14ac:dyDescent="0.35">
      <c r="A104" s="349" t="s">
        <v>318</v>
      </c>
      <c r="B104" s="329">
        <v>8.999178482064</v>
      </c>
      <c r="C104" s="329">
        <v>2.2114099999999999</v>
      </c>
      <c r="D104" s="330">
        <v>-6.7877684820640001</v>
      </c>
      <c r="E104" s="331">
        <v>0.245734652824</v>
      </c>
      <c r="F104" s="329">
        <v>0</v>
      </c>
      <c r="G104" s="330">
        <v>0</v>
      </c>
      <c r="H104" s="332">
        <v>0</v>
      </c>
      <c r="I104" s="329">
        <v>0</v>
      </c>
      <c r="J104" s="330">
        <v>0</v>
      </c>
      <c r="K104" s="342" t="s">
        <v>222</v>
      </c>
    </row>
    <row r="105" spans="1:11" ht="14.4" customHeight="1" thickBot="1" x14ac:dyDescent="0.35">
      <c r="A105" s="350" t="s">
        <v>319</v>
      </c>
      <c r="B105" s="334">
        <v>8.999178482064</v>
      </c>
      <c r="C105" s="334">
        <v>2.2114099999999999</v>
      </c>
      <c r="D105" s="335">
        <v>-6.7877684820640001</v>
      </c>
      <c r="E105" s="340">
        <v>0.245734652824</v>
      </c>
      <c r="F105" s="334">
        <v>0</v>
      </c>
      <c r="G105" s="335">
        <v>0</v>
      </c>
      <c r="H105" s="337">
        <v>0</v>
      </c>
      <c r="I105" s="334">
        <v>0</v>
      </c>
      <c r="J105" s="335">
        <v>0</v>
      </c>
      <c r="K105" s="341" t="s">
        <v>222</v>
      </c>
    </row>
    <row r="106" spans="1:11" ht="14.4" customHeight="1" thickBot="1" x14ac:dyDescent="0.35">
      <c r="A106" s="351" t="s">
        <v>320</v>
      </c>
      <c r="B106" s="329">
        <v>0</v>
      </c>
      <c r="C106" s="329">
        <v>1.8149999999999999</v>
      </c>
      <c r="D106" s="330">
        <v>1.8149999999999999</v>
      </c>
      <c r="E106" s="339" t="s">
        <v>222</v>
      </c>
      <c r="F106" s="329">
        <v>0</v>
      </c>
      <c r="G106" s="330">
        <v>0</v>
      </c>
      <c r="H106" s="332">
        <v>0</v>
      </c>
      <c r="I106" s="329">
        <v>0</v>
      </c>
      <c r="J106" s="330">
        <v>0</v>
      </c>
      <c r="K106" s="342" t="s">
        <v>222</v>
      </c>
    </row>
    <row r="107" spans="1:11" ht="14.4" customHeight="1" thickBot="1" x14ac:dyDescent="0.35">
      <c r="A107" s="351" t="s">
        <v>321</v>
      </c>
      <c r="B107" s="329">
        <v>0</v>
      </c>
      <c r="C107" s="329">
        <v>0.39640999999999998</v>
      </c>
      <c r="D107" s="330">
        <v>0.39640999999999998</v>
      </c>
      <c r="E107" s="339" t="s">
        <v>222</v>
      </c>
      <c r="F107" s="329">
        <v>0</v>
      </c>
      <c r="G107" s="330">
        <v>0</v>
      </c>
      <c r="H107" s="332">
        <v>0</v>
      </c>
      <c r="I107" s="329">
        <v>0</v>
      </c>
      <c r="J107" s="330">
        <v>0</v>
      </c>
      <c r="K107" s="342" t="s">
        <v>222</v>
      </c>
    </row>
    <row r="108" spans="1:11" ht="14.4" customHeight="1" thickBot="1" x14ac:dyDescent="0.35">
      <c r="A108" s="354" t="s">
        <v>322</v>
      </c>
      <c r="B108" s="334">
        <v>45.854937929517</v>
      </c>
      <c r="C108" s="334">
        <v>61.161439999999999</v>
      </c>
      <c r="D108" s="335">
        <v>15.306502070482001</v>
      </c>
      <c r="E108" s="340">
        <v>1.333802699591</v>
      </c>
      <c r="F108" s="334">
        <v>45.854937929517</v>
      </c>
      <c r="G108" s="335">
        <v>34.391203447137997</v>
      </c>
      <c r="H108" s="337">
        <v>4.3139799999999999</v>
      </c>
      <c r="I108" s="334">
        <v>41.164679999999997</v>
      </c>
      <c r="J108" s="335">
        <v>6.7734765528610001</v>
      </c>
      <c r="K108" s="338">
        <v>0.89771531395899995</v>
      </c>
    </row>
    <row r="109" spans="1:11" ht="14.4" customHeight="1" thickBot="1" x14ac:dyDescent="0.35">
      <c r="A109" s="350" t="s">
        <v>323</v>
      </c>
      <c r="B109" s="334">
        <v>0</v>
      </c>
      <c r="C109" s="334">
        <v>0.34</v>
      </c>
      <c r="D109" s="335">
        <v>0.34</v>
      </c>
      <c r="E109" s="336" t="s">
        <v>228</v>
      </c>
      <c r="F109" s="334">
        <v>0</v>
      </c>
      <c r="G109" s="335">
        <v>0</v>
      </c>
      <c r="H109" s="337">
        <v>0</v>
      </c>
      <c r="I109" s="334">
        <v>0</v>
      </c>
      <c r="J109" s="335">
        <v>0</v>
      </c>
      <c r="K109" s="341" t="s">
        <v>222</v>
      </c>
    </row>
    <row r="110" spans="1:11" ht="14.4" customHeight="1" thickBot="1" x14ac:dyDescent="0.35">
      <c r="A110" s="351" t="s">
        <v>324</v>
      </c>
      <c r="B110" s="329">
        <v>0</v>
      </c>
      <c r="C110" s="329">
        <v>0.34</v>
      </c>
      <c r="D110" s="330">
        <v>0.34</v>
      </c>
      <c r="E110" s="339" t="s">
        <v>228</v>
      </c>
      <c r="F110" s="329">
        <v>0</v>
      </c>
      <c r="G110" s="330">
        <v>0</v>
      </c>
      <c r="H110" s="332">
        <v>0</v>
      </c>
      <c r="I110" s="329">
        <v>0</v>
      </c>
      <c r="J110" s="330">
        <v>0</v>
      </c>
      <c r="K110" s="342" t="s">
        <v>222</v>
      </c>
    </row>
    <row r="111" spans="1:11" ht="14.4" customHeight="1" thickBot="1" x14ac:dyDescent="0.35">
      <c r="A111" s="350" t="s">
        <v>325</v>
      </c>
      <c r="B111" s="334">
        <v>0</v>
      </c>
      <c r="C111" s="334">
        <v>5.08012</v>
      </c>
      <c r="D111" s="335">
        <v>5.08012</v>
      </c>
      <c r="E111" s="336" t="s">
        <v>222</v>
      </c>
      <c r="F111" s="334">
        <v>0</v>
      </c>
      <c r="G111" s="335">
        <v>0</v>
      </c>
      <c r="H111" s="337">
        <v>1.0000000000000001E-5</v>
      </c>
      <c r="I111" s="334">
        <v>-8.0000000000000007E-5</v>
      </c>
      <c r="J111" s="335">
        <v>-8.0000000000000007E-5</v>
      </c>
      <c r="K111" s="341" t="s">
        <v>222</v>
      </c>
    </row>
    <row r="112" spans="1:11" ht="14.4" customHeight="1" thickBot="1" x14ac:dyDescent="0.35">
      <c r="A112" s="351" t="s">
        <v>326</v>
      </c>
      <c r="B112" s="329">
        <v>0</v>
      </c>
      <c r="C112" s="329">
        <v>1.2E-4</v>
      </c>
      <c r="D112" s="330">
        <v>1.2E-4</v>
      </c>
      <c r="E112" s="339" t="s">
        <v>222</v>
      </c>
      <c r="F112" s="329">
        <v>0</v>
      </c>
      <c r="G112" s="330">
        <v>0</v>
      </c>
      <c r="H112" s="332">
        <v>1.0000000000000001E-5</v>
      </c>
      <c r="I112" s="329">
        <v>-8.0000000000000007E-5</v>
      </c>
      <c r="J112" s="330">
        <v>-8.0000000000000007E-5</v>
      </c>
      <c r="K112" s="342" t="s">
        <v>222</v>
      </c>
    </row>
    <row r="113" spans="1:11" ht="14.4" customHeight="1" thickBot="1" x14ac:dyDescent="0.35">
      <c r="A113" s="351" t="s">
        <v>327</v>
      </c>
      <c r="B113" s="329">
        <v>0</v>
      </c>
      <c r="C113" s="329">
        <v>5.08</v>
      </c>
      <c r="D113" s="330">
        <v>5.08</v>
      </c>
      <c r="E113" s="339" t="s">
        <v>228</v>
      </c>
      <c r="F113" s="329">
        <v>0</v>
      </c>
      <c r="G113" s="330">
        <v>0</v>
      </c>
      <c r="H113" s="332">
        <v>0</v>
      </c>
      <c r="I113" s="329">
        <v>0</v>
      </c>
      <c r="J113" s="330">
        <v>0</v>
      </c>
      <c r="K113" s="342" t="s">
        <v>222</v>
      </c>
    </row>
    <row r="114" spans="1:11" ht="14.4" customHeight="1" thickBot="1" x14ac:dyDescent="0.35">
      <c r="A114" s="350" t="s">
        <v>328</v>
      </c>
      <c r="B114" s="334">
        <v>45.854937929517</v>
      </c>
      <c r="C114" s="334">
        <v>55.741320000000002</v>
      </c>
      <c r="D114" s="335">
        <v>9.886382070482</v>
      </c>
      <c r="E114" s="340">
        <v>1.2156012529260001</v>
      </c>
      <c r="F114" s="334">
        <v>45.854937929517</v>
      </c>
      <c r="G114" s="335">
        <v>34.391203447137997</v>
      </c>
      <c r="H114" s="337">
        <v>4.3139700000000003</v>
      </c>
      <c r="I114" s="334">
        <v>41.164760000000001</v>
      </c>
      <c r="J114" s="335">
        <v>6.7735565528609998</v>
      </c>
      <c r="K114" s="338">
        <v>0.89771705859100004</v>
      </c>
    </row>
    <row r="115" spans="1:11" ht="14.4" customHeight="1" thickBot="1" x14ac:dyDescent="0.35">
      <c r="A115" s="351" t="s">
        <v>329</v>
      </c>
      <c r="B115" s="329">
        <v>0</v>
      </c>
      <c r="C115" s="329">
        <v>1.48752</v>
      </c>
      <c r="D115" s="330">
        <v>1.48752</v>
      </c>
      <c r="E115" s="339" t="s">
        <v>228</v>
      </c>
      <c r="F115" s="329">
        <v>0</v>
      </c>
      <c r="G115" s="330">
        <v>0</v>
      </c>
      <c r="H115" s="332">
        <v>0</v>
      </c>
      <c r="I115" s="329">
        <v>-1.48752</v>
      </c>
      <c r="J115" s="330">
        <v>-1.48752</v>
      </c>
      <c r="K115" s="342" t="s">
        <v>228</v>
      </c>
    </row>
    <row r="116" spans="1:11" ht="14.4" customHeight="1" thickBot="1" x14ac:dyDescent="0.35">
      <c r="A116" s="351" t="s">
        <v>330</v>
      </c>
      <c r="B116" s="329">
        <v>45.854937929517</v>
      </c>
      <c r="C116" s="329">
        <v>54.253799999999998</v>
      </c>
      <c r="D116" s="330">
        <v>8.3988620704820001</v>
      </c>
      <c r="E116" s="331">
        <v>1.1831615623030001</v>
      </c>
      <c r="F116" s="329">
        <v>45.854937929517</v>
      </c>
      <c r="G116" s="330">
        <v>34.391203447137997</v>
      </c>
      <c r="H116" s="332">
        <v>4.3139700000000003</v>
      </c>
      <c r="I116" s="329">
        <v>42.652279999999998</v>
      </c>
      <c r="J116" s="330">
        <v>8.2610765528610006</v>
      </c>
      <c r="K116" s="333">
        <v>0.93015674921500002</v>
      </c>
    </row>
    <row r="117" spans="1:11" ht="14.4" customHeight="1" thickBot="1" x14ac:dyDescent="0.35">
      <c r="A117" s="347" t="s">
        <v>331</v>
      </c>
      <c r="B117" s="329">
        <v>1109.6533070524499</v>
      </c>
      <c r="C117" s="329">
        <v>893.32807000000003</v>
      </c>
      <c r="D117" s="330">
        <v>-216.32523705245001</v>
      </c>
      <c r="E117" s="331">
        <v>0.80505150962200001</v>
      </c>
      <c r="F117" s="329">
        <v>1142.00028352708</v>
      </c>
      <c r="G117" s="330">
        <v>856.50021264530699</v>
      </c>
      <c r="H117" s="332">
        <v>78.843490000000003</v>
      </c>
      <c r="I117" s="329">
        <v>777.32545000000005</v>
      </c>
      <c r="J117" s="330">
        <v>-79.174762645306998</v>
      </c>
      <c r="K117" s="333">
        <v>0.68067010246100002</v>
      </c>
    </row>
    <row r="118" spans="1:11" ht="14.4" customHeight="1" thickBot="1" x14ac:dyDescent="0.35">
      <c r="A118" s="352" t="s">
        <v>332</v>
      </c>
      <c r="B118" s="334">
        <v>1109.6533070524499</v>
      </c>
      <c r="C118" s="334">
        <v>893.32807000000003</v>
      </c>
      <c r="D118" s="335">
        <v>-216.32523705245001</v>
      </c>
      <c r="E118" s="340">
        <v>0.80505150962200001</v>
      </c>
      <c r="F118" s="334">
        <v>1142.00028352708</v>
      </c>
      <c r="G118" s="335">
        <v>856.50021264530699</v>
      </c>
      <c r="H118" s="337">
        <v>78.843490000000003</v>
      </c>
      <c r="I118" s="334">
        <v>777.32545000000005</v>
      </c>
      <c r="J118" s="335">
        <v>-79.174762645306998</v>
      </c>
      <c r="K118" s="338">
        <v>0.68067010246100002</v>
      </c>
    </row>
    <row r="119" spans="1:11" ht="14.4" customHeight="1" thickBot="1" x14ac:dyDescent="0.35">
      <c r="A119" s="354" t="s">
        <v>31</v>
      </c>
      <c r="B119" s="334">
        <v>1109.6533070524499</v>
      </c>
      <c r="C119" s="334">
        <v>893.32807000000003</v>
      </c>
      <c r="D119" s="335">
        <v>-216.32523705245001</v>
      </c>
      <c r="E119" s="340">
        <v>0.80505150962200001</v>
      </c>
      <c r="F119" s="334">
        <v>1142.00028352708</v>
      </c>
      <c r="G119" s="335">
        <v>856.50021264530699</v>
      </c>
      <c r="H119" s="337">
        <v>78.843490000000003</v>
      </c>
      <c r="I119" s="334">
        <v>777.32545000000005</v>
      </c>
      <c r="J119" s="335">
        <v>-79.174762645306998</v>
      </c>
      <c r="K119" s="338">
        <v>0.68067010246100002</v>
      </c>
    </row>
    <row r="120" spans="1:11" ht="14.4" customHeight="1" thickBot="1" x14ac:dyDescent="0.35">
      <c r="A120" s="350" t="s">
        <v>333</v>
      </c>
      <c r="B120" s="334">
        <v>4.9999999999989999</v>
      </c>
      <c r="C120" s="334">
        <v>5.1791999999999998</v>
      </c>
      <c r="D120" s="335">
        <v>0.1792</v>
      </c>
      <c r="E120" s="340">
        <v>1.0358400000000001</v>
      </c>
      <c r="F120" s="334">
        <v>3</v>
      </c>
      <c r="G120" s="335">
        <v>2.25</v>
      </c>
      <c r="H120" s="337">
        <v>0.43159999999999998</v>
      </c>
      <c r="I120" s="334">
        <v>3.8843999999999999</v>
      </c>
      <c r="J120" s="335">
        <v>1.6344000000000001</v>
      </c>
      <c r="K120" s="338">
        <v>1.2948</v>
      </c>
    </row>
    <row r="121" spans="1:11" ht="14.4" customHeight="1" thickBot="1" x14ac:dyDescent="0.35">
      <c r="A121" s="351" t="s">
        <v>334</v>
      </c>
      <c r="B121" s="329">
        <v>4.9999999999989999</v>
      </c>
      <c r="C121" s="329">
        <v>5.1791999999999998</v>
      </c>
      <c r="D121" s="330">
        <v>0.1792</v>
      </c>
      <c r="E121" s="331">
        <v>1.0358400000000001</v>
      </c>
      <c r="F121" s="329">
        <v>3</v>
      </c>
      <c r="G121" s="330">
        <v>2.25</v>
      </c>
      <c r="H121" s="332">
        <v>0.43159999999999998</v>
      </c>
      <c r="I121" s="329">
        <v>3.8843999999999999</v>
      </c>
      <c r="J121" s="330">
        <v>1.6344000000000001</v>
      </c>
      <c r="K121" s="333">
        <v>1.2948</v>
      </c>
    </row>
    <row r="122" spans="1:11" ht="14.4" customHeight="1" thickBot="1" x14ac:dyDescent="0.35">
      <c r="A122" s="350" t="s">
        <v>335</v>
      </c>
      <c r="B122" s="334">
        <v>2.8827012321969998</v>
      </c>
      <c r="C122" s="334">
        <v>1.3</v>
      </c>
      <c r="D122" s="335">
        <v>-1.582701232197</v>
      </c>
      <c r="E122" s="340">
        <v>0.45096591539899999</v>
      </c>
      <c r="F122" s="334">
        <v>2.0002835270760002</v>
      </c>
      <c r="G122" s="335">
        <v>1.5002126453069999</v>
      </c>
      <c r="H122" s="337">
        <v>0</v>
      </c>
      <c r="I122" s="334">
        <v>1.294</v>
      </c>
      <c r="J122" s="335">
        <v>-0.20621264530700001</v>
      </c>
      <c r="K122" s="338">
        <v>0.64690829199099997</v>
      </c>
    </row>
    <row r="123" spans="1:11" ht="14.4" customHeight="1" thickBot="1" x14ac:dyDescent="0.35">
      <c r="A123" s="351" t="s">
        <v>336</v>
      </c>
      <c r="B123" s="329">
        <v>2.8827012321969998</v>
      </c>
      <c r="C123" s="329">
        <v>1.3</v>
      </c>
      <c r="D123" s="330">
        <v>-1.582701232197</v>
      </c>
      <c r="E123" s="331">
        <v>0.45096591539899999</v>
      </c>
      <c r="F123" s="329">
        <v>2.0002835270760002</v>
      </c>
      <c r="G123" s="330">
        <v>1.5002126453069999</v>
      </c>
      <c r="H123" s="332">
        <v>0</v>
      </c>
      <c r="I123" s="329">
        <v>1.294</v>
      </c>
      <c r="J123" s="330">
        <v>-0.20621264530700001</v>
      </c>
      <c r="K123" s="333">
        <v>0.64690829199099997</v>
      </c>
    </row>
    <row r="124" spans="1:11" ht="14.4" customHeight="1" thickBot="1" x14ac:dyDescent="0.35">
      <c r="A124" s="350" t="s">
        <v>337</v>
      </c>
      <c r="B124" s="334">
        <v>0</v>
      </c>
      <c r="C124" s="334">
        <v>0.51200000000000001</v>
      </c>
      <c r="D124" s="335">
        <v>0.51200000000000001</v>
      </c>
      <c r="E124" s="336" t="s">
        <v>222</v>
      </c>
      <c r="F124" s="334">
        <v>0</v>
      </c>
      <c r="G124" s="335">
        <v>0</v>
      </c>
      <c r="H124" s="337">
        <v>0</v>
      </c>
      <c r="I124" s="334">
        <v>0.36399999999999999</v>
      </c>
      <c r="J124" s="335">
        <v>0.36399999999999999</v>
      </c>
      <c r="K124" s="341" t="s">
        <v>228</v>
      </c>
    </row>
    <row r="125" spans="1:11" ht="14.4" customHeight="1" thickBot="1" x14ac:dyDescent="0.35">
      <c r="A125" s="351" t="s">
        <v>338</v>
      </c>
      <c r="B125" s="329">
        <v>0</v>
      </c>
      <c r="C125" s="329">
        <v>0.51200000000000001</v>
      </c>
      <c r="D125" s="330">
        <v>0.51200000000000001</v>
      </c>
      <c r="E125" s="339" t="s">
        <v>222</v>
      </c>
      <c r="F125" s="329">
        <v>0</v>
      </c>
      <c r="G125" s="330">
        <v>0</v>
      </c>
      <c r="H125" s="332">
        <v>0</v>
      </c>
      <c r="I125" s="329">
        <v>0.36399999999999999</v>
      </c>
      <c r="J125" s="330">
        <v>0.36399999999999999</v>
      </c>
      <c r="K125" s="342" t="s">
        <v>228</v>
      </c>
    </row>
    <row r="126" spans="1:11" ht="14.4" customHeight="1" thickBot="1" x14ac:dyDescent="0.35">
      <c r="A126" s="350" t="s">
        <v>339</v>
      </c>
      <c r="B126" s="334">
        <v>282.99999999999602</v>
      </c>
      <c r="C126" s="334">
        <v>251.11569</v>
      </c>
      <c r="D126" s="335">
        <v>-31.884309999995999</v>
      </c>
      <c r="E126" s="340">
        <v>0.88733459363900002</v>
      </c>
      <c r="F126" s="334">
        <v>349</v>
      </c>
      <c r="G126" s="335">
        <v>261.75</v>
      </c>
      <c r="H126" s="337">
        <v>21.00112</v>
      </c>
      <c r="I126" s="334">
        <v>219.36909</v>
      </c>
      <c r="J126" s="335">
        <v>-42.38091</v>
      </c>
      <c r="K126" s="338">
        <v>0.62856472779299999</v>
      </c>
    </row>
    <row r="127" spans="1:11" ht="14.4" customHeight="1" thickBot="1" x14ac:dyDescent="0.35">
      <c r="A127" s="351" t="s">
        <v>340</v>
      </c>
      <c r="B127" s="329">
        <v>282.99999999999602</v>
      </c>
      <c r="C127" s="329">
        <v>251.11569</v>
      </c>
      <c r="D127" s="330">
        <v>-31.884309999995999</v>
      </c>
      <c r="E127" s="331">
        <v>0.88733459363900002</v>
      </c>
      <c r="F127" s="329">
        <v>349</v>
      </c>
      <c r="G127" s="330">
        <v>261.75</v>
      </c>
      <c r="H127" s="332">
        <v>21.00112</v>
      </c>
      <c r="I127" s="329">
        <v>219.36909</v>
      </c>
      <c r="J127" s="330">
        <v>-42.38091</v>
      </c>
      <c r="K127" s="333">
        <v>0.62856472779299999</v>
      </c>
    </row>
    <row r="128" spans="1:11" ht="14.4" customHeight="1" thickBot="1" x14ac:dyDescent="0.35">
      <c r="A128" s="350" t="s">
        <v>341</v>
      </c>
      <c r="B128" s="334">
        <v>816.99999999999</v>
      </c>
      <c r="C128" s="334">
        <v>635.22118</v>
      </c>
      <c r="D128" s="335">
        <v>-181.77881999998999</v>
      </c>
      <c r="E128" s="340">
        <v>0.777504504283</v>
      </c>
      <c r="F128" s="334">
        <v>788</v>
      </c>
      <c r="G128" s="335">
        <v>591</v>
      </c>
      <c r="H128" s="337">
        <v>57.410769999999999</v>
      </c>
      <c r="I128" s="334">
        <v>552.41395999999997</v>
      </c>
      <c r="J128" s="335">
        <v>-38.586039999999002</v>
      </c>
      <c r="K128" s="338">
        <v>0.70103294416200002</v>
      </c>
    </row>
    <row r="129" spans="1:11" ht="14.4" customHeight="1" thickBot="1" x14ac:dyDescent="0.35">
      <c r="A129" s="351" t="s">
        <v>342</v>
      </c>
      <c r="B129" s="329">
        <v>816.99999999999</v>
      </c>
      <c r="C129" s="329">
        <v>635.22118</v>
      </c>
      <c r="D129" s="330">
        <v>-181.77881999998999</v>
      </c>
      <c r="E129" s="331">
        <v>0.777504504283</v>
      </c>
      <c r="F129" s="329">
        <v>788</v>
      </c>
      <c r="G129" s="330">
        <v>591</v>
      </c>
      <c r="H129" s="332">
        <v>57.410769999999999</v>
      </c>
      <c r="I129" s="329">
        <v>552.41395999999997</v>
      </c>
      <c r="J129" s="330">
        <v>-38.586039999999002</v>
      </c>
      <c r="K129" s="333">
        <v>0.70103294416200002</v>
      </c>
    </row>
    <row r="130" spans="1:11" ht="14.4" customHeight="1" thickBot="1" x14ac:dyDescent="0.35">
      <c r="A130" s="355"/>
      <c r="B130" s="329">
        <v>153.12421378356399</v>
      </c>
      <c r="C130" s="329">
        <v>-1141.8188299999999</v>
      </c>
      <c r="D130" s="330">
        <v>-1294.9430437835699</v>
      </c>
      <c r="E130" s="331">
        <v>-7.456814319477</v>
      </c>
      <c r="F130" s="329">
        <v>-1299.63495677175</v>
      </c>
      <c r="G130" s="330">
        <v>-974.72621757880995</v>
      </c>
      <c r="H130" s="332">
        <v>70.485169999999002</v>
      </c>
      <c r="I130" s="329">
        <v>-12.457050000002001</v>
      </c>
      <c r="J130" s="330">
        <v>962.26916757880701</v>
      </c>
      <c r="K130" s="333">
        <v>9.5850376560000002E-3</v>
      </c>
    </row>
    <row r="131" spans="1:11" ht="14.4" customHeight="1" thickBot="1" x14ac:dyDescent="0.35">
      <c r="A131" s="356" t="s">
        <v>43</v>
      </c>
      <c r="B131" s="343">
        <v>153.12421378356601</v>
      </c>
      <c r="C131" s="343">
        <v>-1141.8188299999999</v>
      </c>
      <c r="D131" s="344">
        <v>-1294.9430437835699</v>
      </c>
      <c r="E131" s="345">
        <v>-1.0224804194299999</v>
      </c>
      <c r="F131" s="343">
        <v>-1299.63495677175</v>
      </c>
      <c r="G131" s="344">
        <v>-974.72621757880904</v>
      </c>
      <c r="H131" s="343">
        <v>70.485169999999002</v>
      </c>
      <c r="I131" s="343">
        <v>-12.457050000001001</v>
      </c>
      <c r="J131" s="344">
        <v>962.26916757880804</v>
      </c>
      <c r="K131" s="346">
        <v>9.5850376560000002E-3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8" customWidth="1"/>
    <col min="2" max="2" width="61.109375" style="178" customWidth="1"/>
    <col min="3" max="3" width="9.5546875" style="102" customWidth="1"/>
    <col min="4" max="4" width="9.5546875" style="179" customWidth="1"/>
    <col min="5" max="5" width="2.21875" style="179" customWidth="1"/>
    <col min="6" max="6" width="9.5546875" style="180" customWidth="1"/>
    <col min="7" max="7" width="9.5546875" style="177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03" t="s">
        <v>105</v>
      </c>
      <c r="B1" s="304"/>
      <c r="C1" s="304"/>
      <c r="D1" s="304"/>
      <c r="E1" s="304"/>
      <c r="F1" s="304"/>
      <c r="G1" s="275"/>
      <c r="H1" s="305"/>
      <c r="I1" s="305"/>
    </row>
    <row r="2" spans="1:10" ht="14.4" customHeight="1" thickBot="1" x14ac:dyDescent="0.35">
      <c r="A2" s="195" t="s">
        <v>221</v>
      </c>
      <c r="B2" s="176"/>
      <c r="C2" s="176"/>
      <c r="D2" s="176"/>
      <c r="E2" s="176"/>
      <c r="F2" s="176"/>
    </row>
    <row r="3" spans="1:10" ht="14.4" customHeight="1" thickBot="1" x14ac:dyDescent="0.35">
      <c r="A3" s="195"/>
      <c r="B3" s="176"/>
      <c r="C3" s="253">
        <v>2012</v>
      </c>
      <c r="D3" s="254">
        <v>2013</v>
      </c>
      <c r="E3" s="7"/>
      <c r="F3" s="298">
        <v>2014</v>
      </c>
      <c r="G3" s="299"/>
      <c r="H3" s="299"/>
      <c r="I3" s="300"/>
    </row>
    <row r="4" spans="1:10" ht="14.4" customHeight="1" thickBot="1" x14ac:dyDescent="0.35">
      <c r="A4" s="258" t="s">
        <v>0</v>
      </c>
      <c r="B4" s="259" t="s">
        <v>217</v>
      </c>
      <c r="C4" s="301" t="s">
        <v>50</v>
      </c>
      <c r="D4" s="302"/>
      <c r="E4" s="260"/>
      <c r="F4" s="255" t="s">
        <v>50</v>
      </c>
      <c r="G4" s="256" t="s">
        <v>51</v>
      </c>
      <c r="H4" s="256" t="s">
        <v>45</v>
      </c>
      <c r="I4" s="257" t="s">
        <v>52</v>
      </c>
    </row>
    <row r="5" spans="1:10" ht="14.4" customHeight="1" x14ac:dyDescent="0.3">
      <c r="A5" s="357" t="s">
        <v>343</v>
      </c>
      <c r="B5" s="358" t="s">
        <v>344</v>
      </c>
      <c r="C5" s="359" t="s">
        <v>345</v>
      </c>
      <c r="D5" s="359" t="s">
        <v>345</v>
      </c>
      <c r="E5" s="359"/>
      <c r="F5" s="359" t="s">
        <v>345</v>
      </c>
      <c r="G5" s="359" t="s">
        <v>345</v>
      </c>
      <c r="H5" s="359" t="s">
        <v>345</v>
      </c>
      <c r="I5" s="360" t="s">
        <v>345</v>
      </c>
      <c r="J5" s="361" t="s">
        <v>46</v>
      </c>
    </row>
    <row r="6" spans="1:10" ht="14.4" customHeight="1" x14ac:dyDescent="0.3">
      <c r="A6" s="357" t="s">
        <v>343</v>
      </c>
      <c r="B6" s="358" t="s">
        <v>229</v>
      </c>
      <c r="C6" s="359" t="s">
        <v>345</v>
      </c>
      <c r="D6" s="359">
        <v>0.56330000000000002</v>
      </c>
      <c r="E6" s="359"/>
      <c r="F6" s="359">
        <v>0</v>
      </c>
      <c r="G6" s="359">
        <v>0.42279502086525</v>
      </c>
      <c r="H6" s="359">
        <v>-0.42279502086525</v>
      </c>
      <c r="I6" s="360">
        <v>0</v>
      </c>
      <c r="J6" s="361" t="s">
        <v>1</v>
      </c>
    </row>
    <row r="7" spans="1:10" ht="14.4" customHeight="1" x14ac:dyDescent="0.3">
      <c r="A7" s="357" t="s">
        <v>343</v>
      </c>
      <c r="B7" s="358" t="s">
        <v>346</v>
      </c>
      <c r="C7" s="359" t="s">
        <v>345</v>
      </c>
      <c r="D7" s="359">
        <v>0.56330000000000002</v>
      </c>
      <c r="E7" s="359"/>
      <c r="F7" s="359">
        <v>0</v>
      </c>
      <c r="G7" s="359">
        <v>0.42279502086525</v>
      </c>
      <c r="H7" s="359">
        <v>-0.42279502086525</v>
      </c>
      <c r="I7" s="360">
        <v>0</v>
      </c>
      <c r="J7" s="361" t="s">
        <v>347</v>
      </c>
    </row>
    <row r="9" spans="1:10" ht="14.4" customHeight="1" x14ac:dyDescent="0.3">
      <c r="A9" s="357" t="s">
        <v>343</v>
      </c>
      <c r="B9" s="358" t="s">
        <v>344</v>
      </c>
      <c r="C9" s="359" t="s">
        <v>345</v>
      </c>
      <c r="D9" s="359" t="s">
        <v>345</v>
      </c>
      <c r="E9" s="359"/>
      <c r="F9" s="359" t="s">
        <v>345</v>
      </c>
      <c r="G9" s="359" t="s">
        <v>345</v>
      </c>
      <c r="H9" s="359" t="s">
        <v>345</v>
      </c>
      <c r="I9" s="360" t="s">
        <v>345</v>
      </c>
      <c r="J9" s="361" t="s">
        <v>46</v>
      </c>
    </row>
    <row r="10" spans="1:10" ht="14.4" customHeight="1" x14ac:dyDescent="0.3">
      <c r="A10" s="357" t="s">
        <v>348</v>
      </c>
      <c r="B10" s="358" t="s">
        <v>349</v>
      </c>
      <c r="C10" s="359" t="s">
        <v>345</v>
      </c>
      <c r="D10" s="359" t="s">
        <v>345</v>
      </c>
      <c r="E10" s="359"/>
      <c r="F10" s="359" t="s">
        <v>345</v>
      </c>
      <c r="G10" s="359" t="s">
        <v>345</v>
      </c>
      <c r="H10" s="359" t="s">
        <v>345</v>
      </c>
      <c r="I10" s="360" t="s">
        <v>345</v>
      </c>
      <c r="J10" s="361" t="s">
        <v>0</v>
      </c>
    </row>
    <row r="11" spans="1:10" ht="14.4" customHeight="1" x14ac:dyDescent="0.3">
      <c r="A11" s="357" t="s">
        <v>348</v>
      </c>
      <c r="B11" s="358" t="s">
        <v>229</v>
      </c>
      <c r="C11" s="359" t="s">
        <v>345</v>
      </c>
      <c r="D11" s="359">
        <v>0.56330000000000002</v>
      </c>
      <c r="E11" s="359"/>
      <c r="F11" s="359">
        <v>0</v>
      </c>
      <c r="G11" s="359">
        <v>0.42279502086525</v>
      </c>
      <c r="H11" s="359">
        <v>-0.42279502086525</v>
      </c>
      <c r="I11" s="360">
        <v>0</v>
      </c>
      <c r="J11" s="361" t="s">
        <v>1</v>
      </c>
    </row>
    <row r="12" spans="1:10" ht="14.4" customHeight="1" x14ac:dyDescent="0.3">
      <c r="A12" s="357" t="s">
        <v>348</v>
      </c>
      <c r="B12" s="358" t="s">
        <v>350</v>
      </c>
      <c r="C12" s="359" t="s">
        <v>345</v>
      </c>
      <c r="D12" s="359">
        <v>0.56330000000000002</v>
      </c>
      <c r="E12" s="359"/>
      <c r="F12" s="359">
        <v>0</v>
      </c>
      <c r="G12" s="359">
        <v>0.42279502086525</v>
      </c>
      <c r="H12" s="359">
        <v>-0.42279502086525</v>
      </c>
      <c r="I12" s="360">
        <v>0</v>
      </c>
      <c r="J12" s="361" t="s">
        <v>351</v>
      </c>
    </row>
    <row r="13" spans="1:10" ht="14.4" customHeight="1" x14ac:dyDescent="0.3">
      <c r="A13" s="357" t="s">
        <v>345</v>
      </c>
      <c r="B13" s="358" t="s">
        <v>345</v>
      </c>
      <c r="C13" s="359" t="s">
        <v>345</v>
      </c>
      <c r="D13" s="359" t="s">
        <v>345</v>
      </c>
      <c r="E13" s="359"/>
      <c r="F13" s="359" t="s">
        <v>345</v>
      </c>
      <c r="G13" s="359" t="s">
        <v>345</v>
      </c>
      <c r="H13" s="359" t="s">
        <v>345</v>
      </c>
      <c r="I13" s="360" t="s">
        <v>345</v>
      </c>
      <c r="J13" s="361" t="s">
        <v>352</v>
      </c>
    </row>
    <row r="14" spans="1:10" ht="14.4" customHeight="1" x14ac:dyDescent="0.3">
      <c r="A14" s="357" t="s">
        <v>343</v>
      </c>
      <c r="B14" s="358" t="s">
        <v>346</v>
      </c>
      <c r="C14" s="359" t="s">
        <v>345</v>
      </c>
      <c r="D14" s="359">
        <v>0.56330000000000002</v>
      </c>
      <c r="E14" s="359"/>
      <c r="F14" s="359">
        <v>0</v>
      </c>
      <c r="G14" s="359">
        <v>0.42279502086525</v>
      </c>
      <c r="H14" s="359">
        <v>-0.42279502086525</v>
      </c>
      <c r="I14" s="360">
        <v>0</v>
      </c>
      <c r="J14" s="361" t="s">
        <v>347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8" customWidth="1"/>
    <col min="2" max="2" width="61.109375" style="178" customWidth="1"/>
    <col min="3" max="3" width="9.5546875" style="102" customWidth="1"/>
    <col min="4" max="4" width="9.5546875" style="179" customWidth="1"/>
    <col min="5" max="5" width="2.21875" style="179" customWidth="1"/>
    <col min="6" max="6" width="9.5546875" style="180" customWidth="1"/>
    <col min="7" max="7" width="9.5546875" style="177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03" t="s">
        <v>106</v>
      </c>
      <c r="B1" s="304"/>
      <c r="C1" s="304"/>
      <c r="D1" s="304"/>
      <c r="E1" s="304"/>
      <c r="F1" s="304"/>
      <c r="G1" s="275"/>
      <c r="H1" s="305"/>
      <c r="I1" s="305"/>
    </row>
    <row r="2" spans="1:10" ht="14.4" customHeight="1" thickBot="1" x14ac:dyDescent="0.35">
      <c r="A2" s="195" t="s">
        <v>221</v>
      </c>
      <c r="B2" s="176"/>
      <c r="C2" s="176"/>
      <c r="D2" s="176"/>
      <c r="E2" s="176"/>
      <c r="F2" s="176"/>
    </row>
    <row r="3" spans="1:10" ht="14.4" customHeight="1" thickBot="1" x14ac:dyDescent="0.35">
      <c r="A3" s="195"/>
      <c r="B3" s="176"/>
      <c r="C3" s="253">
        <v>2012</v>
      </c>
      <c r="D3" s="254">
        <v>2013</v>
      </c>
      <c r="E3" s="7"/>
      <c r="F3" s="298">
        <v>2014</v>
      </c>
      <c r="G3" s="299"/>
      <c r="H3" s="299"/>
      <c r="I3" s="300"/>
    </row>
    <row r="4" spans="1:10" ht="14.4" customHeight="1" thickBot="1" x14ac:dyDescent="0.35">
      <c r="A4" s="258" t="s">
        <v>0</v>
      </c>
      <c r="B4" s="259" t="s">
        <v>217</v>
      </c>
      <c r="C4" s="301" t="s">
        <v>50</v>
      </c>
      <c r="D4" s="302"/>
      <c r="E4" s="260"/>
      <c r="F4" s="255" t="s">
        <v>50</v>
      </c>
      <c r="G4" s="256" t="s">
        <v>51</v>
      </c>
      <c r="H4" s="256" t="s">
        <v>45</v>
      </c>
      <c r="I4" s="257" t="s">
        <v>52</v>
      </c>
    </row>
    <row r="5" spans="1:10" ht="14.4" customHeight="1" x14ac:dyDescent="0.3">
      <c r="A5" s="357" t="s">
        <v>343</v>
      </c>
      <c r="B5" s="358" t="s">
        <v>344</v>
      </c>
      <c r="C5" s="359" t="s">
        <v>345</v>
      </c>
      <c r="D5" s="359" t="s">
        <v>345</v>
      </c>
      <c r="E5" s="359"/>
      <c r="F5" s="359" t="s">
        <v>345</v>
      </c>
      <c r="G5" s="359" t="s">
        <v>345</v>
      </c>
      <c r="H5" s="359" t="s">
        <v>345</v>
      </c>
      <c r="I5" s="360" t="s">
        <v>345</v>
      </c>
      <c r="J5" s="361" t="s">
        <v>46</v>
      </c>
    </row>
    <row r="6" spans="1:10" ht="14.4" customHeight="1" x14ac:dyDescent="0.3">
      <c r="A6" s="357" t="s">
        <v>343</v>
      </c>
      <c r="B6" s="358" t="s">
        <v>231</v>
      </c>
      <c r="C6" s="359" t="s">
        <v>345</v>
      </c>
      <c r="D6" s="359">
        <v>0.18515999999999999</v>
      </c>
      <c r="E6" s="359"/>
      <c r="F6" s="359">
        <v>0</v>
      </c>
      <c r="G6" s="359">
        <v>0.13918579752599999</v>
      </c>
      <c r="H6" s="359">
        <v>-0.13918579752599999</v>
      </c>
      <c r="I6" s="360">
        <v>0</v>
      </c>
      <c r="J6" s="361" t="s">
        <v>1</v>
      </c>
    </row>
    <row r="7" spans="1:10" ht="14.4" customHeight="1" x14ac:dyDescent="0.3">
      <c r="A7" s="357" t="s">
        <v>343</v>
      </c>
      <c r="B7" s="358" t="s">
        <v>232</v>
      </c>
      <c r="C7" s="359" t="s">
        <v>345</v>
      </c>
      <c r="D7" s="359">
        <v>4.6379999999999998E-2</v>
      </c>
      <c r="E7" s="359"/>
      <c r="F7" s="359">
        <v>0</v>
      </c>
      <c r="G7" s="359">
        <v>3.4784737952249997E-2</v>
      </c>
      <c r="H7" s="359">
        <v>-3.4784737952249997E-2</v>
      </c>
      <c r="I7" s="360">
        <v>0</v>
      </c>
      <c r="J7" s="361" t="s">
        <v>1</v>
      </c>
    </row>
    <row r="8" spans="1:10" ht="14.4" customHeight="1" x14ac:dyDescent="0.3">
      <c r="A8" s="357" t="s">
        <v>343</v>
      </c>
      <c r="B8" s="358" t="s">
        <v>346</v>
      </c>
      <c r="C8" s="359" t="s">
        <v>345</v>
      </c>
      <c r="D8" s="359">
        <v>0.23154</v>
      </c>
      <c r="E8" s="359"/>
      <c r="F8" s="359">
        <v>0</v>
      </c>
      <c r="G8" s="359">
        <v>0.17397053547824998</v>
      </c>
      <c r="H8" s="359">
        <v>-0.17397053547824998</v>
      </c>
      <c r="I8" s="360">
        <v>0</v>
      </c>
      <c r="J8" s="361" t="s">
        <v>347</v>
      </c>
    </row>
    <row r="10" spans="1:10" ht="14.4" customHeight="1" x14ac:dyDescent="0.3">
      <c r="A10" s="357" t="s">
        <v>343</v>
      </c>
      <c r="B10" s="358" t="s">
        <v>344</v>
      </c>
      <c r="C10" s="359" t="s">
        <v>345</v>
      </c>
      <c r="D10" s="359" t="s">
        <v>345</v>
      </c>
      <c r="E10" s="359"/>
      <c r="F10" s="359" t="s">
        <v>345</v>
      </c>
      <c r="G10" s="359" t="s">
        <v>345</v>
      </c>
      <c r="H10" s="359" t="s">
        <v>345</v>
      </c>
      <c r="I10" s="360" t="s">
        <v>345</v>
      </c>
      <c r="J10" s="361" t="s">
        <v>46</v>
      </c>
    </row>
    <row r="11" spans="1:10" ht="14.4" customHeight="1" x14ac:dyDescent="0.3">
      <c r="A11" s="357" t="s">
        <v>348</v>
      </c>
      <c r="B11" s="358" t="s">
        <v>349</v>
      </c>
      <c r="C11" s="359" t="s">
        <v>345</v>
      </c>
      <c r="D11" s="359" t="s">
        <v>345</v>
      </c>
      <c r="E11" s="359"/>
      <c r="F11" s="359" t="s">
        <v>345</v>
      </c>
      <c r="G11" s="359" t="s">
        <v>345</v>
      </c>
      <c r="H11" s="359" t="s">
        <v>345</v>
      </c>
      <c r="I11" s="360" t="s">
        <v>345</v>
      </c>
      <c r="J11" s="361" t="s">
        <v>0</v>
      </c>
    </row>
    <row r="12" spans="1:10" ht="14.4" customHeight="1" x14ac:dyDescent="0.3">
      <c r="A12" s="357" t="s">
        <v>348</v>
      </c>
      <c r="B12" s="358" t="s">
        <v>231</v>
      </c>
      <c r="C12" s="359" t="s">
        <v>345</v>
      </c>
      <c r="D12" s="359">
        <v>0.18515999999999999</v>
      </c>
      <c r="E12" s="359"/>
      <c r="F12" s="359">
        <v>0</v>
      </c>
      <c r="G12" s="359">
        <v>0.13918579752599999</v>
      </c>
      <c r="H12" s="359">
        <v>-0.13918579752599999</v>
      </c>
      <c r="I12" s="360">
        <v>0</v>
      </c>
      <c r="J12" s="361" t="s">
        <v>1</v>
      </c>
    </row>
    <row r="13" spans="1:10" ht="14.4" customHeight="1" x14ac:dyDescent="0.3">
      <c r="A13" s="357" t="s">
        <v>348</v>
      </c>
      <c r="B13" s="358" t="s">
        <v>232</v>
      </c>
      <c r="C13" s="359" t="s">
        <v>345</v>
      </c>
      <c r="D13" s="359">
        <v>4.6379999999999998E-2</v>
      </c>
      <c r="E13" s="359"/>
      <c r="F13" s="359">
        <v>0</v>
      </c>
      <c r="G13" s="359">
        <v>3.4784737952249997E-2</v>
      </c>
      <c r="H13" s="359">
        <v>-3.4784737952249997E-2</v>
      </c>
      <c r="I13" s="360">
        <v>0</v>
      </c>
      <c r="J13" s="361" t="s">
        <v>1</v>
      </c>
    </row>
    <row r="14" spans="1:10" ht="14.4" customHeight="1" x14ac:dyDescent="0.3">
      <c r="A14" s="357" t="s">
        <v>348</v>
      </c>
      <c r="B14" s="358" t="s">
        <v>350</v>
      </c>
      <c r="C14" s="359" t="s">
        <v>345</v>
      </c>
      <c r="D14" s="359">
        <v>0.23154</v>
      </c>
      <c r="E14" s="359"/>
      <c r="F14" s="359">
        <v>0</v>
      </c>
      <c r="G14" s="359">
        <v>0.17397053547824998</v>
      </c>
      <c r="H14" s="359">
        <v>-0.17397053547824998</v>
      </c>
      <c r="I14" s="360">
        <v>0</v>
      </c>
      <c r="J14" s="361" t="s">
        <v>351</v>
      </c>
    </row>
    <row r="15" spans="1:10" ht="14.4" customHeight="1" x14ac:dyDescent="0.3">
      <c r="A15" s="357" t="s">
        <v>345</v>
      </c>
      <c r="B15" s="358" t="s">
        <v>345</v>
      </c>
      <c r="C15" s="359" t="s">
        <v>345</v>
      </c>
      <c r="D15" s="359" t="s">
        <v>345</v>
      </c>
      <c r="E15" s="359"/>
      <c r="F15" s="359" t="s">
        <v>345</v>
      </c>
      <c r="G15" s="359" t="s">
        <v>345</v>
      </c>
      <c r="H15" s="359" t="s">
        <v>345</v>
      </c>
      <c r="I15" s="360" t="s">
        <v>345</v>
      </c>
      <c r="J15" s="361" t="s">
        <v>352</v>
      </c>
    </row>
    <row r="16" spans="1:10" ht="14.4" customHeight="1" x14ac:dyDescent="0.3">
      <c r="A16" s="357" t="s">
        <v>343</v>
      </c>
      <c r="B16" s="358" t="s">
        <v>346</v>
      </c>
      <c r="C16" s="359" t="s">
        <v>345</v>
      </c>
      <c r="D16" s="359">
        <v>0.23154</v>
      </c>
      <c r="E16" s="359"/>
      <c r="F16" s="359">
        <v>0</v>
      </c>
      <c r="G16" s="359">
        <v>0.17397053547824998</v>
      </c>
      <c r="H16" s="359">
        <v>-0.17397053547824998</v>
      </c>
      <c r="I16" s="360">
        <v>0</v>
      </c>
      <c r="J16" s="361" t="s">
        <v>347</v>
      </c>
    </row>
  </sheetData>
  <mergeCells count="3">
    <mergeCell ref="A1:I1"/>
    <mergeCell ref="F3:I3"/>
    <mergeCell ref="C4:D4"/>
  </mergeCells>
  <conditionalFormatting sqref="F9 F17:F65537">
    <cfRule type="cellIs" dxfId="20" priority="18" stopIfTrue="1" operator="greaterThan">
      <formula>1</formula>
    </cfRule>
  </conditionalFormatting>
  <conditionalFormatting sqref="H5:H8">
    <cfRule type="expression" dxfId="19" priority="14">
      <formula>$H5&gt;0</formula>
    </cfRule>
  </conditionalFormatting>
  <conditionalFormatting sqref="I5:I8">
    <cfRule type="expression" dxfId="18" priority="15">
      <formula>$I5&gt;1</formula>
    </cfRule>
  </conditionalFormatting>
  <conditionalFormatting sqref="B5:B8">
    <cfRule type="expression" dxfId="17" priority="11">
      <formula>OR($J5="NS",$J5="SumaNS",$J5="Účet")</formula>
    </cfRule>
  </conditionalFormatting>
  <conditionalFormatting sqref="F5:I8 B5:D8">
    <cfRule type="expression" dxfId="16" priority="17">
      <formula>AND($J5&lt;&gt;"",$J5&lt;&gt;"mezeraKL")</formula>
    </cfRule>
  </conditionalFormatting>
  <conditionalFormatting sqref="B5:D8 F5:I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4" priority="13">
      <formula>OR($J5="SumaNS",$J5="NS")</formula>
    </cfRule>
  </conditionalFormatting>
  <conditionalFormatting sqref="A5:A8">
    <cfRule type="expression" dxfId="13" priority="9">
      <formula>AND($J5&lt;&gt;"mezeraKL",$J5&lt;&gt;"")</formula>
    </cfRule>
  </conditionalFormatting>
  <conditionalFormatting sqref="A5:A8">
    <cfRule type="expression" dxfId="12" priority="10">
      <formula>AND($J5&lt;&gt;"",$J5&lt;&gt;"mezeraKL")</formula>
    </cfRule>
  </conditionalFormatting>
  <conditionalFormatting sqref="H10:H16">
    <cfRule type="expression" dxfId="11" priority="5">
      <formula>$H10&gt;0</formula>
    </cfRule>
  </conditionalFormatting>
  <conditionalFormatting sqref="A10:A16">
    <cfRule type="expression" dxfId="10" priority="2">
      <formula>AND($J10&lt;&gt;"mezeraKL",$J10&lt;&gt;"")</formula>
    </cfRule>
  </conditionalFormatting>
  <conditionalFormatting sqref="I10:I16">
    <cfRule type="expression" dxfId="9" priority="6">
      <formula>$I10&gt;1</formula>
    </cfRule>
  </conditionalFormatting>
  <conditionalFormatting sqref="B10:B16">
    <cfRule type="expression" dxfId="8" priority="1">
      <formula>OR($J10="NS",$J10="SumaNS",$J10="Účet")</formula>
    </cfRule>
  </conditionalFormatting>
  <conditionalFormatting sqref="A10:D16 F10:I16">
    <cfRule type="expression" dxfId="7" priority="8">
      <formula>AND($J10&lt;&gt;"",$J10&lt;&gt;"mezeraKL")</formula>
    </cfRule>
  </conditionalFormatting>
  <conditionalFormatting sqref="B10:D16 F10:I16">
    <cfRule type="expression" dxfId="6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5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16" width="13.109375" hidden="1" customWidth="1"/>
    <col min="17" max="17" width="13.109375" customWidth="1"/>
    <col min="18" max="29" width="13.109375" hidden="1" customWidth="1"/>
    <col min="30" max="30" width="13.109375" customWidth="1"/>
    <col min="31" max="32" width="13.109375" hidden="1" customWidth="1"/>
    <col min="33" max="33" width="13.109375" customWidth="1"/>
  </cols>
  <sheetData>
    <row r="1" spans="1:34" ht="18.600000000000001" thickBot="1" x14ac:dyDescent="0.4">
      <c r="A1" s="306" t="s">
        <v>84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</row>
    <row r="2" spans="1:34" ht="15" thickBot="1" x14ac:dyDescent="0.35">
      <c r="A2" s="195" t="s">
        <v>221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</row>
    <row r="3" spans="1:34" x14ac:dyDescent="0.3">
      <c r="A3" s="214" t="s">
        <v>178</v>
      </c>
      <c r="B3" s="307" t="s">
        <v>159</v>
      </c>
      <c r="C3" s="197">
        <v>0</v>
      </c>
      <c r="D3" s="198">
        <v>101</v>
      </c>
      <c r="E3" s="198">
        <v>102</v>
      </c>
      <c r="F3" s="217">
        <v>305</v>
      </c>
      <c r="G3" s="217">
        <v>306</v>
      </c>
      <c r="H3" s="217">
        <v>408</v>
      </c>
      <c r="I3" s="217">
        <v>409</v>
      </c>
      <c r="J3" s="217">
        <v>410</v>
      </c>
      <c r="K3" s="217">
        <v>415</v>
      </c>
      <c r="L3" s="217">
        <v>416</v>
      </c>
      <c r="M3" s="217">
        <v>418</v>
      </c>
      <c r="N3" s="217">
        <v>419</v>
      </c>
      <c r="O3" s="217">
        <v>420</v>
      </c>
      <c r="P3" s="217">
        <v>421</v>
      </c>
      <c r="Q3" s="217">
        <v>522</v>
      </c>
      <c r="R3" s="217">
        <v>523</v>
      </c>
      <c r="S3" s="217">
        <v>524</v>
      </c>
      <c r="T3" s="217">
        <v>525</v>
      </c>
      <c r="U3" s="217">
        <v>526</v>
      </c>
      <c r="V3" s="217">
        <v>527</v>
      </c>
      <c r="W3" s="217">
        <v>528</v>
      </c>
      <c r="X3" s="217">
        <v>629</v>
      </c>
      <c r="Y3" s="217">
        <v>630</v>
      </c>
      <c r="Z3" s="217">
        <v>636</v>
      </c>
      <c r="AA3" s="217">
        <v>637</v>
      </c>
      <c r="AB3" s="217">
        <v>640</v>
      </c>
      <c r="AC3" s="217">
        <v>642</v>
      </c>
      <c r="AD3" s="217">
        <v>743</v>
      </c>
      <c r="AE3" s="198">
        <v>745</v>
      </c>
      <c r="AF3" s="198">
        <v>746</v>
      </c>
      <c r="AG3" s="371">
        <v>930</v>
      </c>
      <c r="AH3" s="387"/>
    </row>
    <row r="4" spans="1:34" ht="36.6" outlineLevel="1" thickBot="1" x14ac:dyDescent="0.35">
      <c r="A4" s="215">
        <v>2014</v>
      </c>
      <c r="B4" s="308"/>
      <c r="C4" s="199" t="s">
        <v>160</v>
      </c>
      <c r="D4" s="200" t="s">
        <v>161</v>
      </c>
      <c r="E4" s="200" t="s">
        <v>162</v>
      </c>
      <c r="F4" s="218" t="s">
        <v>190</v>
      </c>
      <c r="G4" s="218" t="s">
        <v>191</v>
      </c>
      <c r="H4" s="218" t="s">
        <v>192</v>
      </c>
      <c r="I4" s="218" t="s">
        <v>193</v>
      </c>
      <c r="J4" s="218" t="s">
        <v>194</v>
      </c>
      <c r="K4" s="218" t="s">
        <v>195</v>
      </c>
      <c r="L4" s="218" t="s">
        <v>196</v>
      </c>
      <c r="M4" s="218" t="s">
        <v>197</v>
      </c>
      <c r="N4" s="218" t="s">
        <v>198</v>
      </c>
      <c r="O4" s="218" t="s">
        <v>199</v>
      </c>
      <c r="P4" s="218" t="s">
        <v>200</v>
      </c>
      <c r="Q4" s="218" t="s">
        <v>201</v>
      </c>
      <c r="R4" s="218" t="s">
        <v>202</v>
      </c>
      <c r="S4" s="218" t="s">
        <v>203</v>
      </c>
      <c r="T4" s="218" t="s">
        <v>204</v>
      </c>
      <c r="U4" s="218" t="s">
        <v>205</v>
      </c>
      <c r="V4" s="218" t="s">
        <v>206</v>
      </c>
      <c r="W4" s="218" t="s">
        <v>215</v>
      </c>
      <c r="X4" s="218" t="s">
        <v>207</v>
      </c>
      <c r="Y4" s="218" t="s">
        <v>216</v>
      </c>
      <c r="Z4" s="218" t="s">
        <v>208</v>
      </c>
      <c r="AA4" s="218" t="s">
        <v>209</v>
      </c>
      <c r="AB4" s="218" t="s">
        <v>210</v>
      </c>
      <c r="AC4" s="218" t="s">
        <v>211</v>
      </c>
      <c r="AD4" s="218" t="s">
        <v>212</v>
      </c>
      <c r="AE4" s="200" t="s">
        <v>213</v>
      </c>
      <c r="AF4" s="200" t="s">
        <v>214</v>
      </c>
      <c r="AG4" s="372" t="s">
        <v>180</v>
      </c>
      <c r="AH4" s="387"/>
    </row>
    <row r="5" spans="1:34" x14ac:dyDescent="0.3">
      <c r="A5" s="201" t="s">
        <v>163</v>
      </c>
      <c r="B5" s="237"/>
      <c r="C5" s="238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373"/>
      <c r="AH5" s="387"/>
    </row>
    <row r="6" spans="1:34" ht="15" collapsed="1" thickBot="1" x14ac:dyDescent="0.35">
      <c r="A6" s="202" t="s">
        <v>50</v>
      </c>
      <c r="B6" s="240">
        <f xml:space="preserve">
TRUNC(IF($A$4&lt;=12,SUMIFS('ON Data'!F:F,'ON Data'!$D:$D,$A$4,'ON Data'!$E:$E,1),SUMIFS('ON Data'!F:F,'ON Data'!$E:$E,1)/'ON Data'!$D$3),1)</f>
        <v>13.2</v>
      </c>
      <c r="C6" s="241">
        <f xml:space="preserve">
TRUNC(IF($A$4&lt;=12,SUMIFS('ON Data'!G:G,'ON Data'!$D:$D,$A$4,'ON Data'!$E:$E,1),SUMIFS('ON Data'!G:G,'ON Data'!$E:$E,1)/'ON Data'!$D$3),1)</f>
        <v>0</v>
      </c>
      <c r="D6" s="242">
        <f xml:space="preserve">
TRUNC(IF($A$4&lt;=12,SUMIFS('ON Data'!H:H,'ON Data'!$D:$D,$A$4,'ON Data'!$E:$E,1),SUMIFS('ON Data'!H:H,'ON Data'!$E:$E,1)/'ON Data'!$D$3),1)</f>
        <v>0</v>
      </c>
      <c r="E6" s="242">
        <f xml:space="preserve">
TRUNC(IF($A$4&lt;=12,SUMIFS('ON Data'!I:I,'ON Data'!$D:$D,$A$4,'ON Data'!$E:$E,1),SUMIFS('ON Data'!I:I,'ON Data'!$E:$E,1)/'ON Data'!$D$3),1)</f>
        <v>0</v>
      </c>
      <c r="F6" s="242">
        <f xml:space="preserve">
TRUNC(IF($A$4&lt;=12,SUMIFS('ON Data'!K:K,'ON Data'!$D:$D,$A$4,'ON Data'!$E:$E,1),SUMIFS('ON Data'!K:K,'ON Data'!$E:$E,1)/'ON Data'!$D$3),1)</f>
        <v>0</v>
      </c>
      <c r="G6" s="242">
        <f xml:space="preserve">
TRUNC(IF($A$4&lt;=12,SUMIFS('ON Data'!L:L,'ON Data'!$D:$D,$A$4,'ON Data'!$E:$E,1),SUMIFS('ON Data'!L:L,'ON Data'!$E:$E,1)/'ON Data'!$D$3),1)</f>
        <v>0</v>
      </c>
      <c r="H6" s="242">
        <f xml:space="preserve">
TRUNC(IF($A$4&lt;=12,SUMIFS('ON Data'!M:M,'ON Data'!$D:$D,$A$4,'ON Data'!$E:$E,1),SUMIFS('ON Data'!M:M,'ON Data'!$E:$E,1)/'ON Data'!$D$3),1)</f>
        <v>0</v>
      </c>
      <c r="I6" s="242">
        <f xml:space="preserve">
TRUNC(IF($A$4&lt;=12,SUMIFS('ON Data'!N:N,'ON Data'!$D:$D,$A$4,'ON Data'!$E:$E,1),SUMIFS('ON Data'!N:N,'ON Data'!$E:$E,1)/'ON Data'!$D$3),1)</f>
        <v>0</v>
      </c>
      <c r="J6" s="242">
        <f xml:space="preserve">
TRUNC(IF($A$4&lt;=12,SUMIFS('ON Data'!O:O,'ON Data'!$D:$D,$A$4,'ON Data'!$E:$E,1),SUMIFS('ON Data'!O:O,'ON Data'!$E:$E,1)/'ON Data'!$D$3),1)</f>
        <v>0</v>
      </c>
      <c r="K6" s="242">
        <f xml:space="preserve">
TRUNC(IF($A$4&lt;=12,SUMIFS('ON Data'!P:P,'ON Data'!$D:$D,$A$4,'ON Data'!$E:$E,1),SUMIFS('ON Data'!P:P,'ON Data'!$E:$E,1)/'ON Data'!$D$3),1)</f>
        <v>0</v>
      </c>
      <c r="L6" s="242">
        <f xml:space="preserve">
TRUNC(IF($A$4&lt;=12,SUMIFS('ON Data'!Q:Q,'ON Data'!$D:$D,$A$4,'ON Data'!$E:$E,1),SUMIFS('ON Data'!Q:Q,'ON Data'!$E:$E,1)/'ON Data'!$D$3),1)</f>
        <v>0</v>
      </c>
      <c r="M6" s="242">
        <f xml:space="preserve">
TRUNC(IF($A$4&lt;=12,SUMIFS('ON Data'!R:R,'ON Data'!$D:$D,$A$4,'ON Data'!$E:$E,1),SUMIFS('ON Data'!R:R,'ON Data'!$E:$E,1)/'ON Data'!$D$3),1)</f>
        <v>0</v>
      </c>
      <c r="N6" s="242">
        <f xml:space="preserve">
TRUNC(IF($A$4&lt;=12,SUMIFS('ON Data'!S:S,'ON Data'!$D:$D,$A$4,'ON Data'!$E:$E,1),SUMIFS('ON Data'!S:S,'ON Data'!$E:$E,1)/'ON Data'!$D$3),1)</f>
        <v>0</v>
      </c>
      <c r="O6" s="242">
        <f xml:space="preserve">
TRUNC(IF($A$4&lt;=12,SUMIFS('ON Data'!T:T,'ON Data'!$D:$D,$A$4,'ON Data'!$E:$E,1),SUMIFS('ON Data'!T:T,'ON Data'!$E:$E,1)/'ON Data'!$D$3),1)</f>
        <v>0</v>
      </c>
      <c r="P6" s="242">
        <f xml:space="preserve">
TRUNC(IF($A$4&lt;=12,SUMIFS('ON Data'!U:U,'ON Data'!$D:$D,$A$4,'ON Data'!$E:$E,1),SUMIFS('ON Data'!U:U,'ON Data'!$E:$E,1)/'ON Data'!$D$3),1)</f>
        <v>0</v>
      </c>
      <c r="Q6" s="242">
        <f xml:space="preserve">
TRUNC(IF($A$4&lt;=12,SUMIFS('ON Data'!V:V,'ON Data'!$D:$D,$A$4,'ON Data'!$E:$E,1),SUMIFS('ON Data'!V:V,'ON Data'!$E:$E,1)/'ON Data'!$D$3),1)</f>
        <v>9.1999999999999993</v>
      </c>
      <c r="R6" s="242">
        <f xml:space="preserve">
TRUNC(IF($A$4&lt;=12,SUMIFS('ON Data'!W:W,'ON Data'!$D:$D,$A$4,'ON Data'!$E:$E,1),SUMIFS('ON Data'!W:W,'ON Data'!$E:$E,1)/'ON Data'!$D$3),1)</f>
        <v>0</v>
      </c>
      <c r="S6" s="242">
        <f xml:space="preserve">
TRUNC(IF($A$4&lt;=12,SUMIFS('ON Data'!X:X,'ON Data'!$D:$D,$A$4,'ON Data'!$E:$E,1),SUMIFS('ON Data'!X:X,'ON Data'!$E:$E,1)/'ON Data'!$D$3),1)</f>
        <v>0</v>
      </c>
      <c r="T6" s="242">
        <f xml:space="preserve">
TRUNC(IF($A$4&lt;=12,SUMIFS('ON Data'!Y:Y,'ON Data'!$D:$D,$A$4,'ON Data'!$E:$E,1),SUMIFS('ON Data'!Y:Y,'ON Data'!$E:$E,1)/'ON Data'!$D$3),1)</f>
        <v>0</v>
      </c>
      <c r="U6" s="242">
        <f xml:space="preserve">
TRUNC(IF($A$4&lt;=12,SUMIFS('ON Data'!Z:Z,'ON Data'!$D:$D,$A$4,'ON Data'!$E:$E,1),SUMIFS('ON Data'!Z:Z,'ON Data'!$E:$E,1)/'ON Data'!$D$3),1)</f>
        <v>0</v>
      </c>
      <c r="V6" s="242">
        <f xml:space="preserve">
TRUNC(IF($A$4&lt;=12,SUMIFS('ON Data'!AA:AA,'ON Data'!$D:$D,$A$4,'ON Data'!$E:$E,1),SUMIFS('ON Data'!AA:AA,'ON Data'!$E:$E,1)/'ON Data'!$D$3),1)</f>
        <v>0</v>
      </c>
      <c r="W6" s="242">
        <f xml:space="preserve">
TRUNC(IF($A$4&lt;=12,SUMIFS('ON Data'!AB:AB,'ON Data'!$D:$D,$A$4,'ON Data'!$E:$E,1),SUMIFS('ON Data'!AB:AB,'ON Data'!$E:$E,1)/'ON Data'!$D$3),1)</f>
        <v>0</v>
      </c>
      <c r="X6" s="242">
        <f xml:space="preserve">
TRUNC(IF($A$4&lt;=12,SUMIFS('ON Data'!AC:AC,'ON Data'!$D:$D,$A$4,'ON Data'!$E:$E,1),SUMIFS('ON Data'!AC:AC,'ON Data'!$E:$E,1)/'ON Data'!$D$3),1)</f>
        <v>0</v>
      </c>
      <c r="Y6" s="242">
        <f xml:space="preserve">
TRUNC(IF($A$4&lt;=12,SUMIFS('ON Data'!AD:AD,'ON Data'!$D:$D,$A$4,'ON Data'!$E:$E,1),SUMIFS('ON Data'!AD:AD,'ON Data'!$E:$E,1)/'ON Data'!$D$3),1)</f>
        <v>0</v>
      </c>
      <c r="Z6" s="242">
        <f xml:space="preserve">
TRUNC(IF($A$4&lt;=12,SUMIFS('ON Data'!AE:AE,'ON Data'!$D:$D,$A$4,'ON Data'!$E:$E,1),SUMIFS('ON Data'!AE:AE,'ON Data'!$E:$E,1)/'ON Data'!$D$3),1)</f>
        <v>0</v>
      </c>
      <c r="AA6" s="242">
        <f xml:space="preserve">
TRUNC(IF($A$4&lt;=12,SUMIFS('ON Data'!AF:AF,'ON Data'!$D:$D,$A$4,'ON Data'!$E:$E,1),SUMIFS('ON Data'!AF:AF,'ON Data'!$E:$E,1)/'ON Data'!$D$3),1)</f>
        <v>0</v>
      </c>
      <c r="AB6" s="242">
        <f xml:space="preserve">
TRUNC(IF($A$4&lt;=12,SUMIFS('ON Data'!AG:AG,'ON Data'!$D:$D,$A$4,'ON Data'!$E:$E,1),SUMIFS('ON Data'!AG:AG,'ON Data'!$E:$E,1)/'ON Data'!$D$3),1)</f>
        <v>0</v>
      </c>
      <c r="AC6" s="242">
        <f xml:space="preserve">
TRUNC(IF($A$4&lt;=12,SUMIFS('ON Data'!AH:AH,'ON Data'!$D:$D,$A$4,'ON Data'!$E:$E,1),SUMIFS('ON Data'!AH:AH,'ON Data'!$E:$E,1)/'ON Data'!$D$3),1)</f>
        <v>0</v>
      </c>
      <c r="AD6" s="242">
        <f xml:space="preserve">
TRUNC(IF($A$4&lt;=12,SUMIFS('ON Data'!AI:AI,'ON Data'!$D:$D,$A$4,'ON Data'!$E:$E,1),SUMIFS('ON Data'!AI:AI,'ON Data'!$E:$E,1)/'ON Data'!$D$3),1)</f>
        <v>3</v>
      </c>
      <c r="AE6" s="242">
        <f xml:space="preserve">
TRUNC(IF($A$4&lt;=12,SUMIFS('ON Data'!AJ:AJ,'ON Data'!$D:$D,$A$4,'ON Data'!$E:$E,1),SUMIFS('ON Data'!AJ:AJ,'ON Data'!$E:$E,1)/'ON Data'!$D$3),1)</f>
        <v>0</v>
      </c>
      <c r="AF6" s="242">
        <f xml:space="preserve">
TRUNC(IF($A$4&lt;=12,SUMIFS('ON Data'!AK:AK,'ON Data'!$D:$D,$A$4,'ON Data'!$E:$E,1),SUMIFS('ON Data'!AK:AK,'ON Data'!$E:$E,1)/'ON Data'!$D$3),1)</f>
        <v>0</v>
      </c>
      <c r="AG6" s="374">
        <f xml:space="preserve">
TRUNC(IF($A$4&lt;=12,SUMIFS('ON Data'!AM:AM,'ON Data'!$D:$D,$A$4,'ON Data'!$E:$E,1),SUMIFS('ON Data'!AM:AM,'ON Data'!$E:$E,1)/'ON Data'!$D$3),1)</f>
        <v>1</v>
      </c>
      <c r="AH6" s="387"/>
    </row>
    <row r="7" spans="1:34" ht="15" hidden="1" outlineLevel="1" thickBot="1" x14ac:dyDescent="0.35">
      <c r="A7" s="202" t="s">
        <v>85</v>
      </c>
      <c r="B7" s="240"/>
      <c r="C7" s="243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374"/>
      <c r="AH7" s="387"/>
    </row>
    <row r="8" spans="1:34" ht="15" hidden="1" outlineLevel="1" thickBot="1" x14ac:dyDescent="0.35">
      <c r="A8" s="202" t="s">
        <v>52</v>
      </c>
      <c r="B8" s="240"/>
      <c r="C8" s="243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374"/>
      <c r="AH8" s="387"/>
    </row>
    <row r="9" spans="1:34" ht="15" hidden="1" outlineLevel="1" thickBot="1" x14ac:dyDescent="0.35">
      <c r="A9" s="203" t="s">
        <v>45</v>
      </c>
      <c r="B9" s="244"/>
      <c r="C9" s="245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375"/>
      <c r="AH9" s="387"/>
    </row>
    <row r="10" spans="1:34" x14ac:dyDescent="0.3">
      <c r="A10" s="204" t="s">
        <v>164</v>
      </c>
      <c r="B10" s="219"/>
      <c r="C10" s="220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376"/>
      <c r="AH10" s="387"/>
    </row>
    <row r="11" spans="1:34" x14ac:dyDescent="0.3">
      <c r="A11" s="205" t="s">
        <v>165</v>
      </c>
      <c r="B11" s="222">
        <f xml:space="preserve">
IF($A$4&lt;=12,SUMIFS('ON Data'!F:F,'ON Data'!$D:$D,$A$4,'ON Data'!$E:$E,2),SUMIFS('ON Data'!F:F,'ON Data'!$E:$E,2))</f>
        <v>18195.2</v>
      </c>
      <c r="C11" s="223">
        <f xml:space="preserve">
IF($A$4&lt;=12,SUMIFS('ON Data'!G:G,'ON Data'!$D:$D,$A$4,'ON Data'!$E:$E,2),SUMIFS('ON Data'!G:G,'ON Data'!$E:$E,2))</f>
        <v>0</v>
      </c>
      <c r="D11" s="224">
        <f xml:space="preserve">
IF($A$4&lt;=12,SUMIFS('ON Data'!H:H,'ON Data'!$D:$D,$A$4,'ON Data'!$E:$E,2),SUMIFS('ON Data'!H:H,'ON Data'!$E:$E,2))</f>
        <v>0</v>
      </c>
      <c r="E11" s="224">
        <f xml:space="preserve">
IF($A$4&lt;=12,SUMIFS('ON Data'!I:I,'ON Data'!$D:$D,$A$4,'ON Data'!$E:$E,2),SUMIFS('ON Data'!I:I,'ON Data'!$E:$E,2))</f>
        <v>0</v>
      </c>
      <c r="F11" s="224">
        <f xml:space="preserve">
IF($A$4&lt;=12,SUMIFS('ON Data'!K:K,'ON Data'!$D:$D,$A$4,'ON Data'!$E:$E,2),SUMIFS('ON Data'!K:K,'ON Data'!$E:$E,2))</f>
        <v>0</v>
      </c>
      <c r="G11" s="224">
        <f xml:space="preserve">
IF($A$4&lt;=12,SUMIFS('ON Data'!L:L,'ON Data'!$D:$D,$A$4,'ON Data'!$E:$E,2),SUMIFS('ON Data'!L:L,'ON Data'!$E:$E,2))</f>
        <v>0</v>
      </c>
      <c r="H11" s="224">
        <f xml:space="preserve">
IF($A$4&lt;=12,SUMIFS('ON Data'!M:M,'ON Data'!$D:$D,$A$4,'ON Data'!$E:$E,2),SUMIFS('ON Data'!M:M,'ON Data'!$E:$E,2))</f>
        <v>0</v>
      </c>
      <c r="I11" s="224">
        <f xml:space="preserve">
IF($A$4&lt;=12,SUMIFS('ON Data'!N:N,'ON Data'!$D:$D,$A$4,'ON Data'!$E:$E,2),SUMIFS('ON Data'!N:N,'ON Data'!$E:$E,2))</f>
        <v>0</v>
      </c>
      <c r="J11" s="224">
        <f xml:space="preserve">
IF($A$4&lt;=12,SUMIFS('ON Data'!O:O,'ON Data'!$D:$D,$A$4,'ON Data'!$E:$E,2),SUMIFS('ON Data'!O:O,'ON Data'!$E:$E,2))</f>
        <v>0</v>
      </c>
      <c r="K11" s="224">
        <f xml:space="preserve">
IF($A$4&lt;=12,SUMIFS('ON Data'!P:P,'ON Data'!$D:$D,$A$4,'ON Data'!$E:$E,2),SUMIFS('ON Data'!P:P,'ON Data'!$E:$E,2))</f>
        <v>0</v>
      </c>
      <c r="L11" s="224">
        <f xml:space="preserve">
IF($A$4&lt;=12,SUMIFS('ON Data'!Q:Q,'ON Data'!$D:$D,$A$4,'ON Data'!$E:$E,2),SUMIFS('ON Data'!Q:Q,'ON Data'!$E:$E,2))</f>
        <v>0</v>
      </c>
      <c r="M11" s="224">
        <f xml:space="preserve">
IF($A$4&lt;=12,SUMIFS('ON Data'!R:R,'ON Data'!$D:$D,$A$4,'ON Data'!$E:$E,2),SUMIFS('ON Data'!R:R,'ON Data'!$E:$E,2))</f>
        <v>0</v>
      </c>
      <c r="N11" s="224">
        <f xml:space="preserve">
IF($A$4&lt;=12,SUMIFS('ON Data'!S:S,'ON Data'!$D:$D,$A$4,'ON Data'!$E:$E,2),SUMIFS('ON Data'!S:S,'ON Data'!$E:$E,2))</f>
        <v>0</v>
      </c>
      <c r="O11" s="224">
        <f xml:space="preserve">
IF($A$4&lt;=12,SUMIFS('ON Data'!T:T,'ON Data'!$D:$D,$A$4,'ON Data'!$E:$E,2),SUMIFS('ON Data'!T:T,'ON Data'!$E:$E,2))</f>
        <v>0</v>
      </c>
      <c r="P11" s="224">
        <f xml:space="preserve">
IF($A$4&lt;=12,SUMIFS('ON Data'!U:U,'ON Data'!$D:$D,$A$4,'ON Data'!$E:$E,2),SUMIFS('ON Data'!U:U,'ON Data'!$E:$E,2))</f>
        <v>0</v>
      </c>
      <c r="Q11" s="224">
        <f xml:space="preserve">
IF($A$4&lt;=12,SUMIFS('ON Data'!V:V,'ON Data'!$D:$D,$A$4,'ON Data'!$E:$E,2),SUMIFS('ON Data'!V:V,'ON Data'!$E:$E,2))</f>
        <v>12565.6</v>
      </c>
      <c r="R11" s="224">
        <f xml:space="preserve">
IF($A$4&lt;=12,SUMIFS('ON Data'!W:W,'ON Data'!$D:$D,$A$4,'ON Data'!$E:$E,2),SUMIFS('ON Data'!W:W,'ON Data'!$E:$E,2))</f>
        <v>0</v>
      </c>
      <c r="S11" s="224">
        <f xml:space="preserve">
IF($A$4&lt;=12,SUMIFS('ON Data'!X:X,'ON Data'!$D:$D,$A$4,'ON Data'!$E:$E,2),SUMIFS('ON Data'!X:X,'ON Data'!$E:$E,2))</f>
        <v>0</v>
      </c>
      <c r="T11" s="224">
        <f xml:space="preserve">
IF($A$4&lt;=12,SUMIFS('ON Data'!Y:Y,'ON Data'!$D:$D,$A$4,'ON Data'!$E:$E,2),SUMIFS('ON Data'!Y:Y,'ON Data'!$E:$E,2))</f>
        <v>0</v>
      </c>
      <c r="U11" s="224">
        <f xml:space="preserve">
IF($A$4&lt;=12,SUMIFS('ON Data'!Z:Z,'ON Data'!$D:$D,$A$4,'ON Data'!$E:$E,2),SUMIFS('ON Data'!Z:Z,'ON Data'!$E:$E,2))</f>
        <v>0</v>
      </c>
      <c r="V11" s="224">
        <f xml:space="preserve">
IF($A$4&lt;=12,SUMIFS('ON Data'!AA:AA,'ON Data'!$D:$D,$A$4,'ON Data'!$E:$E,2),SUMIFS('ON Data'!AA:AA,'ON Data'!$E:$E,2))</f>
        <v>0</v>
      </c>
      <c r="W11" s="224">
        <f xml:space="preserve">
IF($A$4&lt;=12,SUMIFS('ON Data'!AB:AB,'ON Data'!$D:$D,$A$4,'ON Data'!$E:$E,2),SUMIFS('ON Data'!AB:AB,'ON Data'!$E:$E,2))</f>
        <v>0</v>
      </c>
      <c r="X11" s="224">
        <f xml:space="preserve">
IF($A$4&lt;=12,SUMIFS('ON Data'!AC:AC,'ON Data'!$D:$D,$A$4,'ON Data'!$E:$E,2),SUMIFS('ON Data'!AC:AC,'ON Data'!$E:$E,2))</f>
        <v>0</v>
      </c>
      <c r="Y11" s="224">
        <f xml:space="preserve">
IF($A$4&lt;=12,SUMIFS('ON Data'!AD:AD,'ON Data'!$D:$D,$A$4,'ON Data'!$E:$E,2),SUMIFS('ON Data'!AD:AD,'ON Data'!$E:$E,2))</f>
        <v>0</v>
      </c>
      <c r="Z11" s="224">
        <f xml:space="preserve">
IF($A$4&lt;=12,SUMIFS('ON Data'!AE:AE,'ON Data'!$D:$D,$A$4,'ON Data'!$E:$E,2),SUMIFS('ON Data'!AE:AE,'ON Data'!$E:$E,2))</f>
        <v>0</v>
      </c>
      <c r="AA11" s="224">
        <f xml:space="preserve">
IF($A$4&lt;=12,SUMIFS('ON Data'!AF:AF,'ON Data'!$D:$D,$A$4,'ON Data'!$E:$E,2),SUMIFS('ON Data'!AF:AF,'ON Data'!$E:$E,2))</f>
        <v>0</v>
      </c>
      <c r="AB11" s="224">
        <f xml:space="preserve">
IF($A$4&lt;=12,SUMIFS('ON Data'!AG:AG,'ON Data'!$D:$D,$A$4,'ON Data'!$E:$E,2),SUMIFS('ON Data'!AG:AG,'ON Data'!$E:$E,2))</f>
        <v>0</v>
      </c>
      <c r="AC11" s="224">
        <f xml:space="preserve">
IF($A$4&lt;=12,SUMIFS('ON Data'!AH:AH,'ON Data'!$D:$D,$A$4,'ON Data'!$E:$E,2),SUMIFS('ON Data'!AH:AH,'ON Data'!$E:$E,2))</f>
        <v>0</v>
      </c>
      <c r="AD11" s="224">
        <f xml:space="preserve">
IF($A$4&lt;=12,SUMIFS('ON Data'!AI:AI,'ON Data'!$D:$D,$A$4,'ON Data'!$E:$E,2),SUMIFS('ON Data'!AI:AI,'ON Data'!$E:$E,2))</f>
        <v>4285.6000000000004</v>
      </c>
      <c r="AE11" s="224">
        <f xml:space="preserve">
IF($A$4&lt;=12,SUMIFS('ON Data'!AJ:AJ,'ON Data'!$D:$D,$A$4,'ON Data'!$E:$E,2),SUMIFS('ON Data'!AJ:AJ,'ON Data'!$E:$E,2))</f>
        <v>0</v>
      </c>
      <c r="AF11" s="224">
        <f xml:space="preserve">
IF($A$4&lt;=12,SUMIFS('ON Data'!AK:AK,'ON Data'!$D:$D,$A$4,'ON Data'!$E:$E,2),SUMIFS('ON Data'!AK:AK,'ON Data'!$E:$E,2))</f>
        <v>0</v>
      </c>
      <c r="AG11" s="377">
        <f xml:space="preserve">
IF($A$4&lt;=12,SUMIFS('ON Data'!AM:AM,'ON Data'!$D:$D,$A$4,'ON Data'!$E:$E,2),SUMIFS('ON Data'!AM:AM,'ON Data'!$E:$E,2))</f>
        <v>1344</v>
      </c>
      <c r="AH11" s="387"/>
    </row>
    <row r="12" spans="1:34" x14ac:dyDescent="0.3">
      <c r="A12" s="205" t="s">
        <v>166</v>
      </c>
      <c r="B12" s="222">
        <f xml:space="preserve">
IF($A$4&lt;=12,SUMIFS('ON Data'!F:F,'ON Data'!$D:$D,$A$4,'ON Data'!$E:$E,3),SUMIFS('ON Data'!F:F,'ON Data'!$E:$E,3))</f>
        <v>0</v>
      </c>
      <c r="C12" s="223">
        <f xml:space="preserve">
IF($A$4&lt;=12,SUMIFS('ON Data'!G:G,'ON Data'!$D:$D,$A$4,'ON Data'!$E:$E,3),SUMIFS('ON Data'!G:G,'ON Data'!$E:$E,3))</f>
        <v>0</v>
      </c>
      <c r="D12" s="224">
        <f xml:space="preserve">
IF($A$4&lt;=12,SUMIFS('ON Data'!H:H,'ON Data'!$D:$D,$A$4,'ON Data'!$E:$E,3),SUMIFS('ON Data'!H:H,'ON Data'!$E:$E,3))</f>
        <v>0</v>
      </c>
      <c r="E12" s="224">
        <f xml:space="preserve">
IF($A$4&lt;=12,SUMIFS('ON Data'!I:I,'ON Data'!$D:$D,$A$4,'ON Data'!$E:$E,3),SUMIFS('ON Data'!I:I,'ON Data'!$E:$E,3))</f>
        <v>0</v>
      </c>
      <c r="F12" s="224">
        <f xml:space="preserve">
IF($A$4&lt;=12,SUMIFS('ON Data'!K:K,'ON Data'!$D:$D,$A$4,'ON Data'!$E:$E,3),SUMIFS('ON Data'!K:K,'ON Data'!$E:$E,3))</f>
        <v>0</v>
      </c>
      <c r="G12" s="224">
        <f xml:space="preserve">
IF($A$4&lt;=12,SUMIFS('ON Data'!L:L,'ON Data'!$D:$D,$A$4,'ON Data'!$E:$E,3),SUMIFS('ON Data'!L:L,'ON Data'!$E:$E,3))</f>
        <v>0</v>
      </c>
      <c r="H12" s="224">
        <f xml:space="preserve">
IF($A$4&lt;=12,SUMIFS('ON Data'!M:M,'ON Data'!$D:$D,$A$4,'ON Data'!$E:$E,3),SUMIFS('ON Data'!M:M,'ON Data'!$E:$E,3))</f>
        <v>0</v>
      </c>
      <c r="I12" s="224">
        <f xml:space="preserve">
IF($A$4&lt;=12,SUMIFS('ON Data'!N:N,'ON Data'!$D:$D,$A$4,'ON Data'!$E:$E,3),SUMIFS('ON Data'!N:N,'ON Data'!$E:$E,3))</f>
        <v>0</v>
      </c>
      <c r="J12" s="224">
        <f xml:space="preserve">
IF($A$4&lt;=12,SUMIFS('ON Data'!O:O,'ON Data'!$D:$D,$A$4,'ON Data'!$E:$E,3),SUMIFS('ON Data'!O:O,'ON Data'!$E:$E,3))</f>
        <v>0</v>
      </c>
      <c r="K12" s="224">
        <f xml:space="preserve">
IF($A$4&lt;=12,SUMIFS('ON Data'!P:P,'ON Data'!$D:$D,$A$4,'ON Data'!$E:$E,3),SUMIFS('ON Data'!P:P,'ON Data'!$E:$E,3))</f>
        <v>0</v>
      </c>
      <c r="L12" s="224">
        <f xml:space="preserve">
IF($A$4&lt;=12,SUMIFS('ON Data'!Q:Q,'ON Data'!$D:$D,$A$4,'ON Data'!$E:$E,3),SUMIFS('ON Data'!Q:Q,'ON Data'!$E:$E,3))</f>
        <v>0</v>
      </c>
      <c r="M12" s="224">
        <f xml:space="preserve">
IF($A$4&lt;=12,SUMIFS('ON Data'!R:R,'ON Data'!$D:$D,$A$4,'ON Data'!$E:$E,3),SUMIFS('ON Data'!R:R,'ON Data'!$E:$E,3))</f>
        <v>0</v>
      </c>
      <c r="N12" s="224">
        <f xml:space="preserve">
IF($A$4&lt;=12,SUMIFS('ON Data'!S:S,'ON Data'!$D:$D,$A$4,'ON Data'!$E:$E,3),SUMIFS('ON Data'!S:S,'ON Data'!$E:$E,3))</f>
        <v>0</v>
      </c>
      <c r="O12" s="224">
        <f xml:space="preserve">
IF($A$4&lt;=12,SUMIFS('ON Data'!T:T,'ON Data'!$D:$D,$A$4,'ON Data'!$E:$E,3),SUMIFS('ON Data'!T:T,'ON Data'!$E:$E,3))</f>
        <v>0</v>
      </c>
      <c r="P12" s="224">
        <f xml:space="preserve">
IF($A$4&lt;=12,SUMIFS('ON Data'!U:U,'ON Data'!$D:$D,$A$4,'ON Data'!$E:$E,3),SUMIFS('ON Data'!U:U,'ON Data'!$E:$E,3))</f>
        <v>0</v>
      </c>
      <c r="Q12" s="224">
        <f xml:space="preserve">
IF($A$4&lt;=12,SUMIFS('ON Data'!V:V,'ON Data'!$D:$D,$A$4,'ON Data'!$E:$E,3),SUMIFS('ON Data'!V:V,'ON Data'!$E:$E,3))</f>
        <v>0</v>
      </c>
      <c r="R12" s="224">
        <f xml:space="preserve">
IF($A$4&lt;=12,SUMIFS('ON Data'!W:W,'ON Data'!$D:$D,$A$4,'ON Data'!$E:$E,3),SUMIFS('ON Data'!W:W,'ON Data'!$E:$E,3))</f>
        <v>0</v>
      </c>
      <c r="S12" s="224">
        <f xml:space="preserve">
IF($A$4&lt;=12,SUMIFS('ON Data'!X:X,'ON Data'!$D:$D,$A$4,'ON Data'!$E:$E,3),SUMIFS('ON Data'!X:X,'ON Data'!$E:$E,3))</f>
        <v>0</v>
      </c>
      <c r="T12" s="224">
        <f xml:space="preserve">
IF($A$4&lt;=12,SUMIFS('ON Data'!Y:Y,'ON Data'!$D:$D,$A$4,'ON Data'!$E:$E,3),SUMIFS('ON Data'!Y:Y,'ON Data'!$E:$E,3))</f>
        <v>0</v>
      </c>
      <c r="U12" s="224">
        <f xml:space="preserve">
IF($A$4&lt;=12,SUMIFS('ON Data'!Z:Z,'ON Data'!$D:$D,$A$4,'ON Data'!$E:$E,3),SUMIFS('ON Data'!Z:Z,'ON Data'!$E:$E,3))</f>
        <v>0</v>
      </c>
      <c r="V12" s="224">
        <f xml:space="preserve">
IF($A$4&lt;=12,SUMIFS('ON Data'!AA:AA,'ON Data'!$D:$D,$A$4,'ON Data'!$E:$E,3),SUMIFS('ON Data'!AA:AA,'ON Data'!$E:$E,3))</f>
        <v>0</v>
      </c>
      <c r="W12" s="224">
        <f xml:space="preserve">
IF($A$4&lt;=12,SUMIFS('ON Data'!AB:AB,'ON Data'!$D:$D,$A$4,'ON Data'!$E:$E,3),SUMIFS('ON Data'!AB:AB,'ON Data'!$E:$E,3))</f>
        <v>0</v>
      </c>
      <c r="X12" s="224">
        <f xml:space="preserve">
IF($A$4&lt;=12,SUMIFS('ON Data'!AC:AC,'ON Data'!$D:$D,$A$4,'ON Data'!$E:$E,3),SUMIFS('ON Data'!AC:AC,'ON Data'!$E:$E,3))</f>
        <v>0</v>
      </c>
      <c r="Y12" s="224">
        <f xml:space="preserve">
IF($A$4&lt;=12,SUMIFS('ON Data'!AD:AD,'ON Data'!$D:$D,$A$4,'ON Data'!$E:$E,3),SUMIFS('ON Data'!AD:AD,'ON Data'!$E:$E,3))</f>
        <v>0</v>
      </c>
      <c r="Z12" s="224">
        <f xml:space="preserve">
IF($A$4&lt;=12,SUMIFS('ON Data'!AE:AE,'ON Data'!$D:$D,$A$4,'ON Data'!$E:$E,3),SUMIFS('ON Data'!AE:AE,'ON Data'!$E:$E,3))</f>
        <v>0</v>
      </c>
      <c r="AA12" s="224">
        <f xml:space="preserve">
IF($A$4&lt;=12,SUMIFS('ON Data'!AF:AF,'ON Data'!$D:$D,$A$4,'ON Data'!$E:$E,3),SUMIFS('ON Data'!AF:AF,'ON Data'!$E:$E,3))</f>
        <v>0</v>
      </c>
      <c r="AB12" s="224">
        <f xml:space="preserve">
IF($A$4&lt;=12,SUMIFS('ON Data'!AG:AG,'ON Data'!$D:$D,$A$4,'ON Data'!$E:$E,3),SUMIFS('ON Data'!AG:AG,'ON Data'!$E:$E,3))</f>
        <v>0</v>
      </c>
      <c r="AC12" s="224">
        <f xml:space="preserve">
IF($A$4&lt;=12,SUMIFS('ON Data'!AH:AH,'ON Data'!$D:$D,$A$4,'ON Data'!$E:$E,3),SUMIFS('ON Data'!AH:AH,'ON Data'!$E:$E,3))</f>
        <v>0</v>
      </c>
      <c r="AD12" s="224">
        <f xml:space="preserve">
IF($A$4&lt;=12,SUMIFS('ON Data'!AI:AI,'ON Data'!$D:$D,$A$4,'ON Data'!$E:$E,3),SUMIFS('ON Data'!AI:AI,'ON Data'!$E:$E,3))</f>
        <v>0</v>
      </c>
      <c r="AE12" s="224">
        <f xml:space="preserve">
IF($A$4&lt;=12,SUMIFS('ON Data'!AJ:AJ,'ON Data'!$D:$D,$A$4,'ON Data'!$E:$E,3),SUMIFS('ON Data'!AJ:AJ,'ON Data'!$E:$E,3))</f>
        <v>0</v>
      </c>
      <c r="AF12" s="224">
        <f xml:space="preserve">
IF($A$4&lt;=12,SUMIFS('ON Data'!AK:AK,'ON Data'!$D:$D,$A$4,'ON Data'!$E:$E,3),SUMIFS('ON Data'!AK:AK,'ON Data'!$E:$E,3))</f>
        <v>0</v>
      </c>
      <c r="AG12" s="377">
        <f xml:space="preserve">
IF($A$4&lt;=12,SUMIFS('ON Data'!AM:AM,'ON Data'!$D:$D,$A$4,'ON Data'!$E:$E,3),SUMIFS('ON Data'!AM:AM,'ON Data'!$E:$E,3))</f>
        <v>0</v>
      </c>
      <c r="AH12" s="387"/>
    </row>
    <row r="13" spans="1:34" x14ac:dyDescent="0.3">
      <c r="A13" s="205" t="s">
        <v>173</v>
      </c>
      <c r="B13" s="222">
        <f xml:space="preserve">
IF($A$4&lt;=12,SUMIFS('ON Data'!F:F,'ON Data'!$D:$D,$A$4,'ON Data'!$E:$E,4),SUMIFS('ON Data'!F:F,'ON Data'!$E:$E,4))</f>
        <v>0</v>
      </c>
      <c r="C13" s="223">
        <f xml:space="preserve">
IF($A$4&lt;=12,SUMIFS('ON Data'!G:G,'ON Data'!$D:$D,$A$4,'ON Data'!$E:$E,4),SUMIFS('ON Data'!G:G,'ON Data'!$E:$E,4))</f>
        <v>0</v>
      </c>
      <c r="D13" s="224">
        <f xml:space="preserve">
IF($A$4&lt;=12,SUMIFS('ON Data'!H:H,'ON Data'!$D:$D,$A$4,'ON Data'!$E:$E,4),SUMIFS('ON Data'!H:H,'ON Data'!$E:$E,4))</f>
        <v>0</v>
      </c>
      <c r="E13" s="224">
        <f xml:space="preserve">
IF($A$4&lt;=12,SUMIFS('ON Data'!I:I,'ON Data'!$D:$D,$A$4,'ON Data'!$E:$E,4),SUMIFS('ON Data'!I:I,'ON Data'!$E:$E,4))</f>
        <v>0</v>
      </c>
      <c r="F13" s="224">
        <f xml:space="preserve">
IF($A$4&lt;=12,SUMIFS('ON Data'!K:K,'ON Data'!$D:$D,$A$4,'ON Data'!$E:$E,4),SUMIFS('ON Data'!K:K,'ON Data'!$E:$E,4))</f>
        <v>0</v>
      </c>
      <c r="G13" s="224">
        <f xml:space="preserve">
IF($A$4&lt;=12,SUMIFS('ON Data'!L:L,'ON Data'!$D:$D,$A$4,'ON Data'!$E:$E,4),SUMIFS('ON Data'!L:L,'ON Data'!$E:$E,4))</f>
        <v>0</v>
      </c>
      <c r="H13" s="224">
        <f xml:space="preserve">
IF($A$4&lt;=12,SUMIFS('ON Data'!M:M,'ON Data'!$D:$D,$A$4,'ON Data'!$E:$E,4),SUMIFS('ON Data'!M:M,'ON Data'!$E:$E,4))</f>
        <v>0</v>
      </c>
      <c r="I13" s="224">
        <f xml:space="preserve">
IF($A$4&lt;=12,SUMIFS('ON Data'!N:N,'ON Data'!$D:$D,$A$4,'ON Data'!$E:$E,4),SUMIFS('ON Data'!N:N,'ON Data'!$E:$E,4))</f>
        <v>0</v>
      </c>
      <c r="J13" s="224">
        <f xml:space="preserve">
IF($A$4&lt;=12,SUMIFS('ON Data'!O:O,'ON Data'!$D:$D,$A$4,'ON Data'!$E:$E,4),SUMIFS('ON Data'!O:O,'ON Data'!$E:$E,4))</f>
        <v>0</v>
      </c>
      <c r="K13" s="224">
        <f xml:space="preserve">
IF($A$4&lt;=12,SUMIFS('ON Data'!P:P,'ON Data'!$D:$D,$A$4,'ON Data'!$E:$E,4),SUMIFS('ON Data'!P:P,'ON Data'!$E:$E,4))</f>
        <v>0</v>
      </c>
      <c r="L13" s="224">
        <f xml:space="preserve">
IF($A$4&lt;=12,SUMIFS('ON Data'!Q:Q,'ON Data'!$D:$D,$A$4,'ON Data'!$E:$E,4),SUMIFS('ON Data'!Q:Q,'ON Data'!$E:$E,4))</f>
        <v>0</v>
      </c>
      <c r="M13" s="224">
        <f xml:space="preserve">
IF($A$4&lt;=12,SUMIFS('ON Data'!R:R,'ON Data'!$D:$D,$A$4,'ON Data'!$E:$E,4),SUMIFS('ON Data'!R:R,'ON Data'!$E:$E,4))</f>
        <v>0</v>
      </c>
      <c r="N13" s="224">
        <f xml:space="preserve">
IF($A$4&lt;=12,SUMIFS('ON Data'!S:S,'ON Data'!$D:$D,$A$4,'ON Data'!$E:$E,4),SUMIFS('ON Data'!S:S,'ON Data'!$E:$E,4))</f>
        <v>0</v>
      </c>
      <c r="O13" s="224">
        <f xml:space="preserve">
IF($A$4&lt;=12,SUMIFS('ON Data'!T:T,'ON Data'!$D:$D,$A$4,'ON Data'!$E:$E,4),SUMIFS('ON Data'!T:T,'ON Data'!$E:$E,4))</f>
        <v>0</v>
      </c>
      <c r="P13" s="224">
        <f xml:space="preserve">
IF($A$4&lt;=12,SUMIFS('ON Data'!U:U,'ON Data'!$D:$D,$A$4,'ON Data'!$E:$E,4),SUMIFS('ON Data'!U:U,'ON Data'!$E:$E,4))</f>
        <v>0</v>
      </c>
      <c r="Q13" s="224">
        <f xml:space="preserve">
IF($A$4&lt;=12,SUMIFS('ON Data'!V:V,'ON Data'!$D:$D,$A$4,'ON Data'!$E:$E,4),SUMIFS('ON Data'!V:V,'ON Data'!$E:$E,4))</f>
        <v>0</v>
      </c>
      <c r="R13" s="224">
        <f xml:space="preserve">
IF($A$4&lt;=12,SUMIFS('ON Data'!W:W,'ON Data'!$D:$D,$A$4,'ON Data'!$E:$E,4),SUMIFS('ON Data'!W:W,'ON Data'!$E:$E,4))</f>
        <v>0</v>
      </c>
      <c r="S13" s="224">
        <f xml:space="preserve">
IF($A$4&lt;=12,SUMIFS('ON Data'!X:X,'ON Data'!$D:$D,$A$4,'ON Data'!$E:$E,4),SUMIFS('ON Data'!X:X,'ON Data'!$E:$E,4))</f>
        <v>0</v>
      </c>
      <c r="T13" s="224">
        <f xml:space="preserve">
IF($A$4&lt;=12,SUMIFS('ON Data'!Y:Y,'ON Data'!$D:$D,$A$4,'ON Data'!$E:$E,4),SUMIFS('ON Data'!Y:Y,'ON Data'!$E:$E,4))</f>
        <v>0</v>
      </c>
      <c r="U13" s="224">
        <f xml:space="preserve">
IF($A$4&lt;=12,SUMIFS('ON Data'!Z:Z,'ON Data'!$D:$D,$A$4,'ON Data'!$E:$E,4),SUMIFS('ON Data'!Z:Z,'ON Data'!$E:$E,4))</f>
        <v>0</v>
      </c>
      <c r="V13" s="224">
        <f xml:space="preserve">
IF($A$4&lt;=12,SUMIFS('ON Data'!AA:AA,'ON Data'!$D:$D,$A$4,'ON Data'!$E:$E,4),SUMIFS('ON Data'!AA:AA,'ON Data'!$E:$E,4))</f>
        <v>0</v>
      </c>
      <c r="W13" s="224">
        <f xml:space="preserve">
IF($A$4&lt;=12,SUMIFS('ON Data'!AB:AB,'ON Data'!$D:$D,$A$4,'ON Data'!$E:$E,4),SUMIFS('ON Data'!AB:AB,'ON Data'!$E:$E,4))</f>
        <v>0</v>
      </c>
      <c r="X13" s="224">
        <f xml:space="preserve">
IF($A$4&lt;=12,SUMIFS('ON Data'!AC:AC,'ON Data'!$D:$D,$A$4,'ON Data'!$E:$E,4),SUMIFS('ON Data'!AC:AC,'ON Data'!$E:$E,4))</f>
        <v>0</v>
      </c>
      <c r="Y13" s="224">
        <f xml:space="preserve">
IF($A$4&lt;=12,SUMIFS('ON Data'!AD:AD,'ON Data'!$D:$D,$A$4,'ON Data'!$E:$E,4),SUMIFS('ON Data'!AD:AD,'ON Data'!$E:$E,4))</f>
        <v>0</v>
      </c>
      <c r="Z13" s="224">
        <f xml:space="preserve">
IF($A$4&lt;=12,SUMIFS('ON Data'!AE:AE,'ON Data'!$D:$D,$A$4,'ON Data'!$E:$E,4),SUMIFS('ON Data'!AE:AE,'ON Data'!$E:$E,4))</f>
        <v>0</v>
      </c>
      <c r="AA13" s="224">
        <f xml:space="preserve">
IF($A$4&lt;=12,SUMIFS('ON Data'!AF:AF,'ON Data'!$D:$D,$A$4,'ON Data'!$E:$E,4),SUMIFS('ON Data'!AF:AF,'ON Data'!$E:$E,4))</f>
        <v>0</v>
      </c>
      <c r="AB13" s="224">
        <f xml:space="preserve">
IF($A$4&lt;=12,SUMIFS('ON Data'!AG:AG,'ON Data'!$D:$D,$A$4,'ON Data'!$E:$E,4),SUMIFS('ON Data'!AG:AG,'ON Data'!$E:$E,4))</f>
        <v>0</v>
      </c>
      <c r="AC13" s="224">
        <f xml:space="preserve">
IF($A$4&lt;=12,SUMIFS('ON Data'!AH:AH,'ON Data'!$D:$D,$A$4,'ON Data'!$E:$E,4),SUMIFS('ON Data'!AH:AH,'ON Data'!$E:$E,4))</f>
        <v>0</v>
      </c>
      <c r="AD13" s="224">
        <f xml:space="preserve">
IF($A$4&lt;=12,SUMIFS('ON Data'!AI:AI,'ON Data'!$D:$D,$A$4,'ON Data'!$E:$E,4),SUMIFS('ON Data'!AI:AI,'ON Data'!$E:$E,4))</f>
        <v>0</v>
      </c>
      <c r="AE13" s="224">
        <f xml:space="preserve">
IF($A$4&lt;=12,SUMIFS('ON Data'!AJ:AJ,'ON Data'!$D:$D,$A$4,'ON Data'!$E:$E,4),SUMIFS('ON Data'!AJ:AJ,'ON Data'!$E:$E,4))</f>
        <v>0</v>
      </c>
      <c r="AF13" s="224">
        <f xml:space="preserve">
IF($A$4&lt;=12,SUMIFS('ON Data'!AK:AK,'ON Data'!$D:$D,$A$4,'ON Data'!$E:$E,4),SUMIFS('ON Data'!AK:AK,'ON Data'!$E:$E,4))</f>
        <v>0</v>
      </c>
      <c r="AG13" s="377">
        <f xml:space="preserve">
IF($A$4&lt;=12,SUMIFS('ON Data'!AM:AM,'ON Data'!$D:$D,$A$4,'ON Data'!$E:$E,4),SUMIFS('ON Data'!AM:AM,'ON Data'!$E:$E,4))</f>
        <v>0</v>
      </c>
      <c r="AH13" s="387"/>
    </row>
    <row r="14" spans="1:34" ht="15" thickBot="1" x14ac:dyDescent="0.35">
      <c r="A14" s="206" t="s">
        <v>167</v>
      </c>
      <c r="B14" s="225">
        <f xml:space="preserve">
IF($A$4&lt;=12,SUMIFS('ON Data'!F:F,'ON Data'!$D:$D,$A$4,'ON Data'!$E:$E,5),SUMIFS('ON Data'!F:F,'ON Data'!$E:$E,5))</f>
        <v>0</v>
      </c>
      <c r="C14" s="226">
        <f xml:space="preserve">
IF($A$4&lt;=12,SUMIFS('ON Data'!G:G,'ON Data'!$D:$D,$A$4,'ON Data'!$E:$E,5),SUMIFS('ON Data'!G:G,'ON Data'!$E:$E,5))</f>
        <v>0</v>
      </c>
      <c r="D14" s="227">
        <f xml:space="preserve">
IF($A$4&lt;=12,SUMIFS('ON Data'!H:H,'ON Data'!$D:$D,$A$4,'ON Data'!$E:$E,5),SUMIFS('ON Data'!H:H,'ON Data'!$E:$E,5))</f>
        <v>0</v>
      </c>
      <c r="E14" s="227">
        <f xml:space="preserve">
IF($A$4&lt;=12,SUMIFS('ON Data'!I:I,'ON Data'!$D:$D,$A$4,'ON Data'!$E:$E,5),SUMIFS('ON Data'!I:I,'ON Data'!$E:$E,5))</f>
        <v>0</v>
      </c>
      <c r="F14" s="227">
        <f xml:space="preserve">
IF($A$4&lt;=12,SUMIFS('ON Data'!K:K,'ON Data'!$D:$D,$A$4,'ON Data'!$E:$E,5),SUMIFS('ON Data'!K:K,'ON Data'!$E:$E,5))</f>
        <v>0</v>
      </c>
      <c r="G14" s="227">
        <f xml:space="preserve">
IF($A$4&lt;=12,SUMIFS('ON Data'!L:L,'ON Data'!$D:$D,$A$4,'ON Data'!$E:$E,5),SUMIFS('ON Data'!L:L,'ON Data'!$E:$E,5))</f>
        <v>0</v>
      </c>
      <c r="H14" s="227">
        <f xml:space="preserve">
IF($A$4&lt;=12,SUMIFS('ON Data'!M:M,'ON Data'!$D:$D,$A$4,'ON Data'!$E:$E,5),SUMIFS('ON Data'!M:M,'ON Data'!$E:$E,5))</f>
        <v>0</v>
      </c>
      <c r="I14" s="227">
        <f xml:space="preserve">
IF($A$4&lt;=12,SUMIFS('ON Data'!N:N,'ON Data'!$D:$D,$A$4,'ON Data'!$E:$E,5),SUMIFS('ON Data'!N:N,'ON Data'!$E:$E,5))</f>
        <v>0</v>
      </c>
      <c r="J14" s="227">
        <f xml:space="preserve">
IF($A$4&lt;=12,SUMIFS('ON Data'!O:O,'ON Data'!$D:$D,$A$4,'ON Data'!$E:$E,5),SUMIFS('ON Data'!O:O,'ON Data'!$E:$E,5))</f>
        <v>0</v>
      </c>
      <c r="K14" s="227">
        <f xml:space="preserve">
IF($A$4&lt;=12,SUMIFS('ON Data'!P:P,'ON Data'!$D:$D,$A$4,'ON Data'!$E:$E,5),SUMIFS('ON Data'!P:P,'ON Data'!$E:$E,5))</f>
        <v>0</v>
      </c>
      <c r="L14" s="227">
        <f xml:space="preserve">
IF($A$4&lt;=12,SUMIFS('ON Data'!Q:Q,'ON Data'!$D:$D,$A$4,'ON Data'!$E:$E,5),SUMIFS('ON Data'!Q:Q,'ON Data'!$E:$E,5))</f>
        <v>0</v>
      </c>
      <c r="M14" s="227">
        <f xml:space="preserve">
IF($A$4&lt;=12,SUMIFS('ON Data'!R:R,'ON Data'!$D:$D,$A$4,'ON Data'!$E:$E,5),SUMIFS('ON Data'!R:R,'ON Data'!$E:$E,5))</f>
        <v>0</v>
      </c>
      <c r="N14" s="227">
        <f xml:space="preserve">
IF($A$4&lt;=12,SUMIFS('ON Data'!S:S,'ON Data'!$D:$D,$A$4,'ON Data'!$E:$E,5),SUMIFS('ON Data'!S:S,'ON Data'!$E:$E,5))</f>
        <v>0</v>
      </c>
      <c r="O14" s="227">
        <f xml:space="preserve">
IF($A$4&lt;=12,SUMIFS('ON Data'!T:T,'ON Data'!$D:$D,$A$4,'ON Data'!$E:$E,5),SUMIFS('ON Data'!T:T,'ON Data'!$E:$E,5))</f>
        <v>0</v>
      </c>
      <c r="P14" s="227">
        <f xml:space="preserve">
IF($A$4&lt;=12,SUMIFS('ON Data'!U:U,'ON Data'!$D:$D,$A$4,'ON Data'!$E:$E,5),SUMIFS('ON Data'!U:U,'ON Data'!$E:$E,5))</f>
        <v>0</v>
      </c>
      <c r="Q14" s="227">
        <f xml:space="preserve">
IF($A$4&lt;=12,SUMIFS('ON Data'!V:V,'ON Data'!$D:$D,$A$4,'ON Data'!$E:$E,5),SUMIFS('ON Data'!V:V,'ON Data'!$E:$E,5))</f>
        <v>0</v>
      </c>
      <c r="R14" s="227">
        <f xml:space="preserve">
IF($A$4&lt;=12,SUMIFS('ON Data'!W:W,'ON Data'!$D:$D,$A$4,'ON Data'!$E:$E,5),SUMIFS('ON Data'!W:W,'ON Data'!$E:$E,5))</f>
        <v>0</v>
      </c>
      <c r="S14" s="227">
        <f xml:space="preserve">
IF($A$4&lt;=12,SUMIFS('ON Data'!X:X,'ON Data'!$D:$D,$A$4,'ON Data'!$E:$E,5),SUMIFS('ON Data'!X:X,'ON Data'!$E:$E,5))</f>
        <v>0</v>
      </c>
      <c r="T14" s="227">
        <f xml:space="preserve">
IF($A$4&lt;=12,SUMIFS('ON Data'!Y:Y,'ON Data'!$D:$D,$A$4,'ON Data'!$E:$E,5),SUMIFS('ON Data'!Y:Y,'ON Data'!$E:$E,5))</f>
        <v>0</v>
      </c>
      <c r="U14" s="227">
        <f xml:space="preserve">
IF($A$4&lt;=12,SUMIFS('ON Data'!Z:Z,'ON Data'!$D:$D,$A$4,'ON Data'!$E:$E,5),SUMIFS('ON Data'!Z:Z,'ON Data'!$E:$E,5))</f>
        <v>0</v>
      </c>
      <c r="V14" s="227">
        <f xml:space="preserve">
IF($A$4&lt;=12,SUMIFS('ON Data'!AA:AA,'ON Data'!$D:$D,$A$4,'ON Data'!$E:$E,5),SUMIFS('ON Data'!AA:AA,'ON Data'!$E:$E,5))</f>
        <v>0</v>
      </c>
      <c r="W14" s="227">
        <f xml:space="preserve">
IF($A$4&lt;=12,SUMIFS('ON Data'!AB:AB,'ON Data'!$D:$D,$A$4,'ON Data'!$E:$E,5),SUMIFS('ON Data'!AB:AB,'ON Data'!$E:$E,5))</f>
        <v>0</v>
      </c>
      <c r="X14" s="227">
        <f xml:space="preserve">
IF($A$4&lt;=12,SUMIFS('ON Data'!AC:AC,'ON Data'!$D:$D,$A$4,'ON Data'!$E:$E,5),SUMIFS('ON Data'!AC:AC,'ON Data'!$E:$E,5))</f>
        <v>0</v>
      </c>
      <c r="Y14" s="227">
        <f xml:space="preserve">
IF($A$4&lt;=12,SUMIFS('ON Data'!AD:AD,'ON Data'!$D:$D,$A$4,'ON Data'!$E:$E,5),SUMIFS('ON Data'!AD:AD,'ON Data'!$E:$E,5))</f>
        <v>0</v>
      </c>
      <c r="Z14" s="227">
        <f xml:space="preserve">
IF($A$4&lt;=12,SUMIFS('ON Data'!AE:AE,'ON Data'!$D:$D,$A$4,'ON Data'!$E:$E,5),SUMIFS('ON Data'!AE:AE,'ON Data'!$E:$E,5))</f>
        <v>0</v>
      </c>
      <c r="AA14" s="227">
        <f xml:space="preserve">
IF($A$4&lt;=12,SUMIFS('ON Data'!AF:AF,'ON Data'!$D:$D,$A$4,'ON Data'!$E:$E,5),SUMIFS('ON Data'!AF:AF,'ON Data'!$E:$E,5))</f>
        <v>0</v>
      </c>
      <c r="AB14" s="227">
        <f xml:space="preserve">
IF($A$4&lt;=12,SUMIFS('ON Data'!AG:AG,'ON Data'!$D:$D,$A$4,'ON Data'!$E:$E,5),SUMIFS('ON Data'!AG:AG,'ON Data'!$E:$E,5))</f>
        <v>0</v>
      </c>
      <c r="AC14" s="227">
        <f xml:space="preserve">
IF($A$4&lt;=12,SUMIFS('ON Data'!AH:AH,'ON Data'!$D:$D,$A$4,'ON Data'!$E:$E,5),SUMIFS('ON Data'!AH:AH,'ON Data'!$E:$E,5))</f>
        <v>0</v>
      </c>
      <c r="AD14" s="227">
        <f xml:space="preserve">
IF($A$4&lt;=12,SUMIFS('ON Data'!AI:AI,'ON Data'!$D:$D,$A$4,'ON Data'!$E:$E,5),SUMIFS('ON Data'!AI:AI,'ON Data'!$E:$E,5))</f>
        <v>0</v>
      </c>
      <c r="AE14" s="227">
        <f xml:space="preserve">
IF($A$4&lt;=12,SUMIFS('ON Data'!AJ:AJ,'ON Data'!$D:$D,$A$4,'ON Data'!$E:$E,5),SUMIFS('ON Data'!AJ:AJ,'ON Data'!$E:$E,5))</f>
        <v>0</v>
      </c>
      <c r="AF14" s="227">
        <f xml:space="preserve">
IF($A$4&lt;=12,SUMIFS('ON Data'!AK:AK,'ON Data'!$D:$D,$A$4,'ON Data'!$E:$E,5),SUMIFS('ON Data'!AK:AK,'ON Data'!$E:$E,5))</f>
        <v>0</v>
      </c>
      <c r="AG14" s="378">
        <f xml:space="preserve">
IF($A$4&lt;=12,SUMIFS('ON Data'!AM:AM,'ON Data'!$D:$D,$A$4,'ON Data'!$E:$E,5),SUMIFS('ON Data'!AM:AM,'ON Data'!$E:$E,5))</f>
        <v>0</v>
      </c>
      <c r="AH14" s="387"/>
    </row>
    <row r="15" spans="1:34" x14ac:dyDescent="0.3">
      <c r="A15" s="132" t="s">
        <v>177</v>
      </c>
      <c r="B15" s="228"/>
      <c r="C15" s="229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379"/>
      <c r="AH15" s="387"/>
    </row>
    <row r="16" spans="1:34" x14ac:dyDescent="0.3">
      <c r="A16" s="207" t="s">
        <v>168</v>
      </c>
      <c r="B16" s="222">
        <f xml:space="preserve">
IF($A$4&lt;=12,SUMIFS('ON Data'!F:F,'ON Data'!$D:$D,$A$4,'ON Data'!$E:$E,7),SUMIFS('ON Data'!F:F,'ON Data'!$E:$E,7))</f>
        <v>0</v>
      </c>
      <c r="C16" s="223">
        <f xml:space="preserve">
IF($A$4&lt;=12,SUMIFS('ON Data'!G:G,'ON Data'!$D:$D,$A$4,'ON Data'!$E:$E,7),SUMIFS('ON Data'!G:G,'ON Data'!$E:$E,7))</f>
        <v>0</v>
      </c>
      <c r="D16" s="224">
        <f xml:space="preserve">
IF($A$4&lt;=12,SUMIFS('ON Data'!H:H,'ON Data'!$D:$D,$A$4,'ON Data'!$E:$E,7),SUMIFS('ON Data'!H:H,'ON Data'!$E:$E,7))</f>
        <v>0</v>
      </c>
      <c r="E16" s="224">
        <f xml:space="preserve">
IF($A$4&lt;=12,SUMIFS('ON Data'!I:I,'ON Data'!$D:$D,$A$4,'ON Data'!$E:$E,7),SUMIFS('ON Data'!I:I,'ON Data'!$E:$E,7))</f>
        <v>0</v>
      </c>
      <c r="F16" s="224">
        <f xml:space="preserve">
IF($A$4&lt;=12,SUMIFS('ON Data'!K:K,'ON Data'!$D:$D,$A$4,'ON Data'!$E:$E,7),SUMIFS('ON Data'!K:K,'ON Data'!$E:$E,7))</f>
        <v>0</v>
      </c>
      <c r="G16" s="224">
        <f xml:space="preserve">
IF($A$4&lt;=12,SUMIFS('ON Data'!L:L,'ON Data'!$D:$D,$A$4,'ON Data'!$E:$E,7),SUMIFS('ON Data'!L:L,'ON Data'!$E:$E,7))</f>
        <v>0</v>
      </c>
      <c r="H16" s="224">
        <f xml:space="preserve">
IF($A$4&lt;=12,SUMIFS('ON Data'!M:M,'ON Data'!$D:$D,$A$4,'ON Data'!$E:$E,7),SUMIFS('ON Data'!M:M,'ON Data'!$E:$E,7))</f>
        <v>0</v>
      </c>
      <c r="I16" s="224">
        <f xml:space="preserve">
IF($A$4&lt;=12,SUMIFS('ON Data'!N:N,'ON Data'!$D:$D,$A$4,'ON Data'!$E:$E,7),SUMIFS('ON Data'!N:N,'ON Data'!$E:$E,7))</f>
        <v>0</v>
      </c>
      <c r="J16" s="224">
        <f xml:space="preserve">
IF($A$4&lt;=12,SUMIFS('ON Data'!O:O,'ON Data'!$D:$D,$A$4,'ON Data'!$E:$E,7),SUMIFS('ON Data'!O:O,'ON Data'!$E:$E,7))</f>
        <v>0</v>
      </c>
      <c r="K16" s="224">
        <f xml:space="preserve">
IF($A$4&lt;=12,SUMIFS('ON Data'!P:P,'ON Data'!$D:$D,$A$4,'ON Data'!$E:$E,7),SUMIFS('ON Data'!P:P,'ON Data'!$E:$E,7))</f>
        <v>0</v>
      </c>
      <c r="L16" s="224">
        <f xml:space="preserve">
IF($A$4&lt;=12,SUMIFS('ON Data'!Q:Q,'ON Data'!$D:$D,$A$4,'ON Data'!$E:$E,7),SUMIFS('ON Data'!Q:Q,'ON Data'!$E:$E,7))</f>
        <v>0</v>
      </c>
      <c r="M16" s="224">
        <f xml:space="preserve">
IF($A$4&lt;=12,SUMIFS('ON Data'!R:R,'ON Data'!$D:$D,$A$4,'ON Data'!$E:$E,7),SUMIFS('ON Data'!R:R,'ON Data'!$E:$E,7))</f>
        <v>0</v>
      </c>
      <c r="N16" s="224">
        <f xml:space="preserve">
IF($A$4&lt;=12,SUMIFS('ON Data'!S:S,'ON Data'!$D:$D,$A$4,'ON Data'!$E:$E,7),SUMIFS('ON Data'!S:S,'ON Data'!$E:$E,7))</f>
        <v>0</v>
      </c>
      <c r="O16" s="224">
        <f xml:space="preserve">
IF($A$4&lt;=12,SUMIFS('ON Data'!T:T,'ON Data'!$D:$D,$A$4,'ON Data'!$E:$E,7),SUMIFS('ON Data'!T:T,'ON Data'!$E:$E,7))</f>
        <v>0</v>
      </c>
      <c r="P16" s="224">
        <f xml:space="preserve">
IF($A$4&lt;=12,SUMIFS('ON Data'!U:U,'ON Data'!$D:$D,$A$4,'ON Data'!$E:$E,7),SUMIFS('ON Data'!U:U,'ON Data'!$E:$E,7))</f>
        <v>0</v>
      </c>
      <c r="Q16" s="224">
        <f xml:space="preserve">
IF($A$4&lt;=12,SUMIFS('ON Data'!V:V,'ON Data'!$D:$D,$A$4,'ON Data'!$E:$E,7),SUMIFS('ON Data'!V:V,'ON Data'!$E:$E,7))</f>
        <v>0</v>
      </c>
      <c r="R16" s="224">
        <f xml:space="preserve">
IF($A$4&lt;=12,SUMIFS('ON Data'!W:W,'ON Data'!$D:$D,$A$4,'ON Data'!$E:$E,7),SUMIFS('ON Data'!W:W,'ON Data'!$E:$E,7))</f>
        <v>0</v>
      </c>
      <c r="S16" s="224">
        <f xml:space="preserve">
IF($A$4&lt;=12,SUMIFS('ON Data'!X:X,'ON Data'!$D:$D,$A$4,'ON Data'!$E:$E,7),SUMIFS('ON Data'!X:X,'ON Data'!$E:$E,7))</f>
        <v>0</v>
      </c>
      <c r="T16" s="224">
        <f xml:space="preserve">
IF($A$4&lt;=12,SUMIFS('ON Data'!Y:Y,'ON Data'!$D:$D,$A$4,'ON Data'!$E:$E,7),SUMIFS('ON Data'!Y:Y,'ON Data'!$E:$E,7))</f>
        <v>0</v>
      </c>
      <c r="U16" s="224">
        <f xml:space="preserve">
IF($A$4&lt;=12,SUMIFS('ON Data'!Z:Z,'ON Data'!$D:$D,$A$4,'ON Data'!$E:$E,7),SUMIFS('ON Data'!Z:Z,'ON Data'!$E:$E,7))</f>
        <v>0</v>
      </c>
      <c r="V16" s="224">
        <f xml:space="preserve">
IF($A$4&lt;=12,SUMIFS('ON Data'!AA:AA,'ON Data'!$D:$D,$A$4,'ON Data'!$E:$E,7),SUMIFS('ON Data'!AA:AA,'ON Data'!$E:$E,7))</f>
        <v>0</v>
      </c>
      <c r="W16" s="224">
        <f xml:space="preserve">
IF($A$4&lt;=12,SUMIFS('ON Data'!AB:AB,'ON Data'!$D:$D,$A$4,'ON Data'!$E:$E,7),SUMIFS('ON Data'!AB:AB,'ON Data'!$E:$E,7))</f>
        <v>0</v>
      </c>
      <c r="X16" s="224">
        <f xml:space="preserve">
IF($A$4&lt;=12,SUMIFS('ON Data'!AC:AC,'ON Data'!$D:$D,$A$4,'ON Data'!$E:$E,7),SUMIFS('ON Data'!AC:AC,'ON Data'!$E:$E,7))</f>
        <v>0</v>
      </c>
      <c r="Y16" s="224">
        <f xml:space="preserve">
IF($A$4&lt;=12,SUMIFS('ON Data'!AD:AD,'ON Data'!$D:$D,$A$4,'ON Data'!$E:$E,7),SUMIFS('ON Data'!AD:AD,'ON Data'!$E:$E,7))</f>
        <v>0</v>
      </c>
      <c r="Z16" s="224">
        <f xml:space="preserve">
IF($A$4&lt;=12,SUMIFS('ON Data'!AE:AE,'ON Data'!$D:$D,$A$4,'ON Data'!$E:$E,7),SUMIFS('ON Data'!AE:AE,'ON Data'!$E:$E,7))</f>
        <v>0</v>
      </c>
      <c r="AA16" s="224">
        <f xml:space="preserve">
IF($A$4&lt;=12,SUMIFS('ON Data'!AF:AF,'ON Data'!$D:$D,$A$4,'ON Data'!$E:$E,7),SUMIFS('ON Data'!AF:AF,'ON Data'!$E:$E,7))</f>
        <v>0</v>
      </c>
      <c r="AB16" s="224">
        <f xml:space="preserve">
IF($A$4&lt;=12,SUMIFS('ON Data'!AG:AG,'ON Data'!$D:$D,$A$4,'ON Data'!$E:$E,7),SUMIFS('ON Data'!AG:AG,'ON Data'!$E:$E,7))</f>
        <v>0</v>
      </c>
      <c r="AC16" s="224">
        <f xml:space="preserve">
IF($A$4&lt;=12,SUMIFS('ON Data'!AH:AH,'ON Data'!$D:$D,$A$4,'ON Data'!$E:$E,7),SUMIFS('ON Data'!AH:AH,'ON Data'!$E:$E,7))</f>
        <v>0</v>
      </c>
      <c r="AD16" s="224">
        <f xml:space="preserve">
IF($A$4&lt;=12,SUMIFS('ON Data'!AI:AI,'ON Data'!$D:$D,$A$4,'ON Data'!$E:$E,7),SUMIFS('ON Data'!AI:AI,'ON Data'!$E:$E,7))</f>
        <v>0</v>
      </c>
      <c r="AE16" s="224">
        <f xml:space="preserve">
IF($A$4&lt;=12,SUMIFS('ON Data'!AJ:AJ,'ON Data'!$D:$D,$A$4,'ON Data'!$E:$E,7),SUMIFS('ON Data'!AJ:AJ,'ON Data'!$E:$E,7))</f>
        <v>0</v>
      </c>
      <c r="AF16" s="224">
        <f xml:space="preserve">
IF($A$4&lt;=12,SUMIFS('ON Data'!AK:AK,'ON Data'!$D:$D,$A$4,'ON Data'!$E:$E,7),SUMIFS('ON Data'!AK:AK,'ON Data'!$E:$E,7))</f>
        <v>0</v>
      </c>
      <c r="AG16" s="377">
        <f xml:space="preserve">
IF($A$4&lt;=12,SUMIFS('ON Data'!AM:AM,'ON Data'!$D:$D,$A$4,'ON Data'!$E:$E,7),SUMIFS('ON Data'!AM:AM,'ON Data'!$E:$E,7))</f>
        <v>0</v>
      </c>
      <c r="AH16" s="387"/>
    </row>
    <row r="17" spans="1:34" x14ac:dyDescent="0.3">
      <c r="A17" s="207" t="s">
        <v>169</v>
      </c>
      <c r="B17" s="222">
        <f xml:space="preserve">
IF($A$4&lt;=12,SUMIFS('ON Data'!F:F,'ON Data'!$D:$D,$A$4,'ON Data'!$E:$E,8),SUMIFS('ON Data'!F:F,'ON Data'!$E:$E,8))</f>
        <v>0</v>
      </c>
      <c r="C17" s="223">
        <f xml:space="preserve">
IF($A$4&lt;=12,SUMIFS('ON Data'!G:G,'ON Data'!$D:$D,$A$4,'ON Data'!$E:$E,8),SUMIFS('ON Data'!G:G,'ON Data'!$E:$E,8))</f>
        <v>0</v>
      </c>
      <c r="D17" s="224">
        <f xml:space="preserve">
IF($A$4&lt;=12,SUMIFS('ON Data'!H:H,'ON Data'!$D:$D,$A$4,'ON Data'!$E:$E,8),SUMIFS('ON Data'!H:H,'ON Data'!$E:$E,8))</f>
        <v>0</v>
      </c>
      <c r="E17" s="224">
        <f xml:space="preserve">
IF($A$4&lt;=12,SUMIFS('ON Data'!I:I,'ON Data'!$D:$D,$A$4,'ON Data'!$E:$E,8),SUMIFS('ON Data'!I:I,'ON Data'!$E:$E,8))</f>
        <v>0</v>
      </c>
      <c r="F17" s="224">
        <f xml:space="preserve">
IF($A$4&lt;=12,SUMIFS('ON Data'!K:K,'ON Data'!$D:$D,$A$4,'ON Data'!$E:$E,8),SUMIFS('ON Data'!K:K,'ON Data'!$E:$E,8))</f>
        <v>0</v>
      </c>
      <c r="G17" s="224">
        <f xml:space="preserve">
IF($A$4&lt;=12,SUMIFS('ON Data'!L:L,'ON Data'!$D:$D,$A$4,'ON Data'!$E:$E,8),SUMIFS('ON Data'!L:L,'ON Data'!$E:$E,8))</f>
        <v>0</v>
      </c>
      <c r="H17" s="224">
        <f xml:space="preserve">
IF($A$4&lt;=12,SUMIFS('ON Data'!M:M,'ON Data'!$D:$D,$A$4,'ON Data'!$E:$E,8),SUMIFS('ON Data'!M:M,'ON Data'!$E:$E,8))</f>
        <v>0</v>
      </c>
      <c r="I17" s="224">
        <f xml:space="preserve">
IF($A$4&lt;=12,SUMIFS('ON Data'!N:N,'ON Data'!$D:$D,$A$4,'ON Data'!$E:$E,8),SUMIFS('ON Data'!N:N,'ON Data'!$E:$E,8))</f>
        <v>0</v>
      </c>
      <c r="J17" s="224">
        <f xml:space="preserve">
IF($A$4&lt;=12,SUMIFS('ON Data'!O:O,'ON Data'!$D:$D,$A$4,'ON Data'!$E:$E,8),SUMIFS('ON Data'!O:O,'ON Data'!$E:$E,8))</f>
        <v>0</v>
      </c>
      <c r="K17" s="224">
        <f xml:space="preserve">
IF($A$4&lt;=12,SUMIFS('ON Data'!P:P,'ON Data'!$D:$D,$A$4,'ON Data'!$E:$E,8),SUMIFS('ON Data'!P:P,'ON Data'!$E:$E,8))</f>
        <v>0</v>
      </c>
      <c r="L17" s="224">
        <f xml:space="preserve">
IF($A$4&lt;=12,SUMIFS('ON Data'!Q:Q,'ON Data'!$D:$D,$A$4,'ON Data'!$E:$E,8),SUMIFS('ON Data'!Q:Q,'ON Data'!$E:$E,8))</f>
        <v>0</v>
      </c>
      <c r="M17" s="224">
        <f xml:space="preserve">
IF($A$4&lt;=12,SUMIFS('ON Data'!R:R,'ON Data'!$D:$D,$A$4,'ON Data'!$E:$E,8),SUMIFS('ON Data'!R:R,'ON Data'!$E:$E,8))</f>
        <v>0</v>
      </c>
      <c r="N17" s="224">
        <f xml:space="preserve">
IF($A$4&lt;=12,SUMIFS('ON Data'!S:S,'ON Data'!$D:$D,$A$4,'ON Data'!$E:$E,8),SUMIFS('ON Data'!S:S,'ON Data'!$E:$E,8))</f>
        <v>0</v>
      </c>
      <c r="O17" s="224">
        <f xml:space="preserve">
IF($A$4&lt;=12,SUMIFS('ON Data'!T:T,'ON Data'!$D:$D,$A$4,'ON Data'!$E:$E,8),SUMIFS('ON Data'!T:T,'ON Data'!$E:$E,8))</f>
        <v>0</v>
      </c>
      <c r="P17" s="224">
        <f xml:space="preserve">
IF($A$4&lt;=12,SUMIFS('ON Data'!U:U,'ON Data'!$D:$D,$A$4,'ON Data'!$E:$E,8),SUMIFS('ON Data'!U:U,'ON Data'!$E:$E,8))</f>
        <v>0</v>
      </c>
      <c r="Q17" s="224">
        <f xml:space="preserve">
IF($A$4&lt;=12,SUMIFS('ON Data'!V:V,'ON Data'!$D:$D,$A$4,'ON Data'!$E:$E,8),SUMIFS('ON Data'!V:V,'ON Data'!$E:$E,8))</f>
        <v>0</v>
      </c>
      <c r="R17" s="224">
        <f xml:space="preserve">
IF($A$4&lt;=12,SUMIFS('ON Data'!W:W,'ON Data'!$D:$D,$A$4,'ON Data'!$E:$E,8),SUMIFS('ON Data'!W:W,'ON Data'!$E:$E,8))</f>
        <v>0</v>
      </c>
      <c r="S17" s="224">
        <f xml:space="preserve">
IF($A$4&lt;=12,SUMIFS('ON Data'!X:X,'ON Data'!$D:$D,$A$4,'ON Data'!$E:$E,8),SUMIFS('ON Data'!X:X,'ON Data'!$E:$E,8))</f>
        <v>0</v>
      </c>
      <c r="T17" s="224">
        <f xml:space="preserve">
IF($A$4&lt;=12,SUMIFS('ON Data'!Y:Y,'ON Data'!$D:$D,$A$4,'ON Data'!$E:$E,8),SUMIFS('ON Data'!Y:Y,'ON Data'!$E:$E,8))</f>
        <v>0</v>
      </c>
      <c r="U17" s="224">
        <f xml:space="preserve">
IF($A$4&lt;=12,SUMIFS('ON Data'!Z:Z,'ON Data'!$D:$D,$A$4,'ON Data'!$E:$E,8),SUMIFS('ON Data'!Z:Z,'ON Data'!$E:$E,8))</f>
        <v>0</v>
      </c>
      <c r="V17" s="224">
        <f xml:space="preserve">
IF($A$4&lt;=12,SUMIFS('ON Data'!AA:AA,'ON Data'!$D:$D,$A$4,'ON Data'!$E:$E,8),SUMIFS('ON Data'!AA:AA,'ON Data'!$E:$E,8))</f>
        <v>0</v>
      </c>
      <c r="W17" s="224">
        <f xml:space="preserve">
IF($A$4&lt;=12,SUMIFS('ON Data'!AB:AB,'ON Data'!$D:$D,$A$4,'ON Data'!$E:$E,8),SUMIFS('ON Data'!AB:AB,'ON Data'!$E:$E,8))</f>
        <v>0</v>
      </c>
      <c r="X17" s="224">
        <f xml:space="preserve">
IF($A$4&lt;=12,SUMIFS('ON Data'!AC:AC,'ON Data'!$D:$D,$A$4,'ON Data'!$E:$E,8),SUMIFS('ON Data'!AC:AC,'ON Data'!$E:$E,8))</f>
        <v>0</v>
      </c>
      <c r="Y17" s="224">
        <f xml:space="preserve">
IF($A$4&lt;=12,SUMIFS('ON Data'!AD:AD,'ON Data'!$D:$D,$A$4,'ON Data'!$E:$E,8),SUMIFS('ON Data'!AD:AD,'ON Data'!$E:$E,8))</f>
        <v>0</v>
      </c>
      <c r="Z17" s="224">
        <f xml:space="preserve">
IF($A$4&lt;=12,SUMIFS('ON Data'!AE:AE,'ON Data'!$D:$D,$A$4,'ON Data'!$E:$E,8),SUMIFS('ON Data'!AE:AE,'ON Data'!$E:$E,8))</f>
        <v>0</v>
      </c>
      <c r="AA17" s="224">
        <f xml:space="preserve">
IF($A$4&lt;=12,SUMIFS('ON Data'!AF:AF,'ON Data'!$D:$D,$A$4,'ON Data'!$E:$E,8),SUMIFS('ON Data'!AF:AF,'ON Data'!$E:$E,8))</f>
        <v>0</v>
      </c>
      <c r="AB17" s="224">
        <f xml:space="preserve">
IF($A$4&lt;=12,SUMIFS('ON Data'!AG:AG,'ON Data'!$D:$D,$A$4,'ON Data'!$E:$E,8),SUMIFS('ON Data'!AG:AG,'ON Data'!$E:$E,8))</f>
        <v>0</v>
      </c>
      <c r="AC17" s="224">
        <f xml:space="preserve">
IF($A$4&lt;=12,SUMIFS('ON Data'!AH:AH,'ON Data'!$D:$D,$A$4,'ON Data'!$E:$E,8),SUMIFS('ON Data'!AH:AH,'ON Data'!$E:$E,8))</f>
        <v>0</v>
      </c>
      <c r="AD17" s="224">
        <f xml:space="preserve">
IF($A$4&lt;=12,SUMIFS('ON Data'!AI:AI,'ON Data'!$D:$D,$A$4,'ON Data'!$E:$E,8),SUMIFS('ON Data'!AI:AI,'ON Data'!$E:$E,8))</f>
        <v>0</v>
      </c>
      <c r="AE17" s="224">
        <f xml:space="preserve">
IF($A$4&lt;=12,SUMIFS('ON Data'!AJ:AJ,'ON Data'!$D:$D,$A$4,'ON Data'!$E:$E,8),SUMIFS('ON Data'!AJ:AJ,'ON Data'!$E:$E,8))</f>
        <v>0</v>
      </c>
      <c r="AF17" s="224">
        <f xml:space="preserve">
IF($A$4&lt;=12,SUMIFS('ON Data'!AK:AK,'ON Data'!$D:$D,$A$4,'ON Data'!$E:$E,8),SUMIFS('ON Data'!AK:AK,'ON Data'!$E:$E,8))</f>
        <v>0</v>
      </c>
      <c r="AG17" s="377">
        <f xml:space="preserve">
IF($A$4&lt;=12,SUMIFS('ON Data'!AM:AM,'ON Data'!$D:$D,$A$4,'ON Data'!$E:$E,8),SUMIFS('ON Data'!AM:AM,'ON Data'!$E:$E,8))</f>
        <v>0</v>
      </c>
      <c r="AH17" s="387"/>
    </row>
    <row r="18" spans="1:34" x14ac:dyDescent="0.3">
      <c r="A18" s="207" t="s">
        <v>170</v>
      </c>
      <c r="B18" s="222">
        <f xml:space="preserve">
B19-B16-B17</f>
        <v>188388</v>
      </c>
      <c r="C18" s="223">
        <f t="shared" ref="C18" si="0" xml:space="preserve">
C19-C16-C17</f>
        <v>0</v>
      </c>
      <c r="D18" s="224">
        <f t="shared" ref="D18:AG18" si="1" xml:space="preserve">
D19-D16-D17</f>
        <v>0</v>
      </c>
      <c r="E18" s="224">
        <f t="shared" si="1"/>
        <v>0</v>
      </c>
      <c r="F18" s="224">
        <f t="shared" si="1"/>
        <v>0</v>
      </c>
      <c r="G18" s="224">
        <f t="shared" si="1"/>
        <v>0</v>
      </c>
      <c r="H18" s="224">
        <f t="shared" si="1"/>
        <v>0</v>
      </c>
      <c r="I18" s="224">
        <f t="shared" si="1"/>
        <v>0</v>
      </c>
      <c r="J18" s="224">
        <f t="shared" si="1"/>
        <v>0</v>
      </c>
      <c r="K18" s="224">
        <f t="shared" si="1"/>
        <v>0</v>
      </c>
      <c r="L18" s="224">
        <f t="shared" si="1"/>
        <v>0</v>
      </c>
      <c r="M18" s="224">
        <f t="shared" si="1"/>
        <v>0</v>
      </c>
      <c r="N18" s="224">
        <f t="shared" si="1"/>
        <v>0</v>
      </c>
      <c r="O18" s="224">
        <f t="shared" si="1"/>
        <v>0</v>
      </c>
      <c r="P18" s="224">
        <f t="shared" si="1"/>
        <v>0</v>
      </c>
      <c r="Q18" s="224">
        <f t="shared" si="1"/>
        <v>144882</v>
      </c>
      <c r="R18" s="224">
        <f t="shared" si="1"/>
        <v>0</v>
      </c>
      <c r="S18" s="224">
        <f t="shared" si="1"/>
        <v>0</v>
      </c>
      <c r="T18" s="224">
        <f t="shared" si="1"/>
        <v>0</v>
      </c>
      <c r="U18" s="224">
        <f t="shared" si="1"/>
        <v>0</v>
      </c>
      <c r="V18" s="224">
        <f t="shared" si="1"/>
        <v>0</v>
      </c>
      <c r="W18" s="224">
        <f t="shared" si="1"/>
        <v>0</v>
      </c>
      <c r="X18" s="224">
        <f t="shared" si="1"/>
        <v>0</v>
      </c>
      <c r="Y18" s="224">
        <f t="shared" si="1"/>
        <v>0</v>
      </c>
      <c r="Z18" s="224">
        <f t="shared" si="1"/>
        <v>0</v>
      </c>
      <c r="AA18" s="224">
        <f t="shared" si="1"/>
        <v>0</v>
      </c>
      <c r="AB18" s="224">
        <f t="shared" si="1"/>
        <v>0</v>
      </c>
      <c r="AC18" s="224">
        <f t="shared" si="1"/>
        <v>0</v>
      </c>
      <c r="AD18" s="224">
        <f t="shared" si="1"/>
        <v>34306</v>
      </c>
      <c r="AE18" s="224">
        <f t="shared" si="1"/>
        <v>0</v>
      </c>
      <c r="AF18" s="224">
        <f t="shared" si="1"/>
        <v>0</v>
      </c>
      <c r="AG18" s="377">
        <f t="shared" si="1"/>
        <v>9200</v>
      </c>
      <c r="AH18" s="387"/>
    </row>
    <row r="19" spans="1:34" ht="15" thickBot="1" x14ac:dyDescent="0.35">
      <c r="A19" s="208" t="s">
        <v>171</v>
      </c>
      <c r="B19" s="231">
        <f xml:space="preserve">
IF($A$4&lt;=12,SUMIFS('ON Data'!F:F,'ON Data'!$D:$D,$A$4,'ON Data'!$E:$E,9),SUMIFS('ON Data'!F:F,'ON Data'!$E:$E,9))</f>
        <v>188388</v>
      </c>
      <c r="C19" s="232">
        <f xml:space="preserve">
IF($A$4&lt;=12,SUMIFS('ON Data'!G:G,'ON Data'!$D:$D,$A$4,'ON Data'!$E:$E,9),SUMIFS('ON Data'!G:G,'ON Data'!$E:$E,9))</f>
        <v>0</v>
      </c>
      <c r="D19" s="233">
        <f xml:space="preserve">
IF($A$4&lt;=12,SUMIFS('ON Data'!H:H,'ON Data'!$D:$D,$A$4,'ON Data'!$E:$E,9),SUMIFS('ON Data'!H:H,'ON Data'!$E:$E,9))</f>
        <v>0</v>
      </c>
      <c r="E19" s="233">
        <f xml:space="preserve">
IF($A$4&lt;=12,SUMIFS('ON Data'!I:I,'ON Data'!$D:$D,$A$4,'ON Data'!$E:$E,9),SUMIFS('ON Data'!I:I,'ON Data'!$E:$E,9))</f>
        <v>0</v>
      </c>
      <c r="F19" s="233">
        <f xml:space="preserve">
IF($A$4&lt;=12,SUMIFS('ON Data'!K:K,'ON Data'!$D:$D,$A$4,'ON Data'!$E:$E,9),SUMIFS('ON Data'!K:K,'ON Data'!$E:$E,9))</f>
        <v>0</v>
      </c>
      <c r="G19" s="233">
        <f xml:space="preserve">
IF($A$4&lt;=12,SUMIFS('ON Data'!L:L,'ON Data'!$D:$D,$A$4,'ON Data'!$E:$E,9),SUMIFS('ON Data'!L:L,'ON Data'!$E:$E,9))</f>
        <v>0</v>
      </c>
      <c r="H19" s="233">
        <f xml:space="preserve">
IF($A$4&lt;=12,SUMIFS('ON Data'!M:M,'ON Data'!$D:$D,$A$4,'ON Data'!$E:$E,9),SUMIFS('ON Data'!M:M,'ON Data'!$E:$E,9))</f>
        <v>0</v>
      </c>
      <c r="I19" s="233">
        <f xml:space="preserve">
IF($A$4&lt;=12,SUMIFS('ON Data'!N:N,'ON Data'!$D:$D,$A$4,'ON Data'!$E:$E,9),SUMIFS('ON Data'!N:N,'ON Data'!$E:$E,9))</f>
        <v>0</v>
      </c>
      <c r="J19" s="233">
        <f xml:space="preserve">
IF($A$4&lt;=12,SUMIFS('ON Data'!O:O,'ON Data'!$D:$D,$A$4,'ON Data'!$E:$E,9),SUMIFS('ON Data'!O:O,'ON Data'!$E:$E,9))</f>
        <v>0</v>
      </c>
      <c r="K19" s="233">
        <f xml:space="preserve">
IF($A$4&lt;=12,SUMIFS('ON Data'!P:P,'ON Data'!$D:$D,$A$4,'ON Data'!$E:$E,9),SUMIFS('ON Data'!P:P,'ON Data'!$E:$E,9))</f>
        <v>0</v>
      </c>
      <c r="L19" s="233">
        <f xml:space="preserve">
IF($A$4&lt;=12,SUMIFS('ON Data'!Q:Q,'ON Data'!$D:$D,$A$4,'ON Data'!$E:$E,9),SUMIFS('ON Data'!Q:Q,'ON Data'!$E:$E,9))</f>
        <v>0</v>
      </c>
      <c r="M19" s="233">
        <f xml:space="preserve">
IF($A$4&lt;=12,SUMIFS('ON Data'!R:R,'ON Data'!$D:$D,$A$4,'ON Data'!$E:$E,9),SUMIFS('ON Data'!R:R,'ON Data'!$E:$E,9))</f>
        <v>0</v>
      </c>
      <c r="N19" s="233">
        <f xml:space="preserve">
IF($A$4&lt;=12,SUMIFS('ON Data'!S:S,'ON Data'!$D:$D,$A$4,'ON Data'!$E:$E,9),SUMIFS('ON Data'!S:S,'ON Data'!$E:$E,9))</f>
        <v>0</v>
      </c>
      <c r="O19" s="233">
        <f xml:space="preserve">
IF($A$4&lt;=12,SUMIFS('ON Data'!T:T,'ON Data'!$D:$D,$A$4,'ON Data'!$E:$E,9),SUMIFS('ON Data'!T:T,'ON Data'!$E:$E,9))</f>
        <v>0</v>
      </c>
      <c r="P19" s="233">
        <f xml:space="preserve">
IF($A$4&lt;=12,SUMIFS('ON Data'!U:U,'ON Data'!$D:$D,$A$4,'ON Data'!$E:$E,9),SUMIFS('ON Data'!U:U,'ON Data'!$E:$E,9))</f>
        <v>0</v>
      </c>
      <c r="Q19" s="233">
        <f xml:space="preserve">
IF($A$4&lt;=12,SUMIFS('ON Data'!V:V,'ON Data'!$D:$D,$A$4,'ON Data'!$E:$E,9),SUMIFS('ON Data'!V:V,'ON Data'!$E:$E,9))</f>
        <v>144882</v>
      </c>
      <c r="R19" s="233">
        <f xml:space="preserve">
IF($A$4&lt;=12,SUMIFS('ON Data'!W:W,'ON Data'!$D:$D,$A$4,'ON Data'!$E:$E,9),SUMIFS('ON Data'!W:W,'ON Data'!$E:$E,9))</f>
        <v>0</v>
      </c>
      <c r="S19" s="233">
        <f xml:space="preserve">
IF($A$4&lt;=12,SUMIFS('ON Data'!X:X,'ON Data'!$D:$D,$A$4,'ON Data'!$E:$E,9),SUMIFS('ON Data'!X:X,'ON Data'!$E:$E,9))</f>
        <v>0</v>
      </c>
      <c r="T19" s="233">
        <f xml:space="preserve">
IF($A$4&lt;=12,SUMIFS('ON Data'!Y:Y,'ON Data'!$D:$D,$A$4,'ON Data'!$E:$E,9),SUMIFS('ON Data'!Y:Y,'ON Data'!$E:$E,9))</f>
        <v>0</v>
      </c>
      <c r="U19" s="233">
        <f xml:space="preserve">
IF($A$4&lt;=12,SUMIFS('ON Data'!Z:Z,'ON Data'!$D:$D,$A$4,'ON Data'!$E:$E,9),SUMIFS('ON Data'!Z:Z,'ON Data'!$E:$E,9))</f>
        <v>0</v>
      </c>
      <c r="V19" s="233">
        <f xml:space="preserve">
IF($A$4&lt;=12,SUMIFS('ON Data'!AA:AA,'ON Data'!$D:$D,$A$4,'ON Data'!$E:$E,9),SUMIFS('ON Data'!AA:AA,'ON Data'!$E:$E,9))</f>
        <v>0</v>
      </c>
      <c r="W19" s="233">
        <f xml:space="preserve">
IF($A$4&lt;=12,SUMIFS('ON Data'!AB:AB,'ON Data'!$D:$D,$A$4,'ON Data'!$E:$E,9),SUMIFS('ON Data'!AB:AB,'ON Data'!$E:$E,9))</f>
        <v>0</v>
      </c>
      <c r="X19" s="233">
        <f xml:space="preserve">
IF($A$4&lt;=12,SUMIFS('ON Data'!AC:AC,'ON Data'!$D:$D,$A$4,'ON Data'!$E:$E,9),SUMIFS('ON Data'!AC:AC,'ON Data'!$E:$E,9))</f>
        <v>0</v>
      </c>
      <c r="Y19" s="233">
        <f xml:space="preserve">
IF($A$4&lt;=12,SUMIFS('ON Data'!AD:AD,'ON Data'!$D:$D,$A$4,'ON Data'!$E:$E,9),SUMIFS('ON Data'!AD:AD,'ON Data'!$E:$E,9))</f>
        <v>0</v>
      </c>
      <c r="Z19" s="233">
        <f xml:space="preserve">
IF($A$4&lt;=12,SUMIFS('ON Data'!AE:AE,'ON Data'!$D:$D,$A$4,'ON Data'!$E:$E,9),SUMIFS('ON Data'!AE:AE,'ON Data'!$E:$E,9))</f>
        <v>0</v>
      </c>
      <c r="AA19" s="233">
        <f xml:space="preserve">
IF($A$4&lt;=12,SUMIFS('ON Data'!AF:AF,'ON Data'!$D:$D,$A$4,'ON Data'!$E:$E,9),SUMIFS('ON Data'!AF:AF,'ON Data'!$E:$E,9))</f>
        <v>0</v>
      </c>
      <c r="AB19" s="233">
        <f xml:space="preserve">
IF($A$4&lt;=12,SUMIFS('ON Data'!AG:AG,'ON Data'!$D:$D,$A$4,'ON Data'!$E:$E,9),SUMIFS('ON Data'!AG:AG,'ON Data'!$E:$E,9))</f>
        <v>0</v>
      </c>
      <c r="AC19" s="233">
        <f xml:space="preserve">
IF($A$4&lt;=12,SUMIFS('ON Data'!AH:AH,'ON Data'!$D:$D,$A$4,'ON Data'!$E:$E,9),SUMIFS('ON Data'!AH:AH,'ON Data'!$E:$E,9))</f>
        <v>0</v>
      </c>
      <c r="AD19" s="233">
        <f xml:space="preserve">
IF($A$4&lt;=12,SUMIFS('ON Data'!AI:AI,'ON Data'!$D:$D,$A$4,'ON Data'!$E:$E,9),SUMIFS('ON Data'!AI:AI,'ON Data'!$E:$E,9))</f>
        <v>34306</v>
      </c>
      <c r="AE19" s="233">
        <f xml:space="preserve">
IF($A$4&lt;=12,SUMIFS('ON Data'!AJ:AJ,'ON Data'!$D:$D,$A$4,'ON Data'!$E:$E,9),SUMIFS('ON Data'!AJ:AJ,'ON Data'!$E:$E,9))</f>
        <v>0</v>
      </c>
      <c r="AF19" s="233">
        <f xml:space="preserve">
IF($A$4&lt;=12,SUMIFS('ON Data'!AK:AK,'ON Data'!$D:$D,$A$4,'ON Data'!$E:$E,9),SUMIFS('ON Data'!AK:AK,'ON Data'!$E:$E,9))</f>
        <v>0</v>
      </c>
      <c r="AG19" s="380">
        <f xml:space="preserve">
IF($A$4&lt;=12,SUMIFS('ON Data'!AM:AM,'ON Data'!$D:$D,$A$4,'ON Data'!$E:$E,9),SUMIFS('ON Data'!AM:AM,'ON Data'!$E:$E,9))</f>
        <v>9200</v>
      </c>
      <c r="AH19" s="387"/>
    </row>
    <row r="20" spans="1:34" ht="15" collapsed="1" thickBot="1" x14ac:dyDescent="0.35">
      <c r="A20" s="209" t="s">
        <v>50</v>
      </c>
      <c r="B20" s="234">
        <f xml:space="preserve">
IF($A$4&lt;=12,SUMIFS('ON Data'!F:F,'ON Data'!$D:$D,$A$4,'ON Data'!$E:$E,6),SUMIFS('ON Data'!F:F,'ON Data'!$E:$E,6))</f>
        <v>3699511</v>
      </c>
      <c r="C20" s="235">
        <f xml:space="preserve">
IF($A$4&lt;=12,SUMIFS('ON Data'!G:G,'ON Data'!$D:$D,$A$4,'ON Data'!$E:$E,6),SUMIFS('ON Data'!G:G,'ON Data'!$E:$E,6))</f>
        <v>0</v>
      </c>
      <c r="D20" s="236">
        <f xml:space="preserve">
IF($A$4&lt;=12,SUMIFS('ON Data'!H:H,'ON Data'!$D:$D,$A$4,'ON Data'!$E:$E,6),SUMIFS('ON Data'!H:H,'ON Data'!$E:$E,6))</f>
        <v>0</v>
      </c>
      <c r="E20" s="236">
        <f xml:space="preserve">
IF($A$4&lt;=12,SUMIFS('ON Data'!I:I,'ON Data'!$D:$D,$A$4,'ON Data'!$E:$E,6),SUMIFS('ON Data'!I:I,'ON Data'!$E:$E,6))</f>
        <v>0</v>
      </c>
      <c r="F20" s="236">
        <f xml:space="preserve">
IF($A$4&lt;=12,SUMIFS('ON Data'!K:K,'ON Data'!$D:$D,$A$4,'ON Data'!$E:$E,6),SUMIFS('ON Data'!K:K,'ON Data'!$E:$E,6))</f>
        <v>0</v>
      </c>
      <c r="G20" s="236">
        <f xml:space="preserve">
IF($A$4&lt;=12,SUMIFS('ON Data'!L:L,'ON Data'!$D:$D,$A$4,'ON Data'!$E:$E,6),SUMIFS('ON Data'!L:L,'ON Data'!$E:$E,6))</f>
        <v>0</v>
      </c>
      <c r="H20" s="236">
        <f xml:space="preserve">
IF($A$4&lt;=12,SUMIFS('ON Data'!M:M,'ON Data'!$D:$D,$A$4,'ON Data'!$E:$E,6),SUMIFS('ON Data'!M:M,'ON Data'!$E:$E,6))</f>
        <v>0</v>
      </c>
      <c r="I20" s="236">
        <f xml:space="preserve">
IF($A$4&lt;=12,SUMIFS('ON Data'!N:N,'ON Data'!$D:$D,$A$4,'ON Data'!$E:$E,6),SUMIFS('ON Data'!N:N,'ON Data'!$E:$E,6))</f>
        <v>0</v>
      </c>
      <c r="J20" s="236">
        <f xml:space="preserve">
IF($A$4&lt;=12,SUMIFS('ON Data'!O:O,'ON Data'!$D:$D,$A$4,'ON Data'!$E:$E,6),SUMIFS('ON Data'!O:O,'ON Data'!$E:$E,6))</f>
        <v>0</v>
      </c>
      <c r="K20" s="236">
        <f xml:space="preserve">
IF($A$4&lt;=12,SUMIFS('ON Data'!P:P,'ON Data'!$D:$D,$A$4,'ON Data'!$E:$E,6),SUMIFS('ON Data'!P:P,'ON Data'!$E:$E,6))</f>
        <v>0</v>
      </c>
      <c r="L20" s="236">
        <f xml:space="preserve">
IF($A$4&lt;=12,SUMIFS('ON Data'!Q:Q,'ON Data'!$D:$D,$A$4,'ON Data'!$E:$E,6),SUMIFS('ON Data'!Q:Q,'ON Data'!$E:$E,6))</f>
        <v>0</v>
      </c>
      <c r="M20" s="236">
        <f xml:space="preserve">
IF($A$4&lt;=12,SUMIFS('ON Data'!R:R,'ON Data'!$D:$D,$A$4,'ON Data'!$E:$E,6),SUMIFS('ON Data'!R:R,'ON Data'!$E:$E,6))</f>
        <v>0</v>
      </c>
      <c r="N20" s="236">
        <f xml:space="preserve">
IF($A$4&lt;=12,SUMIFS('ON Data'!S:S,'ON Data'!$D:$D,$A$4,'ON Data'!$E:$E,6),SUMIFS('ON Data'!S:S,'ON Data'!$E:$E,6))</f>
        <v>0</v>
      </c>
      <c r="O20" s="236">
        <f xml:space="preserve">
IF($A$4&lt;=12,SUMIFS('ON Data'!T:T,'ON Data'!$D:$D,$A$4,'ON Data'!$E:$E,6),SUMIFS('ON Data'!T:T,'ON Data'!$E:$E,6))</f>
        <v>0</v>
      </c>
      <c r="P20" s="236">
        <f xml:space="preserve">
IF($A$4&lt;=12,SUMIFS('ON Data'!U:U,'ON Data'!$D:$D,$A$4,'ON Data'!$E:$E,6),SUMIFS('ON Data'!U:U,'ON Data'!$E:$E,6))</f>
        <v>0</v>
      </c>
      <c r="Q20" s="236">
        <f xml:space="preserve">
IF($A$4&lt;=12,SUMIFS('ON Data'!V:V,'ON Data'!$D:$D,$A$4,'ON Data'!$E:$E,6),SUMIFS('ON Data'!V:V,'ON Data'!$E:$E,6))</f>
        <v>2783757</v>
      </c>
      <c r="R20" s="236">
        <f xml:space="preserve">
IF($A$4&lt;=12,SUMIFS('ON Data'!W:W,'ON Data'!$D:$D,$A$4,'ON Data'!$E:$E,6),SUMIFS('ON Data'!W:W,'ON Data'!$E:$E,6))</f>
        <v>0</v>
      </c>
      <c r="S20" s="236">
        <f xml:space="preserve">
IF($A$4&lt;=12,SUMIFS('ON Data'!X:X,'ON Data'!$D:$D,$A$4,'ON Data'!$E:$E,6),SUMIFS('ON Data'!X:X,'ON Data'!$E:$E,6))</f>
        <v>0</v>
      </c>
      <c r="T20" s="236">
        <f xml:space="preserve">
IF($A$4&lt;=12,SUMIFS('ON Data'!Y:Y,'ON Data'!$D:$D,$A$4,'ON Data'!$E:$E,6),SUMIFS('ON Data'!Y:Y,'ON Data'!$E:$E,6))</f>
        <v>0</v>
      </c>
      <c r="U20" s="236">
        <f xml:space="preserve">
IF($A$4&lt;=12,SUMIFS('ON Data'!Z:Z,'ON Data'!$D:$D,$A$4,'ON Data'!$E:$E,6),SUMIFS('ON Data'!Z:Z,'ON Data'!$E:$E,6))</f>
        <v>0</v>
      </c>
      <c r="V20" s="236">
        <f xml:space="preserve">
IF($A$4&lt;=12,SUMIFS('ON Data'!AA:AA,'ON Data'!$D:$D,$A$4,'ON Data'!$E:$E,6),SUMIFS('ON Data'!AA:AA,'ON Data'!$E:$E,6))</f>
        <v>0</v>
      </c>
      <c r="W20" s="236">
        <f xml:space="preserve">
IF($A$4&lt;=12,SUMIFS('ON Data'!AB:AB,'ON Data'!$D:$D,$A$4,'ON Data'!$E:$E,6),SUMIFS('ON Data'!AB:AB,'ON Data'!$E:$E,6))</f>
        <v>0</v>
      </c>
      <c r="X20" s="236">
        <f xml:space="preserve">
IF($A$4&lt;=12,SUMIFS('ON Data'!AC:AC,'ON Data'!$D:$D,$A$4,'ON Data'!$E:$E,6),SUMIFS('ON Data'!AC:AC,'ON Data'!$E:$E,6))</f>
        <v>0</v>
      </c>
      <c r="Y20" s="236">
        <f xml:space="preserve">
IF($A$4&lt;=12,SUMIFS('ON Data'!AD:AD,'ON Data'!$D:$D,$A$4,'ON Data'!$E:$E,6),SUMIFS('ON Data'!AD:AD,'ON Data'!$E:$E,6))</f>
        <v>0</v>
      </c>
      <c r="Z20" s="236">
        <f xml:space="preserve">
IF($A$4&lt;=12,SUMIFS('ON Data'!AE:AE,'ON Data'!$D:$D,$A$4,'ON Data'!$E:$E,6),SUMIFS('ON Data'!AE:AE,'ON Data'!$E:$E,6))</f>
        <v>0</v>
      </c>
      <c r="AA20" s="236">
        <f xml:space="preserve">
IF($A$4&lt;=12,SUMIFS('ON Data'!AF:AF,'ON Data'!$D:$D,$A$4,'ON Data'!$E:$E,6),SUMIFS('ON Data'!AF:AF,'ON Data'!$E:$E,6))</f>
        <v>0</v>
      </c>
      <c r="AB20" s="236">
        <f xml:space="preserve">
IF($A$4&lt;=12,SUMIFS('ON Data'!AG:AG,'ON Data'!$D:$D,$A$4,'ON Data'!$E:$E,6),SUMIFS('ON Data'!AG:AG,'ON Data'!$E:$E,6))</f>
        <v>0</v>
      </c>
      <c r="AC20" s="236">
        <f xml:space="preserve">
IF($A$4&lt;=12,SUMIFS('ON Data'!AH:AH,'ON Data'!$D:$D,$A$4,'ON Data'!$E:$E,6),SUMIFS('ON Data'!AH:AH,'ON Data'!$E:$E,6))</f>
        <v>0</v>
      </c>
      <c r="AD20" s="236">
        <f xml:space="preserve">
IF($A$4&lt;=12,SUMIFS('ON Data'!AI:AI,'ON Data'!$D:$D,$A$4,'ON Data'!$E:$E,6),SUMIFS('ON Data'!AI:AI,'ON Data'!$E:$E,6))</f>
        <v>752845</v>
      </c>
      <c r="AE20" s="236">
        <f xml:space="preserve">
IF($A$4&lt;=12,SUMIFS('ON Data'!AJ:AJ,'ON Data'!$D:$D,$A$4,'ON Data'!$E:$E,6),SUMIFS('ON Data'!AJ:AJ,'ON Data'!$E:$E,6))</f>
        <v>0</v>
      </c>
      <c r="AF20" s="236">
        <f xml:space="preserve">
IF($A$4&lt;=12,SUMIFS('ON Data'!AK:AK,'ON Data'!$D:$D,$A$4,'ON Data'!$E:$E,6),SUMIFS('ON Data'!AK:AK,'ON Data'!$E:$E,6))</f>
        <v>0</v>
      </c>
      <c r="AG20" s="381">
        <f xml:space="preserve">
IF($A$4&lt;=12,SUMIFS('ON Data'!AM:AM,'ON Data'!$D:$D,$A$4,'ON Data'!$E:$E,6),SUMIFS('ON Data'!AM:AM,'ON Data'!$E:$E,6))</f>
        <v>162909</v>
      </c>
      <c r="AH20" s="387"/>
    </row>
    <row r="21" spans="1:34" ht="15" hidden="1" outlineLevel="1" thickBot="1" x14ac:dyDescent="0.35">
      <c r="A21" s="202" t="s">
        <v>85</v>
      </c>
      <c r="B21" s="222">
        <f xml:space="preserve">
IF($A$4&lt;=12,SUMIFS('ON Data'!F:F,'ON Data'!$D:$D,$A$4,'ON Data'!$E:$E,12),SUMIFS('ON Data'!F:F,'ON Data'!$E:$E,12))</f>
        <v>0</v>
      </c>
      <c r="C21" s="223">
        <f xml:space="preserve">
IF($A$4&lt;=12,SUMIFS('ON Data'!G:G,'ON Data'!$D:$D,$A$4,'ON Data'!$E:$E,12),SUMIFS('ON Data'!G:G,'ON Data'!$E:$E,12))</f>
        <v>0</v>
      </c>
      <c r="D21" s="224">
        <f xml:space="preserve">
IF($A$4&lt;=12,SUMIFS('ON Data'!H:H,'ON Data'!$D:$D,$A$4,'ON Data'!$E:$E,12),SUMIFS('ON Data'!H:H,'ON Data'!$E:$E,12))</f>
        <v>0</v>
      </c>
      <c r="E21" s="224">
        <f xml:space="preserve">
IF($A$4&lt;=12,SUMIFS('ON Data'!I:I,'ON Data'!$D:$D,$A$4,'ON Data'!$E:$E,12),SUMIFS('ON Data'!I:I,'ON Data'!$E:$E,12))</f>
        <v>0</v>
      </c>
      <c r="F21" s="224">
        <f xml:space="preserve">
IF($A$4&lt;=12,SUMIFS('ON Data'!K:K,'ON Data'!$D:$D,$A$4,'ON Data'!$E:$E,12),SUMIFS('ON Data'!K:K,'ON Data'!$E:$E,12))</f>
        <v>0</v>
      </c>
      <c r="G21" s="224">
        <f xml:space="preserve">
IF($A$4&lt;=12,SUMIFS('ON Data'!L:L,'ON Data'!$D:$D,$A$4,'ON Data'!$E:$E,12),SUMIFS('ON Data'!L:L,'ON Data'!$E:$E,12))</f>
        <v>0</v>
      </c>
      <c r="H21" s="224">
        <f xml:space="preserve">
IF($A$4&lt;=12,SUMIFS('ON Data'!M:M,'ON Data'!$D:$D,$A$4,'ON Data'!$E:$E,12),SUMIFS('ON Data'!M:M,'ON Data'!$E:$E,12))</f>
        <v>0</v>
      </c>
      <c r="I21" s="224">
        <f xml:space="preserve">
IF($A$4&lt;=12,SUMIFS('ON Data'!N:N,'ON Data'!$D:$D,$A$4,'ON Data'!$E:$E,12),SUMIFS('ON Data'!N:N,'ON Data'!$E:$E,12))</f>
        <v>0</v>
      </c>
      <c r="J21" s="224">
        <f xml:space="preserve">
IF($A$4&lt;=12,SUMIFS('ON Data'!O:O,'ON Data'!$D:$D,$A$4,'ON Data'!$E:$E,12),SUMIFS('ON Data'!O:O,'ON Data'!$E:$E,12))</f>
        <v>0</v>
      </c>
      <c r="K21" s="224">
        <f xml:space="preserve">
IF($A$4&lt;=12,SUMIFS('ON Data'!P:P,'ON Data'!$D:$D,$A$4,'ON Data'!$E:$E,12),SUMIFS('ON Data'!P:P,'ON Data'!$E:$E,12))</f>
        <v>0</v>
      </c>
      <c r="L21" s="224">
        <f xml:space="preserve">
IF($A$4&lt;=12,SUMIFS('ON Data'!Q:Q,'ON Data'!$D:$D,$A$4,'ON Data'!$E:$E,12),SUMIFS('ON Data'!Q:Q,'ON Data'!$E:$E,12))</f>
        <v>0</v>
      </c>
      <c r="M21" s="224">
        <f xml:space="preserve">
IF($A$4&lt;=12,SUMIFS('ON Data'!R:R,'ON Data'!$D:$D,$A$4,'ON Data'!$E:$E,12),SUMIFS('ON Data'!R:R,'ON Data'!$E:$E,12))</f>
        <v>0</v>
      </c>
      <c r="N21" s="224">
        <f xml:space="preserve">
IF($A$4&lt;=12,SUMIFS('ON Data'!S:S,'ON Data'!$D:$D,$A$4,'ON Data'!$E:$E,12),SUMIFS('ON Data'!S:S,'ON Data'!$E:$E,12))</f>
        <v>0</v>
      </c>
      <c r="O21" s="224">
        <f xml:space="preserve">
IF($A$4&lt;=12,SUMIFS('ON Data'!T:T,'ON Data'!$D:$D,$A$4,'ON Data'!$E:$E,12),SUMIFS('ON Data'!T:T,'ON Data'!$E:$E,12))</f>
        <v>0</v>
      </c>
      <c r="P21" s="224">
        <f xml:space="preserve">
IF($A$4&lt;=12,SUMIFS('ON Data'!U:U,'ON Data'!$D:$D,$A$4,'ON Data'!$E:$E,12),SUMIFS('ON Data'!U:U,'ON Data'!$E:$E,12))</f>
        <v>0</v>
      </c>
      <c r="Q21" s="224">
        <f xml:space="preserve">
IF($A$4&lt;=12,SUMIFS('ON Data'!V:V,'ON Data'!$D:$D,$A$4,'ON Data'!$E:$E,12),SUMIFS('ON Data'!V:V,'ON Data'!$E:$E,12))</f>
        <v>0</v>
      </c>
      <c r="R21" s="224">
        <f xml:space="preserve">
IF($A$4&lt;=12,SUMIFS('ON Data'!W:W,'ON Data'!$D:$D,$A$4,'ON Data'!$E:$E,12),SUMIFS('ON Data'!W:W,'ON Data'!$E:$E,12))</f>
        <v>0</v>
      </c>
      <c r="S21" s="224">
        <f xml:space="preserve">
IF($A$4&lt;=12,SUMIFS('ON Data'!X:X,'ON Data'!$D:$D,$A$4,'ON Data'!$E:$E,12),SUMIFS('ON Data'!X:X,'ON Data'!$E:$E,12))</f>
        <v>0</v>
      </c>
      <c r="T21" s="224">
        <f xml:space="preserve">
IF($A$4&lt;=12,SUMIFS('ON Data'!Y:Y,'ON Data'!$D:$D,$A$4,'ON Data'!$E:$E,12),SUMIFS('ON Data'!Y:Y,'ON Data'!$E:$E,12))</f>
        <v>0</v>
      </c>
      <c r="U21" s="224">
        <f xml:space="preserve">
IF($A$4&lt;=12,SUMIFS('ON Data'!Z:Z,'ON Data'!$D:$D,$A$4,'ON Data'!$E:$E,12),SUMIFS('ON Data'!Z:Z,'ON Data'!$E:$E,12))</f>
        <v>0</v>
      </c>
      <c r="V21" s="224">
        <f xml:space="preserve">
IF($A$4&lt;=12,SUMIFS('ON Data'!AA:AA,'ON Data'!$D:$D,$A$4,'ON Data'!$E:$E,12),SUMIFS('ON Data'!AA:AA,'ON Data'!$E:$E,12))</f>
        <v>0</v>
      </c>
      <c r="W21" s="224">
        <f xml:space="preserve">
IF($A$4&lt;=12,SUMIFS('ON Data'!AB:AB,'ON Data'!$D:$D,$A$4,'ON Data'!$E:$E,12),SUMIFS('ON Data'!AB:AB,'ON Data'!$E:$E,12))</f>
        <v>0</v>
      </c>
      <c r="X21" s="224">
        <f xml:space="preserve">
IF($A$4&lt;=12,SUMIFS('ON Data'!AC:AC,'ON Data'!$D:$D,$A$4,'ON Data'!$E:$E,12),SUMIFS('ON Data'!AC:AC,'ON Data'!$E:$E,12))</f>
        <v>0</v>
      </c>
      <c r="Y21" s="224">
        <f xml:space="preserve">
IF($A$4&lt;=12,SUMIFS('ON Data'!AD:AD,'ON Data'!$D:$D,$A$4,'ON Data'!$E:$E,12),SUMIFS('ON Data'!AD:AD,'ON Data'!$E:$E,12))</f>
        <v>0</v>
      </c>
      <c r="Z21" s="224">
        <f xml:space="preserve">
IF($A$4&lt;=12,SUMIFS('ON Data'!AE:AE,'ON Data'!$D:$D,$A$4,'ON Data'!$E:$E,12),SUMIFS('ON Data'!AE:AE,'ON Data'!$E:$E,12))</f>
        <v>0</v>
      </c>
      <c r="AA21" s="224">
        <f xml:space="preserve">
IF($A$4&lt;=12,SUMIFS('ON Data'!AF:AF,'ON Data'!$D:$D,$A$4,'ON Data'!$E:$E,12),SUMIFS('ON Data'!AF:AF,'ON Data'!$E:$E,12))</f>
        <v>0</v>
      </c>
      <c r="AB21" s="224">
        <f xml:space="preserve">
IF($A$4&lt;=12,SUMIFS('ON Data'!AG:AG,'ON Data'!$D:$D,$A$4,'ON Data'!$E:$E,12),SUMIFS('ON Data'!AG:AG,'ON Data'!$E:$E,12))</f>
        <v>0</v>
      </c>
      <c r="AC21" s="224">
        <f xml:space="preserve">
IF($A$4&lt;=12,SUMIFS('ON Data'!AH:AH,'ON Data'!$D:$D,$A$4,'ON Data'!$E:$E,12),SUMIFS('ON Data'!AH:AH,'ON Data'!$E:$E,12))</f>
        <v>0</v>
      </c>
      <c r="AD21" s="224">
        <f xml:space="preserve">
IF($A$4&lt;=12,SUMIFS('ON Data'!AI:AI,'ON Data'!$D:$D,$A$4,'ON Data'!$E:$E,12),SUMIFS('ON Data'!AI:AI,'ON Data'!$E:$E,12))</f>
        <v>0</v>
      </c>
      <c r="AE21" s="224">
        <f xml:space="preserve">
IF($A$4&lt;=12,SUMIFS('ON Data'!AJ:AJ,'ON Data'!$D:$D,$A$4,'ON Data'!$E:$E,12),SUMIFS('ON Data'!AJ:AJ,'ON Data'!$E:$E,12))</f>
        <v>0</v>
      </c>
      <c r="AF21" s="224">
        <f xml:space="preserve">
IF($A$4&lt;=12,SUMIFS('ON Data'!AK:AK,'ON Data'!$D:$D,$A$4,'ON Data'!$E:$E,12),SUMIFS('ON Data'!AK:AK,'ON Data'!$E:$E,12))</f>
        <v>0</v>
      </c>
      <c r="AG21" s="377">
        <f xml:space="preserve">
IF($A$4&lt;=12,SUMIFS('ON Data'!AM:AM,'ON Data'!$D:$D,$A$4,'ON Data'!$E:$E,12),SUMIFS('ON Data'!AM:AM,'ON Data'!$E:$E,12))</f>
        <v>0</v>
      </c>
      <c r="AH21" s="387"/>
    </row>
    <row r="22" spans="1:34" ht="15" hidden="1" outlineLevel="1" thickBot="1" x14ac:dyDescent="0.35">
      <c r="A22" s="202" t="s">
        <v>52</v>
      </c>
      <c r="B22" s="267" t="str">
        <f xml:space="preserve">
IF(OR(B21="",B21=0),"",B20/B21)</f>
        <v/>
      </c>
      <c r="C22" s="268" t="str">
        <f t="shared" ref="C22:AG22" si="2" xml:space="preserve">
IF(OR(C21="",C21=0),"",C20/C21)</f>
        <v/>
      </c>
      <c r="D22" s="269" t="str">
        <f t="shared" si="2"/>
        <v/>
      </c>
      <c r="E22" s="269" t="str">
        <f t="shared" si="2"/>
        <v/>
      </c>
      <c r="F22" s="269" t="str">
        <f t="shared" si="2"/>
        <v/>
      </c>
      <c r="G22" s="269" t="str">
        <f t="shared" si="2"/>
        <v/>
      </c>
      <c r="H22" s="269" t="str">
        <f t="shared" si="2"/>
        <v/>
      </c>
      <c r="I22" s="269" t="str">
        <f t="shared" si="2"/>
        <v/>
      </c>
      <c r="J22" s="269" t="str">
        <f t="shared" si="2"/>
        <v/>
      </c>
      <c r="K22" s="269" t="str">
        <f t="shared" si="2"/>
        <v/>
      </c>
      <c r="L22" s="269" t="str">
        <f t="shared" si="2"/>
        <v/>
      </c>
      <c r="M22" s="269" t="str">
        <f t="shared" si="2"/>
        <v/>
      </c>
      <c r="N22" s="269" t="str">
        <f t="shared" si="2"/>
        <v/>
      </c>
      <c r="O22" s="269" t="str">
        <f t="shared" si="2"/>
        <v/>
      </c>
      <c r="P22" s="269" t="str">
        <f t="shared" si="2"/>
        <v/>
      </c>
      <c r="Q22" s="269" t="str">
        <f t="shared" si="2"/>
        <v/>
      </c>
      <c r="R22" s="269" t="str">
        <f t="shared" si="2"/>
        <v/>
      </c>
      <c r="S22" s="269" t="str">
        <f t="shared" si="2"/>
        <v/>
      </c>
      <c r="T22" s="269" t="str">
        <f t="shared" si="2"/>
        <v/>
      </c>
      <c r="U22" s="269" t="str">
        <f t="shared" si="2"/>
        <v/>
      </c>
      <c r="V22" s="269" t="str">
        <f t="shared" si="2"/>
        <v/>
      </c>
      <c r="W22" s="269" t="str">
        <f t="shared" si="2"/>
        <v/>
      </c>
      <c r="X22" s="269" t="str">
        <f t="shared" si="2"/>
        <v/>
      </c>
      <c r="Y22" s="269" t="str">
        <f t="shared" si="2"/>
        <v/>
      </c>
      <c r="Z22" s="269" t="str">
        <f t="shared" si="2"/>
        <v/>
      </c>
      <c r="AA22" s="269" t="str">
        <f t="shared" si="2"/>
        <v/>
      </c>
      <c r="AB22" s="269" t="str">
        <f t="shared" si="2"/>
        <v/>
      </c>
      <c r="AC22" s="269" t="str">
        <f t="shared" si="2"/>
        <v/>
      </c>
      <c r="AD22" s="269" t="str">
        <f t="shared" si="2"/>
        <v/>
      </c>
      <c r="AE22" s="269" t="str">
        <f t="shared" si="2"/>
        <v/>
      </c>
      <c r="AF22" s="269" t="str">
        <f t="shared" si="2"/>
        <v/>
      </c>
      <c r="AG22" s="382" t="str">
        <f t="shared" si="2"/>
        <v/>
      </c>
      <c r="AH22" s="387"/>
    </row>
    <row r="23" spans="1:34" ht="15" hidden="1" outlineLevel="1" thickBot="1" x14ac:dyDescent="0.35">
      <c r="A23" s="210" t="s">
        <v>45</v>
      </c>
      <c r="B23" s="225">
        <f xml:space="preserve">
IF(B21="","",B20-B21)</f>
        <v>3699511</v>
      </c>
      <c r="C23" s="226">
        <f t="shared" ref="C23:AG23" si="3" xml:space="preserve">
IF(C21="","",C20-C21)</f>
        <v>0</v>
      </c>
      <c r="D23" s="227">
        <f t="shared" si="3"/>
        <v>0</v>
      </c>
      <c r="E23" s="227">
        <f t="shared" si="3"/>
        <v>0</v>
      </c>
      <c r="F23" s="227">
        <f t="shared" si="3"/>
        <v>0</v>
      </c>
      <c r="G23" s="227">
        <f t="shared" si="3"/>
        <v>0</v>
      </c>
      <c r="H23" s="227">
        <f t="shared" si="3"/>
        <v>0</v>
      </c>
      <c r="I23" s="227">
        <f t="shared" si="3"/>
        <v>0</v>
      </c>
      <c r="J23" s="227">
        <f t="shared" si="3"/>
        <v>0</v>
      </c>
      <c r="K23" s="227">
        <f t="shared" si="3"/>
        <v>0</v>
      </c>
      <c r="L23" s="227">
        <f t="shared" si="3"/>
        <v>0</v>
      </c>
      <c r="M23" s="227">
        <f t="shared" si="3"/>
        <v>0</v>
      </c>
      <c r="N23" s="227">
        <f t="shared" si="3"/>
        <v>0</v>
      </c>
      <c r="O23" s="227">
        <f t="shared" si="3"/>
        <v>0</v>
      </c>
      <c r="P23" s="227">
        <f t="shared" si="3"/>
        <v>0</v>
      </c>
      <c r="Q23" s="227">
        <f t="shared" si="3"/>
        <v>2783757</v>
      </c>
      <c r="R23" s="227">
        <f t="shared" si="3"/>
        <v>0</v>
      </c>
      <c r="S23" s="227">
        <f t="shared" si="3"/>
        <v>0</v>
      </c>
      <c r="T23" s="227">
        <f t="shared" si="3"/>
        <v>0</v>
      </c>
      <c r="U23" s="227">
        <f t="shared" si="3"/>
        <v>0</v>
      </c>
      <c r="V23" s="227">
        <f t="shared" si="3"/>
        <v>0</v>
      </c>
      <c r="W23" s="227">
        <f t="shared" si="3"/>
        <v>0</v>
      </c>
      <c r="X23" s="227">
        <f t="shared" si="3"/>
        <v>0</v>
      </c>
      <c r="Y23" s="227">
        <f t="shared" si="3"/>
        <v>0</v>
      </c>
      <c r="Z23" s="227">
        <f t="shared" si="3"/>
        <v>0</v>
      </c>
      <c r="AA23" s="227">
        <f t="shared" si="3"/>
        <v>0</v>
      </c>
      <c r="AB23" s="227">
        <f t="shared" si="3"/>
        <v>0</v>
      </c>
      <c r="AC23" s="227">
        <f t="shared" si="3"/>
        <v>0</v>
      </c>
      <c r="AD23" s="227">
        <f t="shared" si="3"/>
        <v>752845</v>
      </c>
      <c r="AE23" s="227">
        <f t="shared" si="3"/>
        <v>0</v>
      </c>
      <c r="AF23" s="227">
        <f t="shared" si="3"/>
        <v>0</v>
      </c>
      <c r="AG23" s="378">
        <f t="shared" si="3"/>
        <v>162909</v>
      </c>
      <c r="AH23" s="387"/>
    </row>
    <row r="24" spans="1:34" x14ac:dyDescent="0.3">
      <c r="A24" s="204" t="s">
        <v>172</v>
      </c>
      <c r="B24" s="251" t="s">
        <v>3</v>
      </c>
      <c r="C24" s="388" t="s">
        <v>183</v>
      </c>
      <c r="D24" s="362"/>
      <c r="E24" s="363"/>
      <c r="F24" s="363" t="s">
        <v>184</v>
      </c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83" t="s">
        <v>185</v>
      </c>
      <c r="AH24" s="387"/>
    </row>
    <row r="25" spans="1:34" x14ac:dyDescent="0.3">
      <c r="A25" s="205" t="s">
        <v>50</v>
      </c>
      <c r="B25" s="222">
        <f xml:space="preserve">
SUM(C25:AG25)</f>
        <v>8000</v>
      </c>
      <c r="C25" s="389">
        <f xml:space="preserve">
IF($A$4&lt;=12,SUMIFS('ON Data'!H:H,'ON Data'!$D:$D,$A$4,'ON Data'!$E:$E,10),SUMIFS('ON Data'!H:H,'ON Data'!$E:$E,10))</f>
        <v>0</v>
      </c>
      <c r="D25" s="364"/>
      <c r="E25" s="365"/>
      <c r="F25" s="365">
        <f xml:space="preserve">
IF($A$4&lt;=12,SUMIFS('ON Data'!K:K,'ON Data'!$D:$D,$A$4,'ON Data'!$E:$E,10),SUMIFS('ON Data'!K:K,'ON Data'!$E:$E,10))</f>
        <v>8000</v>
      </c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5"/>
      <c r="AE25" s="365"/>
      <c r="AF25" s="365"/>
      <c r="AG25" s="384">
        <f xml:space="preserve">
IF($A$4&lt;=12,SUMIFS('ON Data'!AM:AM,'ON Data'!$D:$D,$A$4,'ON Data'!$E:$E,10),SUMIFS('ON Data'!AM:AM,'ON Data'!$E:$E,10))</f>
        <v>0</v>
      </c>
      <c r="AH25" s="387"/>
    </row>
    <row r="26" spans="1:34" x14ac:dyDescent="0.3">
      <c r="A26" s="211" t="s">
        <v>182</v>
      </c>
      <c r="B26" s="231">
        <f xml:space="preserve">
SUM(C26:AG26)</f>
        <v>10500</v>
      </c>
      <c r="C26" s="389">
        <f xml:space="preserve">
IF($A$4&lt;=12,SUMIFS('ON Data'!H:H,'ON Data'!$D:$D,$A$4,'ON Data'!$E:$E,11),SUMIFS('ON Data'!H:H,'ON Data'!$E:$E,11))</f>
        <v>0</v>
      </c>
      <c r="D26" s="364"/>
      <c r="E26" s="365"/>
      <c r="F26" s="366">
        <f xml:space="preserve">
IF($A$4&lt;=12,SUMIFS('ON Data'!K:K,'ON Data'!$D:$D,$A$4,'ON Data'!$E:$E,11),SUMIFS('ON Data'!K:K,'ON Data'!$E:$E,11))</f>
        <v>10500</v>
      </c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6"/>
      <c r="AG26" s="384">
        <f xml:space="preserve">
IF($A$4&lt;=12,SUMIFS('ON Data'!AM:AM,'ON Data'!$D:$D,$A$4,'ON Data'!$E:$E,11),SUMIFS('ON Data'!AM:AM,'ON Data'!$E:$E,11))</f>
        <v>0</v>
      </c>
      <c r="AH26" s="387"/>
    </row>
    <row r="27" spans="1:34" x14ac:dyDescent="0.3">
      <c r="A27" s="211" t="s">
        <v>52</v>
      </c>
      <c r="B27" s="252">
        <f xml:space="preserve">
IF(B26=0,0,B25/B26)</f>
        <v>0.76190476190476186</v>
      </c>
      <c r="C27" s="390">
        <f xml:space="preserve">
IF(C26=0,0,C25/C26)</f>
        <v>0</v>
      </c>
      <c r="D27" s="367"/>
      <c r="E27" s="368"/>
      <c r="F27" s="368">
        <f xml:space="preserve">
IF(F26=0,0,F25/F26)</f>
        <v>0.76190476190476186</v>
      </c>
      <c r="G27" s="368"/>
      <c r="H27" s="368"/>
      <c r="I27" s="368"/>
      <c r="J27" s="368"/>
      <c r="K27" s="368"/>
      <c r="L27" s="368"/>
      <c r="M27" s="368"/>
      <c r="N27" s="368"/>
      <c r="O27" s="368"/>
      <c r="P27" s="368"/>
      <c r="Q27" s="368"/>
      <c r="R27" s="368"/>
      <c r="S27" s="368"/>
      <c r="T27" s="368"/>
      <c r="U27" s="368"/>
      <c r="V27" s="368"/>
      <c r="W27" s="368"/>
      <c r="X27" s="368"/>
      <c r="Y27" s="368"/>
      <c r="Z27" s="368"/>
      <c r="AA27" s="368"/>
      <c r="AB27" s="368"/>
      <c r="AC27" s="368"/>
      <c r="AD27" s="368"/>
      <c r="AE27" s="368"/>
      <c r="AF27" s="368"/>
      <c r="AG27" s="385">
        <f xml:space="preserve">
IF(AG26=0,0,AG25/AG26)</f>
        <v>0</v>
      </c>
      <c r="AH27" s="387"/>
    </row>
    <row r="28" spans="1:34" ht="15" thickBot="1" x14ac:dyDescent="0.35">
      <c r="A28" s="211" t="s">
        <v>181</v>
      </c>
      <c r="B28" s="231">
        <f xml:space="preserve">
SUM(C28:AG28)</f>
        <v>2500</v>
      </c>
      <c r="C28" s="391">
        <f xml:space="preserve">
C26-C25</f>
        <v>0</v>
      </c>
      <c r="D28" s="369"/>
      <c r="E28" s="370"/>
      <c r="F28" s="370">
        <f xml:space="preserve">
F26-F25</f>
        <v>2500</v>
      </c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370"/>
      <c r="AC28" s="370"/>
      <c r="AD28" s="370"/>
      <c r="AE28" s="370"/>
      <c r="AF28" s="370"/>
      <c r="AG28" s="386">
        <f xml:space="preserve">
AG26-AG25</f>
        <v>0</v>
      </c>
      <c r="AH28" s="387"/>
    </row>
    <row r="29" spans="1:34" x14ac:dyDescent="0.3">
      <c r="A29" s="212"/>
      <c r="B29" s="212"/>
      <c r="C29" s="213"/>
      <c r="D29" s="212"/>
      <c r="E29" s="212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2"/>
      <c r="AF29" s="212"/>
      <c r="AG29" s="212"/>
    </row>
    <row r="30" spans="1:34" x14ac:dyDescent="0.3">
      <c r="A30" s="85" t="s">
        <v>116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20"/>
    </row>
    <row r="31" spans="1:34" x14ac:dyDescent="0.3">
      <c r="A31" s="86" t="s">
        <v>179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20"/>
    </row>
    <row r="32" spans="1:34" ht="14.4" customHeight="1" x14ac:dyDescent="0.3">
      <c r="A32" s="248" t="s">
        <v>176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</row>
    <row r="33" spans="1:1" x14ac:dyDescent="0.3">
      <c r="A33" s="250" t="s">
        <v>186</v>
      </c>
    </row>
    <row r="34" spans="1:1" x14ac:dyDescent="0.3">
      <c r="A34" s="250" t="s">
        <v>187</v>
      </c>
    </row>
    <row r="35" spans="1:1" x14ac:dyDescent="0.3">
      <c r="A35" s="250" t="s">
        <v>188</v>
      </c>
    </row>
    <row r="36" spans="1:1" x14ac:dyDescent="0.3">
      <c r="A36" s="250" t="s">
        <v>189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2014-10-22T12:36:23Z</dcterms:modified>
</cp:coreProperties>
</file>