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Detail" sheetId="345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1" hidden="1">'ZV Vykáz.-A Detail'!$A$5:$P$5</definedName>
    <definedName name="_xlnm._FilterDatabase" localSheetId="13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2" i="383" l="1"/>
  <c r="A11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D4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D18" i="414"/>
  <c r="C18" i="414"/>
  <c r="F13" i="339" l="1"/>
  <c r="E13" i="339"/>
  <c r="E15" i="339" s="1"/>
  <c r="H12" i="339"/>
  <c r="G12" i="339"/>
  <c r="A4" i="383"/>
  <c r="A19" i="383"/>
  <c r="A18" i="383"/>
  <c r="A17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<sst xmlns="http://schemas.openxmlformats.org/spreadsheetml/2006/main" count="1010" uniqueCount="425">
  <si>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</si>
  <si>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</si>
  <si>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</si>
  <si>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</si>
  <si>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</si>
  <si>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</si>
  <si>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</si>
  <si>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</si>
  <si>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</si>
  <si>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</si>
  <si>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</si>
  <si>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</si>
  <si>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</si>
  <si>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</si>
  <si>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</si>
  <si>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</si>
  <si>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</si>
  <si>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</si>
  <si>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</si>
  <si>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</si>
  <si>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</si>
  <si>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</si>
  <si>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</si>
  <si>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</si>
  <si>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</si>
  <si>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</si>
  <si>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</si>
  <si>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</si>
  <si>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</si>
  <si>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</si>
  <si>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</si>
  <si>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</si>
  <si>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</si>
  <si>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</si>
  <si>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</si>
  <si>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</si>
  <si>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</si>
  <si>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</si>
  <si>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</si>
  <si>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</si>
  <si>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</si>
  <si>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</si>
  <si>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</si>
  <si>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</si>
  <si>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</si>
  <si>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</si>
  <si>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</si>
  <si>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</si>
  <si>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</si>
  <si>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</si>
  <si>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</si>
  <si>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</si>
  <si>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</si>
  <si>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</si>
  <si>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</si>
  <si>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</si>
  <si>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</si>
  <si>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</si>
  <si>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</si>
  <si>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</si>
  <si>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</si>
  <si>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</si>
  <si>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</si>
  <si>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</si>
  <si>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</si>
  <si>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</si>
  <si>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</si>
  <si>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</si>
  <si>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</si>
  <si>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</si>
  <si>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</si>
  <si>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</si>
  <si>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</si>
  <si>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</si>
  <si>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</si>
  <si>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</si>
  <si>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</si>
  <si>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</si>
  <si>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</si>
  <si>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</si>
  <si>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</si>
  <si>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</si>
  <si>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</si>
  <si>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</si>
  <si>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</si>
  <si>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</si>
  <si>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</si>
  <si>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</si>
  <si>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</si>
  <si>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</si>
  <si>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</si>
  <si>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</si>
  <si>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</si>
  <si>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</si>
  <si>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</si>
  <si>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</si>
  <si>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</si>
  <si>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</si>
  <si>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</si>
  <si>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</si>
  <si>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</si>
  <si>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</si>
  <si>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</si>
  <si>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</si>
  <si>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</si>
  <si>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</si>
  <si>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</si>
  <si>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</si>
  <si>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</si>
  <si>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</si>
  <si>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</si>
  <si>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</si>
  <si>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</si>
  <si>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</si>
  <si>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</si>
  <si>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</si>
  <si>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</si>
  <si>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</si>
  <si>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</si>
  <si>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</si>
  <si>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</si>
  <si>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</si>
  <si>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</si>
  <si>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</si>
  <si>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</si>
  <si>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</si>
  <si>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</si>
  <si>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</si>
  <si>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</si>
  <si>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</si>
  <si>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</si>
  <si>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</si>
  <si>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</si>
  <si>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</si>
  <si>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</si>
  <si>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</si>
  <si>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</si>
  <si>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</si>
  <si>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</si>
  <si>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</si>
  <si>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</si>
  <si>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</si>
  <si>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</si>
  <si>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</si>
  <si>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</si>
  <si>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</si>
  <si>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</si>
  <si>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</si>
  <si>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</si>
  <si>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</si>
  <si>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</si>
  <si>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</si>
  <si>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</si>
  <si>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</si>
  <si>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</si>
  <si>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</si>
  <si>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</si>
  <si>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</si>
  <si>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</si>
  <si>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</si>
  <si>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</si>
  <si>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</si>
  <si>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</si>
  <si>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</si>
  <si>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</si>
  <si>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</si>
  <si>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</si>
  <si>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</si>
  <si>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</si>
  <si>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</si>
  <si>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</si>
  <si>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</si>
  <si>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</si>
  <si>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</si>
  <si>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</si>
  <si>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</si>
  <si>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</si>
  <si>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</si>
  <si>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</si>
  <si>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</si>
  <si>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</si>
  <si>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</si>
  <si>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</si>
  <si>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</si>
  <si>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</si>
  <si>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</si>
  <si>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</si>
  <si>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</si>
  <si>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</si>
  <si>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</si>
  <si>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</si>
  <si>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</si>
  <si>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</si>
  <si>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</si>
  <si>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</si>
  <si>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</si>
  <si>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</si>
  <si>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</si>
  <si>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</si>
  <si>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</si>
  <si>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</si>
  <si>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</si>
  <si>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</si>
  <si>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</si>
  <si>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</si>
  <si>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</si>
  <si>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</si>
  <si>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</si>
  <si>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</si>
  <si>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</si>
  <si>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</si>
  <si>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</si>
  <si>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</si>
  <si>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</si>
  <si>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</si>
  <si>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</si>
  <si>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</si>
  <si>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</si>
  <si>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</si>
  <si>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</si>
  <si>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</si>
  <si>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</si>
  <si>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</si>
  <si>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</si>
  <si>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</si>
  <si>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</si>
  <si>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</si>
  <si>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</si>
  <si>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</si>
  <si>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</si>
  <si>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</si>
  <si>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</si>
  <si>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</si>
  <si>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</si>
  <si>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</si>
  <si>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</si>
  <si>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</si>
  <si>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</si>
  <si>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</si>
  <si>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</si>
  <si>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</si>
  <si>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</si>
  <si>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</si>
  <si>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</si>
  <si>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</si>
  <si>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</si>
  <si>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</si>
  <si>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</si>
  <si>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</si>
  <si>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</si>
  <si>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</si>
  <si>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</si>
  <si>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</si>
  <si>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</si>
  <si>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</si>
  <si>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</si>
  <si>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</si>
  <si>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</si>
  <si>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</si>
  <si>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</si>
  <si>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</si>
  <si>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</si>
  <si>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</si>
  <si>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</si>
  <si>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</si>
  <si>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</si>
  <si>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</si>
  <si>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</si>
  <si>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</si>
  <si>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</si>
  <si>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</si>
  <si>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</si>
  <si>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</si>
  <si>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</si>
  <si>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</si>
  <si>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</si>
  <si>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54924     Ostatní výplaty fyzickým osobám</t>
  </si>
  <si>
    <t>54924001     odškod.zaměst. - prac.úraz,...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</si>
  <si>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</si>
  <si>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</si>
  <si>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</si>
  <si>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</si>
  <si>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</si>
  <si>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</si>
  <si>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</si>
  <si>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</si>
  <si>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</si>
  <si>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</si>
  <si>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</si>
  <si>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</si>
  <si>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</si>
  <si>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</si>
  <si>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</si>
  <si>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</si>
  <si>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</si>
  <si>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</si>
  <si>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</si>
  <si>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</si>
  <si>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</si>
  <si>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</si>
  <si>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</si>
  <si>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</si>
  <si>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</si>
  <si>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</si>
  <si>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</si>
  <si>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</si>
  <si>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</si>
  <si>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</si>
  <si>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</si>
  <si>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</si>
  <si>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</si>
  <si>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</si>
  <si>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</si>
  <si>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</si>
  <si>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</si>
  <si>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</si>
  <si>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</si>
  <si>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</si>
  <si>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</si>
  <si>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64924446     Teoretické ústavy - poplatky za vjezd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</si>
  <si>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</si>
  <si>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</si>
  <si>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</si>
  <si>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</si>
  <si>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</si>
  <si>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</si>
  <si>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</si>
  <si>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</si>
  <si>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</si>
  <si>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</si>
  <si>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</si>
  <si>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</si>
  <si>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</si>
  <si>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</si>
  <si>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</si>
  <si>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</si>
  <si>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</si>
  <si>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</si>
  <si>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</si>
  <si>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</si>
  <si>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</si>
  <si>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</si>
  <si>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</si>
  <si>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ON Data</t>
  </si>
  <si>
    <t>901 - Pracoviště klinické psychologie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</si>
  <si>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</si>
  <si>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</si>
  <si>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</si>
  <si>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</si>
  <si>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</si>
  <si>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</si>
  <si>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</si>
  <si>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</si>
  <si>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</si>
  <si>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</si>
  <si>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</si>
  <si>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</si>
  <si>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</si>
  <si>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</si>
  <si>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</si>
  <si>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</si>
  <si>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</si>
  <si>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</si>
  <si>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</si>
  <si>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REGULAČNÍ POPLATEK ZA NÁVŠTĚVU -- POPLATEK UHRAZEN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</si>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</sst>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6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8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4" fontId="39" fillId="4" borderId="105" xfId="0" applyNumberFormat="1" applyFont="1" applyFill="1" applyBorder="1" applyAlignment="1">
      <alignment horizontal="center"/>
    </xf>
    <xf numFmtId="174" fontId="39" fillId="4" borderId="106" xfId="0" applyNumberFormat="1" applyFont="1" applyFill="1" applyBorder="1" applyAlignment="1">
      <alignment horizontal="center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 wrapText="1"/>
    </xf>
    <xf numFmtId="176" fontId="32" fillId="0" borderId="107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39" fillId="2" borderId="46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5" fontId="32" fillId="2" borderId="46" xfId="0" applyNumberFormat="1" applyFont="1" applyFill="1" applyBorder="1" applyAlignment="1"/>
    <xf numFmtId="175" fontId="32" fillId="0" borderId="86" xfId="0" applyNumberFormat="1" applyFont="1" applyBorder="1"/>
    <xf numFmtId="175" fontId="32" fillId="0" borderId="111" xfId="0" applyNumberFormat="1" applyFont="1" applyBorder="1"/>
    <xf numFmtId="174" fontId="39" fillId="4" borderId="46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46" xfId="0" applyNumberFormat="1" applyFont="1" applyFill="1" applyBorder="1" applyAlignment="1"/>
    <xf numFmtId="174" fontId="32" fillId="0" borderId="111" xfId="0" applyNumberFormat="1" applyFont="1" applyBorder="1"/>
    <xf numFmtId="174" fontId="32" fillId="0" borderId="46" xfId="0" applyNumberFormat="1" applyFont="1" applyBorder="1"/>
    <xf numFmtId="174" fontId="39" fillId="4" borderId="112" xfId="0" applyNumberFormat="1" applyFont="1" applyFill="1" applyBorder="1" applyAlignment="1">
      <alignment horizontal="center"/>
    </xf>
    <xf numFmtId="174" fontId="32" fillId="0" borderId="113" xfId="0" applyNumberFormat="1" applyFont="1" applyBorder="1" applyAlignment="1">
      <alignment horizontal="right"/>
    </xf>
    <xf numFmtId="176" fontId="32" fillId="0" borderId="113" xfId="0" applyNumberFormat="1" applyFont="1" applyBorder="1" applyAlignment="1">
      <alignment horizontal="right"/>
    </xf>
    <xf numFmtId="174" fontId="32" fillId="0" borderId="114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2" xfId="0" applyFont="1" applyFill="1" applyBorder="1"/>
    <xf numFmtId="0" fontId="32" fillId="0" borderId="63" xfId="0" applyFont="1" applyFill="1" applyBorder="1"/>
    <xf numFmtId="3" fontId="32" fillId="0" borderId="63" xfId="0" applyNumberFormat="1" applyFont="1" applyFill="1" applyBorder="1"/>
    <xf numFmtId="9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3" fontId="32" fillId="0" borderId="67" xfId="0" applyNumberFormat="1" applyFont="1" applyFill="1" applyBorder="1"/>
    <xf numFmtId="170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0.6001961374563286</c:v>
                </c:pt>
                <c:pt idx="1">
                  <c:v>0.62930821251256364</c:v>
                </c:pt>
                <c:pt idx="2">
                  <c:v>0.64943326086386888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45120"/>
        <c:axId val="884716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0.52641949328533855</c:v>
                </c:pt>
                <c:pt idx="1">
                  <c:v>0.52641949328533855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18976"/>
        <c:axId val="884754688"/>
      </c:scatterChart>
      <c:catAx>
        <c:axId val="8686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7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71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8645120"/>
        <c:crosses val="autoZero"/>
        <c:crossBetween val="between"/>
      </c:valAx>
      <c:valAx>
        <c:axId val="884718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754688"/>
        <c:crosses val="max"/>
        <c:crossBetween val="midCat"/>
      </c:valAx>
      <c:valAx>
        <c:axId val="884754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718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98.6640625" style="102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5" t="s">
        <v>85</v>
      </c>
      <c r="B1" s="265"/>
    </row>
    <row r="2" spans="1:3" ht="14.4" customHeight="1" thickBot="1" x14ac:dyDescent="0.35">
      <c r="A2" s="195" t="s">
        <v>217</v>
      </c>
      <c r="B2" s="41"/>
    </row>
    <row r="3" spans="1:3" ht="14.4" customHeight="1" thickBot="1" x14ac:dyDescent="0.35">
      <c r="A3" s="261" t="s">
        <v>105</v>
      </c>
      <c r="B3" s="262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102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219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3" t="s">
        <v>86</v>
      </c>
      <c r="B10" s="262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103</v>
      </c>
      <c r="C11" s="42" t="s">
        <v>91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104</v>
      </c>
      <c r="C12" s="42" t="s">
        <v>92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83</v>
      </c>
      <c r="C13" s="42" t="s">
        <v>93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64" t="s">
        <v>87</v>
      </c>
      <c r="B15" s="262"/>
    </row>
    <row r="16" spans="1:3" ht="14.4" customHeight="1" x14ac:dyDescent="0.3">
      <c r="A16" s="119" t="str">
        <f t="shared" ref="A16:A19" si="4">HYPERLINK("#'"&amp;C16&amp;"'!A1",C16)</f>
        <v>ZV Vykáz.-A</v>
      </c>
      <c r="B16" s="64" t="s">
        <v>348</v>
      </c>
      <c r="C16" s="42" t="s">
        <v>96</v>
      </c>
    </row>
    <row r="17" spans="1:3" ht="14.4" customHeight="1" x14ac:dyDescent="0.3">
      <c r="A17" s="116" t="str">
        <f t="shared" si="4"/>
        <v>ZV Vykáz.-A Detail</v>
      </c>
      <c r="B17" s="65" t="s">
        <v>377</v>
      </c>
      <c r="C17" s="42" t="s">
        <v>97</v>
      </c>
    </row>
    <row r="18" spans="1:3" ht="14.4" customHeight="1" x14ac:dyDescent="0.3">
      <c r="A18" s="116" t="str">
        <f t="shared" si="4"/>
        <v>ZV Vykáz.-H</v>
      </c>
      <c r="B18" s="65" t="s">
        <v>100</v>
      </c>
      <c r="C18" s="42" t="s">
        <v>98</v>
      </c>
    </row>
    <row r="19" spans="1:3" ht="14.4" customHeight="1" x14ac:dyDescent="0.3">
      <c r="A19" s="116" t="str">
        <f t="shared" si="4"/>
        <v>ZV Vykáz.-H Detail</v>
      </c>
      <c r="B19" s="65" t="s">
        <v>424</v>
      </c>
      <c r="C19" s="42" t="s">
        <v>99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7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0" x14ac:dyDescent="0.3">
      <c r="A1" s="191" t="s">
        <v>343</v>
      </c>
    </row>
    <row r="2" spans="1:40" x14ac:dyDescent="0.3">
      <c r="A2" s="195" t="s">
        <v>217</v>
      </c>
    </row>
    <row r="3" spans="1:40" x14ac:dyDescent="0.3">
      <c r="A3" s="191" t="s">
        <v>145</v>
      </c>
      <c r="B3" s="216">
        <v>2014</v>
      </c>
      <c r="D3" s="192">
        <f>MAX(D5:D1048576)</f>
        <v>3</v>
      </c>
      <c r="F3" s="192">
        <f>SUMIF($E5:$E1048576,"&lt;10",F5:F1048576)</f>
        <v>1190890</v>
      </c>
      <c r="G3" s="192">
        <f t="shared" ref="G3:AN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907854.99999999988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0</v>
      </c>
      <c r="AH3" s="192">
        <f t="shared" si="0"/>
        <v>0</v>
      </c>
      <c r="AI3" s="192">
        <f t="shared" si="0"/>
        <v>234289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48746</v>
      </c>
      <c r="AN3" s="192">
        <f t="shared" si="0"/>
        <v>0</v>
      </c>
    </row>
    <row r="4" spans="1:40" x14ac:dyDescent="0.3">
      <c r="A4" s="191" t="s">
        <v>146</v>
      </c>
      <c r="B4" s="216">
        <v>1</v>
      </c>
      <c r="C4" s="193" t="s">
        <v>4</v>
      </c>
      <c r="D4" s="194" t="s">
        <v>44</v>
      </c>
      <c r="E4" s="194" t="s">
        <v>140</v>
      </c>
      <c r="F4" s="194" t="s">
        <v>3</v>
      </c>
      <c r="G4" s="194" t="s">
        <v>141</v>
      </c>
      <c r="H4" s="194" t="s">
        <v>142</v>
      </c>
      <c r="I4" s="194" t="s">
        <v>143</v>
      </c>
      <c r="J4" s="194" t="s">
        <v>144</v>
      </c>
      <c r="K4" s="194">
        <v>305</v>
      </c>
      <c r="L4" s="194">
        <v>306</v>
      </c>
      <c r="M4" s="194">
        <v>408</v>
      </c>
      <c r="N4" s="194">
        <v>409</v>
      </c>
      <c r="O4" s="194">
        <v>410</v>
      </c>
      <c r="P4" s="194">
        <v>415</v>
      </c>
      <c r="Q4" s="194">
        <v>416</v>
      </c>
      <c r="R4" s="194">
        <v>418</v>
      </c>
      <c r="S4" s="194">
        <v>419</v>
      </c>
      <c r="T4" s="194">
        <v>420</v>
      </c>
      <c r="U4" s="194">
        <v>421</v>
      </c>
      <c r="V4" s="194">
        <v>522</v>
      </c>
      <c r="W4" s="194">
        <v>523</v>
      </c>
      <c r="X4" s="194">
        <v>524</v>
      </c>
      <c r="Y4" s="194">
        <v>525</v>
      </c>
      <c r="Z4" s="194">
        <v>526</v>
      </c>
      <c r="AA4" s="194">
        <v>527</v>
      </c>
      <c r="AB4" s="194">
        <v>528</v>
      </c>
      <c r="AC4" s="194">
        <v>629</v>
      </c>
      <c r="AD4" s="194">
        <v>630</v>
      </c>
      <c r="AE4" s="194">
        <v>636</v>
      </c>
      <c r="AF4" s="194">
        <v>637</v>
      </c>
      <c r="AG4" s="194">
        <v>640</v>
      </c>
      <c r="AH4" s="194">
        <v>642</v>
      </c>
      <c r="AI4" s="194">
        <v>743</v>
      </c>
      <c r="AJ4" s="194">
        <v>745</v>
      </c>
      <c r="AK4" s="194">
        <v>746</v>
      </c>
      <c r="AL4" s="194">
        <v>747</v>
      </c>
      <c r="AM4" s="194">
        <v>930</v>
      </c>
      <c r="AN4" s="194">
        <v>940</v>
      </c>
    </row>
    <row r="5" spans="1:40" x14ac:dyDescent="0.3">
      <c r="A5" s="191" t="s">
        <v>147</v>
      </c>
      <c r="B5" s="216">
        <v>2</v>
      </c>
      <c r="C5" s="191">
        <v>39</v>
      </c>
      <c r="D5" s="191">
        <v>1</v>
      </c>
      <c r="E5" s="191">
        <v>1</v>
      </c>
      <c r="F5" s="191">
        <v>13.2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9.1999999999999993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0</v>
      </c>
      <c r="AH5" s="191">
        <v>0</v>
      </c>
      <c r="AI5" s="191">
        <v>3</v>
      </c>
      <c r="AJ5" s="191">
        <v>0</v>
      </c>
      <c r="AK5" s="191">
        <v>0</v>
      </c>
      <c r="AL5" s="191">
        <v>0</v>
      </c>
      <c r="AM5" s="191">
        <v>1</v>
      </c>
      <c r="AN5" s="191">
        <v>0</v>
      </c>
    </row>
    <row r="6" spans="1:40" x14ac:dyDescent="0.3">
      <c r="A6" s="191" t="s">
        <v>148</v>
      </c>
      <c r="B6" s="216">
        <v>3</v>
      </c>
      <c r="C6" s="191">
        <v>39</v>
      </c>
      <c r="D6" s="191">
        <v>1</v>
      </c>
      <c r="E6" s="191">
        <v>2</v>
      </c>
      <c r="F6" s="191">
        <v>2240.8000000000002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1584.8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0</v>
      </c>
      <c r="AH6" s="191">
        <v>0</v>
      </c>
      <c r="AI6" s="191">
        <v>472</v>
      </c>
      <c r="AJ6" s="191">
        <v>0</v>
      </c>
      <c r="AK6" s="191">
        <v>0</v>
      </c>
      <c r="AL6" s="191">
        <v>0</v>
      </c>
      <c r="AM6" s="191">
        <v>184</v>
      </c>
      <c r="AN6" s="191">
        <v>0</v>
      </c>
    </row>
    <row r="7" spans="1:40" x14ac:dyDescent="0.3">
      <c r="A7" s="191" t="s">
        <v>149</v>
      </c>
      <c r="B7" s="216">
        <v>4</v>
      </c>
      <c r="C7" s="191">
        <v>39</v>
      </c>
      <c r="D7" s="191">
        <v>1</v>
      </c>
      <c r="E7" s="191">
        <v>6</v>
      </c>
      <c r="F7" s="191">
        <v>420367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322794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79573</v>
      </c>
      <c r="AJ7" s="191">
        <v>0</v>
      </c>
      <c r="AK7" s="191">
        <v>0</v>
      </c>
      <c r="AL7" s="191">
        <v>0</v>
      </c>
      <c r="AM7" s="191">
        <v>18000</v>
      </c>
      <c r="AN7" s="191">
        <v>0</v>
      </c>
    </row>
    <row r="8" spans="1:40" x14ac:dyDescent="0.3">
      <c r="A8" s="191" t="s">
        <v>150</v>
      </c>
      <c r="B8" s="216">
        <v>5</v>
      </c>
      <c r="C8" s="191">
        <v>39</v>
      </c>
      <c r="D8" s="191">
        <v>1</v>
      </c>
      <c r="E8" s="191">
        <v>10</v>
      </c>
      <c r="F8" s="191">
        <v>5500</v>
      </c>
      <c r="G8" s="191">
        <v>0</v>
      </c>
      <c r="H8" s="191">
        <v>0</v>
      </c>
      <c r="I8" s="191">
        <v>0</v>
      </c>
      <c r="J8" s="191">
        <v>0</v>
      </c>
      <c r="K8" s="191">
        <v>5500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</row>
    <row r="9" spans="1:40" x14ac:dyDescent="0.3">
      <c r="A9" s="191" t="s">
        <v>151</v>
      </c>
      <c r="B9" s="216">
        <v>6</v>
      </c>
      <c r="C9" s="191">
        <v>39</v>
      </c>
      <c r="D9" s="191">
        <v>1</v>
      </c>
      <c r="E9" s="191">
        <v>11</v>
      </c>
      <c r="F9" s="191">
        <v>1166.6666666666667</v>
      </c>
      <c r="G9" s="191">
        <v>0</v>
      </c>
      <c r="H9" s="191">
        <v>0</v>
      </c>
      <c r="I9" s="191">
        <v>0</v>
      </c>
      <c r="J9" s="191">
        <v>0</v>
      </c>
      <c r="K9" s="191">
        <v>1166.6666666666667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</row>
    <row r="10" spans="1:40" x14ac:dyDescent="0.3">
      <c r="A10" s="191" t="s">
        <v>152</v>
      </c>
      <c r="B10" s="216">
        <v>7</v>
      </c>
      <c r="C10" s="191">
        <v>39</v>
      </c>
      <c r="D10" s="191">
        <v>2</v>
      </c>
      <c r="E10" s="191">
        <v>1</v>
      </c>
      <c r="F10" s="191">
        <v>13.2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9.1999999999999993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91">
        <v>3</v>
      </c>
      <c r="AJ10" s="191">
        <v>0</v>
      </c>
      <c r="AK10" s="191">
        <v>0</v>
      </c>
      <c r="AL10" s="191">
        <v>0</v>
      </c>
      <c r="AM10" s="191">
        <v>1</v>
      </c>
      <c r="AN10" s="191">
        <v>0</v>
      </c>
    </row>
    <row r="11" spans="1:40" x14ac:dyDescent="0.3">
      <c r="A11" s="191" t="s">
        <v>153</v>
      </c>
      <c r="B11" s="216">
        <v>8</v>
      </c>
      <c r="C11" s="191">
        <v>39</v>
      </c>
      <c r="D11" s="191">
        <v>2</v>
      </c>
      <c r="E11" s="191">
        <v>2</v>
      </c>
      <c r="F11" s="191">
        <v>1896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1336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0</v>
      </c>
      <c r="AH11" s="191">
        <v>0</v>
      </c>
      <c r="AI11" s="191">
        <v>480</v>
      </c>
      <c r="AJ11" s="191">
        <v>0</v>
      </c>
      <c r="AK11" s="191">
        <v>0</v>
      </c>
      <c r="AL11" s="191">
        <v>0</v>
      </c>
      <c r="AM11" s="191">
        <v>80</v>
      </c>
      <c r="AN11" s="191">
        <v>0</v>
      </c>
    </row>
    <row r="12" spans="1:40" x14ac:dyDescent="0.3">
      <c r="A12" s="191" t="s">
        <v>154</v>
      </c>
      <c r="B12" s="216">
        <v>9</v>
      </c>
      <c r="C12" s="191">
        <v>39</v>
      </c>
      <c r="D12" s="191">
        <v>2</v>
      </c>
      <c r="E12" s="191">
        <v>6</v>
      </c>
      <c r="F12" s="191">
        <v>379720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291229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76180</v>
      </c>
      <c r="AJ12" s="191">
        <v>0</v>
      </c>
      <c r="AK12" s="191">
        <v>0</v>
      </c>
      <c r="AL12" s="191">
        <v>0</v>
      </c>
      <c r="AM12" s="191">
        <v>12311</v>
      </c>
      <c r="AN12" s="191">
        <v>0</v>
      </c>
    </row>
    <row r="13" spans="1:40" x14ac:dyDescent="0.3">
      <c r="A13" s="191" t="s">
        <v>155</v>
      </c>
      <c r="B13" s="216">
        <v>10</v>
      </c>
      <c r="C13" s="191">
        <v>39</v>
      </c>
      <c r="D13" s="191">
        <v>2</v>
      </c>
      <c r="E13" s="191">
        <v>11</v>
      </c>
      <c r="F13" s="191">
        <v>1166.6666666666667</v>
      </c>
      <c r="G13" s="191">
        <v>0</v>
      </c>
      <c r="H13" s="191">
        <v>0</v>
      </c>
      <c r="I13" s="191">
        <v>0</v>
      </c>
      <c r="J13" s="191">
        <v>0</v>
      </c>
      <c r="K13" s="191">
        <v>1166.6666666666667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</row>
    <row r="14" spans="1:40" x14ac:dyDescent="0.3">
      <c r="A14" s="191" t="s">
        <v>156</v>
      </c>
      <c r="B14" s="216">
        <v>11</v>
      </c>
      <c r="C14" s="191">
        <v>39</v>
      </c>
      <c r="D14" s="191">
        <v>3</v>
      </c>
      <c r="E14" s="191">
        <v>1</v>
      </c>
      <c r="F14" s="191">
        <v>13.2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9.1999999999999993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3</v>
      </c>
      <c r="AJ14" s="191">
        <v>0</v>
      </c>
      <c r="AK14" s="191">
        <v>0</v>
      </c>
      <c r="AL14" s="191">
        <v>0</v>
      </c>
      <c r="AM14" s="191">
        <v>1</v>
      </c>
      <c r="AN14" s="191">
        <v>0</v>
      </c>
    </row>
    <row r="15" spans="1:40" x14ac:dyDescent="0.3">
      <c r="A15" s="191" t="s">
        <v>157</v>
      </c>
      <c r="B15" s="216">
        <v>12</v>
      </c>
      <c r="C15" s="191">
        <v>39</v>
      </c>
      <c r="D15" s="191">
        <v>3</v>
      </c>
      <c r="E15" s="191">
        <v>2</v>
      </c>
      <c r="F15" s="191">
        <v>2169.6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1505.6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496</v>
      </c>
      <c r="AJ15" s="191">
        <v>0</v>
      </c>
      <c r="AK15" s="191">
        <v>0</v>
      </c>
      <c r="AL15" s="191">
        <v>0</v>
      </c>
      <c r="AM15" s="191">
        <v>168</v>
      </c>
      <c r="AN15" s="191">
        <v>0</v>
      </c>
    </row>
    <row r="16" spans="1:40" x14ac:dyDescent="0.3">
      <c r="A16" s="191" t="s">
        <v>145</v>
      </c>
      <c r="B16" s="216">
        <v>2014</v>
      </c>
      <c r="C16" s="191">
        <v>39</v>
      </c>
      <c r="D16" s="191">
        <v>3</v>
      </c>
      <c r="E16" s="191">
        <v>6</v>
      </c>
      <c r="F16" s="191">
        <v>384457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289378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77079</v>
      </c>
      <c r="AJ16" s="191">
        <v>0</v>
      </c>
      <c r="AK16" s="191">
        <v>0</v>
      </c>
      <c r="AL16" s="191">
        <v>0</v>
      </c>
      <c r="AM16" s="191">
        <v>18000</v>
      </c>
      <c r="AN16" s="191">
        <v>0</v>
      </c>
    </row>
    <row r="17" spans="3:40" x14ac:dyDescent="0.3">
      <c r="C17" s="191">
        <v>39</v>
      </c>
      <c r="D17" s="191">
        <v>3</v>
      </c>
      <c r="E17" s="191">
        <v>11</v>
      </c>
      <c r="F17" s="191">
        <v>1166.6666666666667</v>
      </c>
      <c r="G17" s="191">
        <v>0</v>
      </c>
      <c r="H17" s="191">
        <v>0</v>
      </c>
      <c r="I17" s="191">
        <v>0</v>
      </c>
      <c r="J17" s="191">
        <v>0</v>
      </c>
      <c r="K17" s="191">
        <v>1166.6666666666667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00" t="s">
        <v>348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1:19" ht="14.4" customHeight="1" thickBot="1" x14ac:dyDescent="0.35">
      <c r="A2" s="195" t="s">
        <v>217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101</v>
      </c>
      <c r="B3" s="182">
        <f>SUBTOTAL(9,B6:B1048576)</f>
        <v>950582</v>
      </c>
      <c r="C3" s="183">
        <f t="shared" ref="C3:R3" si="0">SUBTOTAL(9,C6:C1048576)</f>
        <v>1</v>
      </c>
      <c r="D3" s="183">
        <f t="shared" si="0"/>
        <v>973604</v>
      </c>
      <c r="E3" s="183">
        <f t="shared" si="0"/>
        <v>1.0242188469800606</v>
      </c>
      <c r="F3" s="183">
        <f t="shared" si="0"/>
        <v>1079090</v>
      </c>
      <c r="G3" s="184">
        <f>IF(B3&lt;&gt;0,F3/B3,"")</f>
        <v>1.1351887580450712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01" t="s">
        <v>75</v>
      </c>
      <c r="B4" s="302" t="s">
        <v>76</v>
      </c>
      <c r="C4" s="303"/>
      <c r="D4" s="303"/>
      <c r="E4" s="303"/>
      <c r="F4" s="303"/>
      <c r="G4" s="304"/>
      <c r="H4" s="302" t="s">
        <v>77</v>
      </c>
      <c r="I4" s="303"/>
      <c r="J4" s="303"/>
      <c r="K4" s="303"/>
      <c r="L4" s="303"/>
      <c r="M4" s="304"/>
      <c r="N4" s="302" t="s">
        <v>78</v>
      </c>
      <c r="O4" s="303"/>
      <c r="P4" s="303"/>
      <c r="Q4" s="303"/>
      <c r="R4" s="303"/>
      <c r="S4" s="304"/>
    </row>
    <row r="5" spans="1:19" ht="14.4" customHeight="1" thickBot="1" x14ac:dyDescent="0.35">
      <c r="A5" s="378"/>
      <c r="B5" s="379">
        <v>2012</v>
      </c>
      <c r="C5" s="380"/>
      <c r="D5" s="380">
        <v>2013</v>
      </c>
      <c r="E5" s="380"/>
      <c r="F5" s="380">
        <v>2014</v>
      </c>
      <c r="G5" s="381" t="s">
        <v>2</v>
      </c>
      <c r="H5" s="379">
        <v>2012</v>
      </c>
      <c r="I5" s="380"/>
      <c r="J5" s="380">
        <v>2013</v>
      </c>
      <c r="K5" s="380"/>
      <c r="L5" s="380">
        <v>2014</v>
      </c>
      <c r="M5" s="381" t="s">
        <v>2</v>
      </c>
      <c r="N5" s="379">
        <v>2012</v>
      </c>
      <c r="O5" s="380"/>
      <c r="P5" s="380">
        <v>2013</v>
      </c>
      <c r="Q5" s="380"/>
      <c r="R5" s="380">
        <v>2014</v>
      </c>
      <c r="S5" s="381" t="s">
        <v>2</v>
      </c>
    </row>
    <row r="6" spans="1:19" ht="14.4" customHeight="1" thickBot="1" x14ac:dyDescent="0.35">
      <c r="A6" s="386" t="s">
        <v>344</v>
      </c>
      <c r="B6" s="382">
        <v>950582</v>
      </c>
      <c r="C6" s="383">
        <v>1</v>
      </c>
      <c r="D6" s="382">
        <v>973604</v>
      </c>
      <c r="E6" s="383">
        <v>1.0242188469800606</v>
      </c>
      <c r="F6" s="382">
        <v>1079090</v>
      </c>
      <c r="G6" s="384">
        <v>1.1351887580450712</v>
      </c>
      <c r="H6" s="382"/>
      <c r="I6" s="383"/>
      <c r="J6" s="382"/>
      <c r="K6" s="383"/>
      <c r="L6" s="382"/>
      <c r="M6" s="384"/>
      <c r="N6" s="382"/>
      <c r="O6" s="383"/>
      <c r="P6" s="382"/>
      <c r="Q6" s="383"/>
      <c r="R6" s="382"/>
      <c r="S6" s="385"/>
    </row>
    <row r="7" spans="1:19" ht="14.4" customHeight="1" x14ac:dyDescent="0.3">
      <c r="A7" s="387" t="s">
        <v>345</v>
      </c>
    </row>
    <row r="8" spans="1:19" ht="14.4" customHeight="1" x14ac:dyDescent="0.3">
      <c r="A8" s="388" t="s">
        <v>346</v>
      </c>
    </row>
    <row r="9" spans="1:19" ht="14.4" customHeight="1" x14ac:dyDescent="0.3">
      <c r="A9" s="387" t="s">
        <v>347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bestFit="1" customWidth="1"/>
    <col min="4" max="4" width="50.88671875" style="102" bestFit="1" customWidth="1"/>
    <col min="5" max="6" width="11.109375" style="177" customWidth="1"/>
    <col min="7" max="8" width="9.33203125" style="102" hidden="1" customWidth="1"/>
    <col min="9" max="10" width="11.109375" style="177" customWidth="1"/>
    <col min="11" max="12" width="9.33203125" style="102" hidden="1" customWidth="1"/>
    <col min="13" max="14" width="11.109375" style="177" customWidth="1"/>
    <col min="15" max="15" width="11.109375" style="180" customWidth="1"/>
    <col min="16" max="16" width="11.109375" style="177" customWidth="1"/>
    <col min="17" max="16384" width="8.88671875" style="102"/>
  </cols>
  <sheetData>
    <row r="1" spans="1:16" ht="18.600000000000001" customHeight="1" thickBot="1" x14ac:dyDescent="0.4">
      <c r="A1" s="265" t="s">
        <v>377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14.4" customHeight="1" thickBot="1" x14ac:dyDescent="0.35">
      <c r="A2" s="195" t="s">
        <v>217</v>
      </c>
      <c r="B2" s="103"/>
      <c r="C2" s="103"/>
      <c r="D2" s="103"/>
      <c r="E2" s="189"/>
      <c r="F2" s="189"/>
      <c r="G2" s="103"/>
      <c r="H2" s="103"/>
      <c r="I2" s="189"/>
      <c r="J2" s="189"/>
      <c r="K2" s="103"/>
      <c r="L2" s="103"/>
      <c r="M2" s="189"/>
      <c r="N2" s="189"/>
      <c r="O2" s="190"/>
      <c r="P2" s="189"/>
    </row>
    <row r="3" spans="1:16" ht="14.4" customHeight="1" thickBot="1" x14ac:dyDescent="0.35">
      <c r="D3" s="62" t="s">
        <v>101</v>
      </c>
      <c r="E3" s="74">
        <f t="shared" ref="E3:N3" si="0">SUBTOTAL(9,E6:E1048576)</f>
        <v>2724</v>
      </c>
      <c r="F3" s="75">
        <f t="shared" si="0"/>
        <v>950582</v>
      </c>
      <c r="G3" s="57"/>
      <c r="H3" s="57"/>
      <c r="I3" s="75">
        <f t="shared" si="0"/>
        <v>2789</v>
      </c>
      <c r="J3" s="75">
        <f t="shared" si="0"/>
        <v>973604</v>
      </c>
      <c r="K3" s="57"/>
      <c r="L3" s="57"/>
      <c r="M3" s="75">
        <f t="shared" si="0"/>
        <v>3113</v>
      </c>
      <c r="N3" s="75">
        <f t="shared" si="0"/>
        <v>1079090</v>
      </c>
      <c r="O3" s="58">
        <f>IF(F3=0,0,N3/F3)</f>
        <v>1.1351887580450712</v>
      </c>
      <c r="P3" s="76">
        <f>IF(M3=0,0,N3/M3)</f>
        <v>346.63989720526826</v>
      </c>
    </row>
    <row r="4" spans="1:16" ht="14.4" customHeight="1" x14ac:dyDescent="0.3">
      <c r="A4" s="306" t="s">
        <v>71</v>
      </c>
      <c r="B4" s="307" t="s">
        <v>72</v>
      </c>
      <c r="C4" s="308" t="s">
        <v>73</v>
      </c>
      <c r="D4" s="309" t="s">
        <v>47</v>
      </c>
      <c r="E4" s="310">
        <v>2012</v>
      </c>
      <c r="F4" s="311"/>
      <c r="G4" s="73"/>
      <c r="H4" s="73"/>
      <c r="I4" s="310">
        <v>2013</v>
      </c>
      <c r="J4" s="311"/>
      <c r="K4" s="73"/>
      <c r="L4" s="73"/>
      <c r="M4" s="310">
        <v>2014</v>
      </c>
      <c r="N4" s="311"/>
      <c r="O4" s="312" t="s">
        <v>2</v>
      </c>
      <c r="P4" s="305" t="s">
        <v>74</v>
      </c>
    </row>
    <row r="5" spans="1:16" ht="14.4" customHeight="1" thickBot="1" x14ac:dyDescent="0.35">
      <c r="A5" s="389"/>
      <c r="B5" s="390"/>
      <c r="C5" s="391"/>
      <c r="D5" s="392"/>
      <c r="E5" s="393" t="s">
        <v>48</v>
      </c>
      <c r="F5" s="394" t="s">
        <v>5</v>
      </c>
      <c r="G5" s="395"/>
      <c r="H5" s="395"/>
      <c r="I5" s="393" t="s">
        <v>48</v>
      </c>
      <c r="J5" s="394" t="s">
        <v>5</v>
      </c>
      <c r="K5" s="395"/>
      <c r="L5" s="395"/>
      <c r="M5" s="393" t="s">
        <v>48</v>
      </c>
      <c r="N5" s="394" t="s">
        <v>5</v>
      </c>
      <c r="O5" s="396"/>
      <c r="P5" s="397"/>
    </row>
    <row r="6" spans="1:16" ht="14.4" customHeight="1" x14ac:dyDescent="0.3">
      <c r="A6" s="398" t="s">
        <v>349</v>
      </c>
      <c r="B6" s="399" t="s">
        <v>350</v>
      </c>
      <c r="C6" s="399" t="s">
        <v>351</v>
      </c>
      <c r="D6" s="399" t="s">
        <v>352</v>
      </c>
      <c r="E6" s="400">
        <v>2</v>
      </c>
      <c r="F6" s="400">
        <v>68</v>
      </c>
      <c r="G6" s="399">
        <v>1</v>
      </c>
      <c r="H6" s="399">
        <v>34</v>
      </c>
      <c r="I6" s="400">
        <v>1</v>
      </c>
      <c r="J6" s="400">
        <v>34</v>
      </c>
      <c r="K6" s="399">
        <v>0.5</v>
      </c>
      <c r="L6" s="399">
        <v>34</v>
      </c>
      <c r="M6" s="400">
        <v>1</v>
      </c>
      <c r="N6" s="400">
        <v>34</v>
      </c>
      <c r="O6" s="401">
        <v>0.5</v>
      </c>
      <c r="P6" s="402">
        <v>34</v>
      </c>
    </row>
    <row r="7" spans="1:16" ht="14.4" customHeight="1" x14ac:dyDescent="0.3">
      <c r="A7" s="403" t="s">
        <v>349</v>
      </c>
      <c r="B7" s="404" t="s">
        <v>350</v>
      </c>
      <c r="C7" s="404" t="s">
        <v>353</v>
      </c>
      <c r="D7" s="404" t="s">
        <v>354</v>
      </c>
      <c r="E7" s="405">
        <v>8</v>
      </c>
      <c r="F7" s="405">
        <v>544</v>
      </c>
      <c r="G7" s="404">
        <v>1</v>
      </c>
      <c r="H7" s="404">
        <v>68</v>
      </c>
      <c r="I7" s="405">
        <v>21</v>
      </c>
      <c r="J7" s="405">
        <v>1449</v>
      </c>
      <c r="K7" s="404">
        <v>2.6636029411764706</v>
      </c>
      <c r="L7" s="404">
        <v>69</v>
      </c>
      <c r="M7" s="405">
        <v>20</v>
      </c>
      <c r="N7" s="405">
        <v>1380</v>
      </c>
      <c r="O7" s="406">
        <v>2.5367647058823528</v>
      </c>
      <c r="P7" s="407">
        <v>69</v>
      </c>
    </row>
    <row r="8" spans="1:16" ht="14.4" customHeight="1" x14ac:dyDescent="0.3">
      <c r="A8" s="403" t="s">
        <v>349</v>
      </c>
      <c r="B8" s="404" t="s">
        <v>350</v>
      </c>
      <c r="C8" s="404" t="s">
        <v>355</v>
      </c>
      <c r="D8" s="404" t="s">
        <v>356</v>
      </c>
      <c r="E8" s="405">
        <v>1722</v>
      </c>
      <c r="F8" s="405">
        <v>547596</v>
      </c>
      <c r="G8" s="404">
        <v>1</v>
      </c>
      <c r="H8" s="404">
        <v>318</v>
      </c>
      <c r="I8" s="405">
        <v>1723</v>
      </c>
      <c r="J8" s="405">
        <v>549637</v>
      </c>
      <c r="K8" s="404">
        <v>1.0037272003447797</v>
      </c>
      <c r="L8" s="404">
        <v>319</v>
      </c>
      <c r="M8" s="405">
        <v>1853</v>
      </c>
      <c r="N8" s="405">
        <v>591107</v>
      </c>
      <c r="O8" s="406">
        <v>1.0794582137196036</v>
      </c>
      <c r="P8" s="407">
        <v>319</v>
      </c>
    </row>
    <row r="9" spans="1:16" ht="14.4" customHeight="1" x14ac:dyDescent="0.3">
      <c r="A9" s="403" t="s">
        <v>349</v>
      </c>
      <c r="B9" s="404" t="s">
        <v>350</v>
      </c>
      <c r="C9" s="404" t="s">
        <v>357</v>
      </c>
      <c r="D9" s="404" t="s">
        <v>358</v>
      </c>
      <c r="E9" s="405">
        <v>60</v>
      </c>
      <c r="F9" s="405">
        <v>19080</v>
      </c>
      <c r="G9" s="404">
        <v>1</v>
      </c>
      <c r="H9" s="404">
        <v>318</v>
      </c>
      <c r="I9" s="405">
        <v>158</v>
      </c>
      <c r="J9" s="405">
        <v>50402</v>
      </c>
      <c r="K9" s="404">
        <v>2.6416142557651994</v>
      </c>
      <c r="L9" s="404">
        <v>319</v>
      </c>
      <c r="M9" s="405">
        <v>338</v>
      </c>
      <c r="N9" s="405">
        <v>107822</v>
      </c>
      <c r="O9" s="406">
        <v>5.6510482180293504</v>
      </c>
      <c r="P9" s="407">
        <v>319</v>
      </c>
    </row>
    <row r="10" spans="1:16" ht="14.4" customHeight="1" x14ac:dyDescent="0.3">
      <c r="A10" s="403" t="s">
        <v>349</v>
      </c>
      <c r="B10" s="404" t="s">
        <v>350</v>
      </c>
      <c r="C10" s="404" t="s">
        <v>359</v>
      </c>
      <c r="D10" s="404" t="s">
        <v>360</v>
      </c>
      <c r="E10" s="405">
        <v>179</v>
      </c>
      <c r="F10" s="405">
        <v>56922</v>
      </c>
      <c r="G10" s="404">
        <v>1</v>
      </c>
      <c r="H10" s="404">
        <v>318</v>
      </c>
      <c r="I10" s="405">
        <v>135</v>
      </c>
      <c r="J10" s="405">
        <v>43065</v>
      </c>
      <c r="K10" s="404">
        <v>0.75656161062506588</v>
      </c>
      <c r="L10" s="404">
        <v>319</v>
      </c>
      <c r="M10" s="405">
        <v>137</v>
      </c>
      <c r="N10" s="405">
        <v>43703</v>
      </c>
      <c r="O10" s="406">
        <v>0.76776993078247424</v>
      </c>
      <c r="P10" s="407">
        <v>319</v>
      </c>
    </row>
    <row r="11" spans="1:16" ht="14.4" customHeight="1" x14ac:dyDescent="0.3">
      <c r="A11" s="403" t="s">
        <v>349</v>
      </c>
      <c r="B11" s="404" t="s">
        <v>350</v>
      </c>
      <c r="C11" s="404" t="s">
        <v>361</v>
      </c>
      <c r="D11" s="404" t="s">
        <v>362</v>
      </c>
      <c r="E11" s="405"/>
      <c r="F11" s="405"/>
      <c r="G11" s="404"/>
      <c r="H11" s="404"/>
      <c r="I11" s="405"/>
      <c r="J11" s="405"/>
      <c r="K11" s="404"/>
      <c r="L11" s="404"/>
      <c r="M11" s="405">
        <v>1</v>
      </c>
      <c r="N11" s="405">
        <v>0</v>
      </c>
      <c r="O11" s="406"/>
      <c r="P11" s="407">
        <v>0</v>
      </c>
    </row>
    <row r="12" spans="1:16" ht="14.4" customHeight="1" x14ac:dyDescent="0.3">
      <c r="A12" s="403" t="s">
        <v>349</v>
      </c>
      <c r="B12" s="404" t="s">
        <v>350</v>
      </c>
      <c r="C12" s="404" t="s">
        <v>363</v>
      </c>
      <c r="D12" s="404" t="s">
        <v>364</v>
      </c>
      <c r="E12" s="405">
        <v>132</v>
      </c>
      <c r="F12" s="405">
        <v>0</v>
      </c>
      <c r="G12" s="404"/>
      <c r="H12" s="404">
        <v>0</v>
      </c>
      <c r="I12" s="405">
        <v>138</v>
      </c>
      <c r="J12" s="405">
        <v>0</v>
      </c>
      <c r="K12" s="404"/>
      <c r="L12" s="404">
        <v>0</v>
      </c>
      <c r="M12" s="405">
        <v>139</v>
      </c>
      <c r="N12" s="405">
        <v>0</v>
      </c>
      <c r="O12" s="406"/>
      <c r="P12" s="407">
        <v>0</v>
      </c>
    </row>
    <row r="13" spans="1:16" ht="14.4" customHeight="1" x14ac:dyDescent="0.3">
      <c r="A13" s="403" t="s">
        <v>349</v>
      </c>
      <c r="B13" s="404" t="s">
        <v>350</v>
      </c>
      <c r="C13" s="404" t="s">
        <v>365</v>
      </c>
      <c r="D13" s="404" t="s">
        <v>366</v>
      </c>
      <c r="E13" s="405">
        <v>256</v>
      </c>
      <c r="F13" s="405">
        <v>134656</v>
      </c>
      <c r="G13" s="404">
        <v>1</v>
      </c>
      <c r="H13" s="404">
        <v>526</v>
      </c>
      <c r="I13" s="405">
        <v>222</v>
      </c>
      <c r="J13" s="405">
        <v>119436</v>
      </c>
      <c r="K13" s="404">
        <v>0.88697124524714832</v>
      </c>
      <c r="L13" s="404">
        <v>538</v>
      </c>
      <c r="M13" s="405">
        <v>158</v>
      </c>
      <c r="N13" s="405">
        <v>85004</v>
      </c>
      <c r="O13" s="406">
        <v>0.63126782319391639</v>
      </c>
      <c r="P13" s="407">
        <v>538</v>
      </c>
    </row>
    <row r="14" spans="1:16" ht="14.4" customHeight="1" x14ac:dyDescent="0.3">
      <c r="A14" s="403" t="s">
        <v>349</v>
      </c>
      <c r="B14" s="404" t="s">
        <v>350</v>
      </c>
      <c r="C14" s="404" t="s">
        <v>367</v>
      </c>
      <c r="D14" s="404" t="s">
        <v>368</v>
      </c>
      <c r="E14" s="405">
        <v>294</v>
      </c>
      <c r="F14" s="405">
        <v>156408</v>
      </c>
      <c r="G14" s="404">
        <v>1</v>
      </c>
      <c r="H14" s="404">
        <v>532</v>
      </c>
      <c r="I14" s="405">
        <v>251</v>
      </c>
      <c r="J14" s="405">
        <v>135289</v>
      </c>
      <c r="K14" s="404">
        <v>0.8649749373433584</v>
      </c>
      <c r="L14" s="404">
        <v>539</v>
      </c>
      <c r="M14" s="405">
        <v>303</v>
      </c>
      <c r="N14" s="405">
        <v>163317</v>
      </c>
      <c r="O14" s="406">
        <v>1.0441729323308271</v>
      </c>
      <c r="P14" s="407">
        <v>539</v>
      </c>
    </row>
    <row r="15" spans="1:16" ht="14.4" customHeight="1" x14ac:dyDescent="0.3">
      <c r="A15" s="403" t="s">
        <v>349</v>
      </c>
      <c r="B15" s="404" t="s">
        <v>350</v>
      </c>
      <c r="C15" s="404" t="s">
        <v>369</v>
      </c>
      <c r="D15" s="404" t="s">
        <v>370</v>
      </c>
      <c r="E15" s="405">
        <v>8</v>
      </c>
      <c r="F15" s="405">
        <v>2128</v>
      </c>
      <c r="G15" s="404">
        <v>1</v>
      </c>
      <c r="H15" s="404">
        <v>266</v>
      </c>
      <c r="I15" s="405">
        <v>4</v>
      </c>
      <c r="J15" s="405">
        <v>1076</v>
      </c>
      <c r="K15" s="404">
        <v>0.50563909774436089</v>
      </c>
      <c r="L15" s="404">
        <v>269</v>
      </c>
      <c r="M15" s="405"/>
      <c r="N15" s="405"/>
      <c r="O15" s="406"/>
      <c r="P15" s="407"/>
    </row>
    <row r="16" spans="1:16" ht="14.4" customHeight="1" x14ac:dyDescent="0.3">
      <c r="A16" s="403" t="s">
        <v>349</v>
      </c>
      <c r="B16" s="404" t="s">
        <v>350</v>
      </c>
      <c r="C16" s="404" t="s">
        <v>371</v>
      </c>
      <c r="D16" s="404" t="s">
        <v>372</v>
      </c>
      <c r="E16" s="405">
        <v>7</v>
      </c>
      <c r="F16" s="405">
        <v>3724</v>
      </c>
      <c r="G16" s="404">
        <v>1</v>
      </c>
      <c r="H16" s="404">
        <v>532</v>
      </c>
      <c r="I16" s="405">
        <v>48</v>
      </c>
      <c r="J16" s="405">
        <v>25872</v>
      </c>
      <c r="K16" s="404">
        <v>6.9473684210526319</v>
      </c>
      <c r="L16" s="404">
        <v>539</v>
      </c>
      <c r="M16" s="405">
        <v>105</v>
      </c>
      <c r="N16" s="405">
        <v>56595</v>
      </c>
      <c r="O16" s="406">
        <v>15.197368421052632</v>
      </c>
      <c r="P16" s="407">
        <v>539</v>
      </c>
    </row>
    <row r="17" spans="1:16" ht="14.4" customHeight="1" x14ac:dyDescent="0.3">
      <c r="A17" s="403" t="s">
        <v>349</v>
      </c>
      <c r="B17" s="404" t="s">
        <v>350</v>
      </c>
      <c r="C17" s="404" t="s">
        <v>373</v>
      </c>
      <c r="D17" s="404" t="s">
        <v>374</v>
      </c>
      <c r="E17" s="405">
        <v>56</v>
      </c>
      <c r="F17" s="405">
        <v>29456</v>
      </c>
      <c r="G17" s="404">
        <v>1</v>
      </c>
      <c r="H17" s="404">
        <v>526</v>
      </c>
      <c r="I17" s="405">
        <v>88</v>
      </c>
      <c r="J17" s="405">
        <v>47344</v>
      </c>
      <c r="K17" s="404">
        <v>1.6072786529060292</v>
      </c>
      <c r="L17" s="404">
        <v>538</v>
      </c>
      <c r="M17" s="405">
        <v>54</v>
      </c>
      <c r="N17" s="405">
        <v>29052</v>
      </c>
      <c r="O17" s="406">
        <v>0.98628462791960891</v>
      </c>
      <c r="P17" s="407">
        <v>538</v>
      </c>
    </row>
    <row r="18" spans="1:16" ht="14.4" customHeight="1" thickBot="1" x14ac:dyDescent="0.35">
      <c r="A18" s="408" t="s">
        <v>349</v>
      </c>
      <c r="B18" s="409" t="s">
        <v>350</v>
      </c>
      <c r="C18" s="409" t="s">
        <v>375</v>
      </c>
      <c r="D18" s="409" t="s">
        <v>376</v>
      </c>
      <c r="E18" s="410"/>
      <c r="F18" s="410"/>
      <c r="G18" s="409"/>
      <c r="H18" s="409"/>
      <c r="I18" s="410"/>
      <c r="J18" s="410"/>
      <c r="K18" s="409"/>
      <c r="L18" s="409"/>
      <c r="M18" s="410">
        <v>4</v>
      </c>
      <c r="N18" s="410">
        <v>1076</v>
      </c>
      <c r="O18" s="411"/>
      <c r="P18" s="412">
        <v>269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74" t="s">
        <v>100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1:19" ht="14.4" customHeight="1" thickBot="1" x14ac:dyDescent="0.35">
      <c r="A2" s="195" t="s">
        <v>217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1165116</v>
      </c>
      <c r="C3" s="183">
        <f t="shared" ref="C3:R3" si="0">SUBTOTAL(9,C6:C1048576)</f>
        <v>17</v>
      </c>
      <c r="D3" s="183">
        <f t="shared" si="0"/>
        <v>1116242</v>
      </c>
      <c r="E3" s="183">
        <f t="shared" si="0"/>
        <v>19.547947038958458</v>
      </c>
      <c r="F3" s="183">
        <f t="shared" si="0"/>
        <v>1050335</v>
      </c>
      <c r="G3" s="186">
        <f>IF(B3&lt;&gt;0,F3/B3,"")</f>
        <v>0.9014853456651527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01" t="s">
        <v>82</v>
      </c>
      <c r="B4" s="302" t="s">
        <v>76</v>
      </c>
      <c r="C4" s="303"/>
      <c r="D4" s="303"/>
      <c r="E4" s="303"/>
      <c r="F4" s="303"/>
      <c r="G4" s="304"/>
      <c r="H4" s="302" t="s">
        <v>77</v>
      </c>
      <c r="I4" s="303"/>
      <c r="J4" s="303"/>
      <c r="K4" s="303"/>
      <c r="L4" s="303"/>
      <c r="M4" s="304"/>
      <c r="N4" s="302" t="s">
        <v>78</v>
      </c>
      <c r="O4" s="303"/>
      <c r="P4" s="303"/>
      <c r="Q4" s="303"/>
      <c r="R4" s="303"/>
      <c r="S4" s="304"/>
    </row>
    <row r="5" spans="1:19" ht="14.4" customHeight="1" thickBot="1" x14ac:dyDescent="0.35">
      <c r="A5" s="378"/>
      <c r="B5" s="379">
        <v>2012</v>
      </c>
      <c r="C5" s="380"/>
      <c r="D5" s="380">
        <v>2013</v>
      </c>
      <c r="E5" s="380"/>
      <c r="F5" s="380">
        <v>2014</v>
      </c>
      <c r="G5" s="381" t="s">
        <v>2</v>
      </c>
      <c r="H5" s="379">
        <v>2012</v>
      </c>
      <c r="I5" s="380"/>
      <c r="J5" s="380">
        <v>2013</v>
      </c>
      <c r="K5" s="380"/>
      <c r="L5" s="380">
        <v>2014</v>
      </c>
      <c r="M5" s="381" t="s">
        <v>2</v>
      </c>
      <c r="N5" s="379">
        <v>2012</v>
      </c>
      <c r="O5" s="380"/>
      <c r="P5" s="380">
        <v>2013</v>
      </c>
      <c r="Q5" s="380"/>
      <c r="R5" s="380">
        <v>2014</v>
      </c>
      <c r="S5" s="381" t="s">
        <v>2</v>
      </c>
    </row>
    <row r="6" spans="1:19" ht="14.4" customHeight="1" x14ac:dyDescent="0.3">
      <c r="A6" s="419" t="s">
        <v>378</v>
      </c>
      <c r="B6" s="413">
        <v>3180</v>
      </c>
      <c r="C6" s="399">
        <v>1</v>
      </c>
      <c r="D6" s="413">
        <v>14274</v>
      </c>
      <c r="E6" s="399">
        <v>4.4886792452830191</v>
      </c>
      <c r="F6" s="413">
        <v>13398</v>
      </c>
      <c r="G6" s="401">
        <v>4.2132075471698114</v>
      </c>
      <c r="H6" s="413"/>
      <c r="I6" s="399"/>
      <c r="J6" s="413"/>
      <c r="K6" s="399"/>
      <c r="L6" s="413"/>
      <c r="M6" s="401"/>
      <c r="N6" s="413"/>
      <c r="O6" s="399"/>
      <c r="P6" s="413"/>
      <c r="Q6" s="399"/>
      <c r="R6" s="413"/>
      <c r="S6" s="414"/>
    </row>
    <row r="7" spans="1:19" ht="14.4" customHeight="1" x14ac:dyDescent="0.3">
      <c r="A7" s="420" t="s">
        <v>379</v>
      </c>
      <c r="B7" s="415">
        <v>7632</v>
      </c>
      <c r="C7" s="404">
        <v>1</v>
      </c>
      <c r="D7" s="415">
        <v>13398</v>
      </c>
      <c r="E7" s="404">
        <v>1.7555031446540881</v>
      </c>
      <c r="F7" s="415">
        <v>1914</v>
      </c>
      <c r="G7" s="406">
        <v>0.25078616352201261</v>
      </c>
      <c r="H7" s="415"/>
      <c r="I7" s="404"/>
      <c r="J7" s="415"/>
      <c r="K7" s="404"/>
      <c r="L7" s="415"/>
      <c r="M7" s="406"/>
      <c r="N7" s="415"/>
      <c r="O7" s="404"/>
      <c r="P7" s="415"/>
      <c r="Q7" s="404"/>
      <c r="R7" s="415"/>
      <c r="S7" s="416"/>
    </row>
    <row r="8" spans="1:19" ht="14.4" customHeight="1" x14ac:dyDescent="0.3">
      <c r="A8" s="420" t="s">
        <v>380</v>
      </c>
      <c r="B8" s="415">
        <v>33244</v>
      </c>
      <c r="C8" s="404">
        <v>1</v>
      </c>
      <c r="D8" s="415">
        <v>11960</v>
      </c>
      <c r="E8" s="404">
        <v>0.35976416797016003</v>
      </c>
      <c r="F8" s="415">
        <v>42722</v>
      </c>
      <c r="G8" s="406">
        <v>1.2851040789315364</v>
      </c>
      <c r="H8" s="415"/>
      <c r="I8" s="404"/>
      <c r="J8" s="415"/>
      <c r="K8" s="404"/>
      <c r="L8" s="415"/>
      <c r="M8" s="406"/>
      <c r="N8" s="415"/>
      <c r="O8" s="404"/>
      <c r="P8" s="415"/>
      <c r="Q8" s="404"/>
      <c r="R8" s="415"/>
      <c r="S8" s="416"/>
    </row>
    <row r="9" spans="1:19" ht="14.4" customHeight="1" x14ac:dyDescent="0.3">
      <c r="A9" s="420" t="s">
        <v>381</v>
      </c>
      <c r="B9" s="415">
        <v>26076</v>
      </c>
      <c r="C9" s="404">
        <v>1</v>
      </c>
      <c r="D9" s="415">
        <v>19140</v>
      </c>
      <c r="E9" s="404">
        <v>0.73400828347906122</v>
      </c>
      <c r="F9" s="415">
        <v>14036</v>
      </c>
      <c r="G9" s="406">
        <v>0.53827274121797819</v>
      </c>
      <c r="H9" s="415"/>
      <c r="I9" s="404"/>
      <c r="J9" s="415"/>
      <c r="K9" s="404"/>
      <c r="L9" s="415"/>
      <c r="M9" s="406"/>
      <c r="N9" s="415"/>
      <c r="O9" s="404"/>
      <c r="P9" s="415"/>
      <c r="Q9" s="404"/>
      <c r="R9" s="415"/>
      <c r="S9" s="416"/>
    </row>
    <row r="10" spans="1:19" ht="14.4" customHeight="1" x14ac:dyDescent="0.3">
      <c r="A10" s="420" t="s">
        <v>382</v>
      </c>
      <c r="B10" s="415"/>
      <c r="C10" s="404"/>
      <c r="D10" s="415"/>
      <c r="E10" s="404"/>
      <c r="F10" s="415">
        <v>7018</v>
      </c>
      <c r="G10" s="406"/>
      <c r="H10" s="415"/>
      <c r="I10" s="404"/>
      <c r="J10" s="415"/>
      <c r="K10" s="404"/>
      <c r="L10" s="415"/>
      <c r="M10" s="406"/>
      <c r="N10" s="415"/>
      <c r="O10" s="404"/>
      <c r="P10" s="415"/>
      <c r="Q10" s="404"/>
      <c r="R10" s="415"/>
      <c r="S10" s="416"/>
    </row>
    <row r="11" spans="1:19" ht="14.4" customHeight="1" x14ac:dyDescent="0.3">
      <c r="A11" s="420" t="s">
        <v>383</v>
      </c>
      <c r="B11" s="415">
        <v>5224</v>
      </c>
      <c r="C11" s="404">
        <v>1</v>
      </c>
      <c r="D11" s="415"/>
      <c r="E11" s="404"/>
      <c r="F11" s="415"/>
      <c r="G11" s="406"/>
      <c r="H11" s="415"/>
      <c r="I11" s="404"/>
      <c r="J11" s="415"/>
      <c r="K11" s="404"/>
      <c r="L11" s="415"/>
      <c r="M11" s="406"/>
      <c r="N11" s="415"/>
      <c r="O11" s="404"/>
      <c r="P11" s="415"/>
      <c r="Q11" s="404"/>
      <c r="R11" s="415"/>
      <c r="S11" s="416"/>
    </row>
    <row r="12" spans="1:19" ht="14.4" customHeight="1" x14ac:dyDescent="0.3">
      <c r="A12" s="420" t="s">
        <v>384</v>
      </c>
      <c r="B12" s="415"/>
      <c r="C12" s="404"/>
      <c r="D12" s="415">
        <v>1276</v>
      </c>
      <c r="E12" s="404"/>
      <c r="F12" s="415"/>
      <c r="G12" s="406"/>
      <c r="H12" s="415"/>
      <c r="I12" s="404"/>
      <c r="J12" s="415"/>
      <c r="K12" s="404"/>
      <c r="L12" s="415"/>
      <c r="M12" s="406"/>
      <c r="N12" s="415"/>
      <c r="O12" s="404"/>
      <c r="P12" s="415"/>
      <c r="Q12" s="404"/>
      <c r="R12" s="415"/>
      <c r="S12" s="416"/>
    </row>
    <row r="13" spans="1:19" ht="14.4" customHeight="1" x14ac:dyDescent="0.3">
      <c r="A13" s="420" t="s">
        <v>385</v>
      </c>
      <c r="B13" s="415">
        <v>150818</v>
      </c>
      <c r="C13" s="404">
        <v>1</v>
      </c>
      <c r="D13" s="415">
        <v>136032</v>
      </c>
      <c r="E13" s="404">
        <v>0.90196130435359179</v>
      </c>
      <c r="F13" s="415">
        <v>140041</v>
      </c>
      <c r="G13" s="406">
        <v>0.92854301210730816</v>
      </c>
      <c r="H13" s="415"/>
      <c r="I13" s="404"/>
      <c r="J13" s="415"/>
      <c r="K13" s="404"/>
      <c r="L13" s="415"/>
      <c r="M13" s="406"/>
      <c r="N13" s="415"/>
      <c r="O13" s="404"/>
      <c r="P13" s="415"/>
      <c r="Q13" s="404"/>
      <c r="R13" s="415"/>
      <c r="S13" s="416"/>
    </row>
    <row r="14" spans="1:19" ht="14.4" customHeight="1" x14ac:dyDescent="0.3">
      <c r="A14" s="420" t="s">
        <v>386</v>
      </c>
      <c r="B14" s="415"/>
      <c r="C14" s="404"/>
      <c r="D14" s="415">
        <v>2552</v>
      </c>
      <c r="E14" s="404"/>
      <c r="F14" s="415">
        <v>2552</v>
      </c>
      <c r="G14" s="406"/>
      <c r="H14" s="415"/>
      <c r="I14" s="404"/>
      <c r="J14" s="415"/>
      <c r="K14" s="404"/>
      <c r="L14" s="415"/>
      <c r="M14" s="406"/>
      <c r="N14" s="415"/>
      <c r="O14" s="404"/>
      <c r="P14" s="415"/>
      <c r="Q14" s="404"/>
      <c r="R14" s="415"/>
      <c r="S14" s="416"/>
    </row>
    <row r="15" spans="1:19" ht="14.4" customHeight="1" x14ac:dyDescent="0.3">
      <c r="A15" s="420" t="s">
        <v>387</v>
      </c>
      <c r="B15" s="415">
        <v>163580</v>
      </c>
      <c r="C15" s="404">
        <v>1</v>
      </c>
      <c r="D15" s="415">
        <v>177111</v>
      </c>
      <c r="E15" s="404">
        <v>1.0827179361780168</v>
      </c>
      <c r="F15" s="415">
        <v>166463</v>
      </c>
      <c r="G15" s="406">
        <v>1.0176244039613644</v>
      </c>
      <c r="H15" s="415"/>
      <c r="I15" s="404"/>
      <c r="J15" s="415"/>
      <c r="K15" s="404"/>
      <c r="L15" s="415"/>
      <c r="M15" s="406"/>
      <c r="N15" s="415"/>
      <c r="O15" s="404"/>
      <c r="P15" s="415"/>
      <c r="Q15" s="404"/>
      <c r="R15" s="415"/>
      <c r="S15" s="416"/>
    </row>
    <row r="16" spans="1:19" ht="14.4" customHeight="1" x14ac:dyDescent="0.3">
      <c r="A16" s="420" t="s">
        <v>388</v>
      </c>
      <c r="B16" s="415"/>
      <c r="C16" s="404"/>
      <c r="D16" s="415">
        <v>4466</v>
      </c>
      <c r="E16" s="404"/>
      <c r="F16" s="415"/>
      <c r="G16" s="406"/>
      <c r="H16" s="415"/>
      <c r="I16" s="404"/>
      <c r="J16" s="415"/>
      <c r="K16" s="404"/>
      <c r="L16" s="415"/>
      <c r="M16" s="406"/>
      <c r="N16" s="415"/>
      <c r="O16" s="404"/>
      <c r="P16" s="415"/>
      <c r="Q16" s="404"/>
      <c r="R16" s="415"/>
      <c r="S16" s="416"/>
    </row>
    <row r="17" spans="1:19" ht="14.4" customHeight="1" x14ac:dyDescent="0.3">
      <c r="A17" s="420" t="s">
        <v>389</v>
      </c>
      <c r="B17" s="415">
        <v>290556</v>
      </c>
      <c r="C17" s="404">
        <v>1</v>
      </c>
      <c r="D17" s="415">
        <v>345486</v>
      </c>
      <c r="E17" s="404">
        <v>1.1890513360591417</v>
      </c>
      <c r="F17" s="415">
        <v>220543</v>
      </c>
      <c r="G17" s="406">
        <v>0.75903784468398516</v>
      </c>
      <c r="H17" s="415"/>
      <c r="I17" s="404"/>
      <c r="J17" s="415"/>
      <c r="K17" s="404"/>
      <c r="L17" s="415"/>
      <c r="M17" s="406"/>
      <c r="N17" s="415"/>
      <c r="O17" s="404"/>
      <c r="P17" s="415"/>
      <c r="Q17" s="404"/>
      <c r="R17" s="415"/>
      <c r="S17" s="416"/>
    </row>
    <row r="18" spans="1:19" ht="14.4" customHeight="1" x14ac:dyDescent="0.3">
      <c r="A18" s="420" t="s">
        <v>390</v>
      </c>
      <c r="B18" s="415">
        <v>156356</v>
      </c>
      <c r="C18" s="404">
        <v>1</v>
      </c>
      <c r="D18" s="415">
        <v>148412</v>
      </c>
      <c r="E18" s="404">
        <v>0.94919286755864818</v>
      </c>
      <c r="F18" s="415">
        <v>201646</v>
      </c>
      <c r="G18" s="406">
        <v>1.2896594949985929</v>
      </c>
      <c r="H18" s="415"/>
      <c r="I18" s="404"/>
      <c r="J18" s="415"/>
      <c r="K18" s="404"/>
      <c r="L18" s="415"/>
      <c r="M18" s="406"/>
      <c r="N18" s="415"/>
      <c r="O18" s="404"/>
      <c r="P18" s="415"/>
      <c r="Q18" s="404"/>
      <c r="R18" s="415"/>
      <c r="S18" s="416"/>
    </row>
    <row r="19" spans="1:19" ht="14.4" customHeight="1" x14ac:dyDescent="0.3">
      <c r="A19" s="420" t="s">
        <v>391</v>
      </c>
      <c r="B19" s="415">
        <v>29356</v>
      </c>
      <c r="C19" s="404">
        <v>1</v>
      </c>
      <c r="D19" s="415">
        <v>6456</v>
      </c>
      <c r="E19" s="404">
        <v>0.21992097015942227</v>
      </c>
      <c r="F19" s="415"/>
      <c r="G19" s="406"/>
      <c r="H19" s="415"/>
      <c r="I19" s="404"/>
      <c r="J19" s="415"/>
      <c r="K19" s="404"/>
      <c r="L19" s="415"/>
      <c r="M19" s="406"/>
      <c r="N19" s="415"/>
      <c r="O19" s="404"/>
      <c r="P19" s="415"/>
      <c r="Q19" s="404"/>
      <c r="R19" s="415"/>
      <c r="S19" s="416"/>
    </row>
    <row r="20" spans="1:19" ht="14.4" customHeight="1" x14ac:dyDescent="0.3">
      <c r="A20" s="420" t="s">
        <v>392</v>
      </c>
      <c r="B20" s="415"/>
      <c r="C20" s="404"/>
      <c r="D20" s="415"/>
      <c r="E20" s="404"/>
      <c r="F20" s="415">
        <v>3428</v>
      </c>
      <c r="G20" s="406"/>
      <c r="H20" s="415"/>
      <c r="I20" s="404"/>
      <c r="J20" s="415"/>
      <c r="K20" s="404"/>
      <c r="L20" s="415"/>
      <c r="M20" s="406"/>
      <c r="N20" s="415"/>
      <c r="O20" s="404"/>
      <c r="P20" s="415"/>
      <c r="Q20" s="404"/>
      <c r="R20" s="415"/>
      <c r="S20" s="416"/>
    </row>
    <row r="21" spans="1:19" ht="14.4" customHeight="1" x14ac:dyDescent="0.3">
      <c r="A21" s="420" t="s">
        <v>393</v>
      </c>
      <c r="B21" s="415">
        <v>76002</v>
      </c>
      <c r="C21" s="404">
        <v>1</v>
      </c>
      <c r="D21" s="415">
        <v>51359</v>
      </c>
      <c r="E21" s="404">
        <v>0.67575853267019292</v>
      </c>
      <c r="F21" s="415">
        <v>72232</v>
      </c>
      <c r="G21" s="406">
        <v>0.95039604220941554</v>
      </c>
      <c r="H21" s="415"/>
      <c r="I21" s="404"/>
      <c r="J21" s="415"/>
      <c r="K21" s="404"/>
      <c r="L21" s="415"/>
      <c r="M21" s="406"/>
      <c r="N21" s="415"/>
      <c r="O21" s="404"/>
      <c r="P21" s="415"/>
      <c r="Q21" s="404"/>
      <c r="R21" s="415"/>
      <c r="S21" s="416"/>
    </row>
    <row r="22" spans="1:19" ht="14.4" customHeight="1" x14ac:dyDescent="0.3">
      <c r="A22" s="420" t="s">
        <v>394</v>
      </c>
      <c r="B22" s="415"/>
      <c r="C22" s="404"/>
      <c r="D22" s="415"/>
      <c r="E22" s="404"/>
      <c r="F22" s="415">
        <v>5104</v>
      </c>
      <c r="G22" s="406"/>
      <c r="H22" s="415"/>
      <c r="I22" s="404"/>
      <c r="J22" s="415"/>
      <c r="K22" s="404"/>
      <c r="L22" s="415"/>
      <c r="M22" s="406"/>
      <c r="N22" s="415"/>
      <c r="O22" s="404"/>
      <c r="P22" s="415"/>
      <c r="Q22" s="404"/>
      <c r="R22" s="415"/>
      <c r="S22" s="416"/>
    </row>
    <row r="23" spans="1:19" ht="14.4" customHeight="1" x14ac:dyDescent="0.3">
      <c r="A23" s="420" t="s">
        <v>395</v>
      </c>
      <c r="B23" s="415">
        <v>83612</v>
      </c>
      <c r="C23" s="404">
        <v>1</v>
      </c>
      <c r="D23" s="415"/>
      <c r="E23" s="404"/>
      <c r="F23" s="415">
        <v>6856</v>
      </c>
      <c r="G23" s="406">
        <v>8.199779935894369E-2</v>
      </c>
      <c r="H23" s="415"/>
      <c r="I23" s="404"/>
      <c r="J23" s="415"/>
      <c r="K23" s="404"/>
      <c r="L23" s="415"/>
      <c r="M23" s="406"/>
      <c r="N23" s="415"/>
      <c r="O23" s="404"/>
      <c r="P23" s="415"/>
      <c r="Q23" s="404"/>
      <c r="R23" s="415"/>
      <c r="S23" s="416"/>
    </row>
    <row r="24" spans="1:19" ht="14.4" customHeight="1" x14ac:dyDescent="0.3">
      <c r="A24" s="420" t="s">
        <v>396</v>
      </c>
      <c r="B24" s="415">
        <v>4648</v>
      </c>
      <c r="C24" s="404">
        <v>1</v>
      </c>
      <c r="D24" s="415">
        <v>4704</v>
      </c>
      <c r="E24" s="404">
        <v>1.0120481927710843</v>
      </c>
      <c r="F24" s="415">
        <v>3090</v>
      </c>
      <c r="G24" s="406">
        <v>0.66480206540447506</v>
      </c>
      <c r="H24" s="415"/>
      <c r="I24" s="404"/>
      <c r="J24" s="415"/>
      <c r="K24" s="404"/>
      <c r="L24" s="415"/>
      <c r="M24" s="406"/>
      <c r="N24" s="415"/>
      <c r="O24" s="404"/>
      <c r="P24" s="415"/>
      <c r="Q24" s="404"/>
      <c r="R24" s="415"/>
      <c r="S24" s="416"/>
    </row>
    <row r="25" spans="1:19" ht="14.4" customHeight="1" x14ac:dyDescent="0.3">
      <c r="A25" s="420" t="s">
        <v>397</v>
      </c>
      <c r="B25" s="415">
        <v>16854</v>
      </c>
      <c r="C25" s="404">
        <v>1</v>
      </c>
      <c r="D25" s="415">
        <v>26496</v>
      </c>
      <c r="E25" s="404">
        <v>1.5720897116411534</v>
      </c>
      <c r="F25" s="415">
        <v>19140</v>
      </c>
      <c r="G25" s="406">
        <v>1.1356354574581702</v>
      </c>
      <c r="H25" s="415"/>
      <c r="I25" s="404"/>
      <c r="J25" s="415"/>
      <c r="K25" s="404"/>
      <c r="L25" s="415"/>
      <c r="M25" s="406"/>
      <c r="N25" s="415"/>
      <c r="O25" s="404"/>
      <c r="P25" s="415"/>
      <c r="Q25" s="404"/>
      <c r="R25" s="415"/>
      <c r="S25" s="416"/>
    </row>
    <row r="26" spans="1:19" ht="14.4" customHeight="1" x14ac:dyDescent="0.3">
      <c r="A26" s="420" t="s">
        <v>398</v>
      </c>
      <c r="B26" s="415">
        <v>109074</v>
      </c>
      <c r="C26" s="404">
        <v>1</v>
      </c>
      <c r="D26" s="415">
        <v>137808</v>
      </c>
      <c r="E26" s="404">
        <v>1.2634358325540458</v>
      </c>
      <c r="F26" s="415">
        <v>118668</v>
      </c>
      <c r="G26" s="406">
        <v>1.0879586335882061</v>
      </c>
      <c r="H26" s="415"/>
      <c r="I26" s="404"/>
      <c r="J26" s="415"/>
      <c r="K26" s="404"/>
      <c r="L26" s="415"/>
      <c r="M26" s="406"/>
      <c r="N26" s="415"/>
      <c r="O26" s="404"/>
      <c r="P26" s="415"/>
      <c r="Q26" s="404"/>
      <c r="R26" s="415"/>
      <c r="S26" s="416"/>
    </row>
    <row r="27" spans="1:19" ht="14.4" customHeight="1" x14ac:dyDescent="0.3">
      <c r="A27" s="420" t="s">
        <v>399</v>
      </c>
      <c r="B27" s="415">
        <v>3816</v>
      </c>
      <c r="C27" s="404">
        <v>1</v>
      </c>
      <c r="D27" s="415">
        <v>5104</v>
      </c>
      <c r="E27" s="404">
        <v>1.3375262054507338</v>
      </c>
      <c r="F27" s="415">
        <v>4466</v>
      </c>
      <c r="G27" s="406">
        <v>1.170335429769392</v>
      </c>
      <c r="H27" s="415"/>
      <c r="I27" s="404"/>
      <c r="J27" s="415"/>
      <c r="K27" s="404"/>
      <c r="L27" s="415"/>
      <c r="M27" s="406"/>
      <c r="N27" s="415"/>
      <c r="O27" s="404"/>
      <c r="P27" s="415"/>
      <c r="Q27" s="404"/>
      <c r="R27" s="415"/>
      <c r="S27" s="416"/>
    </row>
    <row r="28" spans="1:19" ht="14.4" customHeight="1" thickBot="1" x14ac:dyDescent="0.35">
      <c r="A28" s="421" t="s">
        <v>400</v>
      </c>
      <c r="B28" s="417">
        <v>5088</v>
      </c>
      <c r="C28" s="409">
        <v>1</v>
      </c>
      <c r="D28" s="417">
        <v>10208</v>
      </c>
      <c r="E28" s="409">
        <v>2.0062893081761008</v>
      </c>
      <c r="F28" s="417">
        <v>7018</v>
      </c>
      <c r="G28" s="411">
        <v>1.3793238993710693</v>
      </c>
      <c r="H28" s="417"/>
      <c r="I28" s="409"/>
      <c r="J28" s="417"/>
      <c r="K28" s="409"/>
      <c r="L28" s="417"/>
      <c r="M28" s="411"/>
      <c r="N28" s="417"/>
      <c r="O28" s="409"/>
      <c r="P28" s="417"/>
      <c r="Q28" s="409"/>
      <c r="R28" s="417"/>
      <c r="S28" s="41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65" t="s">
        <v>424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1:17" ht="14.4" customHeight="1" thickBot="1" x14ac:dyDescent="0.35">
      <c r="A2" s="195" t="s">
        <v>217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3377</v>
      </c>
      <c r="G3" s="75">
        <f t="shared" si="0"/>
        <v>1165116</v>
      </c>
      <c r="H3" s="75"/>
      <c r="I3" s="75"/>
      <c r="J3" s="75">
        <f t="shared" si="0"/>
        <v>3229</v>
      </c>
      <c r="K3" s="75">
        <f t="shared" si="0"/>
        <v>1116242</v>
      </c>
      <c r="L3" s="75"/>
      <c r="M3" s="75"/>
      <c r="N3" s="75">
        <f t="shared" si="0"/>
        <v>2996</v>
      </c>
      <c r="O3" s="75">
        <f t="shared" si="0"/>
        <v>1050335</v>
      </c>
      <c r="P3" s="58">
        <f>IF(G3=0,0,O3/G3)</f>
        <v>0.9014853456651527</v>
      </c>
      <c r="Q3" s="76">
        <f>IF(N3=0,0,O3/N3)</f>
        <v>350.57910547396529</v>
      </c>
    </row>
    <row r="4" spans="1:17" ht="14.4" customHeight="1" x14ac:dyDescent="0.3">
      <c r="A4" s="307" t="s">
        <v>46</v>
      </c>
      <c r="B4" s="306" t="s">
        <v>71</v>
      </c>
      <c r="C4" s="307" t="s">
        <v>72</v>
      </c>
      <c r="D4" s="308" t="s">
        <v>73</v>
      </c>
      <c r="E4" s="309" t="s">
        <v>47</v>
      </c>
      <c r="F4" s="313">
        <v>2012</v>
      </c>
      <c r="G4" s="314"/>
      <c r="H4" s="77"/>
      <c r="I4" s="77"/>
      <c r="J4" s="313">
        <v>2013</v>
      </c>
      <c r="K4" s="314"/>
      <c r="L4" s="77"/>
      <c r="M4" s="77"/>
      <c r="N4" s="313">
        <v>2014</v>
      </c>
      <c r="O4" s="314"/>
      <c r="P4" s="315" t="s">
        <v>2</v>
      </c>
      <c r="Q4" s="305" t="s">
        <v>74</v>
      </c>
    </row>
    <row r="5" spans="1:17" ht="14.4" customHeight="1" thickBot="1" x14ac:dyDescent="0.35">
      <c r="A5" s="390"/>
      <c r="B5" s="389"/>
      <c r="C5" s="390"/>
      <c r="D5" s="391"/>
      <c r="E5" s="392"/>
      <c r="F5" s="422" t="s">
        <v>48</v>
      </c>
      <c r="G5" s="423" t="s">
        <v>5</v>
      </c>
      <c r="H5" s="424"/>
      <c r="I5" s="424"/>
      <c r="J5" s="422" t="s">
        <v>48</v>
      </c>
      <c r="K5" s="423" t="s">
        <v>5</v>
      </c>
      <c r="L5" s="424"/>
      <c r="M5" s="424"/>
      <c r="N5" s="422" t="s">
        <v>48</v>
      </c>
      <c r="O5" s="423" t="s">
        <v>5</v>
      </c>
      <c r="P5" s="425"/>
      <c r="Q5" s="397"/>
    </row>
    <row r="6" spans="1:17" ht="14.4" customHeight="1" x14ac:dyDescent="0.3">
      <c r="A6" s="398" t="s">
        <v>401</v>
      </c>
      <c r="B6" s="399" t="s">
        <v>349</v>
      </c>
      <c r="C6" s="399" t="s">
        <v>350</v>
      </c>
      <c r="D6" s="399" t="s">
        <v>355</v>
      </c>
      <c r="E6" s="399" t="s">
        <v>356</v>
      </c>
      <c r="F6" s="400">
        <v>10</v>
      </c>
      <c r="G6" s="400">
        <v>3180</v>
      </c>
      <c r="H6" s="400">
        <v>1</v>
      </c>
      <c r="I6" s="400">
        <v>318</v>
      </c>
      <c r="J6" s="400">
        <v>38</v>
      </c>
      <c r="K6" s="400">
        <v>12122</v>
      </c>
      <c r="L6" s="400">
        <v>3.8119496855345911</v>
      </c>
      <c r="M6" s="400">
        <v>319</v>
      </c>
      <c r="N6" s="400">
        <v>42</v>
      </c>
      <c r="O6" s="400">
        <v>13398</v>
      </c>
      <c r="P6" s="401">
        <v>4.2132075471698114</v>
      </c>
      <c r="Q6" s="402">
        <v>319</v>
      </c>
    </row>
    <row r="7" spans="1:17" ht="14.4" customHeight="1" x14ac:dyDescent="0.3">
      <c r="A7" s="403" t="s">
        <v>401</v>
      </c>
      <c r="B7" s="404" t="s">
        <v>349</v>
      </c>
      <c r="C7" s="404" t="s">
        <v>350</v>
      </c>
      <c r="D7" s="404" t="s">
        <v>365</v>
      </c>
      <c r="E7" s="404" t="s">
        <v>366</v>
      </c>
      <c r="F7" s="405"/>
      <c r="G7" s="405"/>
      <c r="H7" s="405"/>
      <c r="I7" s="405"/>
      <c r="J7" s="405">
        <v>4</v>
      </c>
      <c r="K7" s="405">
        <v>2152</v>
      </c>
      <c r="L7" s="405"/>
      <c r="M7" s="405">
        <v>538</v>
      </c>
      <c r="N7" s="405"/>
      <c r="O7" s="405"/>
      <c r="P7" s="406"/>
      <c r="Q7" s="407"/>
    </row>
    <row r="8" spans="1:17" ht="14.4" customHeight="1" x14ac:dyDescent="0.3">
      <c r="A8" s="403" t="s">
        <v>402</v>
      </c>
      <c r="B8" s="404" t="s">
        <v>349</v>
      </c>
      <c r="C8" s="404" t="s">
        <v>350</v>
      </c>
      <c r="D8" s="404" t="s">
        <v>355</v>
      </c>
      <c r="E8" s="404" t="s">
        <v>356</v>
      </c>
      <c r="F8" s="405">
        <v>24</v>
      </c>
      <c r="G8" s="405">
        <v>7632</v>
      </c>
      <c r="H8" s="405">
        <v>1</v>
      </c>
      <c r="I8" s="405">
        <v>318</v>
      </c>
      <c r="J8" s="405">
        <v>42</v>
      </c>
      <c r="K8" s="405">
        <v>13398</v>
      </c>
      <c r="L8" s="405">
        <v>1.7555031446540881</v>
      </c>
      <c r="M8" s="405">
        <v>319</v>
      </c>
      <c r="N8" s="405">
        <v>6</v>
      </c>
      <c r="O8" s="405">
        <v>1914</v>
      </c>
      <c r="P8" s="406">
        <v>0.25078616352201261</v>
      </c>
      <c r="Q8" s="407">
        <v>319</v>
      </c>
    </row>
    <row r="9" spans="1:17" ht="14.4" customHeight="1" x14ac:dyDescent="0.3">
      <c r="A9" s="403" t="s">
        <v>403</v>
      </c>
      <c r="B9" s="404" t="s">
        <v>349</v>
      </c>
      <c r="C9" s="404" t="s">
        <v>350</v>
      </c>
      <c r="D9" s="404" t="s">
        <v>355</v>
      </c>
      <c r="E9" s="404" t="s">
        <v>356</v>
      </c>
      <c r="F9" s="405">
        <v>88</v>
      </c>
      <c r="G9" s="405">
        <v>27984</v>
      </c>
      <c r="H9" s="405">
        <v>1</v>
      </c>
      <c r="I9" s="405">
        <v>318</v>
      </c>
      <c r="J9" s="405">
        <v>24</v>
      </c>
      <c r="K9" s="405">
        <v>7656</v>
      </c>
      <c r="L9" s="405">
        <v>0.27358490566037735</v>
      </c>
      <c r="M9" s="405">
        <v>319</v>
      </c>
      <c r="N9" s="405">
        <v>112</v>
      </c>
      <c r="O9" s="405">
        <v>35728</v>
      </c>
      <c r="P9" s="406">
        <v>1.2767295597484276</v>
      </c>
      <c r="Q9" s="407">
        <v>319</v>
      </c>
    </row>
    <row r="10" spans="1:17" ht="14.4" customHeight="1" x14ac:dyDescent="0.3">
      <c r="A10" s="403" t="s">
        <v>403</v>
      </c>
      <c r="B10" s="404" t="s">
        <v>349</v>
      </c>
      <c r="C10" s="404" t="s">
        <v>350</v>
      </c>
      <c r="D10" s="404" t="s">
        <v>365</v>
      </c>
      <c r="E10" s="404" t="s">
        <v>366</v>
      </c>
      <c r="F10" s="405">
        <v>10</v>
      </c>
      <c r="G10" s="405">
        <v>5260</v>
      </c>
      <c r="H10" s="405">
        <v>1</v>
      </c>
      <c r="I10" s="405">
        <v>526</v>
      </c>
      <c r="J10" s="405">
        <v>8</v>
      </c>
      <c r="K10" s="405">
        <v>4304</v>
      </c>
      <c r="L10" s="405">
        <v>0.81825095057034225</v>
      </c>
      <c r="M10" s="405">
        <v>538</v>
      </c>
      <c r="N10" s="405">
        <v>13</v>
      </c>
      <c r="O10" s="405">
        <v>6994</v>
      </c>
      <c r="P10" s="406">
        <v>1.329657794676806</v>
      </c>
      <c r="Q10" s="407">
        <v>538</v>
      </c>
    </row>
    <row r="11" spans="1:17" ht="14.4" customHeight="1" x14ac:dyDescent="0.3">
      <c r="A11" s="403" t="s">
        <v>404</v>
      </c>
      <c r="B11" s="404" t="s">
        <v>349</v>
      </c>
      <c r="C11" s="404" t="s">
        <v>350</v>
      </c>
      <c r="D11" s="404" t="s">
        <v>355</v>
      </c>
      <c r="E11" s="404" t="s">
        <v>356</v>
      </c>
      <c r="F11" s="405">
        <v>82</v>
      </c>
      <c r="G11" s="405">
        <v>26076</v>
      </c>
      <c r="H11" s="405">
        <v>1</v>
      </c>
      <c r="I11" s="405">
        <v>318</v>
      </c>
      <c r="J11" s="405">
        <v>60</v>
      </c>
      <c r="K11" s="405">
        <v>19140</v>
      </c>
      <c r="L11" s="405">
        <v>0.73400828347906122</v>
      </c>
      <c r="M11" s="405">
        <v>319</v>
      </c>
      <c r="N11" s="405">
        <v>44</v>
      </c>
      <c r="O11" s="405">
        <v>14036</v>
      </c>
      <c r="P11" s="406">
        <v>0.53827274121797819</v>
      </c>
      <c r="Q11" s="407">
        <v>319</v>
      </c>
    </row>
    <row r="12" spans="1:17" ht="14.4" customHeight="1" x14ac:dyDescent="0.3">
      <c r="A12" s="403" t="s">
        <v>405</v>
      </c>
      <c r="B12" s="404" t="s">
        <v>349</v>
      </c>
      <c r="C12" s="404" t="s">
        <v>350</v>
      </c>
      <c r="D12" s="404" t="s">
        <v>355</v>
      </c>
      <c r="E12" s="404" t="s">
        <v>356</v>
      </c>
      <c r="F12" s="405"/>
      <c r="G12" s="405"/>
      <c r="H12" s="405"/>
      <c r="I12" s="405"/>
      <c r="J12" s="405"/>
      <c r="K12" s="405"/>
      <c r="L12" s="405"/>
      <c r="M12" s="405"/>
      <c r="N12" s="405">
        <v>22</v>
      </c>
      <c r="O12" s="405">
        <v>7018</v>
      </c>
      <c r="P12" s="406"/>
      <c r="Q12" s="407">
        <v>319</v>
      </c>
    </row>
    <row r="13" spans="1:17" ht="14.4" customHeight="1" x14ac:dyDescent="0.3">
      <c r="A13" s="403" t="s">
        <v>406</v>
      </c>
      <c r="B13" s="404" t="s">
        <v>349</v>
      </c>
      <c r="C13" s="404" t="s">
        <v>350</v>
      </c>
      <c r="D13" s="404" t="s">
        <v>353</v>
      </c>
      <c r="E13" s="404" t="s">
        <v>354</v>
      </c>
      <c r="F13" s="405">
        <v>2</v>
      </c>
      <c r="G13" s="405">
        <v>136</v>
      </c>
      <c r="H13" s="405">
        <v>1</v>
      </c>
      <c r="I13" s="405">
        <v>68</v>
      </c>
      <c r="J13" s="405"/>
      <c r="K13" s="405"/>
      <c r="L13" s="405"/>
      <c r="M13" s="405"/>
      <c r="N13" s="405"/>
      <c r="O13" s="405"/>
      <c r="P13" s="406"/>
      <c r="Q13" s="407"/>
    </row>
    <row r="14" spans="1:17" ht="14.4" customHeight="1" x14ac:dyDescent="0.3">
      <c r="A14" s="403" t="s">
        <v>406</v>
      </c>
      <c r="B14" s="404" t="s">
        <v>349</v>
      </c>
      <c r="C14" s="404" t="s">
        <v>350</v>
      </c>
      <c r="D14" s="404" t="s">
        <v>355</v>
      </c>
      <c r="E14" s="404" t="s">
        <v>356</v>
      </c>
      <c r="F14" s="405">
        <v>16</v>
      </c>
      <c r="G14" s="405">
        <v>5088</v>
      </c>
      <c r="H14" s="405">
        <v>1</v>
      </c>
      <c r="I14" s="405">
        <v>318</v>
      </c>
      <c r="J14" s="405"/>
      <c r="K14" s="405"/>
      <c r="L14" s="405"/>
      <c r="M14" s="405"/>
      <c r="N14" s="405"/>
      <c r="O14" s="405"/>
      <c r="P14" s="406"/>
      <c r="Q14" s="407"/>
    </row>
    <row r="15" spans="1:17" ht="14.4" customHeight="1" x14ac:dyDescent="0.3">
      <c r="A15" s="403" t="s">
        <v>407</v>
      </c>
      <c r="B15" s="404" t="s">
        <v>349</v>
      </c>
      <c r="C15" s="404" t="s">
        <v>350</v>
      </c>
      <c r="D15" s="404" t="s">
        <v>355</v>
      </c>
      <c r="E15" s="404" t="s">
        <v>356</v>
      </c>
      <c r="F15" s="405"/>
      <c r="G15" s="405"/>
      <c r="H15" s="405"/>
      <c r="I15" s="405"/>
      <c r="J15" s="405">
        <v>4</v>
      </c>
      <c r="K15" s="405">
        <v>1276</v>
      </c>
      <c r="L15" s="405"/>
      <c r="M15" s="405">
        <v>319</v>
      </c>
      <c r="N15" s="405"/>
      <c r="O15" s="405"/>
      <c r="P15" s="406"/>
      <c r="Q15" s="407"/>
    </row>
    <row r="16" spans="1:17" ht="14.4" customHeight="1" x14ac:dyDescent="0.3">
      <c r="A16" s="403" t="s">
        <v>408</v>
      </c>
      <c r="B16" s="404" t="s">
        <v>349</v>
      </c>
      <c r="C16" s="404" t="s">
        <v>350</v>
      </c>
      <c r="D16" s="404" t="s">
        <v>353</v>
      </c>
      <c r="E16" s="404" t="s">
        <v>354</v>
      </c>
      <c r="F16" s="405"/>
      <c r="G16" s="405"/>
      <c r="H16" s="405"/>
      <c r="I16" s="405"/>
      <c r="J16" s="405">
        <v>2</v>
      </c>
      <c r="K16" s="405">
        <v>138</v>
      </c>
      <c r="L16" s="405"/>
      <c r="M16" s="405">
        <v>69</v>
      </c>
      <c r="N16" s="405"/>
      <c r="O16" s="405"/>
      <c r="P16" s="406"/>
      <c r="Q16" s="407"/>
    </row>
    <row r="17" spans="1:17" ht="14.4" customHeight="1" x14ac:dyDescent="0.3">
      <c r="A17" s="403" t="s">
        <v>408</v>
      </c>
      <c r="B17" s="404" t="s">
        <v>349</v>
      </c>
      <c r="C17" s="404" t="s">
        <v>350</v>
      </c>
      <c r="D17" s="404" t="s">
        <v>355</v>
      </c>
      <c r="E17" s="404" t="s">
        <v>356</v>
      </c>
      <c r="F17" s="405">
        <v>432</v>
      </c>
      <c r="G17" s="405">
        <v>137376</v>
      </c>
      <c r="H17" s="405">
        <v>1</v>
      </c>
      <c r="I17" s="405">
        <v>318</v>
      </c>
      <c r="J17" s="405">
        <v>212</v>
      </c>
      <c r="K17" s="405">
        <v>67628</v>
      </c>
      <c r="L17" s="405">
        <v>0.49228395061728397</v>
      </c>
      <c r="M17" s="405">
        <v>319</v>
      </c>
      <c r="N17" s="405">
        <v>142</v>
      </c>
      <c r="O17" s="405">
        <v>45298</v>
      </c>
      <c r="P17" s="406">
        <v>0.32973736314931285</v>
      </c>
      <c r="Q17" s="407">
        <v>319</v>
      </c>
    </row>
    <row r="18" spans="1:17" ht="14.4" customHeight="1" x14ac:dyDescent="0.3">
      <c r="A18" s="403" t="s">
        <v>408</v>
      </c>
      <c r="B18" s="404" t="s">
        <v>349</v>
      </c>
      <c r="C18" s="404" t="s">
        <v>350</v>
      </c>
      <c r="D18" s="404" t="s">
        <v>359</v>
      </c>
      <c r="E18" s="404" t="s">
        <v>360</v>
      </c>
      <c r="F18" s="405">
        <v>34</v>
      </c>
      <c r="G18" s="405">
        <v>10812</v>
      </c>
      <c r="H18" s="405">
        <v>1</v>
      </c>
      <c r="I18" s="405">
        <v>318</v>
      </c>
      <c r="J18" s="405">
        <v>214</v>
      </c>
      <c r="K18" s="405">
        <v>68266</v>
      </c>
      <c r="L18" s="405">
        <v>6.3139104698483166</v>
      </c>
      <c r="M18" s="405">
        <v>319</v>
      </c>
      <c r="N18" s="405">
        <v>297</v>
      </c>
      <c r="O18" s="405">
        <v>94743</v>
      </c>
      <c r="P18" s="406">
        <v>8.7627635960044401</v>
      </c>
      <c r="Q18" s="407">
        <v>319</v>
      </c>
    </row>
    <row r="19" spans="1:17" ht="14.4" customHeight="1" x14ac:dyDescent="0.3">
      <c r="A19" s="403" t="s">
        <v>408</v>
      </c>
      <c r="B19" s="404" t="s">
        <v>349</v>
      </c>
      <c r="C19" s="404" t="s">
        <v>350</v>
      </c>
      <c r="D19" s="404" t="s">
        <v>365</v>
      </c>
      <c r="E19" s="404" t="s">
        <v>366</v>
      </c>
      <c r="F19" s="405">
        <v>5</v>
      </c>
      <c r="G19" s="405">
        <v>2630</v>
      </c>
      <c r="H19" s="405">
        <v>1</v>
      </c>
      <c r="I19" s="405">
        <v>526</v>
      </c>
      <c r="J19" s="405"/>
      <c r="K19" s="405"/>
      <c r="L19" s="405"/>
      <c r="M19" s="405"/>
      <c r="N19" s="405"/>
      <c r="O19" s="405"/>
      <c r="P19" s="406"/>
      <c r="Q19" s="407"/>
    </row>
    <row r="20" spans="1:17" ht="14.4" customHeight="1" x14ac:dyDescent="0.3">
      <c r="A20" s="403" t="s">
        <v>409</v>
      </c>
      <c r="B20" s="404" t="s">
        <v>349</v>
      </c>
      <c r="C20" s="404" t="s">
        <v>350</v>
      </c>
      <c r="D20" s="404" t="s">
        <v>355</v>
      </c>
      <c r="E20" s="404" t="s">
        <v>356</v>
      </c>
      <c r="F20" s="405"/>
      <c r="G20" s="405"/>
      <c r="H20" s="405"/>
      <c r="I20" s="405"/>
      <c r="J20" s="405">
        <v>8</v>
      </c>
      <c r="K20" s="405">
        <v>2552</v>
      </c>
      <c r="L20" s="405"/>
      <c r="M20" s="405">
        <v>319</v>
      </c>
      <c r="N20" s="405"/>
      <c r="O20" s="405"/>
      <c r="P20" s="406"/>
      <c r="Q20" s="407"/>
    </row>
    <row r="21" spans="1:17" ht="14.4" customHeight="1" x14ac:dyDescent="0.3">
      <c r="A21" s="403" t="s">
        <v>409</v>
      </c>
      <c r="B21" s="404" t="s">
        <v>349</v>
      </c>
      <c r="C21" s="404" t="s">
        <v>350</v>
      </c>
      <c r="D21" s="404" t="s">
        <v>359</v>
      </c>
      <c r="E21" s="404" t="s">
        <v>360</v>
      </c>
      <c r="F21" s="405"/>
      <c r="G21" s="405"/>
      <c r="H21" s="405"/>
      <c r="I21" s="405"/>
      <c r="J21" s="405"/>
      <c r="K21" s="405"/>
      <c r="L21" s="405"/>
      <c r="M21" s="405"/>
      <c r="N21" s="405">
        <v>8</v>
      </c>
      <c r="O21" s="405">
        <v>2552</v>
      </c>
      <c r="P21" s="406"/>
      <c r="Q21" s="407">
        <v>319</v>
      </c>
    </row>
    <row r="22" spans="1:17" ht="14.4" customHeight="1" x14ac:dyDescent="0.3">
      <c r="A22" s="403" t="s">
        <v>410</v>
      </c>
      <c r="B22" s="404" t="s">
        <v>349</v>
      </c>
      <c r="C22" s="404" t="s">
        <v>350</v>
      </c>
      <c r="D22" s="404" t="s">
        <v>353</v>
      </c>
      <c r="E22" s="404" t="s">
        <v>354</v>
      </c>
      <c r="F22" s="405">
        <v>2</v>
      </c>
      <c r="G22" s="405">
        <v>136</v>
      </c>
      <c r="H22" s="405">
        <v>1</v>
      </c>
      <c r="I22" s="405">
        <v>68</v>
      </c>
      <c r="J22" s="405"/>
      <c r="K22" s="405"/>
      <c r="L22" s="405"/>
      <c r="M22" s="405"/>
      <c r="N22" s="405"/>
      <c r="O22" s="405"/>
      <c r="P22" s="406"/>
      <c r="Q22" s="407"/>
    </row>
    <row r="23" spans="1:17" ht="14.4" customHeight="1" x14ac:dyDescent="0.3">
      <c r="A23" s="403" t="s">
        <v>410</v>
      </c>
      <c r="B23" s="404" t="s">
        <v>349</v>
      </c>
      <c r="C23" s="404" t="s">
        <v>350</v>
      </c>
      <c r="D23" s="404" t="s">
        <v>355</v>
      </c>
      <c r="E23" s="404" t="s">
        <v>356</v>
      </c>
      <c r="F23" s="405">
        <v>307</v>
      </c>
      <c r="G23" s="405">
        <v>97626</v>
      </c>
      <c r="H23" s="405">
        <v>1</v>
      </c>
      <c r="I23" s="405">
        <v>318</v>
      </c>
      <c r="J23" s="405">
        <v>305</v>
      </c>
      <c r="K23" s="405">
        <v>97295</v>
      </c>
      <c r="L23" s="405">
        <v>0.99660950976174378</v>
      </c>
      <c r="M23" s="405">
        <v>319</v>
      </c>
      <c r="N23" s="405">
        <v>266</v>
      </c>
      <c r="O23" s="405">
        <v>84854</v>
      </c>
      <c r="P23" s="406">
        <v>0.86917419539876672</v>
      </c>
      <c r="Q23" s="407">
        <v>319</v>
      </c>
    </row>
    <row r="24" spans="1:17" ht="14.4" customHeight="1" x14ac:dyDescent="0.3">
      <c r="A24" s="403" t="s">
        <v>410</v>
      </c>
      <c r="B24" s="404" t="s">
        <v>349</v>
      </c>
      <c r="C24" s="404" t="s">
        <v>350</v>
      </c>
      <c r="D24" s="404" t="s">
        <v>357</v>
      </c>
      <c r="E24" s="404" t="s">
        <v>358</v>
      </c>
      <c r="F24" s="405">
        <v>41</v>
      </c>
      <c r="G24" s="405">
        <v>13038</v>
      </c>
      <c r="H24" s="405">
        <v>1</v>
      </c>
      <c r="I24" s="405">
        <v>318</v>
      </c>
      <c r="J24" s="405">
        <v>35</v>
      </c>
      <c r="K24" s="405">
        <v>11165</v>
      </c>
      <c r="L24" s="405">
        <v>0.85634299739223807</v>
      </c>
      <c r="M24" s="405">
        <v>319</v>
      </c>
      <c r="N24" s="405">
        <v>68</v>
      </c>
      <c r="O24" s="405">
        <v>21692</v>
      </c>
      <c r="P24" s="406">
        <v>1.6637521092192054</v>
      </c>
      <c r="Q24" s="407">
        <v>319</v>
      </c>
    </row>
    <row r="25" spans="1:17" ht="14.4" customHeight="1" x14ac:dyDescent="0.3">
      <c r="A25" s="403" t="s">
        <v>410</v>
      </c>
      <c r="B25" s="404" t="s">
        <v>349</v>
      </c>
      <c r="C25" s="404" t="s">
        <v>350</v>
      </c>
      <c r="D25" s="404" t="s">
        <v>359</v>
      </c>
      <c r="E25" s="404" t="s">
        <v>360</v>
      </c>
      <c r="F25" s="405">
        <v>84</v>
      </c>
      <c r="G25" s="405">
        <v>26712</v>
      </c>
      <c r="H25" s="405">
        <v>1</v>
      </c>
      <c r="I25" s="405">
        <v>318</v>
      </c>
      <c r="J25" s="405">
        <v>102</v>
      </c>
      <c r="K25" s="405">
        <v>32538</v>
      </c>
      <c r="L25" s="405">
        <v>1.218104222821204</v>
      </c>
      <c r="M25" s="405">
        <v>319</v>
      </c>
      <c r="N25" s="405">
        <v>78</v>
      </c>
      <c r="O25" s="405">
        <v>24882</v>
      </c>
      <c r="P25" s="406">
        <v>0.93149146451033249</v>
      </c>
      <c r="Q25" s="407">
        <v>319</v>
      </c>
    </row>
    <row r="26" spans="1:17" ht="14.4" customHeight="1" x14ac:dyDescent="0.3">
      <c r="A26" s="403" t="s">
        <v>410</v>
      </c>
      <c r="B26" s="404" t="s">
        <v>349</v>
      </c>
      <c r="C26" s="404" t="s">
        <v>350</v>
      </c>
      <c r="D26" s="404" t="s">
        <v>363</v>
      </c>
      <c r="E26" s="404" t="s">
        <v>364</v>
      </c>
      <c r="F26" s="405"/>
      <c r="G26" s="405"/>
      <c r="H26" s="405"/>
      <c r="I26" s="405"/>
      <c r="J26" s="405">
        <v>1</v>
      </c>
      <c r="K26" s="405">
        <v>0</v>
      </c>
      <c r="L26" s="405"/>
      <c r="M26" s="405">
        <v>0</v>
      </c>
      <c r="N26" s="405"/>
      <c r="O26" s="405"/>
      <c r="P26" s="406"/>
      <c r="Q26" s="407"/>
    </row>
    <row r="27" spans="1:17" ht="14.4" customHeight="1" x14ac:dyDescent="0.3">
      <c r="A27" s="403" t="s">
        <v>410</v>
      </c>
      <c r="B27" s="404" t="s">
        <v>349</v>
      </c>
      <c r="C27" s="404" t="s">
        <v>350</v>
      </c>
      <c r="D27" s="404" t="s">
        <v>367</v>
      </c>
      <c r="E27" s="404" t="s">
        <v>368</v>
      </c>
      <c r="F27" s="405">
        <v>38</v>
      </c>
      <c r="G27" s="405">
        <v>20216</v>
      </c>
      <c r="H27" s="405">
        <v>1</v>
      </c>
      <c r="I27" s="405">
        <v>532</v>
      </c>
      <c r="J27" s="405">
        <v>67</v>
      </c>
      <c r="K27" s="405">
        <v>36113</v>
      </c>
      <c r="L27" s="405">
        <v>1.7863573407202216</v>
      </c>
      <c r="M27" s="405">
        <v>539</v>
      </c>
      <c r="N27" s="405">
        <v>29</v>
      </c>
      <c r="O27" s="405">
        <v>15631</v>
      </c>
      <c r="P27" s="406">
        <v>0.77319944598337953</v>
      </c>
      <c r="Q27" s="407">
        <v>539</v>
      </c>
    </row>
    <row r="28" spans="1:17" ht="14.4" customHeight="1" x14ac:dyDescent="0.3">
      <c r="A28" s="403" t="s">
        <v>410</v>
      </c>
      <c r="B28" s="404" t="s">
        <v>349</v>
      </c>
      <c r="C28" s="404" t="s">
        <v>350</v>
      </c>
      <c r="D28" s="404" t="s">
        <v>371</v>
      </c>
      <c r="E28" s="404" t="s">
        <v>372</v>
      </c>
      <c r="F28" s="405">
        <v>11</v>
      </c>
      <c r="G28" s="405">
        <v>5852</v>
      </c>
      <c r="H28" s="405">
        <v>1</v>
      </c>
      <c r="I28" s="405">
        <v>532</v>
      </c>
      <c r="J28" s="405"/>
      <c r="K28" s="405"/>
      <c r="L28" s="405"/>
      <c r="M28" s="405"/>
      <c r="N28" s="405">
        <v>36</v>
      </c>
      <c r="O28" s="405">
        <v>19404</v>
      </c>
      <c r="P28" s="406">
        <v>3.3157894736842106</v>
      </c>
      <c r="Q28" s="407">
        <v>539</v>
      </c>
    </row>
    <row r="29" spans="1:17" ht="14.4" customHeight="1" x14ac:dyDescent="0.3">
      <c r="A29" s="403" t="s">
        <v>411</v>
      </c>
      <c r="B29" s="404" t="s">
        <v>349</v>
      </c>
      <c r="C29" s="404" t="s">
        <v>350</v>
      </c>
      <c r="D29" s="404" t="s">
        <v>355</v>
      </c>
      <c r="E29" s="404" t="s">
        <v>356</v>
      </c>
      <c r="F29" s="405"/>
      <c r="G29" s="405"/>
      <c r="H29" s="405"/>
      <c r="I29" s="405"/>
      <c r="J29" s="405">
        <v>10</v>
      </c>
      <c r="K29" s="405">
        <v>3190</v>
      </c>
      <c r="L29" s="405"/>
      <c r="M29" s="405">
        <v>319</v>
      </c>
      <c r="N29" s="405"/>
      <c r="O29" s="405"/>
      <c r="P29" s="406"/>
      <c r="Q29" s="407"/>
    </row>
    <row r="30" spans="1:17" ht="14.4" customHeight="1" x14ac:dyDescent="0.3">
      <c r="A30" s="403" t="s">
        <v>411</v>
      </c>
      <c r="B30" s="404" t="s">
        <v>349</v>
      </c>
      <c r="C30" s="404" t="s">
        <v>350</v>
      </c>
      <c r="D30" s="404" t="s">
        <v>357</v>
      </c>
      <c r="E30" s="404" t="s">
        <v>358</v>
      </c>
      <c r="F30" s="405"/>
      <c r="G30" s="405"/>
      <c r="H30" s="405"/>
      <c r="I30" s="405"/>
      <c r="J30" s="405">
        <v>4</v>
      </c>
      <c r="K30" s="405">
        <v>1276</v>
      </c>
      <c r="L30" s="405"/>
      <c r="M30" s="405">
        <v>319</v>
      </c>
      <c r="N30" s="405"/>
      <c r="O30" s="405"/>
      <c r="P30" s="406"/>
      <c r="Q30" s="407"/>
    </row>
    <row r="31" spans="1:17" ht="14.4" customHeight="1" x14ac:dyDescent="0.3">
      <c r="A31" s="403" t="s">
        <v>412</v>
      </c>
      <c r="B31" s="404" t="s">
        <v>349</v>
      </c>
      <c r="C31" s="404" t="s">
        <v>350</v>
      </c>
      <c r="D31" s="404" t="s">
        <v>355</v>
      </c>
      <c r="E31" s="404" t="s">
        <v>356</v>
      </c>
      <c r="F31" s="405">
        <v>874</v>
      </c>
      <c r="G31" s="405">
        <v>277932</v>
      </c>
      <c r="H31" s="405">
        <v>1</v>
      </c>
      <c r="I31" s="405">
        <v>318</v>
      </c>
      <c r="J31" s="405">
        <v>1024</v>
      </c>
      <c r="K31" s="405">
        <v>326656</v>
      </c>
      <c r="L31" s="405">
        <v>1.1753090684052214</v>
      </c>
      <c r="M31" s="405">
        <v>319</v>
      </c>
      <c r="N31" s="405">
        <v>661</v>
      </c>
      <c r="O31" s="405">
        <v>210859</v>
      </c>
      <c r="P31" s="406">
        <v>0.75867118575766734</v>
      </c>
      <c r="Q31" s="407">
        <v>319</v>
      </c>
    </row>
    <row r="32" spans="1:17" ht="14.4" customHeight="1" x14ac:dyDescent="0.3">
      <c r="A32" s="403" t="s">
        <v>412</v>
      </c>
      <c r="B32" s="404" t="s">
        <v>349</v>
      </c>
      <c r="C32" s="404" t="s">
        <v>350</v>
      </c>
      <c r="D32" s="404" t="s">
        <v>365</v>
      </c>
      <c r="E32" s="404" t="s">
        <v>366</v>
      </c>
      <c r="F32" s="405">
        <v>24</v>
      </c>
      <c r="G32" s="405">
        <v>12624</v>
      </c>
      <c r="H32" s="405">
        <v>1</v>
      </c>
      <c r="I32" s="405">
        <v>526</v>
      </c>
      <c r="J32" s="405">
        <v>35</v>
      </c>
      <c r="K32" s="405">
        <v>18830</v>
      </c>
      <c r="L32" s="405">
        <v>1.4916032953105196</v>
      </c>
      <c r="M32" s="405">
        <v>538</v>
      </c>
      <c r="N32" s="405">
        <v>18</v>
      </c>
      <c r="O32" s="405">
        <v>9684</v>
      </c>
      <c r="P32" s="406">
        <v>0.7671102661596958</v>
      </c>
      <c r="Q32" s="407">
        <v>538</v>
      </c>
    </row>
    <row r="33" spans="1:17" ht="14.4" customHeight="1" x14ac:dyDescent="0.3">
      <c r="A33" s="403" t="s">
        <v>413</v>
      </c>
      <c r="B33" s="404" t="s">
        <v>349</v>
      </c>
      <c r="C33" s="404" t="s">
        <v>350</v>
      </c>
      <c r="D33" s="404" t="s">
        <v>355</v>
      </c>
      <c r="E33" s="404" t="s">
        <v>356</v>
      </c>
      <c r="F33" s="405">
        <v>12</v>
      </c>
      <c r="G33" s="405">
        <v>3816</v>
      </c>
      <c r="H33" s="405">
        <v>1</v>
      </c>
      <c r="I33" s="405">
        <v>318</v>
      </c>
      <c r="J33" s="405">
        <v>20</v>
      </c>
      <c r="K33" s="405">
        <v>6380</v>
      </c>
      <c r="L33" s="405">
        <v>1.6719077568134173</v>
      </c>
      <c r="M33" s="405">
        <v>319</v>
      </c>
      <c r="N33" s="405">
        <v>84</v>
      </c>
      <c r="O33" s="405">
        <v>26796</v>
      </c>
      <c r="P33" s="406">
        <v>7.0220125786163523</v>
      </c>
      <c r="Q33" s="407">
        <v>319</v>
      </c>
    </row>
    <row r="34" spans="1:17" ht="14.4" customHeight="1" x14ac:dyDescent="0.3">
      <c r="A34" s="403" t="s">
        <v>413</v>
      </c>
      <c r="B34" s="404" t="s">
        <v>349</v>
      </c>
      <c r="C34" s="404" t="s">
        <v>350</v>
      </c>
      <c r="D34" s="404" t="s">
        <v>365</v>
      </c>
      <c r="E34" s="404" t="s">
        <v>366</v>
      </c>
      <c r="F34" s="405">
        <v>234</v>
      </c>
      <c r="G34" s="405">
        <v>123084</v>
      </c>
      <c r="H34" s="405">
        <v>1</v>
      </c>
      <c r="I34" s="405">
        <v>526</v>
      </c>
      <c r="J34" s="405">
        <v>248</v>
      </c>
      <c r="K34" s="405">
        <v>133424</v>
      </c>
      <c r="L34" s="405">
        <v>1.0840076695590004</v>
      </c>
      <c r="M34" s="405">
        <v>538</v>
      </c>
      <c r="N34" s="405">
        <v>285</v>
      </c>
      <c r="O34" s="405">
        <v>153330</v>
      </c>
      <c r="P34" s="406">
        <v>1.2457346202593351</v>
      </c>
      <c r="Q34" s="407">
        <v>538</v>
      </c>
    </row>
    <row r="35" spans="1:17" ht="14.4" customHeight="1" x14ac:dyDescent="0.3">
      <c r="A35" s="403" t="s">
        <v>413</v>
      </c>
      <c r="B35" s="404" t="s">
        <v>349</v>
      </c>
      <c r="C35" s="404" t="s">
        <v>350</v>
      </c>
      <c r="D35" s="404" t="s">
        <v>373</v>
      </c>
      <c r="E35" s="404" t="s">
        <v>374</v>
      </c>
      <c r="F35" s="405">
        <v>56</v>
      </c>
      <c r="G35" s="405">
        <v>29456</v>
      </c>
      <c r="H35" s="405">
        <v>1</v>
      </c>
      <c r="I35" s="405">
        <v>526</v>
      </c>
      <c r="J35" s="405">
        <v>16</v>
      </c>
      <c r="K35" s="405">
        <v>8608</v>
      </c>
      <c r="L35" s="405">
        <v>0.2922324823465508</v>
      </c>
      <c r="M35" s="405">
        <v>538</v>
      </c>
      <c r="N35" s="405">
        <v>40</v>
      </c>
      <c r="O35" s="405">
        <v>21520</v>
      </c>
      <c r="P35" s="406">
        <v>0.73058120586637698</v>
      </c>
      <c r="Q35" s="407">
        <v>538</v>
      </c>
    </row>
    <row r="36" spans="1:17" ht="14.4" customHeight="1" x14ac:dyDescent="0.3">
      <c r="A36" s="403" t="s">
        <v>414</v>
      </c>
      <c r="B36" s="404" t="s">
        <v>349</v>
      </c>
      <c r="C36" s="404" t="s">
        <v>350</v>
      </c>
      <c r="D36" s="404" t="s">
        <v>355</v>
      </c>
      <c r="E36" s="404" t="s">
        <v>356</v>
      </c>
      <c r="F36" s="405">
        <v>46</v>
      </c>
      <c r="G36" s="405">
        <v>14628</v>
      </c>
      <c r="H36" s="405">
        <v>1</v>
      </c>
      <c r="I36" s="405">
        <v>318</v>
      </c>
      <c r="J36" s="405"/>
      <c r="K36" s="405"/>
      <c r="L36" s="405"/>
      <c r="M36" s="405"/>
      <c r="N36" s="405"/>
      <c r="O36" s="405"/>
      <c r="P36" s="406"/>
      <c r="Q36" s="407"/>
    </row>
    <row r="37" spans="1:17" ht="14.4" customHeight="1" x14ac:dyDescent="0.3">
      <c r="A37" s="403" t="s">
        <v>414</v>
      </c>
      <c r="B37" s="404" t="s">
        <v>349</v>
      </c>
      <c r="C37" s="404" t="s">
        <v>350</v>
      </c>
      <c r="D37" s="404" t="s">
        <v>373</v>
      </c>
      <c r="E37" s="404" t="s">
        <v>374</v>
      </c>
      <c r="F37" s="405">
        <v>28</v>
      </c>
      <c r="G37" s="405">
        <v>14728</v>
      </c>
      <c r="H37" s="405">
        <v>1</v>
      </c>
      <c r="I37" s="405">
        <v>526</v>
      </c>
      <c r="J37" s="405">
        <v>12</v>
      </c>
      <c r="K37" s="405">
        <v>6456</v>
      </c>
      <c r="L37" s="405">
        <v>0.43834872351982618</v>
      </c>
      <c r="M37" s="405">
        <v>538</v>
      </c>
      <c r="N37" s="405"/>
      <c r="O37" s="405"/>
      <c r="P37" s="406"/>
      <c r="Q37" s="407"/>
    </row>
    <row r="38" spans="1:17" ht="14.4" customHeight="1" x14ac:dyDescent="0.3">
      <c r="A38" s="403" t="s">
        <v>415</v>
      </c>
      <c r="B38" s="404" t="s">
        <v>349</v>
      </c>
      <c r="C38" s="404" t="s">
        <v>350</v>
      </c>
      <c r="D38" s="404" t="s">
        <v>355</v>
      </c>
      <c r="E38" s="404" t="s">
        <v>356</v>
      </c>
      <c r="F38" s="405"/>
      <c r="G38" s="405"/>
      <c r="H38" s="405"/>
      <c r="I38" s="405"/>
      <c r="J38" s="405"/>
      <c r="K38" s="405"/>
      <c r="L38" s="405"/>
      <c r="M38" s="405"/>
      <c r="N38" s="405">
        <v>4</v>
      </c>
      <c r="O38" s="405">
        <v>1276</v>
      </c>
      <c r="P38" s="406"/>
      <c r="Q38" s="407">
        <v>319</v>
      </c>
    </row>
    <row r="39" spans="1:17" ht="14.4" customHeight="1" x14ac:dyDescent="0.3">
      <c r="A39" s="403" t="s">
        <v>415</v>
      </c>
      <c r="B39" s="404" t="s">
        <v>349</v>
      </c>
      <c r="C39" s="404" t="s">
        <v>350</v>
      </c>
      <c r="D39" s="404" t="s">
        <v>365</v>
      </c>
      <c r="E39" s="404" t="s">
        <v>366</v>
      </c>
      <c r="F39" s="405"/>
      <c r="G39" s="405"/>
      <c r="H39" s="405"/>
      <c r="I39" s="405"/>
      <c r="J39" s="405"/>
      <c r="K39" s="405"/>
      <c r="L39" s="405"/>
      <c r="M39" s="405"/>
      <c r="N39" s="405">
        <v>4</v>
      </c>
      <c r="O39" s="405">
        <v>2152</v>
      </c>
      <c r="P39" s="406"/>
      <c r="Q39" s="407">
        <v>538</v>
      </c>
    </row>
    <row r="40" spans="1:17" ht="14.4" customHeight="1" x14ac:dyDescent="0.3">
      <c r="A40" s="403" t="s">
        <v>416</v>
      </c>
      <c r="B40" s="404" t="s">
        <v>349</v>
      </c>
      <c r="C40" s="404" t="s">
        <v>350</v>
      </c>
      <c r="D40" s="404" t="s">
        <v>353</v>
      </c>
      <c r="E40" s="404" t="s">
        <v>354</v>
      </c>
      <c r="F40" s="405"/>
      <c r="G40" s="405"/>
      <c r="H40" s="405"/>
      <c r="I40" s="405"/>
      <c r="J40" s="405"/>
      <c r="K40" s="405"/>
      <c r="L40" s="405"/>
      <c r="M40" s="405"/>
      <c r="N40" s="405">
        <v>2</v>
      </c>
      <c r="O40" s="405">
        <v>138</v>
      </c>
      <c r="P40" s="406"/>
      <c r="Q40" s="407">
        <v>69</v>
      </c>
    </row>
    <row r="41" spans="1:17" ht="14.4" customHeight="1" x14ac:dyDescent="0.3">
      <c r="A41" s="403" t="s">
        <v>416</v>
      </c>
      <c r="B41" s="404" t="s">
        <v>349</v>
      </c>
      <c r="C41" s="404" t="s">
        <v>350</v>
      </c>
      <c r="D41" s="404" t="s">
        <v>355</v>
      </c>
      <c r="E41" s="404" t="s">
        <v>356</v>
      </c>
      <c r="F41" s="405">
        <v>229</v>
      </c>
      <c r="G41" s="405">
        <v>72822</v>
      </c>
      <c r="H41" s="405">
        <v>1</v>
      </c>
      <c r="I41" s="405">
        <v>318</v>
      </c>
      <c r="J41" s="405">
        <v>141</v>
      </c>
      <c r="K41" s="405">
        <v>44979</v>
      </c>
      <c r="L41" s="405">
        <v>0.61765675208041526</v>
      </c>
      <c r="M41" s="405">
        <v>319</v>
      </c>
      <c r="N41" s="405">
        <v>218</v>
      </c>
      <c r="O41" s="405">
        <v>69542</v>
      </c>
      <c r="P41" s="406">
        <v>0.95495866633709592</v>
      </c>
      <c r="Q41" s="407">
        <v>319</v>
      </c>
    </row>
    <row r="42" spans="1:17" ht="14.4" customHeight="1" x14ac:dyDescent="0.3">
      <c r="A42" s="403" t="s">
        <v>416</v>
      </c>
      <c r="B42" s="404" t="s">
        <v>349</v>
      </c>
      <c r="C42" s="404" t="s">
        <v>350</v>
      </c>
      <c r="D42" s="404" t="s">
        <v>357</v>
      </c>
      <c r="E42" s="404" t="s">
        <v>358</v>
      </c>
      <c r="F42" s="405">
        <v>4</v>
      </c>
      <c r="G42" s="405">
        <v>1272</v>
      </c>
      <c r="H42" s="405">
        <v>1</v>
      </c>
      <c r="I42" s="405">
        <v>318</v>
      </c>
      <c r="J42" s="405">
        <v>10</v>
      </c>
      <c r="K42" s="405">
        <v>3190</v>
      </c>
      <c r="L42" s="405">
        <v>2.507861635220126</v>
      </c>
      <c r="M42" s="405">
        <v>319</v>
      </c>
      <c r="N42" s="405">
        <v>4</v>
      </c>
      <c r="O42" s="405">
        <v>1276</v>
      </c>
      <c r="P42" s="406">
        <v>1.0031446540880504</v>
      </c>
      <c r="Q42" s="407">
        <v>319</v>
      </c>
    </row>
    <row r="43" spans="1:17" ht="14.4" customHeight="1" x14ac:dyDescent="0.3">
      <c r="A43" s="403" t="s">
        <v>416</v>
      </c>
      <c r="B43" s="404" t="s">
        <v>349</v>
      </c>
      <c r="C43" s="404" t="s">
        <v>350</v>
      </c>
      <c r="D43" s="404" t="s">
        <v>359</v>
      </c>
      <c r="E43" s="404" t="s">
        <v>360</v>
      </c>
      <c r="F43" s="405">
        <v>6</v>
      </c>
      <c r="G43" s="405">
        <v>1908</v>
      </c>
      <c r="H43" s="405">
        <v>1</v>
      </c>
      <c r="I43" s="405">
        <v>318</v>
      </c>
      <c r="J43" s="405">
        <v>10</v>
      </c>
      <c r="K43" s="405">
        <v>3190</v>
      </c>
      <c r="L43" s="405">
        <v>1.6719077568134173</v>
      </c>
      <c r="M43" s="405">
        <v>319</v>
      </c>
      <c r="N43" s="405">
        <v>4</v>
      </c>
      <c r="O43" s="405">
        <v>1276</v>
      </c>
      <c r="P43" s="406">
        <v>0.66876310272536688</v>
      </c>
      <c r="Q43" s="407">
        <v>319</v>
      </c>
    </row>
    <row r="44" spans="1:17" ht="14.4" customHeight="1" x14ac:dyDescent="0.3">
      <c r="A44" s="403" t="s">
        <v>417</v>
      </c>
      <c r="B44" s="404" t="s">
        <v>349</v>
      </c>
      <c r="C44" s="404" t="s">
        <v>350</v>
      </c>
      <c r="D44" s="404" t="s">
        <v>355</v>
      </c>
      <c r="E44" s="404" t="s">
        <v>356</v>
      </c>
      <c r="F44" s="405"/>
      <c r="G44" s="405"/>
      <c r="H44" s="405"/>
      <c r="I44" s="405"/>
      <c r="J44" s="405"/>
      <c r="K44" s="405"/>
      <c r="L44" s="405"/>
      <c r="M44" s="405"/>
      <c r="N44" s="405">
        <v>16</v>
      </c>
      <c r="O44" s="405">
        <v>5104</v>
      </c>
      <c r="P44" s="406"/>
      <c r="Q44" s="407">
        <v>319</v>
      </c>
    </row>
    <row r="45" spans="1:17" ht="14.4" customHeight="1" x14ac:dyDescent="0.3">
      <c r="A45" s="403" t="s">
        <v>418</v>
      </c>
      <c r="B45" s="404" t="s">
        <v>349</v>
      </c>
      <c r="C45" s="404" t="s">
        <v>350</v>
      </c>
      <c r="D45" s="404" t="s">
        <v>355</v>
      </c>
      <c r="E45" s="404" t="s">
        <v>356</v>
      </c>
      <c r="F45" s="405">
        <v>198</v>
      </c>
      <c r="G45" s="405">
        <v>62964</v>
      </c>
      <c r="H45" s="405">
        <v>1</v>
      </c>
      <c r="I45" s="405">
        <v>318</v>
      </c>
      <c r="J45" s="405"/>
      <c r="K45" s="405"/>
      <c r="L45" s="405"/>
      <c r="M45" s="405"/>
      <c r="N45" s="405">
        <v>8</v>
      </c>
      <c r="O45" s="405">
        <v>2552</v>
      </c>
      <c r="P45" s="406">
        <v>4.0531097134870721E-2</v>
      </c>
      <c r="Q45" s="407">
        <v>319</v>
      </c>
    </row>
    <row r="46" spans="1:17" ht="14.4" customHeight="1" x14ac:dyDescent="0.3">
      <c r="A46" s="403" t="s">
        <v>418</v>
      </c>
      <c r="B46" s="404" t="s">
        <v>349</v>
      </c>
      <c r="C46" s="404" t="s">
        <v>350</v>
      </c>
      <c r="D46" s="404" t="s">
        <v>357</v>
      </c>
      <c r="E46" s="404" t="s">
        <v>358</v>
      </c>
      <c r="F46" s="405">
        <v>12</v>
      </c>
      <c r="G46" s="405">
        <v>3816</v>
      </c>
      <c r="H46" s="405">
        <v>1</v>
      </c>
      <c r="I46" s="405">
        <v>318</v>
      </c>
      <c r="J46" s="405"/>
      <c r="K46" s="405"/>
      <c r="L46" s="405"/>
      <c r="M46" s="405"/>
      <c r="N46" s="405"/>
      <c r="O46" s="405"/>
      <c r="P46" s="406"/>
      <c r="Q46" s="407"/>
    </row>
    <row r="47" spans="1:17" ht="14.4" customHeight="1" x14ac:dyDescent="0.3">
      <c r="A47" s="403" t="s">
        <v>418</v>
      </c>
      <c r="B47" s="404" t="s">
        <v>349</v>
      </c>
      <c r="C47" s="404" t="s">
        <v>350</v>
      </c>
      <c r="D47" s="404" t="s">
        <v>365</v>
      </c>
      <c r="E47" s="404" t="s">
        <v>366</v>
      </c>
      <c r="F47" s="405">
        <v>32</v>
      </c>
      <c r="G47" s="405">
        <v>16832</v>
      </c>
      <c r="H47" s="405">
        <v>1</v>
      </c>
      <c r="I47" s="405">
        <v>526</v>
      </c>
      <c r="J47" s="405"/>
      <c r="K47" s="405"/>
      <c r="L47" s="405"/>
      <c r="M47" s="405"/>
      <c r="N47" s="405">
        <v>8</v>
      </c>
      <c r="O47" s="405">
        <v>4304</v>
      </c>
      <c r="P47" s="406">
        <v>0.25570342205323193</v>
      </c>
      <c r="Q47" s="407">
        <v>538</v>
      </c>
    </row>
    <row r="48" spans="1:17" ht="14.4" customHeight="1" x14ac:dyDescent="0.3">
      <c r="A48" s="403" t="s">
        <v>419</v>
      </c>
      <c r="B48" s="404" t="s">
        <v>349</v>
      </c>
      <c r="C48" s="404" t="s">
        <v>350</v>
      </c>
      <c r="D48" s="404" t="s">
        <v>355</v>
      </c>
      <c r="E48" s="404" t="s">
        <v>356</v>
      </c>
      <c r="F48" s="405">
        <v>8</v>
      </c>
      <c r="G48" s="405">
        <v>2544</v>
      </c>
      <c r="H48" s="405">
        <v>1</v>
      </c>
      <c r="I48" s="405">
        <v>318</v>
      </c>
      <c r="J48" s="405">
        <v>8</v>
      </c>
      <c r="K48" s="405">
        <v>2552</v>
      </c>
      <c r="L48" s="405">
        <v>1.0031446540880504</v>
      </c>
      <c r="M48" s="405">
        <v>319</v>
      </c>
      <c r="N48" s="405">
        <v>8</v>
      </c>
      <c r="O48" s="405">
        <v>2552</v>
      </c>
      <c r="P48" s="406">
        <v>1.0031446540880504</v>
      </c>
      <c r="Q48" s="407">
        <v>319</v>
      </c>
    </row>
    <row r="49" spans="1:17" ht="14.4" customHeight="1" x14ac:dyDescent="0.3">
      <c r="A49" s="403" t="s">
        <v>419</v>
      </c>
      <c r="B49" s="404" t="s">
        <v>349</v>
      </c>
      <c r="C49" s="404" t="s">
        <v>350</v>
      </c>
      <c r="D49" s="404" t="s">
        <v>365</v>
      </c>
      <c r="E49" s="404" t="s">
        <v>366</v>
      </c>
      <c r="F49" s="405">
        <v>4</v>
      </c>
      <c r="G49" s="405">
        <v>2104</v>
      </c>
      <c r="H49" s="405">
        <v>1</v>
      </c>
      <c r="I49" s="405">
        <v>526</v>
      </c>
      <c r="J49" s="405">
        <v>4</v>
      </c>
      <c r="K49" s="405">
        <v>2152</v>
      </c>
      <c r="L49" s="405">
        <v>1.0228136882129277</v>
      </c>
      <c r="M49" s="405">
        <v>538</v>
      </c>
      <c r="N49" s="405">
        <v>1</v>
      </c>
      <c r="O49" s="405">
        <v>538</v>
      </c>
      <c r="P49" s="406">
        <v>0.25570342205323193</v>
      </c>
      <c r="Q49" s="407">
        <v>538</v>
      </c>
    </row>
    <row r="50" spans="1:17" ht="14.4" customHeight="1" x14ac:dyDescent="0.3">
      <c r="A50" s="403" t="s">
        <v>420</v>
      </c>
      <c r="B50" s="404" t="s">
        <v>349</v>
      </c>
      <c r="C50" s="404" t="s">
        <v>350</v>
      </c>
      <c r="D50" s="404" t="s">
        <v>355</v>
      </c>
      <c r="E50" s="404" t="s">
        <v>356</v>
      </c>
      <c r="F50" s="405">
        <v>53</v>
      </c>
      <c r="G50" s="405">
        <v>16854</v>
      </c>
      <c r="H50" s="405">
        <v>1</v>
      </c>
      <c r="I50" s="405">
        <v>318</v>
      </c>
      <c r="J50" s="405">
        <v>78</v>
      </c>
      <c r="K50" s="405">
        <v>24882</v>
      </c>
      <c r="L50" s="405">
        <v>1.4763260946956211</v>
      </c>
      <c r="M50" s="405">
        <v>319</v>
      </c>
      <c r="N50" s="405">
        <v>60</v>
      </c>
      <c r="O50" s="405">
        <v>19140</v>
      </c>
      <c r="P50" s="406">
        <v>1.1356354574581702</v>
      </c>
      <c r="Q50" s="407">
        <v>319</v>
      </c>
    </row>
    <row r="51" spans="1:17" ht="14.4" customHeight="1" x14ac:dyDescent="0.3">
      <c r="A51" s="403" t="s">
        <v>420</v>
      </c>
      <c r="B51" s="404" t="s">
        <v>349</v>
      </c>
      <c r="C51" s="404" t="s">
        <v>350</v>
      </c>
      <c r="D51" s="404" t="s">
        <v>365</v>
      </c>
      <c r="E51" s="404" t="s">
        <v>366</v>
      </c>
      <c r="F51" s="405"/>
      <c r="G51" s="405"/>
      <c r="H51" s="405"/>
      <c r="I51" s="405"/>
      <c r="J51" s="405">
        <v>3</v>
      </c>
      <c r="K51" s="405">
        <v>1614</v>
      </c>
      <c r="L51" s="405"/>
      <c r="M51" s="405">
        <v>538</v>
      </c>
      <c r="N51" s="405"/>
      <c r="O51" s="405"/>
      <c r="P51" s="406"/>
      <c r="Q51" s="407"/>
    </row>
    <row r="52" spans="1:17" ht="14.4" customHeight="1" x14ac:dyDescent="0.3">
      <c r="A52" s="403" t="s">
        <v>421</v>
      </c>
      <c r="B52" s="404" t="s">
        <v>349</v>
      </c>
      <c r="C52" s="404" t="s">
        <v>350</v>
      </c>
      <c r="D52" s="404" t="s">
        <v>355</v>
      </c>
      <c r="E52" s="404" t="s">
        <v>356</v>
      </c>
      <c r="F52" s="405">
        <v>343</v>
      </c>
      <c r="G52" s="405">
        <v>109074</v>
      </c>
      <c r="H52" s="405">
        <v>1</v>
      </c>
      <c r="I52" s="405">
        <v>318</v>
      </c>
      <c r="J52" s="405">
        <v>432</v>
      </c>
      <c r="K52" s="405">
        <v>137808</v>
      </c>
      <c r="L52" s="405">
        <v>1.2634358325540458</v>
      </c>
      <c r="M52" s="405">
        <v>319</v>
      </c>
      <c r="N52" s="405">
        <v>371</v>
      </c>
      <c r="O52" s="405">
        <v>118349</v>
      </c>
      <c r="P52" s="406">
        <v>1.0850340136054422</v>
      </c>
      <c r="Q52" s="407">
        <v>319</v>
      </c>
    </row>
    <row r="53" spans="1:17" ht="14.4" customHeight="1" x14ac:dyDescent="0.3">
      <c r="A53" s="403" t="s">
        <v>421</v>
      </c>
      <c r="B53" s="404" t="s">
        <v>349</v>
      </c>
      <c r="C53" s="404" t="s">
        <v>350</v>
      </c>
      <c r="D53" s="404" t="s">
        <v>359</v>
      </c>
      <c r="E53" s="404" t="s">
        <v>360</v>
      </c>
      <c r="F53" s="405"/>
      <c r="G53" s="405"/>
      <c r="H53" s="405"/>
      <c r="I53" s="405"/>
      <c r="J53" s="405"/>
      <c r="K53" s="405"/>
      <c r="L53" s="405"/>
      <c r="M53" s="405"/>
      <c r="N53" s="405">
        <v>1</v>
      </c>
      <c r="O53" s="405">
        <v>319</v>
      </c>
      <c r="P53" s="406"/>
      <c r="Q53" s="407">
        <v>319</v>
      </c>
    </row>
    <row r="54" spans="1:17" ht="14.4" customHeight="1" x14ac:dyDescent="0.3">
      <c r="A54" s="403" t="s">
        <v>422</v>
      </c>
      <c r="B54" s="404" t="s">
        <v>349</v>
      </c>
      <c r="C54" s="404" t="s">
        <v>350</v>
      </c>
      <c r="D54" s="404" t="s">
        <v>355</v>
      </c>
      <c r="E54" s="404" t="s">
        <v>356</v>
      </c>
      <c r="F54" s="405">
        <v>12</v>
      </c>
      <c r="G54" s="405">
        <v>3816</v>
      </c>
      <c r="H54" s="405">
        <v>1</v>
      </c>
      <c r="I54" s="405">
        <v>318</v>
      </c>
      <c r="J54" s="405">
        <v>16</v>
      </c>
      <c r="K54" s="405">
        <v>5104</v>
      </c>
      <c r="L54" s="405">
        <v>1.3375262054507338</v>
      </c>
      <c r="M54" s="405">
        <v>319</v>
      </c>
      <c r="N54" s="405">
        <v>14</v>
      </c>
      <c r="O54" s="405">
        <v>4466</v>
      </c>
      <c r="P54" s="406">
        <v>1.170335429769392</v>
      </c>
      <c r="Q54" s="407">
        <v>319</v>
      </c>
    </row>
    <row r="55" spans="1:17" ht="14.4" customHeight="1" x14ac:dyDescent="0.3">
      <c r="A55" s="403" t="s">
        <v>423</v>
      </c>
      <c r="B55" s="404" t="s">
        <v>349</v>
      </c>
      <c r="C55" s="404" t="s">
        <v>350</v>
      </c>
      <c r="D55" s="404" t="s">
        <v>355</v>
      </c>
      <c r="E55" s="404" t="s">
        <v>356</v>
      </c>
      <c r="F55" s="405">
        <v>16</v>
      </c>
      <c r="G55" s="405">
        <v>5088</v>
      </c>
      <c r="H55" s="405">
        <v>1</v>
      </c>
      <c r="I55" s="405">
        <v>318</v>
      </c>
      <c r="J55" s="405">
        <v>16</v>
      </c>
      <c r="K55" s="405">
        <v>5104</v>
      </c>
      <c r="L55" s="405">
        <v>1.0031446540880504</v>
      </c>
      <c r="M55" s="405">
        <v>319</v>
      </c>
      <c r="N55" s="405"/>
      <c r="O55" s="405"/>
      <c r="P55" s="406"/>
      <c r="Q55" s="407"/>
    </row>
    <row r="56" spans="1:17" ht="14.4" customHeight="1" thickBot="1" x14ac:dyDescent="0.35">
      <c r="A56" s="408" t="s">
        <v>423</v>
      </c>
      <c r="B56" s="409" t="s">
        <v>349</v>
      </c>
      <c r="C56" s="409" t="s">
        <v>350</v>
      </c>
      <c r="D56" s="409" t="s">
        <v>359</v>
      </c>
      <c r="E56" s="409" t="s">
        <v>360</v>
      </c>
      <c r="F56" s="410"/>
      <c r="G56" s="410"/>
      <c r="H56" s="410"/>
      <c r="I56" s="410"/>
      <c r="J56" s="410">
        <v>16</v>
      </c>
      <c r="K56" s="410">
        <v>5104</v>
      </c>
      <c r="L56" s="410"/>
      <c r="M56" s="410">
        <v>319</v>
      </c>
      <c r="N56" s="410">
        <v>22</v>
      </c>
      <c r="O56" s="410">
        <v>7018</v>
      </c>
      <c r="P56" s="411"/>
      <c r="Q56" s="412">
        <v>319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5" t="s">
        <v>94</v>
      </c>
      <c r="B1" s="265"/>
      <c r="C1" s="266"/>
      <c r="D1" s="266"/>
      <c r="E1" s="266"/>
    </row>
    <row r="2" spans="1:5" ht="14.4" customHeight="1" thickBot="1" x14ac:dyDescent="0.35">
      <c r="A2" s="195" t="s">
        <v>217</v>
      </c>
      <c r="B2" s="121"/>
    </row>
    <row r="3" spans="1:5" ht="14.4" customHeight="1" thickBot="1" x14ac:dyDescent="0.35">
      <c r="A3" s="124"/>
      <c r="C3" s="125" t="s">
        <v>84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1805.75</v>
      </c>
      <c r="D4" s="130">
        <f ca="1">IF(ISERROR(VLOOKUP("Náklady celkem",INDIRECT("HI!$A:$G"),5,0)),0,VLOOKUP("Náklady celkem",INDIRECT("HI!$A:$G"),5,0))</f>
        <v>1661.5872100000031</v>
      </c>
      <c r="E4" s="131">
        <f ca="1">IF(C4=0,0,D4/C4)</f>
        <v>0.92016459089021352</v>
      </c>
    </row>
    <row r="5" spans="1:5" ht="14.4" customHeight="1" x14ac:dyDescent="0.3">
      <c r="A5" s="132" t="s">
        <v>107</v>
      </c>
      <c r="B5" s="133"/>
      <c r="C5" s="134"/>
      <c r="D5" s="134"/>
      <c r="E5" s="135"/>
    </row>
    <row r="6" spans="1:5" ht="14.4" customHeight="1" x14ac:dyDescent="0.3">
      <c r="A6" s="136" t="s">
        <v>112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0.25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108</v>
      </c>
      <c r="B8" s="137"/>
      <c r="C8" s="138"/>
      <c r="D8" s="138"/>
      <c r="E8" s="135"/>
    </row>
    <row r="9" spans="1:5" ht="14.4" customHeight="1" x14ac:dyDescent="0.3">
      <c r="A9" s="141" t="s">
        <v>109</v>
      </c>
      <c r="B9" s="137"/>
      <c r="C9" s="138"/>
      <c r="D9" s="138"/>
      <c r="E9" s="135"/>
    </row>
    <row r="10" spans="1:5" ht="14.4" customHeight="1" x14ac:dyDescent="0.3">
      <c r="A10" s="142" t="s">
        <v>113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88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1743</v>
      </c>
      <c r="D12" s="134">
        <f ca="1">IF(ISERROR(VLOOKUP("Osobní náklady (Kč) *",INDIRECT("HI!$A:$G"),5,0)),0,VLOOKUP("Osobní náklady (Kč) *",INDIRECT("HI!$A:$G"),5,0))</f>
        <v>1598.004650000003</v>
      </c>
      <c r="E12" s="135">
        <f ca="1">IF(C12=0,0,D12/C12)</f>
        <v>0.91681276534710443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950.58199999999999</v>
      </c>
      <c r="D14" s="154">
        <f ca="1">IF(ISERROR(VLOOKUP("Výnosy celkem",INDIRECT("HI!$A:$G"),5,0)),0,VLOOKUP("Výnosy celkem",INDIRECT("HI!$A:$G"),5,0))</f>
        <v>1079.0899999999999</v>
      </c>
      <c r="E14" s="155">
        <f t="shared" ref="E14:E17" ca="1" si="1">IF(C14=0,0,D14/C14)</f>
        <v>1.1351887580450712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950.58199999999999</v>
      </c>
      <c r="D15" s="134">
        <f ca="1">IF(ISERROR(VLOOKUP("Ambulance *",INDIRECT("HI!$A:$G"),5,0)),0,VLOOKUP("Ambulance *",INDIRECT("HI!$A:$G"),5,0))</f>
        <v>1079.0899999999999</v>
      </c>
      <c r="E15" s="135">
        <f t="shared" ca="1" si="1"/>
        <v>1.1351887580450712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96</v>
      </c>
      <c r="C16" s="140">
        <v>1</v>
      </c>
      <c r="D16" s="140">
        <f>IF(ISERROR(VLOOKUP("Celkem:",'ZV Vykáz.-A'!$A:$S,7,0)),"",VLOOKUP("Celkem:",'ZV Vykáz.-A'!$A:$S,7,0))</f>
        <v>1.1351887580450712</v>
      </c>
      <c r="E16" s="135">
        <f t="shared" si="1"/>
        <v>1.1351887580450712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98</v>
      </c>
      <c r="C17" s="140">
        <v>0.85</v>
      </c>
      <c r="D17" s="140">
        <f>IF(ISERROR(VLOOKUP("Celkem:",'ZV Vykáz.-H'!$A:$S,7,0)),"",VLOOKUP("Celkem:",'ZV Vykáz.-H'!$A:$S,7,0))</f>
        <v>0.9014853456651527</v>
      </c>
      <c r="E17" s="135">
        <f t="shared" si="1"/>
        <v>1.0605709949001796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110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111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4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0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9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5" t="s">
        <v>102</v>
      </c>
      <c r="B1" s="265"/>
      <c r="C1" s="265"/>
      <c r="D1" s="265"/>
      <c r="E1" s="265"/>
      <c r="F1" s="265"/>
      <c r="G1" s="266"/>
      <c r="H1" s="266"/>
    </row>
    <row r="2" spans="1:8" ht="14.4" customHeight="1" thickBot="1" x14ac:dyDescent="0.35">
      <c r="A2" s="195" t="s">
        <v>217</v>
      </c>
      <c r="B2" s="83"/>
      <c r="C2" s="83"/>
      <c r="D2" s="83"/>
      <c r="E2" s="83"/>
      <c r="F2" s="83"/>
    </row>
    <row r="3" spans="1:8" ht="14.4" customHeight="1" x14ac:dyDescent="0.3">
      <c r="A3" s="267"/>
      <c r="B3" s="79">
        <v>2012</v>
      </c>
      <c r="C3" s="40">
        <v>2013</v>
      </c>
      <c r="D3" s="7"/>
      <c r="E3" s="271">
        <v>2014</v>
      </c>
      <c r="F3" s="272"/>
      <c r="G3" s="272"/>
      <c r="H3" s="273"/>
    </row>
    <row r="4" spans="1:8" ht="14.4" customHeight="1" thickBot="1" x14ac:dyDescent="0.35">
      <c r="A4" s="268"/>
      <c r="B4" s="269" t="s">
        <v>49</v>
      </c>
      <c r="C4" s="270"/>
      <c r="D4" s="7"/>
      <c r="E4" s="100" t="s">
        <v>49</v>
      </c>
      <c r="F4" s="81" t="s">
        <v>50</v>
      </c>
      <c r="G4" s="81" t="s">
        <v>45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0.56330000000000002</v>
      </c>
      <c r="D5" s="8"/>
      <c r="E5" s="89">
        <v>0</v>
      </c>
      <c r="F5" s="28">
        <v>0.25</v>
      </c>
      <c r="G5" s="88">
        <f>E5-F5</f>
        <v>-0.25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0.23154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1528.3044</v>
      </c>
      <c r="C7" s="31">
        <v>1548.0966699999999</v>
      </c>
      <c r="D7" s="8"/>
      <c r="E7" s="90">
        <v>1598.004650000003</v>
      </c>
      <c r="F7" s="30">
        <v>1743</v>
      </c>
      <c r="G7" s="91">
        <f>E7-F7</f>
        <v>-144.99534999999696</v>
      </c>
      <c r="H7" s="95">
        <f>IF(F7&lt;0.00000001,"",E7/F7)</f>
        <v>0.91681276534710443</v>
      </c>
    </row>
    <row r="8" spans="1:8" ht="14.4" customHeight="1" thickBot="1" x14ac:dyDescent="0.35">
      <c r="A8" s="1" t="s">
        <v>52</v>
      </c>
      <c r="B8" s="11">
        <v>104.59766999999988</v>
      </c>
      <c r="C8" s="33">
        <v>62.236470000000075</v>
      </c>
      <c r="D8" s="8"/>
      <c r="E8" s="92">
        <v>63.582560000000058</v>
      </c>
      <c r="F8" s="32">
        <v>62.5</v>
      </c>
      <c r="G8" s="93">
        <f>E8-F8</f>
        <v>1.0825600000000577</v>
      </c>
      <c r="H8" s="96">
        <f>IF(F8&lt;0.00000001,"",E8/F8)</f>
        <v>1.0173209600000008</v>
      </c>
    </row>
    <row r="9" spans="1:8" ht="14.4" customHeight="1" thickBot="1" x14ac:dyDescent="0.35">
      <c r="A9" s="2" t="s">
        <v>53</v>
      </c>
      <c r="B9" s="3">
        <v>1632.9020699999999</v>
      </c>
      <c r="C9" s="35">
        <v>1611.12798</v>
      </c>
      <c r="D9" s="8"/>
      <c r="E9" s="3">
        <v>1661.5872100000031</v>
      </c>
      <c r="F9" s="34">
        <v>1805.75</v>
      </c>
      <c r="G9" s="34">
        <f>E9-F9</f>
        <v>-144.1627899999969</v>
      </c>
      <c r="H9" s="97">
        <f>IF(F9&lt;0.00000001,"",E9/F9)</f>
        <v>0.92016459089021352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950.58199999999999</v>
      </c>
      <c r="C11" s="29">
        <f>IF(ISERROR(VLOOKUP("Celkem:",'ZV Vykáz.-A'!A:F,4,0)),0,VLOOKUP("Celkem:",'ZV Vykáz.-A'!A:F,4,0)/1000)</f>
        <v>973.60400000000004</v>
      </c>
      <c r="D11" s="8"/>
      <c r="E11" s="89">
        <f>IF(ISERROR(VLOOKUP("Celkem:",'ZV Vykáz.-A'!A:F,6,0)),0,VLOOKUP("Celkem:",'ZV Vykáz.-A'!A:F,6,0)/1000)</f>
        <v>1079.0899999999999</v>
      </c>
      <c r="F11" s="28">
        <f>B11</f>
        <v>950.58199999999999</v>
      </c>
      <c r="G11" s="88">
        <f>E11-F11</f>
        <v>128.50799999999992</v>
      </c>
      <c r="H11" s="94">
        <f>IF(F11&lt;0.00000001,"",E11/F11)</f>
        <v>1.1351887580450712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950.58199999999999</v>
      </c>
      <c r="C13" s="37">
        <f>SUM(C11:C12)</f>
        <v>973.60400000000004</v>
      </c>
      <c r="D13" s="8"/>
      <c r="E13" s="5">
        <f>SUM(E11:E12)</f>
        <v>1079.0899999999999</v>
      </c>
      <c r="F13" s="36">
        <f>SUM(F11:F12)</f>
        <v>950.58199999999999</v>
      </c>
      <c r="G13" s="36">
        <f>E13-F13</f>
        <v>128.50799999999992</v>
      </c>
      <c r="H13" s="98">
        <f>IF(F13&lt;0.00000001,"",E13/F13)</f>
        <v>1.1351887580450712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0.58214268783430478</v>
      </c>
      <c r="C15" s="39">
        <f>IF(C9=0,"",C13/C9)</f>
        <v>0.60429960380925174</v>
      </c>
      <c r="D15" s="8"/>
      <c r="E15" s="6">
        <f>IF(E9=0,"",E13/E9)</f>
        <v>0.64943326086386877</v>
      </c>
      <c r="F15" s="38">
        <f>IF(F9=0,"",F13/F9)</f>
        <v>0.52641949328533855</v>
      </c>
      <c r="G15" s="38">
        <f>IF(ISERROR(F15-E15),"",E15-F15)</f>
        <v>0.12301376757853022</v>
      </c>
      <c r="H15" s="99">
        <f>IF(ISERROR(F15-E15),"",IF(F15&lt;0.00000001,"",E15/F15))</f>
        <v>1.2336801147138605</v>
      </c>
    </row>
    <row r="17" spans="1:8" ht="14.4" customHeight="1" x14ac:dyDescent="0.3">
      <c r="A17" s="85" t="s">
        <v>114</v>
      </c>
    </row>
    <row r="18" spans="1:8" ht="14.4" customHeight="1" x14ac:dyDescent="0.3">
      <c r="A18" s="248" t="s">
        <v>174</v>
      </c>
      <c r="B18" s="249"/>
      <c r="C18" s="249"/>
      <c r="D18" s="249"/>
      <c r="E18" s="249"/>
      <c r="F18" s="249"/>
      <c r="G18" s="249"/>
      <c r="H18" s="249"/>
    </row>
    <row r="19" spans="1:8" x14ac:dyDescent="0.3">
      <c r="A19" s="247" t="s">
        <v>173</v>
      </c>
      <c r="B19" s="249"/>
      <c r="C19" s="249"/>
      <c r="D19" s="249"/>
      <c r="E19" s="249"/>
      <c r="F19" s="249"/>
      <c r="G19" s="249"/>
      <c r="H19" s="249"/>
    </row>
    <row r="20" spans="1:8" ht="14.4" customHeight="1" x14ac:dyDescent="0.3">
      <c r="A20" s="86" t="s">
        <v>115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117</v>
      </c>
    </row>
    <row r="23" spans="1:8" ht="14.4" customHeight="1" x14ac:dyDescent="0.3">
      <c r="A23" s="87" t="s">
        <v>118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5" t="s">
        <v>81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ht="14.4" customHeight="1" x14ac:dyDescent="0.3">
      <c r="A2" s="195" t="s">
        <v>217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58</v>
      </c>
      <c r="C3" s="170" t="s">
        <v>59</v>
      </c>
      <c r="D3" s="170" t="s">
        <v>60</v>
      </c>
      <c r="E3" s="169" t="s">
        <v>61</v>
      </c>
      <c r="F3" s="170" t="s">
        <v>62</v>
      </c>
      <c r="G3" s="170" t="s">
        <v>63</v>
      </c>
      <c r="H3" s="170" t="s">
        <v>64</v>
      </c>
      <c r="I3" s="170" t="s">
        <v>65</v>
      </c>
      <c r="J3" s="170" t="s">
        <v>66</v>
      </c>
      <c r="K3" s="170" t="s">
        <v>67</v>
      </c>
      <c r="L3" s="170" t="s">
        <v>68</v>
      </c>
      <c r="M3" s="170" t="s">
        <v>69</v>
      </c>
    </row>
    <row r="4" spans="1:13" ht="14.4" customHeight="1" x14ac:dyDescent="0.3">
      <c r="A4" s="168" t="s">
        <v>57</v>
      </c>
      <c r="B4" s="171">
        <f>(B10+B8)/B6</f>
        <v>0.6001961374563286</v>
      </c>
      <c r="C4" s="171">
        <f t="shared" ref="C4:M4" si="0">(C10+C8)/C6</f>
        <v>0.62930821251256364</v>
      </c>
      <c r="D4" s="171">
        <f t="shared" si="0"/>
        <v>0.64943326086386888</v>
      </c>
      <c r="E4" s="171">
        <f t="shared" si="0"/>
        <v>0.64943326086386888</v>
      </c>
      <c r="F4" s="171">
        <f t="shared" si="0"/>
        <v>0.64943326086386888</v>
      </c>
      <c r="G4" s="171">
        <f t="shared" si="0"/>
        <v>0.64943326086386888</v>
      </c>
      <c r="H4" s="171">
        <f t="shared" si="0"/>
        <v>0.64943326086386888</v>
      </c>
      <c r="I4" s="171">
        <f t="shared" si="0"/>
        <v>0.64943326086386888</v>
      </c>
      <c r="J4" s="171">
        <f t="shared" si="0"/>
        <v>0.64943326086386888</v>
      </c>
      <c r="K4" s="171">
        <f t="shared" si="0"/>
        <v>0.64943326086386888</v>
      </c>
      <c r="L4" s="171">
        <f t="shared" si="0"/>
        <v>0.64943326086386888</v>
      </c>
      <c r="M4" s="171">
        <f t="shared" si="0"/>
        <v>0.64943326086386888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587.58792000000301</v>
      </c>
      <c r="C5" s="171">
        <f>IF(ISERROR(VLOOKUP($A5,'Man Tab'!$A:$Q,COLUMN()+2,0)),0,VLOOKUP($A5,'Man Tab'!$A:$Q,COLUMN()+2,0))</f>
        <v>525.25469999999996</v>
      </c>
      <c r="D5" s="171">
        <f>IF(ISERROR(VLOOKUP($A5,'Man Tab'!$A:$Q,COLUMN()+2,0)),0,VLOOKUP($A5,'Man Tab'!$A:$Q,COLUMN()+2,0))</f>
        <v>548.74459000000002</v>
      </c>
      <c r="E5" s="171">
        <f>IF(ISERROR(VLOOKUP($A5,'Man Tab'!$A:$Q,COLUMN()+2,0)),0,VLOOKUP($A5,'Man Tab'!$A:$Q,COLUMN()+2,0))</f>
        <v>4.9406564584124654E-324</v>
      </c>
      <c r="F5" s="171">
        <f>IF(ISERROR(VLOOKUP($A5,'Man Tab'!$A:$Q,COLUMN()+2,0)),0,VLOOKUP($A5,'Man Tab'!$A:$Q,COLUMN()+2,0))</f>
        <v>4.9406564584124654E-324</v>
      </c>
      <c r="G5" s="171">
        <f>IF(ISERROR(VLOOKUP($A5,'Man Tab'!$A:$Q,COLUMN()+2,0)),0,VLOOKUP($A5,'Man Tab'!$A:$Q,COLUMN()+2,0))</f>
        <v>4.9406564584124654E-324</v>
      </c>
      <c r="H5" s="171">
        <f>IF(ISERROR(VLOOKUP($A5,'Man Tab'!$A:$Q,COLUMN()+2,0)),0,VLOOKUP($A5,'Man Tab'!$A:$Q,COLUMN()+2,0))</f>
        <v>4.9406564584124654E-324</v>
      </c>
      <c r="I5" s="171">
        <f>IF(ISERROR(VLOOKUP($A5,'Man Tab'!$A:$Q,COLUMN()+2,0)),0,VLOOKUP($A5,'Man Tab'!$A:$Q,COLUMN()+2,0))</f>
        <v>4.9406564584124654E-324</v>
      </c>
      <c r="J5" s="171">
        <f>IF(ISERROR(VLOOKUP($A5,'Man Tab'!$A:$Q,COLUMN()+2,0)),0,VLOOKUP($A5,'Man Tab'!$A:$Q,COLUMN()+2,0))</f>
        <v>4.9406564584124654E-324</v>
      </c>
      <c r="K5" s="171">
        <f>IF(ISERROR(VLOOKUP($A5,'Man Tab'!$A:$Q,COLUMN()+2,0)),0,VLOOKUP($A5,'Man Tab'!$A:$Q,COLUMN()+2,0))</f>
        <v>4.9406564584124654E-324</v>
      </c>
      <c r="L5" s="171">
        <f>IF(ISERROR(VLOOKUP($A5,'Man Tab'!$A:$Q,COLUMN()+2,0)),0,VLOOKUP($A5,'Man Tab'!$A:$Q,COLUMN()+2,0))</f>
        <v>4.9406564584124654E-324</v>
      </c>
      <c r="M5" s="171">
        <f>IF(ISERROR(VLOOKUP($A5,'Man Tab'!$A:$Q,COLUMN()+2,0)),0,VLOOKUP($A5,'Man Tab'!$A:$Q,COLUMN()+2,0))</f>
        <v>4.9406564584124654E-324</v>
      </c>
    </row>
    <row r="6" spans="1:13" ht="14.4" customHeight="1" x14ac:dyDescent="0.3">
      <c r="A6" s="172" t="s">
        <v>53</v>
      </c>
      <c r="B6" s="173">
        <f>B5</f>
        <v>587.58792000000301</v>
      </c>
      <c r="C6" s="173">
        <f t="shared" ref="C6:M6" si="1">C5+B6</f>
        <v>1112.8426200000031</v>
      </c>
      <c r="D6" s="173">
        <f t="shared" si="1"/>
        <v>1661.5872100000031</v>
      </c>
      <c r="E6" s="173">
        <f t="shared" si="1"/>
        <v>1661.5872100000031</v>
      </c>
      <c r="F6" s="173">
        <f t="shared" si="1"/>
        <v>1661.5872100000031</v>
      </c>
      <c r="G6" s="173">
        <f t="shared" si="1"/>
        <v>1661.5872100000031</v>
      </c>
      <c r="H6" s="173">
        <f t="shared" si="1"/>
        <v>1661.5872100000031</v>
      </c>
      <c r="I6" s="173">
        <f t="shared" si="1"/>
        <v>1661.5872100000031</v>
      </c>
      <c r="J6" s="173">
        <f t="shared" si="1"/>
        <v>1661.5872100000031</v>
      </c>
      <c r="K6" s="173">
        <f t="shared" si="1"/>
        <v>1661.5872100000031</v>
      </c>
      <c r="L6" s="173">
        <f t="shared" si="1"/>
        <v>1661.5872100000031</v>
      </c>
      <c r="M6" s="173">
        <f t="shared" si="1"/>
        <v>1661.5872100000031</v>
      </c>
    </row>
    <row r="7" spans="1:13" ht="14.4" customHeight="1" x14ac:dyDescent="0.3">
      <c r="A7" s="172" t="s">
        <v>79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54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80</v>
      </c>
      <c r="B9" s="172">
        <v>352668</v>
      </c>
      <c r="C9" s="172">
        <v>347653</v>
      </c>
      <c r="D9" s="172">
        <v>378769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55</v>
      </c>
      <c r="B10" s="173">
        <f>B9/1000</f>
        <v>352.66800000000001</v>
      </c>
      <c r="C10" s="173">
        <f t="shared" ref="C10:M10" si="3">C9/1000+B10</f>
        <v>700.32100000000003</v>
      </c>
      <c r="D10" s="173">
        <f t="shared" si="3"/>
        <v>1079.0900000000001</v>
      </c>
      <c r="E10" s="173">
        <f t="shared" si="3"/>
        <v>1079.0900000000001</v>
      </c>
      <c r="F10" s="173">
        <f t="shared" si="3"/>
        <v>1079.0900000000001</v>
      </c>
      <c r="G10" s="173">
        <f t="shared" si="3"/>
        <v>1079.0900000000001</v>
      </c>
      <c r="H10" s="173">
        <f t="shared" si="3"/>
        <v>1079.0900000000001</v>
      </c>
      <c r="I10" s="173">
        <f t="shared" si="3"/>
        <v>1079.0900000000001</v>
      </c>
      <c r="J10" s="173">
        <f t="shared" si="3"/>
        <v>1079.0900000000001</v>
      </c>
      <c r="K10" s="173">
        <f t="shared" si="3"/>
        <v>1079.0900000000001</v>
      </c>
      <c r="L10" s="173">
        <f t="shared" si="3"/>
        <v>1079.0900000000001</v>
      </c>
      <c r="M10" s="173">
        <f t="shared" si="3"/>
        <v>1079.0900000000001</v>
      </c>
    </row>
    <row r="11" spans="1:13" ht="14.4" customHeight="1" x14ac:dyDescent="0.3">
      <c r="A11" s="168"/>
      <c r="B11" s="168" t="s">
        <v>70</v>
      </c>
      <c r="C11" s="168">
        <f ca="1">IF(MONTH(TODAY())=1,12,MONTH(TODAY())-1)</f>
        <v>3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0.52641949328533855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0.52641949328533855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74" t="s">
        <v>219</v>
      </c>
      <c r="B1" s="274"/>
      <c r="C1" s="274"/>
      <c r="D1" s="274"/>
      <c r="E1" s="274"/>
      <c r="F1" s="274"/>
      <c r="G1" s="274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1:17" s="174" customFormat="1" ht="14.4" customHeight="1" thickBot="1" x14ac:dyDescent="0.3">
      <c r="A2" s="195" t="s">
        <v>217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75" t="s">
        <v>6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110"/>
      <c r="Q3" s="112"/>
    </row>
    <row r="4" spans="1:17" ht="14.4" customHeight="1" x14ac:dyDescent="0.3">
      <c r="A4" s="60"/>
      <c r="B4" s="20">
        <v>2014</v>
      </c>
      <c r="C4" s="111" t="s">
        <v>7</v>
      </c>
      <c r="D4" s="101" t="s">
        <v>119</v>
      </c>
      <c r="E4" s="101" t="s">
        <v>120</v>
      </c>
      <c r="F4" s="101" t="s">
        <v>121</v>
      </c>
      <c r="G4" s="101" t="s">
        <v>122</v>
      </c>
      <c r="H4" s="101" t="s">
        <v>123</v>
      </c>
      <c r="I4" s="101" t="s">
        <v>124</v>
      </c>
      <c r="J4" s="101" t="s">
        <v>125</v>
      </c>
      <c r="K4" s="101" t="s">
        <v>126</v>
      </c>
      <c r="L4" s="101" t="s">
        <v>127</v>
      </c>
      <c r="M4" s="101" t="s">
        <v>128</v>
      </c>
      <c r="N4" s="101" t="s">
        <v>129</v>
      </c>
      <c r="O4" s="101" t="s">
        <v>130</v>
      </c>
      <c r="P4" s="277" t="s">
        <v>3</v>
      </c>
      <c r="Q4" s="278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1.4821969375237396E-323</v>
      </c>
      <c r="Q6" s="69" t="s">
        <v>218</v>
      </c>
    </row>
    <row r="7" spans="1:17" ht="14.4" customHeight="1" x14ac:dyDescent="0.3">
      <c r="A7" s="15" t="s">
        <v>12</v>
      </c>
      <c r="B7" s="46">
        <v>0.56372669448699997</v>
      </c>
      <c r="C7" s="47">
        <v>4.6977224540000001E-2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1.4821969375237396E-323</v>
      </c>
      <c r="Q7" s="70">
        <v>1.0375378562666177E-322</v>
      </c>
    </row>
    <row r="8" spans="1:17" ht="14.4" customHeight="1" x14ac:dyDescent="0.3">
      <c r="A8" s="15" t="s">
        <v>13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1.4821969375237396E-323</v>
      </c>
      <c r="Q8" s="70" t="s">
        <v>218</v>
      </c>
    </row>
    <row r="9" spans="1:17" ht="14.4" customHeight="1" x14ac:dyDescent="0.3">
      <c r="A9" s="15" t="s">
        <v>14</v>
      </c>
      <c r="B9" s="46">
        <v>0.23196071397199999</v>
      </c>
      <c r="C9" s="47">
        <v>1.9330059497E-2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1.4821969375237396E-323</v>
      </c>
      <c r="Q9" s="70">
        <v>2.569141358374482E-322</v>
      </c>
    </row>
    <row r="10" spans="1:17" ht="14.4" customHeight="1" x14ac:dyDescent="0.3">
      <c r="A10" s="15" t="s">
        <v>15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1.4821969375237396E-323</v>
      </c>
      <c r="Q10" s="70" t="s">
        <v>218</v>
      </c>
    </row>
    <row r="11" spans="1:17" ht="14.4" customHeight="1" x14ac:dyDescent="0.3">
      <c r="A11" s="15" t="s">
        <v>16</v>
      </c>
      <c r="B11" s="46">
        <v>55.702476088228998</v>
      </c>
      <c r="C11" s="47">
        <v>4.6418730073520003</v>
      </c>
      <c r="D11" s="47">
        <v>4.9406564584124654E-324</v>
      </c>
      <c r="E11" s="47">
        <v>0.67972999999999995</v>
      </c>
      <c r="F11" s="47">
        <v>0.51022999999999996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1.1899599999999999</v>
      </c>
      <c r="Q11" s="70">
        <v>8.5451138516999994E-2</v>
      </c>
    </row>
    <row r="12" spans="1:17" ht="14.4" customHeight="1" x14ac:dyDescent="0.3">
      <c r="A12" s="15" t="s">
        <v>17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1.4821969375237396E-323</v>
      </c>
      <c r="Q12" s="70">
        <v>5.9287877500949585E-323</v>
      </c>
    </row>
    <row r="13" spans="1:17" ht="14.4" customHeight="1" x14ac:dyDescent="0.3">
      <c r="A13" s="15" t="s">
        <v>18</v>
      </c>
      <c r="B13" s="46">
        <v>1.08824989601</v>
      </c>
      <c r="C13" s="47">
        <v>9.0687491334000003E-2</v>
      </c>
      <c r="D13" s="47">
        <v>4.9406564584124654E-324</v>
      </c>
      <c r="E13" s="47">
        <v>4.9406564584124654E-324</v>
      </c>
      <c r="F13" s="47">
        <v>0.15124000000000001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0.15124000000000001</v>
      </c>
      <c r="Q13" s="70">
        <v>0.55590173012400002</v>
      </c>
    </row>
    <row r="14" spans="1:17" ht="14.4" customHeight="1" x14ac:dyDescent="0.3">
      <c r="A14" s="15" t="s">
        <v>19</v>
      </c>
      <c r="B14" s="46">
        <v>90.094900233475997</v>
      </c>
      <c r="C14" s="47">
        <v>7.5079083527890003</v>
      </c>
      <c r="D14" s="47">
        <v>10.763</v>
      </c>
      <c r="E14" s="47">
        <v>8.9239999999999995</v>
      </c>
      <c r="F14" s="47">
        <v>7.8120000000000003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27.498999999999999</v>
      </c>
      <c r="Q14" s="70">
        <v>1.2208904134959999</v>
      </c>
    </row>
    <row r="15" spans="1:17" ht="14.4" customHeight="1" x14ac:dyDescent="0.3">
      <c r="A15" s="15" t="s">
        <v>20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1.4821969375237396E-323</v>
      </c>
      <c r="Q15" s="70" t="s">
        <v>218</v>
      </c>
    </row>
    <row r="16" spans="1:17" ht="14.4" customHeight="1" x14ac:dyDescent="0.3">
      <c r="A16" s="15" t="s">
        <v>21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1.4821969375237396E-323</v>
      </c>
      <c r="Q16" s="70" t="s">
        <v>218</v>
      </c>
    </row>
    <row r="17" spans="1:17" ht="14.4" customHeight="1" x14ac:dyDescent="0.3">
      <c r="A17" s="15" t="s">
        <v>22</v>
      </c>
      <c r="B17" s="46">
        <v>5.4329011407929997</v>
      </c>
      <c r="C17" s="47">
        <v>0.45274176173199998</v>
      </c>
      <c r="D17" s="47">
        <v>4.9406564584124654E-324</v>
      </c>
      <c r="E17" s="47">
        <v>0.23744999999999999</v>
      </c>
      <c r="F17" s="47">
        <v>12.093400000000001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12.33085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0.48399999999999999</v>
      </c>
      <c r="E18" s="47">
        <v>4.9406564584124654E-324</v>
      </c>
      <c r="F18" s="47">
        <v>0.34699999999999998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0.83099999999999996</v>
      </c>
      <c r="Q18" s="70" t="s">
        <v>218</v>
      </c>
    </row>
    <row r="19" spans="1:17" ht="14.4" customHeight="1" x14ac:dyDescent="0.3">
      <c r="A19" s="15" t="s">
        <v>24</v>
      </c>
      <c r="B19" s="46">
        <v>56.987834024073003</v>
      </c>
      <c r="C19" s="47">
        <v>4.7489861686720003</v>
      </c>
      <c r="D19" s="47">
        <v>5.53308</v>
      </c>
      <c r="E19" s="47">
        <v>0.59694999999999998</v>
      </c>
      <c r="F19" s="47">
        <v>4.5924800000000001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10.72251</v>
      </c>
      <c r="Q19" s="70">
        <v>0.75261747940500001</v>
      </c>
    </row>
    <row r="20" spans="1:17" ht="14.4" customHeight="1" x14ac:dyDescent="0.3">
      <c r="A20" s="15" t="s">
        <v>25</v>
      </c>
      <c r="B20" s="46">
        <v>6972.0345109704904</v>
      </c>
      <c r="C20" s="47">
        <v>581.00287591420795</v>
      </c>
      <c r="D20" s="47">
        <v>567.49384000000305</v>
      </c>
      <c r="E20" s="47">
        <v>511.49457000000001</v>
      </c>
      <c r="F20" s="47">
        <v>519.01624000000004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1598.0046500000001</v>
      </c>
      <c r="Q20" s="70">
        <v>0.91680822720199995</v>
      </c>
    </row>
    <row r="21" spans="1:17" ht="14.4" customHeight="1" x14ac:dyDescent="0.3">
      <c r="A21" s="16" t="s">
        <v>26</v>
      </c>
      <c r="B21" s="46">
        <v>39.999111066650002</v>
      </c>
      <c r="C21" s="47">
        <v>3.3332592555540002</v>
      </c>
      <c r="D21" s="47">
        <v>3.3140000000000001</v>
      </c>
      <c r="E21" s="47">
        <v>3.3220000000000001</v>
      </c>
      <c r="F21" s="47">
        <v>3.3220000000000001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9.9580000000000002</v>
      </c>
      <c r="Q21" s="70">
        <v>0.99582213048699997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1.4821969375237396E-323</v>
      </c>
      <c r="Q22" s="70" t="s">
        <v>218</v>
      </c>
    </row>
    <row r="23" spans="1:17" ht="14.4" customHeight="1" x14ac:dyDescent="0.3">
      <c r="A23" s="16" t="s">
        <v>28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5.9287877500949585E-323</v>
      </c>
      <c r="Q23" s="70" t="s">
        <v>218</v>
      </c>
    </row>
    <row r="24" spans="1:17" ht="14.4" customHeight="1" x14ac:dyDescent="0.3">
      <c r="A24" s="16" t="s">
        <v>29</v>
      </c>
      <c r="B24" s="46">
        <v>-9.0949470177292804E-13</v>
      </c>
      <c r="C24" s="47">
        <v>0</v>
      </c>
      <c r="D24" s="47">
        <v>0</v>
      </c>
      <c r="E24" s="47">
        <v>0</v>
      </c>
      <c r="F24" s="47">
        <v>0.89999999999900004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0.89999999999900004</v>
      </c>
      <c r="Q24" s="70"/>
    </row>
    <row r="25" spans="1:17" ht="14.4" customHeight="1" x14ac:dyDescent="0.3">
      <c r="A25" s="17" t="s">
        <v>30</v>
      </c>
      <c r="B25" s="49">
        <v>7223.1358573261996</v>
      </c>
      <c r="C25" s="50">
        <v>601.92798811051705</v>
      </c>
      <c r="D25" s="50">
        <v>587.58792000000301</v>
      </c>
      <c r="E25" s="50">
        <v>525.25469999999996</v>
      </c>
      <c r="F25" s="50">
        <v>548.74459000000002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1661.5872099999999</v>
      </c>
      <c r="Q25" s="71">
        <v>0.92014728385</v>
      </c>
    </row>
    <row r="26" spans="1:17" ht="14.4" customHeight="1" x14ac:dyDescent="0.3">
      <c r="A26" s="15" t="s">
        <v>31</v>
      </c>
      <c r="B26" s="46">
        <v>1142.00028352708</v>
      </c>
      <c r="C26" s="47">
        <v>95.166690293922997</v>
      </c>
      <c r="D26" s="47">
        <v>88.665450000000007</v>
      </c>
      <c r="E26" s="47">
        <v>75.822580000000002</v>
      </c>
      <c r="F26" s="47">
        <v>82.433869999999999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246.92189999999999</v>
      </c>
      <c r="Q26" s="70">
        <v>0.86487509175499999</v>
      </c>
    </row>
    <row r="27" spans="1:17" ht="14.4" customHeight="1" x14ac:dyDescent="0.3">
      <c r="A27" s="18" t="s">
        <v>32</v>
      </c>
      <c r="B27" s="49">
        <v>8365.1361408532794</v>
      </c>
      <c r="C27" s="50">
        <v>697.09467840443995</v>
      </c>
      <c r="D27" s="50">
        <v>676.25337000000297</v>
      </c>
      <c r="E27" s="50">
        <v>601.07727999999997</v>
      </c>
      <c r="F27" s="50">
        <v>631.17845999999997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1908.50911</v>
      </c>
      <c r="Q27" s="71">
        <v>0.91260157772100003</v>
      </c>
    </row>
    <row r="28" spans="1:17" ht="14.4" customHeight="1" x14ac:dyDescent="0.3">
      <c r="A28" s="16" t="s">
        <v>33</v>
      </c>
      <c r="B28" s="46">
        <v>16.646246152012001</v>
      </c>
      <c r="C28" s="47">
        <v>1.387187179334</v>
      </c>
      <c r="D28" s="47">
        <v>1.2351641146031164E-322</v>
      </c>
      <c r="E28" s="47">
        <v>1.2351641146031164E-322</v>
      </c>
      <c r="F28" s="47">
        <v>3.1789800000000001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3.1789800000000001</v>
      </c>
      <c r="Q28" s="70">
        <v>0.76389114301600003</v>
      </c>
    </row>
    <row r="29" spans="1:17" ht="14.4" customHeight="1" x14ac:dyDescent="0.3">
      <c r="A29" s="16" t="s">
        <v>34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2.9643938750474793E-323</v>
      </c>
      <c r="Q29" s="70" t="s">
        <v>218</v>
      </c>
    </row>
    <row r="30" spans="1:17" ht="14.4" customHeight="1" x14ac:dyDescent="0.3">
      <c r="A30" s="16" t="s">
        <v>35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1.4821969375237396E-322</v>
      </c>
      <c r="Q30" s="70">
        <v>0</v>
      </c>
    </row>
    <row r="31" spans="1:17" ht="14.4" customHeight="1" thickBot="1" x14ac:dyDescent="0.35">
      <c r="A31" s="19" t="s">
        <v>36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7.4109846876186982E-323</v>
      </c>
      <c r="Q31" s="72" t="s">
        <v>218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114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139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4" t="s">
        <v>38</v>
      </c>
      <c r="B1" s="274"/>
      <c r="C1" s="274"/>
      <c r="D1" s="274"/>
      <c r="E1" s="274"/>
      <c r="F1" s="274"/>
      <c r="G1" s="274"/>
      <c r="H1" s="279"/>
      <c r="I1" s="279"/>
      <c r="J1" s="279"/>
      <c r="K1" s="279"/>
    </row>
    <row r="2" spans="1:11" s="55" customFormat="1" ht="14.4" customHeight="1" thickBot="1" x14ac:dyDescent="0.35">
      <c r="A2" s="195" t="s">
        <v>217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5" t="s">
        <v>39</v>
      </c>
      <c r="C3" s="276"/>
      <c r="D3" s="276"/>
      <c r="E3" s="276"/>
      <c r="F3" s="282" t="s">
        <v>40</v>
      </c>
      <c r="G3" s="276"/>
      <c r="H3" s="276"/>
      <c r="I3" s="276"/>
      <c r="J3" s="276"/>
      <c r="K3" s="283"/>
    </row>
    <row r="4" spans="1:11" ht="14.4" customHeight="1" x14ac:dyDescent="0.3">
      <c r="A4" s="60"/>
      <c r="B4" s="280"/>
      <c r="C4" s="281"/>
      <c r="D4" s="281"/>
      <c r="E4" s="281"/>
      <c r="F4" s="284" t="s">
        <v>135</v>
      </c>
      <c r="G4" s="286" t="s">
        <v>41</v>
      </c>
      <c r="H4" s="113" t="s">
        <v>106</v>
      </c>
      <c r="I4" s="284" t="s">
        <v>42</v>
      </c>
      <c r="J4" s="286" t="s">
        <v>137</v>
      </c>
      <c r="K4" s="287" t="s">
        <v>138</v>
      </c>
    </row>
    <row r="5" spans="1:11" ht="42" thickBot="1" x14ac:dyDescent="0.35">
      <c r="A5" s="61"/>
      <c r="B5" s="24" t="s">
        <v>131</v>
      </c>
      <c r="C5" s="25" t="s">
        <v>132</v>
      </c>
      <c r="D5" s="26" t="s">
        <v>133</v>
      </c>
      <c r="E5" s="26" t="s">
        <v>134</v>
      </c>
      <c r="F5" s="285"/>
      <c r="G5" s="285"/>
      <c r="H5" s="25" t="s">
        <v>136</v>
      </c>
      <c r="I5" s="285"/>
      <c r="J5" s="285"/>
      <c r="K5" s="288"/>
    </row>
    <row r="6" spans="1:11" ht="14.4" customHeight="1" thickBot="1" x14ac:dyDescent="0.35">
      <c r="A6" s="334" t="s">
        <v>220</v>
      </c>
      <c r="B6" s="316">
        <v>6261.43897484641</v>
      </c>
      <c r="C6" s="316">
        <v>6879.8286099999996</v>
      </c>
      <c r="D6" s="317">
        <v>618.38963515359796</v>
      </c>
      <c r="E6" s="318">
        <v>1.098761584619</v>
      </c>
      <c r="F6" s="316">
        <v>7223.1358573261996</v>
      </c>
      <c r="G6" s="317">
        <v>1805.7839643315499</v>
      </c>
      <c r="H6" s="319">
        <v>548.74459000000002</v>
      </c>
      <c r="I6" s="316">
        <v>1661.5872099999999</v>
      </c>
      <c r="J6" s="317">
        <v>-144.196754331547</v>
      </c>
      <c r="K6" s="320">
        <v>0.23003682096200001</v>
      </c>
    </row>
    <row r="7" spans="1:11" ht="14.4" customHeight="1" thickBot="1" x14ac:dyDescent="0.35">
      <c r="A7" s="335" t="s">
        <v>221</v>
      </c>
      <c r="B7" s="316">
        <v>148.58384190071101</v>
      </c>
      <c r="C7" s="316">
        <v>142.01738</v>
      </c>
      <c r="D7" s="317">
        <v>-6.5664619007100002</v>
      </c>
      <c r="E7" s="318">
        <v>0.95580635271799996</v>
      </c>
      <c r="F7" s="316">
        <v>148.68150012419201</v>
      </c>
      <c r="G7" s="317">
        <v>37.170375031048003</v>
      </c>
      <c r="H7" s="319">
        <v>8.4734700000000007</v>
      </c>
      <c r="I7" s="316">
        <v>28.840199999999999</v>
      </c>
      <c r="J7" s="317">
        <v>-8.3301750310470002</v>
      </c>
      <c r="K7" s="320">
        <v>0.19397302270899999</v>
      </c>
    </row>
    <row r="8" spans="1:11" ht="14.4" customHeight="1" thickBot="1" x14ac:dyDescent="0.35">
      <c r="A8" s="336" t="s">
        <v>222</v>
      </c>
      <c r="B8" s="316">
        <v>56.458315378370003</v>
      </c>
      <c r="C8" s="316">
        <v>52.883380000000002</v>
      </c>
      <c r="D8" s="317">
        <v>-3.5749353783700002</v>
      </c>
      <c r="E8" s="318">
        <v>0.93668009124200002</v>
      </c>
      <c r="F8" s="316">
        <v>58.586599890715</v>
      </c>
      <c r="G8" s="317">
        <v>14.646649972678</v>
      </c>
      <c r="H8" s="319">
        <v>0.66147</v>
      </c>
      <c r="I8" s="316">
        <v>1.3411999999999999</v>
      </c>
      <c r="J8" s="317">
        <v>-13.305449972678</v>
      </c>
      <c r="K8" s="320">
        <v>2.2892606884000001E-2</v>
      </c>
    </row>
    <row r="9" spans="1:11" ht="14.4" customHeight="1" thickBot="1" x14ac:dyDescent="0.35">
      <c r="A9" s="337" t="s">
        <v>223</v>
      </c>
      <c r="B9" s="321">
        <v>4.9406564584124654E-324</v>
      </c>
      <c r="C9" s="321">
        <v>0.56330000000000002</v>
      </c>
      <c r="D9" s="322">
        <v>0.56330000000000002</v>
      </c>
      <c r="E9" s="323" t="s">
        <v>224</v>
      </c>
      <c r="F9" s="321">
        <v>0.56372669448699997</v>
      </c>
      <c r="G9" s="322">
        <v>0.14093167362100001</v>
      </c>
      <c r="H9" s="324">
        <v>4.9406564584124654E-324</v>
      </c>
      <c r="I9" s="321">
        <v>1.4821969375237396E-323</v>
      </c>
      <c r="J9" s="322">
        <v>-0.14093167362100001</v>
      </c>
      <c r="K9" s="325">
        <v>2.4703282292062327E-323</v>
      </c>
    </row>
    <row r="10" spans="1:11" ht="14.4" customHeight="1" thickBot="1" x14ac:dyDescent="0.35">
      <c r="A10" s="338" t="s">
        <v>225</v>
      </c>
      <c r="B10" s="316">
        <v>4.9406564584124654E-324</v>
      </c>
      <c r="C10" s="316">
        <v>0.56330000000000002</v>
      </c>
      <c r="D10" s="317">
        <v>0.56330000000000002</v>
      </c>
      <c r="E10" s="326" t="s">
        <v>224</v>
      </c>
      <c r="F10" s="316">
        <v>0.56372669448699997</v>
      </c>
      <c r="G10" s="317">
        <v>0.14093167362100001</v>
      </c>
      <c r="H10" s="319">
        <v>4.9406564584124654E-324</v>
      </c>
      <c r="I10" s="316">
        <v>1.4821969375237396E-323</v>
      </c>
      <c r="J10" s="317">
        <v>-0.14093167362100001</v>
      </c>
      <c r="K10" s="320">
        <v>2.4703282292062327E-323</v>
      </c>
    </row>
    <row r="11" spans="1:11" ht="14.4" customHeight="1" thickBot="1" x14ac:dyDescent="0.35">
      <c r="A11" s="337" t="s">
        <v>226</v>
      </c>
      <c r="B11" s="321">
        <v>0</v>
      </c>
      <c r="C11" s="321">
        <v>0.23154</v>
      </c>
      <c r="D11" s="322">
        <v>0.23154</v>
      </c>
      <c r="E11" s="323" t="s">
        <v>218</v>
      </c>
      <c r="F11" s="321">
        <v>0.23196071397199999</v>
      </c>
      <c r="G11" s="322">
        <v>5.7990178492999998E-2</v>
      </c>
      <c r="H11" s="324">
        <v>4.9406564584124654E-324</v>
      </c>
      <c r="I11" s="321">
        <v>1.4821969375237396E-323</v>
      </c>
      <c r="J11" s="322">
        <v>-5.7990178492999998E-2</v>
      </c>
      <c r="K11" s="325">
        <v>6.4228533959362051E-323</v>
      </c>
    </row>
    <row r="12" spans="1:11" ht="14.4" customHeight="1" thickBot="1" x14ac:dyDescent="0.35">
      <c r="A12" s="338" t="s">
        <v>227</v>
      </c>
      <c r="B12" s="316">
        <v>4.9406564584124654E-324</v>
      </c>
      <c r="C12" s="316">
        <v>0.18515999999999999</v>
      </c>
      <c r="D12" s="317">
        <v>0.18515999999999999</v>
      </c>
      <c r="E12" s="326" t="s">
        <v>224</v>
      </c>
      <c r="F12" s="316">
        <v>0.18558106336800001</v>
      </c>
      <c r="G12" s="317">
        <v>4.6395265842000002E-2</v>
      </c>
      <c r="H12" s="319">
        <v>4.9406564584124654E-324</v>
      </c>
      <c r="I12" s="316">
        <v>1.4821969375237396E-323</v>
      </c>
      <c r="J12" s="317">
        <v>-4.6395265842000002E-2</v>
      </c>
      <c r="K12" s="320">
        <v>7.9050503334599447E-323</v>
      </c>
    </row>
    <row r="13" spans="1:11" ht="14.4" customHeight="1" thickBot="1" x14ac:dyDescent="0.35">
      <c r="A13" s="338" t="s">
        <v>228</v>
      </c>
      <c r="B13" s="316">
        <v>4.9406564584124654E-324</v>
      </c>
      <c r="C13" s="316">
        <v>4.6379999999999998E-2</v>
      </c>
      <c r="D13" s="317">
        <v>4.6379999999999998E-2</v>
      </c>
      <c r="E13" s="326" t="s">
        <v>224</v>
      </c>
      <c r="F13" s="316">
        <v>4.6379650602999999E-2</v>
      </c>
      <c r="G13" s="317">
        <v>1.1594912650000001E-2</v>
      </c>
      <c r="H13" s="319">
        <v>4.9406564584124654E-324</v>
      </c>
      <c r="I13" s="316">
        <v>1.4821969375237396E-323</v>
      </c>
      <c r="J13" s="317">
        <v>-1.1594912650000001E-2</v>
      </c>
      <c r="K13" s="320">
        <v>3.2114266979681025E-322</v>
      </c>
    </row>
    <row r="14" spans="1:11" ht="14.4" customHeight="1" thickBot="1" x14ac:dyDescent="0.35">
      <c r="A14" s="337" t="s">
        <v>229</v>
      </c>
      <c r="B14" s="321">
        <v>55.016524255577004</v>
      </c>
      <c r="C14" s="321">
        <v>50.583660000000002</v>
      </c>
      <c r="D14" s="322">
        <v>-4.4328642555759998</v>
      </c>
      <c r="E14" s="327">
        <v>0.919426675611</v>
      </c>
      <c r="F14" s="321">
        <v>55.702476088228998</v>
      </c>
      <c r="G14" s="322">
        <v>13.925619022057001</v>
      </c>
      <c r="H14" s="324">
        <v>0.51022999999999996</v>
      </c>
      <c r="I14" s="321">
        <v>1.1899599999999999</v>
      </c>
      <c r="J14" s="322">
        <v>-12.735659022057</v>
      </c>
      <c r="K14" s="325">
        <v>2.1362784629000001E-2</v>
      </c>
    </row>
    <row r="15" spans="1:11" ht="14.4" customHeight="1" thickBot="1" x14ac:dyDescent="0.35">
      <c r="A15" s="338" t="s">
        <v>230</v>
      </c>
      <c r="B15" s="316">
        <v>2.3196337005559999</v>
      </c>
      <c r="C15" s="316">
        <v>1.2849999999999999</v>
      </c>
      <c r="D15" s="317">
        <v>-1.034633700556</v>
      </c>
      <c r="E15" s="318">
        <v>0.55396677487900003</v>
      </c>
      <c r="F15" s="316">
        <v>1.4830251625590001</v>
      </c>
      <c r="G15" s="317">
        <v>0.37075629063900001</v>
      </c>
      <c r="H15" s="319">
        <v>4.9406564584124654E-324</v>
      </c>
      <c r="I15" s="316">
        <v>1.4821969375237396E-323</v>
      </c>
      <c r="J15" s="317">
        <v>-0.37075629063900001</v>
      </c>
      <c r="K15" s="320">
        <v>9.8813129168249309E-324</v>
      </c>
    </row>
    <row r="16" spans="1:11" ht="14.4" customHeight="1" thickBot="1" x14ac:dyDescent="0.35">
      <c r="A16" s="338" t="s">
        <v>231</v>
      </c>
      <c r="B16" s="316">
        <v>0.27081734102799998</v>
      </c>
      <c r="C16" s="316">
        <v>0.24240999999999999</v>
      </c>
      <c r="D16" s="317">
        <v>-2.8407341028000001E-2</v>
      </c>
      <c r="E16" s="318">
        <v>0.89510516231699999</v>
      </c>
      <c r="F16" s="316">
        <v>0.24399972333299999</v>
      </c>
      <c r="G16" s="317">
        <v>6.0999930833000003E-2</v>
      </c>
      <c r="H16" s="319">
        <v>4.9406564584124654E-324</v>
      </c>
      <c r="I16" s="316">
        <v>1.4821969375237396E-323</v>
      </c>
      <c r="J16" s="317">
        <v>-6.0999930833000003E-2</v>
      </c>
      <c r="K16" s="320">
        <v>5.9287877500949585E-323</v>
      </c>
    </row>
    <row r="17" spans="1:11" ht="14.4" customHeight="1" thickBot="1" x14ac:dyDescent="0.35">
      <c r="A17" s="338" t="s">
        <v>232</v>
      </c>
      <c r="B17" s="316">
        <v>45.537908232696999</v>
      </c>
      <c r="C17" s="316">
        <v>42.546759999999999</v>
      </c>
      <c r="D17" s="317">
        <v>-2.9911482326969998</v>
      </c>
      <c r="E17" s="318">
        <v>0.93431520355700004</v>
      </c>
      <c r="F17" s="316">
        <v>46.69464316482</v>
      </c>
      <c r="G17" s="317">
        <v>11.673660791205</v>
      </c>
      <c r="H17" s="319">
        <v>4.9406564584124654E-324</v>
      </c>
      <c r="I17" s="316">
        <v>0.47</v>
      </c>
      <c r="J17" s="317">
        <v>-11.203660791204999</v>
      </c>
      <c r="K17" s="320">
        <v>1.0065394403E-2</v>
      </c>
    </row>
    <row r="18" spans="1:11" ht="14.4" customHeight="1" thickBot="1" x14ac:dyDescent="0.35">
      <c r="A18" s="338" t="s">
        <v>233</v>
      </c>
      <c r="B18" s="316">
        <v>0.109155691429</v>
      </c>
      <c r="C18" s="316">
        <v>0.20003000000000001</v>
      </c>
      <c r="D18" s="317">
        <v>9.0874308570000006E-2</v>
      </c>
      <c r="E18" s="318">
        <v>1.8325201130569999</v>
      </c>
      <c r="F18" s="316">
        <v>0.99991897388999995</v>
      </c>
      <c r="G18" s="317">
        <v>0.249979743472</v>
      </c>
      <c r="H18" s="319">
        <v>4.9406564584124654E-324</v>
      </c>
      <c r="I18" s="316">
        <v>1.4821969375237396E-323</v>
      </c>
      <c r="J18" s="317">
        <v>-0.249979743472</v>
      </c>
      <c r="K18" s="320">
        <v>1.4821969375237396E-323</v>
      </c>
    </row>
    <row r="19" spans="1:11" ht="14.4" customHeight="1" thickBot="1" x14ac:dyDescent="0.35">
      <c r="A19" s="338" t="s">
        <v>234</v>
      </c>
      <c r="B19" s="316">
        <v>2.4610863205409998</v>
      </c>
      <c r="C19" s="316">
        <v>3.4896600000000002</v>
      </c>
      <c r="D19" s="317">
        <v>1.028573679458</v>
      </c>
      <c r="E19" s="318">
        <v>1.4179348245009999</v>
      </c>
      <c r="F19" s="316">
        <v>3.9017569780520001</v>
      </c>
      <c r="G19" s="317">
        <v>0.97543924451300001</v>
      </c>
      <c r="H19" s="319">
        <v>0.51022999999999996</v>
      </c>
      <c r="I19" s="316">
        <v>0.71996000000000004</v>
      </c>
      <c r="J19" s="317">
        <v>-0.25547924451300003</v>
      </c>
      <c r="K19" s="320">
        <v>0.184521999716</v>
      </c>
    </row>
    <row r="20" spans="1:11" ht="14.4" customHeight="1" thickBot="1" x14ac:dyDescent="0.35">
      <c r="A20" s="338" t="s">
        <v>235</v>
      </c>
      <c r="B20" s="316">
        <v>4.9406564584124654E-324</v>
      </c>
      <c r="C20" s="316">
        <v>2.8197999999999999</v>
      </c>
      <c r="D20" s="317">
        <v>2.8197999999999999</v>
      </c>
      <c r="E20" s="326" t="s">
        <v>224</v>
      </c>
      <c r="F20" s="316">
        <v>2.379132085573</v>
      </c>
      <c r="G20" s="317">
        <v>0.59478302139299999</v>
      </c>
      <c r="H20" s="319">
        <v>4.9406564584124654E-324</v>
      </c>
      <c r="I20" s="316">
        <v>1.4821969375237396E-323</v>
      </c>
      <c r="J20" s="317">
        <v>-0.59478302139299999</v>
      </c>
      <c r="K20" s="320">
        <v>4.9406564584124654E-324</v>
      </c>
    </row>
    <row r="21" spans="1:11" ht="14.4" customHeight="1" thickBot="1" x14ac:dyDescent="0.35">
      <c r="A21" s="337" t="s">
        <v>236</v>
      </c>
      <c r="B21" s="321">
        <v>0.32354443690099999</v>
      </c>
      <c r="C21" s="321">
        <v>8.3199999999999993E-3</v>
      </c>
      <c r="D21" s="322">
        <v>-0.31522443690099999</v>
      </c>
      <c r="E21" s="327">
        <v>2.5715169388999998E-2</v>
      </c>
      <c r="F21" s="321">
        <v>1.0001864980149999</v>
      </c>
      <c r="G21" s="322">
        <v>0.25004662450300003</v>
      </c>
      <c r="H21" s="324">
        <v>4.9406564584124654E-324</v>
      </c>
      <c r="I21" s="321">
        <v>1.4821969375237396E-323</v>
      </c>
      <c r="J21" s="322">
        <v>-0.25004662450300003</v>
      </c>
      <c r="K21" s="325">
        <v>1.4821969375237396E-323</v>
      </c>
    </row>
    <row r="22" spans="1:11" ht="14.4" customHeight="1" thickBot="1" x14ac:dyDescent="0.35">
      <c r="A22" s="338" t="s">
        <v>237</v>
      </c>
      <c r="B22" s="316">
        <v>0.32354443690099999</v>
      </c>
      <c r="C22" s="316">
        <v>8.3199999999999993E-3</v>
      </c>
      <c r="D22" s="317">
        <v>-0.31522443690099999</v>
      </c>
      <c r="E22" s="318">
        <v>2.5715169388999998E-2</v>
      </c>
      <c r="F22" s="316">
        <v>1.0001864980149999</v>
      </c>
      <c r="G22" s="317">
        <v>0.25004662450300003</v>
      </c>
      <c r="H22" s="319">
        <v>4.9406564584124654E-324</v>
      </c>
      <c r="I22" s="316">
        <v>1.4821969375237396E-323</v>
      </c>
      <c r="J22" s="317">
        <v>-0.25004662450300003</v>
      </c>
      <c r="K22" s="320">
        <v>1.4821969375237396E-323</v>
      </c>
    </row>
    <row r="23" spans="1:11" ht="14.4" customHeight="1" thickBot="1" x14ac:dyDescent="0.35">
      <c r="A23" s="337" t="s">
        <v>238</v>
      </c>
      <c r="B23" s="321">
        <v>1.1182466858919999</v>
      </c>
      <c r="C23" s="321">
        <v>1.2165600000000001</v>
      </c>
      <c r="D23" s="322">
        <v>9.8313314107000005E-2</v>
      </c>
      <c r="E23" s="327">
        <v>1.0879173757880001</v>
      </c>
      <c r="F23" s="321">
        <v>1.08824989601</v>
      </c>
      <c r="G23" s="322">
        <v>0.27206247400200001</v>
      </c>
      <c r="H23" s="324">
        <v>0.15124000000000001</v>
      </c>
      <c r="I23" s="321">
        <v>0.15124000000000001</v>
      </c>
      <c r="J23" s="322">
        <v>-0.120822474002</v>
      </c>
      <c r="K23" s="325">
        <v>0.138975432531</v>
      </c>
    </row>
    <row r="24" spans="1:11" ht="14.4" customHeight="1" thickBot="1" x14ac:dyDescent="0.35">
      <c r="A24" s="338" t="s">
        <v>239</v>
      </c>
      <c r="B24" s="316">
        <v>1.1182466858919999</v>
      </c>
      <c r="C24" s="316">
        <v>1.2165600000000001</v>
      </c>
      <c r="D24" s="317">
        <v>9.8313314107000005E-2</v>
      </c>
      <c r="E24" s="318">
        <v>1.0879173757880001</v>
      </c>
      <c r="F24" s="316">
        <v>1.08824989601</v>
      </c>
      <c r="G24" s="317">
        <v>0.27206247400200001</v>
      </c>
      <c r="H24" s="319">
        <v>0.15124000000000001</v>
      </c>
      <c r="I24" s="316">
        <v>0.15124000000000001</v>
      </c>
      <c r="J24" s="317">
        <v>-0.120822474002</v>
      </c>
      <c r="K24" s="320">
        <v>0.138975432531</v>
      </c>
    </row>
    <row r="25" spans="1:11" ht="14.4" customHeight="1" thickBot="1" x14ac:dyDescent="0.35">
      <c r="A25" s="337" t="s">
        <v>240</v>
      </c>
      <c r="B25" s="321">
        <v>0</v>
      </c>
      <c r="C25" s="321">
        <v>0.28000000000000003</v>
      </c>
      <c r="D25" s="322">
        <v>0.28000000000000003</v>
      </c>
      <c r="E25" s="323" t="s">
        <v>218</v>
      </c>
      <c r="F25" s="321">
        <v>0</v>
      </c>
      <c r="G25" s="322">
        <v>0</v>
      </c>
      <c r="H25" s="324">
        <v>4.9406564584124654E-324</v>
      </c>
      <c r="I25" s="321">
        <v>1.4821969375237396E-323</v>
      </c>
      <c r="J25" s="322">
        <v>1.4821969375237396E-323</v>
      </c>
      <c r="K25" s="328" t="s">
        <v>218</v>
      </c>
    </row>
    <row r="26" spans="1:11" ht="14.4" customHeight="1" thickBot="1" x14ac:dyDescent="0.35">
      <c r="A26" s="338" t="s">
        <v>241</v>
      </c>
      <c r="B26" s="316">
        <v>0</v>
      </c>
      <c r="C26" s="316">
        <v>0.28000000000000003</v>
      </c>
      <c r="D26" s="317">
        <v>0.28000000000000003</v>
      </c>
      <c r="E26" s="326" t="s">
        <v>218</v>
      </c>
      <c r="F26" s="316">
        <v>0</v>
      </c>
      <c r="G26" s="317">
        <v>0</v>
      </c>
      <c r="H26" s="319">
        <v>4.9406564584124654E-324</v>
      </c>
      <c r="I26" s="316">
        <v>1.4821969375237396E-323</v>
      </c>
      <c r="J26" s="317">
        <v>1.4821969375237396E-323</v>
      </c>
      <c r="K26" s="329" t="s">
        <v>218</v>
      </c>
    </row>
    <row r="27" spans="1:11" ht="14.4" customHeight="1" thickBot="1" x14ac:dyDescent="0.35">
      <c r="A27" s="336" t="s">
        <v>19</v>
      </c>
      <c r="B27" s="316">
        <v>92.125526522339996</v>
      </c>
      <c r="C27" s="316">
        <v>89.134</v>
      </c>
      <c r="D27" s="317">
        <v>-2.991526522339</v>
      </c>
      <c r="E27" s="318">
        <v>0.96752771316099995</v>
      </c>
      <c r="F27" s="316">
        <v>90.094900233475997</v>
      </c>
      <c r="G27" s="317">
        <v>22.523725058368999</v>
      </c>
      <c r="H27" s="319">
        <v>7.8120000000000003</v>
      </c>
      <c r="I27" s="316">
        <v>27.498999999999999</v>
      </c>
      <c r="J27" s="317">
        <v>4.9752749416300004</v>
      </c>
      <c r="K27" s="320">
        <v>0.30522260337399998</v>
      </c>
    </row>
    <row r="28" spans="1:11" ht="14.4" customHeight="1" thickBot="1" x14ac:dyDescent="0.35">
      <c r="A28" s="337" t="s">
        <v>242</v>
      </c>
      <c r="B28" s="321">
        <v>92.125526522339996</v>
      </c>
      <c r="C28" s="321">
        <v>89.134</v>
      </c>
      <c r="D28" s="322">
        <v>-2.991526522339</v>
      </c>
      <c r="E28" s="327">
        <v>0.96752771316099995</v>
      </c>
      <c r="F28" s="321">
        <v>90.094900233475997</v>
      </c>
      <c r="G28" s="322">
        <v>22.523725058368999</v>
      </c>
      <c r="H28" s="324">
        <v>7.8120000000000003</v>
      </c>
      <c r="I28" s="321">
        <v>27.498999999999999</v>
      </c>
      <c r="J28" s="322">
        <v>4.9752749416300004</v>
      </c>
      <c r="K28" s="325">
        <v>0.30522260337399998</v>
      </c>
    </row>
    <row r="29" spans="1:11" ht="14.4" customHeight="1" thickBot="1" x14ac:dyDescent="0.35">
      <c r="A29" s="338" t="s">
        <v>243</v>
      </c>
      <c r="B29" s="316">
        <v>18.120367464866</v>
      </c>
      <c r="C29" s="316">
        <v>18.321000000000002</v>
      </c>
      <c r="D29" s="317">
        <v>0.200632535133</v>
      </c>
      <c r="E29" s="318">
        <v>1.011072211174</v>
      </c>
      <c r="F29" s="316">
        <v>18.184072720145</v>
      </c>
      <c r="G29" s="317">
        <v>4.5460181800359996</v>
      </c>
      <c r="H29" s="319">
        <v>1.248</v>
      </c>
      <c r="I29" s="316">
        <v>3.7480000000000002</v>
      </c>
      <c r="J29" s="317">
        <v>-0.798018180036</v>
      </c>
      <c r="K29" s="320">
        <v>0.20611444189</v>
      </c>
    </row>
    <row r="30" spans="1:11" ht="14.4" customHeight="1" thickBot="1" x14ac:dyDescent="0.35">
      <c r="A30" s="338" t="s">
        <v>244</v>
      </c>
      <c r="B30" s="316">
        <v>15.000644699174</v>
      </c>
      <c r="C30" s="316">
        <v>14.686999999999999</v>
      </c>
      <c r="D30" s="317">
        <v>-0.31364469917400001</v>
      </c>
      <c r="E30" s="318">
        <v>0.97909125204500003</v>
      </c>
      <c r="F30" s="316">
        <v>15.000101608584</v>
      </c>
      <c r="G30" s="317">
        <v>3.750025402146</v>
      </c>
      <c r="H30" s="319">
        <v>0.98699999999999999</v>
      </c>
      <c r="I30" s="316">
        <v>3.5630000000000002</v>
      </c>
      <c r="J30" s="317">
        <v>-0.187025402146</v>
      </c>
      <c r="K30" s="320">
        <v>0.237531724315</v>
      </c>
    </row>
    <row r="31" spans="1:11" ht="14.4" customHeight="1" thickBot="1" x14ac:dyDescent="0.35">
      <c r="A31" s="338" t="s">
        <v>245</v>
      </c>
      <c r="B31" s="316">
        <v>59.004514358298003</v>
      </c>
      <c r="C31" s="316">
        <v>56.125999999999998</v>
      </c>
      <c r="D31" s="317">
        <v>-2.8785143582980002</v>
      </c>
      <c r="E31" s="318">
        <v>0.95121535377999999</v>
      </c>
      <c r="F31" s="316">
        <v>56.910725904746002</v>
      </c>
      <c r="G31" s="317">
        <v>14.227681476186</v>
      </c>
      <c r="H31" s="319">
        <v>5.577</v>
      </c>
      <c r="I31" s="316">
        <v>20.187999999999999</v>
      </c>
      <c r="J31" s="317">
        <v>5.9603185238130001</v>
      </c>
      <c r="K31" s="320">
        <v>0.35473102265000001</v>
      </c>
    </row>
    <row r="32" spans="1:11" ht="14.4" customHeight="1" thickBot="1" x14ac:dyDescent="0.35">
      <c r="A32" s="339" t="s">
        <v>246</v>
      </c>
      <c r="B32" s="321">
        <v>64.856757567871</v>
      </c>
      <c r="C32" s="321">
        <v>70.983530000000002</v>
      </c>
      <c r="D32" s="322">
        <v>6.1267724321279999</v>
      </c>
      <c r="E32" s="327">
        <v>1.0944662154239999</v>
      </c>
      <c r="F32" s="321">
        <v>62.420735164866002</v>
      </c>
      <c r="G32" s="322">
        <v>15.605183791216</v>
      </c>
      <c r="H32" s="324">
        <v>17.032879999999999</v>
      </c>
      <c r="I32" s="321">
        <v>23.884360000000001</v>
      </c>
      <c r="J32" s="322">
        <v>8.2791762087829994</v>
      </c>
      <c r="K32" s="325">
        <v>0.38263503204299998</v>
      </c>
    </row>
    <row r="33" spans="1:11" ht="14.4" customHeight="1" thickBot="1" x14ac:dyDescent="0.35">
      <c r="A33" s="336" t="s">
        <v>22</v>
      </c>
      <c r="B33" s="316">
        <v>8.9992811129650008</v>
      </c>
      <c r="C33" s="316">
        <v>3.43404</v>
      </c>
      <c r="D33" s="317">
        <v>-5.5652411129650003</v>
      </c>
      <c r="E33" s="318">
        <v>0.38159048004899998</v>
      </c>
      <c r="F33" s="316">
        <v>5.4329011407929997</v>
      </c>
      <c r="G33" s="317">
        <v>1.3582252851979999</v>
      </c>
      <c r="H33" s="319">
        <v>12.093400000000001</v>
      </c>
      <c r="I33" s="316">
        <v>12.33085</v>
      </c>
      <c r="J33" s="317">
        <v>10.972624714801</v>
      </c>
      <c r="K33" s="320">
        <v>2.2696621345470001</v>
      </c>
    </row>
    <row r="34" spans="1:11" ht="14.4" customHeight="1" thickBot="1" x14ac:dyDescent="0.35">
      <c r="A34" s="340" t="s">
        <v>247</v>
      </c>
      <c r="B34" s="316">
        <v>8.9992811129650008</v>
      </c>
      <c r="C34" s="316">
        <v>3.43404</v>
      </c>
      <c r="D34" s="317">
        <v>-5.5652411129650003</v>
      </c>
      <c r="E34" s="318">
        <v>0.38159048004899998</v>
      </c>
      <c r="F34" s="316">
        <v>5.4329011407929997</v>
      </c>
      <c r="G34" s="317">
        <v>1.3582252851979999</v>
      </c>
      <c r="H34" s="319">
        <v>12.093400000000001</v>
      </c>
      <c r="I34" s="316">
        <v>12.33085</v>
      </c>
      <c r="J34" s="317">
        <v>10.972624714801</v>
      </c>
      <c r="K34" s="320">
        <v>2.2696621345470001</v>
      </c>
    </row>
    <row r="35" spans="1:11" ht="14.4" customHeight="1" thickBot="1" x14ac:dyDescent="0.35">
      <c r="A35" s="338" t="s">
        <v>248</v>
      </c>
      <c r="B35" s="316">
        <v>7.9993548725509998</v>
      </c>
      <c r="C35" s="316">
        <v>1.8149999999999999</v>
      </c>
      <c r="D35" s="317">
        <v>-6.1843548725510002</v>
      </c>
      <c r="E35" s="318">
        <v>0.22689329688599999</v>
      </c>
      <c r="F35" s="316">
        <v>4.9999915584819998</v>
      </c>
      <c r="G35" s="317">
        <v>1.2499978896199999</v>
      </c>
      <c r="H35" s="319">
        <v>12.093400000000001</v>
      </c>
      <c r="I35" s="316">
        <v>12.093400000000001</v>
      </c>
      <c r="J35" s="317">
        <v>10.843402110378999</v>
      </c>
      <c r="K35" s="320">
        <v>2.4186840834719998</v>
      </c>
    </row>
    <row r="36" spans="1:11" ht="14.4" customHeight="1" thickBot="1" x14ac:dyDescent="0.35">
      <c r="A36" s="338" t="s">
        <v>249</v>
      </c>
      <c r="B36" s="316">
        <v>0.99992624041400002</v>
      </c>
      <c r="C36" s="316">
        <v>1.61904</v>
      </c>
      <c r="D36" s="317">
        <v>0.61911375958500003</v>
      </c>
      <c r="E36" s="318">
        <v>1.6191594285290001</v>
      </c>
      <c r="F36" s="316">
        <v>0.43290958230999999</v>
      </c>
      <c r="G36" s="317">
        <v>0.10822739557699999</v>
      </c>
      <c r="H36" s="319">
        <v>4.9406564584124654E-324</v>
      </c>
      <c r="I36" s="316">
        <v>0.23744999999999999</v>
      </c>
      <c r="J36" s="317">
        <v>0.12922260442200001</v>
      </c>
      <c r="K36" s="320">
        <v>0.54849790742100002</v>
      </c>
    </row>
    <row r="37" spans="1:11" ht="14.4" customHeight="1" thickBot="1" x14ac:dyDescent="0.35">
      <c r="A37" s="341" t="s">
        <v>23</v>
      </c>
      <c r="B37" s="321">
        <v>0</v>
      </c>
      <c r="C37" s="321">
        <v>10.398</v>
      </c>
      <c r="D37" s="322">
        <v>10.398</v>
      </c>
      <c r="E37" s="323" t="s">
        <v>218</v>
      </c>
      <c r="F37" s="321">
        <v>0</v>
      </c>
      <c r="G37" s="322">
        <v>0</v>
      </c>
      <c r="H37" s="324">
        <v>0.34699999999999998</v>
      </c>
      <c r="I37" s="321">
        <v>0.83099999999999996</v>
      </c>
      <c r="J37" s="322">
        <v>0.83099999999999996</v>
      </c>
      <c r="K37" s="328" t="s">
        <v>218</v>
      </c>
    </row>
    <row r="38" spans="1:11" ht="14.4" customHeight="1" thickBot="1" x14ac:dyDescent="0.35">
      <c r="A38" s="337" t="s">
        <v>250</v>
      </c>
      <c r="B38" s="321">
        <v>0</v>
      </c>
      <c r="C38" s="321">
        <v>10.398</v>
      </c>
      <c r="D38" s="322">
        <v>10.398</v>
      </c>
      <c r="E38" s="323" t="s">
        <v>218</v>
      </c>
      <c r="F38" s="321">
        <v>0</v>
      </c>
      <c r="G38" s="322">
        <v>0</v>
      </c>
      <c r="H38" s="324">
        <v>0.34699999999999998</v>
      </c>
      <c r="I38" s="321">
        <v>0.83099999999999996</v>
      </c>
      <c r="J38" s="322">
        <v>0.83099999999999996</v>
      </c>
      <c r="K38" s="328" t="s">
        <v>218</v>
      </c>
    </row>
    <row r="39" spans="1:11" ht="14.4" customHeight="1" thickBot="1" x14ac:dyDescent="0.35">
      <c r="A39" s="338" t="s">
        <v>251</v>
      </c>
      <c r="B39" s="316">
        <v>0</v>
      </c>
      <c r="C39" s="316">
        <v>10.398</v>
      </c>
      <c r="D39" s="317">
        <v>10.398</v>
      </c>
      <c r="E39" s="326" t="s">
        <v>218</v>
      </c>
      <c r="F39" s="316">
        <v>0</v>
      </c>
      <c r="G39" s="317">
        <v>0</v>
      </c>
      <c r="H39" s="319">
        <v>0.34699999999999998</v>
      </c>
      <c r="I39" s="316">
        <v>0.83099999999999996</v>
      </c>
      <c r="J39" s="317">
        <v>0.83099999999999996</v>
      </c>
      <c r="K39" s="329" t="s">
        <v>218</v>
      </c>
    </row>
    <row r="40" spans="1:11" ht="14.4" customHeight="1" thickBot="1" x14ac:dyDescent="0.35">
      <c r="A40" s="336" t="s">
        <v>24</v>
      </c>
      <c r="B40" s="316">
        <v>55.857476454905999</v>
      </c>
      <c r="C40" s="316">
        <v>57.151490000000003</v>
      </c>
      <c r="D40" s="317">
        <v>1.2940135450929999</v>
      </c>
      <c r="E40" s="318">
        <v>1.0231663445470001</v>
      </c>
      <c r="F40" s="316">
        <v>56.987834024073003</v>
      </c>
      <c r="G40" s="317">
        <v>14.246958506018</v>
      </c>
      <c r="H40" s="319">
        <v>4.5924800000000001</v>
      </c>
      <c r="I40" s="316">
        <v>10.72251</v>
      </c>
      <c r="J40" s="317">
        <v>-3.524448506018</v>
      </c>
      <c r="K40" s="320">
        <v>0.18815436985100001</v>
      </c>
    </row>
    <row r="41" spans="1:11" ht="14.4" customHeight="1" thickBot="1" x14ac:dyDescent="0.35">
      <c r="A41" s="337" t="s">
        <v>252</v>
      </c>
      <c r="B41" s="321">
        <v>5.4969751995629998</v>
      </c>
      <c r="C41" s="321">
        <v>7.4853800000000001</v>
      </c>
      <c r="D41" s="322">
        <v>1.988404800436</v>
      </c>
      <c r="E41" s="327">
        <v>1.361727082304</v>
      </c>
      <c r="F41" s="321">
        <v>7.4225831352579998</v>
      </c>
      <c r="G41" s="322">
        <v>1.8556457838139999</v>
      </c>
      <c r="H41" s="324">
        <v>0.68245</v>
      </c>
      <c r="I41" s="321">
        <v>1.9574499999999999</v>
      </c>
      <c r="J41" s="322">
        <v>0.101804216185</v>
      </c>
      <c r="K41" s="325">
        <v>0.26371546998200002</v>
      </c>
    </row>
    <row r="42" spans="1:11" ht="14.4" customHeight="1" thickBot="1" x14ac:dyDescent="0.35">
      <c r="A42" s="338" t="s">
        <v>253</v>
      </c>
      <c r="B42" s="316">
        <v>3.4204159218369998</v>
      </c>
      <c r="C42" s="316">
        <v>4.6825999999999999</v>
      </c>
      <c r="D42" s="317">
        <v>1.262184078162</v>
      </c>
      <c r="E42" s="318">
        <v>1.3690147944</v>
      </c>
      <c r="F42" s="316">
        <v>4.7902353100199999</v>
      </c>
      <c r="G42" s="317">
        <v>1.197558827505</v>
      </c>
      <c r="H42" s="319">
        <v>0.53200000000000003</v>
      </c>
      <c r="I42" s="316">
        <v>1.6531</v>
      </c>
      <c r="J42" s="317">
        <v>0.455541172494</v>
      </c>
      <c r="K42" s="320">
        <v>0.345097869522</v>
      </c>
    </row>
    <row r="43" spans="1:11" ht="14.4" customHeight="1" thickBot="1" x14ac:dyDescent="0.35">
      <c r="A43" s="338" t="s">
        <v>254</v>
      </c>
      <c r="B43" s="316">
        <v>2.0765592777249999</v>
      </c>
      <c r="C43" s="316">
        <v>2.8027799999999998</v>
      </c>
      <c r="D43" s="317">
        <v>0.72622072227400003</v>
      </c>
      <c r="E43" s="318">
        <v>1.3497230876399999</v>
      </c>
      <c r="F43" s="316">
        <v>2.6323478252379999</v>
      </c>
      <c r="G43" s="317">
        <v>0.65808695630900005</v>
      </c>
      <c r="H43" s="319">
        <v>0.15045</v>
      </c>
      <c r="I43" s="316">
        <v>0.30435000000000001</v>
      </c>
      <c r="J43" s="317">
        <v>-0.35373695630899998</v>
      </c>
      <c r="K43" s="320">
        <v>0.115619219117</v>
      </c>
    </row>
    <row r="44" spans="1:11" ht="14.4" customHeight="1" thickBot="1" x14ac:dyDescent="0.35">
      <c r="A44" s="337" t="s">
        <v>255</v>
      </c>
      <c r="B44" s="321">
        <v>4.1326318384169998</v>
      </c>
      <c r="C44" s="321">
        <v>3.78</v>
      </c>
      <c r="D44" s="322">
        <v>-0.35263183841700002</v>
      </c>
      <c r="E44" s="327">
        <v>0.91467136386500003</v>
      </c>
      <c r="F44" s="321">
        <v>3.915363845471</v>
      </c>
      <c r="G44" s="322">
        <v>0.97884096136700005</v>
      </c>
      <c r="H44" s="324">
        <v>4.9406564584124654E-324</v>
      </c>
      <c r="I44" s="321">
        <v>0.94499999999999995</v>
      </c>
      <c r="J44" s="322">
        <v>-3.3840961367000003E-2</v>
      </c>
      <c r="K44" s="325">
        <v>0.241356879538</v>
      </c>
    </row>
    <row r="45" spans="1:11" ht="14.4" customHeight="1" thickBot="1" x14ac:dyDescent="0.35">
      <c r="A45" s="338" t="s">
        <v>256</v>
      </c>
      <c r="B45" s="316">
        <v>4.1326318384169998</v>
      </c>
      <c r="C45" s="316">
        <v>3.78</v>
      </c>
      <c r="D45" s="317">
        <v>-0.35263183841700002</v>
      </c>
      <c r="E45" s="318">
        <v>0.91467136386500003</v>
      </c>
      <c r="F45" s="316">
        <v>3.915363845471</v>
      </c>
      <c r="G45" s="317">
        <v>0.97884096136700005</v>
      </c>
      <c r="H45" s="319">
        <v>4.9406564584124654E-324</v>
      </c>
      <c r="I45" s="316">
        <v>0.94499999999999995</v>
      </c>
      <c r="J45" s="317">
        <v>-3.3840961367000003E-2</v>
      </c>
      <c r="K45" s="320">
        <v>0.241356879538</v>
      </c>
    </row>
    <row r="46" spans="1:11" ht="14.4" customHeight="1" thickBot="1" x14ac:dyDescent="0.35">
      <c r="A46" s="337" t="s">
        <v>257</v>
      </c>
      <c r="B46" s="321">
        <v>46.000046709309999</v>
      </c>
      <c r="C46" s="321">
        <v>45.886110000000002</v>
      </c>
      <c r="D46" s="322">
        <v>-0.11393670931</v>
      </c>
      <c r="E46" s="327">
        <v>0.99752311753</v>
      </c>
      <c r="F46" s="321">
        <v>45.649887043343</v>
      </c>
      <c r="G46" s="322">
        <v>11.412471760835</v>
      </c>
      <c r="H46" s="324">
        <v>3.9100299999999999</v>
      </c>
      <c r="I46" s="321">
        <v>7.8200599999999998</v>
      </c>
      <c r="J46" s="322">
        <v>-3.5924117608350001</v>
      </c>
      <c r="K46" s="325">
        <v>0.171305133626</v>
      </c>
    </row>
    <row r="47" spans="1:11" ht="14.4" customHeight="1" thickBot="1" x14ac:dyDescent="0.35">
      <c r="A47" s="338" t="s">
        <v>258</v>
      </c>
      <c r="B47" s="316">
        <v>46.000046709309999</v>
      </c>
      <c r="C47" s="316">
        <v>45.886110000000002</v>
      </c>
      <c r="D47" s="317">
        <v>-0.11393670931</v>
      </c>
      <c r="E47" s="318">
        <v>0.99752311753</v>
      </c>
      <c r="F47" s="316">
        <v>45.649887043343</v>
      </c>
      <c r="G47" s="317">
        <v>11.412471760835</v>
      </c>
      <c r="H47" s="319">
        <v>3.9100299999999999</v>
      </c>
      <c r="I47" s="316">
        <v>7.8200599999999998</v>
      </c>
      <c r="J47" s="317">
        <v>-3.5924117608350001</v>
      </c>
      <c r="K47" s="320">
        <v>0.171305133626</v>
      </c>
    </row>
    <row r="48" spans="1:11" ht="14.4" customHeight="1" thickBot="1" x14ac:dyDescent="0.35">
      <c r="A48" s="335" t="s">
        <v>25</v>
      </c>
      <c r="B48" s="316">
        <v>6009.9983753778297</v>
      </c>
      <c r="C48" s="316">
        <v>6584.1597000000002</v>
      </c>
      <c r="D48" s="317">
        <v>574.16132462217604</v>
      </c>
      <c r="E48" s="318">
        <v>1.0955343560440001</v>
      </c>
      <c r="F48" s="316">
        <v>6972.0345109704904</v>
      </c>
      <c r="G48" s="317">
        <v>1743.0086277426201</v>
      </c>
      <c r="H48" s="319">
        <v>519.01624000000004</v>
      </c>
      <c r="I48" s="316">
        <v>1598.0046500000001</v>
      </c>
      <c r="J48" s="317">
        <v>-145.00397774262001</v>
      </c>
      <c r="K48" s="320">
        <v>0.2292020568</v>
      </c>
    </row>
    <row r="49" spans="1:11" ht="14.4" customHeight="1" thickBot="1" x14ac:dyDescent="0.35">
      <c r="A49" s="341" t="s">
        <v>259</v>
      </c>
      <c r="B49" s="321">
        <v>4450.9999999997499</v>
      </c>
      <c r="C49" s="321">
        <v>4878.5590000000002</v>
      </c>
      <c r="D49" s="322">
        <v>427.55900000024798</v>
      </c>
      <c r="E49" s="327">
        <v>1.0960590878450001</v>
      </c>
      <c r="F49" s="321">
        <v>5167.99999999991</v>
      </c>
      <c r="G49" s="322">
        <v>1291.99999999998</v>
      </c>
      <c r="H49" s="324">
        <v>384.45699999999999</v>
      </c>
      <c r="I49" s="321">
        <v>1184.5440000000001</v>
      </c>
      <c r="J49" s="322">
        <v>-107.455999999974</v>
      </c>
      <c r="K49" s="325">
        <v>0.22920743033999999</v>
      </c>
    </row>
    <row r="50" spans="1:11" ht="14.4" customHeight="1" thickBot="1" x14ac:dyDescent="0.35">
      <c r="A50" s="337" t="s">
        <v>260</v>
      </c>
      <c r="B50" s="321">
        <v>4450.9999999997499</v>
      </c>
      <c r="C50" s="321">
        <v>4872.7939999999999</v>
      </c>
      <c r="D50" s="322">
        <v>421.79400000024799</v>
      </c>
      <c r="E50" s="327">
        <v>1.0947638732860001</v>
      </c>
      <c r="F50" s="321">
        <v>5149.99999999991</v>
      </c>
      <c r="G50" s="322">
        <v>1287.49999999998</v>
      </c>
      <c r="H50" s="324">
        <v>384.45699999999999</v>
      </c>
      <c r="I50" s="321">
        <v>1181.2329999999999</v>
      </c>
      <c r="J50" s="322">
        <v>-106.266999999975</v>
      </c>
      <c r="K50" s="325">
        <v>0.229365631067</v>
      </c>
    </row>
    <row r="51" spans="1:11" ht="14.4" customHeight="1" thickBot="1" x14ac:dyDescent="0.35">
      <c r="A51" s="338" t="s">
        <v>261</v>
      </c>
      <c r="B51" s="316">
        <v>4450.9999999997499</v>
      </c>
      <c r="C51" s="316">
        <v>4872.7939999999999</v>
      </c>
      <c r="D51" s="317">
        <v>421.79400000024799</v>
      </c>
      <c r="E51" s="318">
        <v>1.0947638732860001</v>
      </c>
      <c r="F51" s="316">
        <v>5149.99999999991</v>
      </c>
      <c r="G51" s="317">
        <v>1287.49999999998</v>
      </c>
      <c r="H51" s="319">
        <v>384.45699999999999</v>
      </c>
      <c r="I51" s="316">
        <v>1181.2329999999999</v>
      </c>
      <c r="J51" s="317">
        <v>-106.266999999975</v>
      </c>
      <c r="K51" s="320">
        <v>0.229365631067</v>
      </c>
    </row>
    <row r="52" spans="1:11" ht="14.4" customHeight="1" thickBot="1" x14ac:dyDescent="0.35">
      <c r="A52" s="337" t="s">
        <v>262</v>
      </c>
      <c r="B52" s="321">
        <v>0</v>
      </c>
      <c r="C52" s="321">
        <v>5.7649999999999997</v>
      </c>
      <c r="D52" s="322">
        <v>5.7649999999999997</v>
      </c>
      <c r="E52" s="323" t="s">
        <v>218</v>
      </c>
      <c r="F52" s="321">
        <v>17.999999999999002</v>
      </c>
      <c r="G52" s="322">
        <v>4.4999999999989999</v>
      </c>
      <c r="H52" s="324">
        <v>4.9406564584124654E-324</v>
      </c>
      <c r="I52" s="321">
        <v>3.3109999999999999</v>
      </c>
      <c r="J52" s="322">
        <v>-1.188999999999</v>
      </c>
      <c r="K52" s="325">
        <v>0.18394444444399999</v>
      </c>
    </row>
    <row r="53" spans="1:11" ht="14.4" customHeight="1" thickBot="1" x14ac:dyDescent="0.35">
      <c r="A53" s="338" t="s">
        <v>263</v>
      </c>
      <c r="B53" s="316">
        <v>0</v>
      </c>
      <c r="C53" s="316">
        <v>5.7649999999999997</v>
      </c>
      <c r="D53" s="317">
        <v>5.7649999999999997</v>
      </c>
      <c r="E53" s="326" t="s">
        <v>218</v>
      </c>
      <c r="F53" s="316">
        <v>17.999999999999002</v>
      </c>
      <c r="G53" s="317">
        <v>4.4999999999989999</v>
      </c>
      <c r="H53" s="319">
        <v>4.9406564584124654E-324</v>
      </c>
      <c r="I53" s="316">
        <v>3.3109999999999999</v>
      </c>
      <c r="J53" s="317">
        <v>-1.188999999999</v>
      </c>
      <c r="K53" s="320">
        <v>0.18394444444399999</v>
      </c>
    </row>
    <row r="54" spans="1:11" ht="14.4" customHeight="1" thickBot="1" x14ac:dyDescent="0.35">
      <c r="A54" s="336" t="s">
        <v>264</v>
      </c>
      <c r="B54" s="316">
        <v>1513.99837537808</v>
      </c>
      <c r="C54" s="316">
        <v>1656.81503</v>
      </c>
      <c r="D54" s="317">
        <v>142.81665462192399</v>
      </c>
      <c r="E54" s="318">
        <v>1.0943307845920001</v>
      </c>
      <c r="F54" s="316">
        <v>1752.03451097059</v>
      </c>
      <c r="G54" s="317">
        <v>438.00862774264698</v>
      </c>
      <c r="H54" s="319">
        <v>130.71424999999999</v>
      </c>
      <c r="I54" s="316">
        <v>401.61425000000099</v>
      </c>
      <c r="J54" s="317">
        <v>-36.394377742646</v>
      </c>
      <c r="K54" s="320">
        <v>0.22922736252299999</v>
      </c>
    </row>
    <row r="55" spans="1:11" ht="14.4" customHeight="1" thickBot="1" x14ac:dyDescent="0.35">
      <c r="A55" s="337" t="s">
        <v>265</v>
      </c>
      <c r="B55" s="321">
        <v>400.99999691353599</v>
      </c>
      <c r="C55" s="321">
        <v>438.61649</v>
      </c>
      <c r="D55" s="322">
        <v>37.616493086463002</v>
      </c>
      <c r="E55" s="327">
        <v>1.0938067166480001</v>
      </c>
      <c r="F55" s="321">
        <v>464.03451097061401</v>
      </c>
      <c r="G55" s="322">
        <v>116.008627742653</v>
      </c>
      <c r="H55" s="324">
        <v>34.6</v>
      </c>
      <c r="I55" s="321">
        <v>106.306</v>
      </c>
      <c r="J55" s="322">
        <v>-9.7026277426530001</v>
      </c>
      <c r="K55" s="325">
        <v>0.22909071951900001</v>
      </c>
    </row>
    <row r="56" spans="1:11" ht="14.4" customHeight="1" thickBot="1" x14ac:dyDescent="0.35">
      <c r="A56" s="338" t="s">
        <v>266</v>
      </c>
      <c r="B56" s="316">
        <v>400.99999691353599</v>
      </c>
      <c r="C56" s="316">
        <v>438.61649</v>
      </c>
      <c r="D56" s="317">
        <v>37.616493086463002</v>
      </c>
      <c r="E56" s="318">
        <v>1.0938067166480001</v>
      </c>
      <c r="F56" s="316">
        <v>464.03451097061401</v>
      </c>
      <c r="G56" s="317">
        <v>116.008627742653</v>
      </c>
      <c r="H56" s="319">
        <v>34.6</v>
      </c>
      <c r="I56" s="316">
        <v>106.306</v>
      </c>
      <c r="J56" s="317">
        <v>-9.7026277426530001</v>
      </c>
      <c r="K56" s="320">
        <v>0.22909071951900001</v>
      </c>
    </row>
    <row r="57" spans="1:11" ht="14.4" customHeight="1" thickBot="1" x14ac:dyDescent="0.35">
      <c r="A57" s="337" t="s">
        <v>267</v>
      </c>
      <c r="B57" s="321">
        <v>1112.9983784645401</v>
      </c>
      <c r="C57" s="321">
        <v>1218.1985400000001</v>
      </c>
      <c r="D57" s="322">
        <v>105.20016153546</v>
      </c>
      <c r="E57" s="327">
        <v>1.0945196000020001</v>
      </c>
      <c r="F57" s="321">
        <v>1287.99999999997</v>
      </c>
      <c r="G57" s="322">
        <v>321.99999999999301</v>
      </c>
      <c r="H57" s="324">
        <v>96.114249999999998</v>
      </c>
      <c r="I57" s="321">
        <v>295.30825000000101</v>
      </c>
      <c r="J57" s="322">
        <v>-26.691749999991998</v>
      </c>
      <c r="K57" s="325">
        <v>0.22927659161399999</v>
      </c>
    </row>
    <row r="58" spans="1:11" ht="14.4" customHeight="1" thickBot="1" x14ac:dyDescent="0.35">
      <c r="A58" s="338" t="s">
        <v>268</v>
      </c>
      <c r="B58" s="316">
        <v>1112.9983784645401</v>
      </c>
      <c r="C58" s="316">
        <v>1218.1985400000001</v>
      </c>
      <c r="D58" s="317">
        <v>105.20016153546</v>
      </c>
      <c r="E58" s="318">
        <v>1.0945196000020001</v>
      </c>
      <c r="F58" s="316">
        <v>1287.99999999997</v>
      </c>
      <c r="G58" s="317">
        <v>321.99999999999301</v>
      </c>
      <c r="H58" s="319">
        <v>96.114249999999998</v>
      </c>
      <c r="I58" s="316">
        <v>295.30825000000101</v>
      </c>
      <c r="J58" s="317">
        <v>-26.691749999991998</v>
      </c>
      <c r="K58" s="320">
        <v>0.22927659161399999</v>
      </c>
    </row>
    <row r="59" spans="1:11" ht="14.4" customHeight="1" thickBot="1" x14ac:dyDescent="0.35">
      <c r="A59" s="336" t="s">
        <v>269</v>
      </c>
      <c r="B59" s="316">
        <v>44.999999999997002</v>
      </c>
      <c r="C59" s="316">
        <v>48.785670000000003</v>
      </c>
      <c r="D59" s="317">
        <v>3.7856700000019998</v>
      </c>
      <c r="E59" s="318">
        <v>1.0841259999999999</v>
      </c>
      <c r="F59" s="316">
        <v>51.999999999998998</v>
      </c>
      <c r="G59" s="317">
        <v>12.999999999999</v>
      </c>
      <c r="H59" s="319">
        <v>3.8449900000000001</v>
      </c>
      <c r="I59" s="316">
        <v>11.846399999999999</v>
      </c>
      <c r="J59" s="317">
        <v>-1.1535999999990001</v>
      </c>
      <c r="K59" s="320">
        <v>0.22781538461500001</v>
      </c>
    </row>
    <row r="60" spans="1:11" ht="14.4" customHeight="1" thickBot="1" x14ac:dyDescent="0.35">
      <c r="A60" s="337" t="s">
        <v>270</v>
      </c>
      <c r="B60" s="321">
        <v>44.999999999997002</v>
      </c>
      <c r="C60" s="321">
        <v>48.785670000000003</v>
      </c>
      <c r="D60" s="322">
        <v>3.7856700000019998</v>
      </c>
      <c r="E60" s="327">
        <v>1.0841259999999999</v>
      </c>
      <c r="F60" s="321">
        <v>51.999999999998998</v>
      </c>
      <c r="G60" s="322">
        <v>12.999999999999</v>
      </c>
      <c r="H60" s="324">
        <v>3.8449900000000001</v>
      </c>
      <c r="I60" s="321">
        <v>11.846399999999999</v>
      </c>
      <c r="J60" s="322">
        <v>-1.1535999999990001</v>
      </c>
      <c r="K60" s="325">
        <v>0.22781538461500001</v>
      </c>
    </row>
    <row r="61" spans="1:11" ht="14.4" customHeight="1" thickBot="1" x14ac:dyDescent="0.35">
      <c r="A61" s="338" t="s">
        <v>271</v>
      </c>
      <c r="B61" s="316">
        <v>44.999999999997002</v>
      </c>
      <c r="C61" s="316">
        <v>48.785670000000003</v>
      </c>
      <c r="D61" s="317">
        <v>3.7856700000019998</v>
      </c>
      <c r="E61" s="318">
        <v>1.0841259999999999</v>
      </c>
      <c r="F61" s="316">
        <v>51.999999999998998</v>
      </c>
      <c r="G61" s="317">
        <v>12.999999999999</v>
      </c>
      <c r="H61" s="319">
        <v>3.8449900000000001</v>
      </c>
      <c r="I61" s="316">
        <v>11.846399999999999</v>
      </c>
      <c r="J61" s="317">
        <v>-1.1535999999990001</v>
      </c>
      <c r="K61" s="320">
        <v>0.22781538461500001</v>
      </c>
    </row>
    <row r="62" spans="1:11" ht="14.4" customHeight="1" thickBot="1" x14ac:dyDescent="0.35">
      <c r="A62" s="335" t="s">
        <v>272</v>
      </c>
      <c r="B62" s="316">
        <v>0</v>
      </c>
      <c r="C62" s="316">
        <v>42.28</v>
      </c>
      <c r="D62" s="317">
        <v>42.28</v>
      </c>
      <c r="E62" s="326" t="s">
        <v>218</v>
      </c>
      <c r="F62" s="316">
        <v>0</v>
      </c>
      <c r="G62" s="317">
        <v>0</v>
      </c>
      <c r="H62" s="319">
        <v>0.9</v>
      </c>
      <c r="I62" s="316">
        <v>0.9</v>
      </c>
      <c r="J62" s="317">
        <v>0.9</v>
      </c>
      <c r="K62" s="329" t="s">
        <v>218</v>
      </c>
    </row>
    <row r="63" spans="1:11" ht="14.4" customHeight="1" thickBot="1" x14ac:dyDescent="0.35">
      <c r="A63" s="336" t="s">
        <v>273</v>
      </c>
      <c r="B63" s="316">
        <v>0</v>
      </c>
      <c r="C63" s="316">
        <v>42.28</v>
      </c>
      <c r="D63" s="317">
        <v>42.28</v>
      </c>
      <c r="E63" s="326" t="s">
        <v>218</v>
      </c>
      <c r="F63" s="316">
        <v>0</v>
      </c>
      <c r="G63" s="317">
        <v>0</v>
      </c>
      <c r="H63" s="319">
        <v>0.9</v>
      </c>
      <c r="I63" s="316">
        <v>0.9</v>
      </c>
      <c r="J63" s="317">
        <v>0.9</v>
      </c>
      <c r="K63" s="329" t="s">
        <v>218</v>
      </c>
    </row>
    <row r="64" spans="1:11" ht="14.4" customHeight="1" thickBot="1" x14ac:dyDescent="0.35">
      <c r="A64" s="337" t="s">
        <v>274</v>
      </c>
      <c r="B64" s="321">
        <v>0</v>
      </c>
      <c r="C64" s="321">
        <v>4.9406564584124654E-324</v>
      </c>
      <c r="D64" s="322">
        <v>4.9406564584124654E-324</v>
      </c>
      <c r="E64" s="323" t="s">
        <v>218</v>
      </c>
      <c r="F64" s="321">
        <v>4.9406564584124654E-324</v>
      </c>
      <c r="G64" s="322">
        <v>0</v>
      </c>
      <c r="H64" s="324">
        <v>0.9</v>
      </c>
      <c r="I64" s="321">
        <v>0.9</v>
      </c>
      <c r="J64" s="322">
        <v>0.9</v>
      </c>
      <c r="K64" s="328" t="s">
        <v>224</v>
      </c>
    </row>
    <row r="65" spans="1:11" ht="14.4" customHeight="1" thickBot="1" x14ac:dyDescent="0.35">
      <c r="A65" s="338" t="s">
        <v>275</v>
      </c>
      <c r="B65" s="316">
        <v>0</v>
      </c>
      <c r="C65" s="316">
        <v>4.9406564584124654E-324</v>
      </c>
      <c r="D65" s="317">
        <v>4.9406564584124654E-324</v>
      </c>
      <c r="E65" s="326" t="s">
        <v>218</v>
      </c>
      <c r="F65" s="316">
        <v>4.9406564584124654E-324</v>
      </c>
      <c r="G65" s="317">
        <v>0</v>
      </c>
      <c r="H65" s="319">
        <v>0.9</v>
      </c>
      <c r="I65" s="316">
        <v>0.9</v>
      </c>
      <c r="J65" s="317">
        <v>0.9</v>
      </c>
      <c r="K65" s="329" t="s">
        <v>224</v>
      </c>
    </row>
    <row r="66" spans="1:11" ht="14.4" customHeight="1" thickBot="1" x14ac:dyDescent="0.35">
      <c r="A66" s="337" t="s">
        <v>276</v>
      </c>
      <c r="B66" s="321">
        <v>4.9406564584124654E-324</v>
      </c>
      <c r="C66" s="321">
        <v>5.08</v>
      </c>
      <c r="D66" s="322">
        <v>5.08</v>
      </c>
      <c r="E66" s="323" t="s">
        <v>224</v>
      </c>
      <c r="F66" s="321">
        <v>0</v>
      </c>
      <c r="G66" s="322">
        <v>0</v>
      </c>
      <c r="H66" s="324">
        <v>4.9406564584124654E-324</v>
      </c>
      <c r="I66" s="321">
        <v>1.4821969375237396E-323</v>
      </c>
      <c r="J66" s="322">
        <v>1.4821969375237396E-323</v>
      </c>
      <c r="K66" s="328" t="s">
        <v>218</v>
      </c>
    </row>
    <row r="67" spans="1:11" ht="14.4" customHeight="1" thickBot="1" x14ac:dyDescent="0.35">
      <c r="A67" s="338" t="s">
        <v>277</v>
      </c>
      <c r="B67" s="316">
        <v>4.9406564584124654E-324</v>
      </c>
      <c r="C67" s="316">
        <v>5.08</v>
      </c>
      <c r="D67" s="317">
        <v>5.08</v>
      </c>
      <c r="E67" s="326" t="s">
        <v>224</v>
      </c>
      <c r="F67" s="316">
        <v>0</v>
      </c>
      <c r="G67" s="317">
        <v>0</v>
      </c>
      <c r="H67" s="319">
        <v>4.9406564584124654E-324</v>
      </c>
      <c r="I67" s="316">
        <v>1.4821969375237396E-323</v>
      </c>
      <c r="J67" s="317">
        <v>1.4821969375237396E-323</v>
      </c>
      <c r="K67" s="329" t="s">
        <v>218</v>
      </c>
    </row>
    <row r="68" spans="1:11" ht="14.4" customHeight="1" thickBot="1" x14ac:dyDescent="0.35">
      <c r="A68" s="340" t="s">
        <v>278</v>
      </c>
      <c r="B68" s="316">
        <v>0</v>
      </c>
      <c r="C68" s="316">
        <v>37.200000000000003</v>
      </c>
      <c r="D68" s="317">
        <v>37.200000000000003</v>
      </c>
      <c r="E68" s="326" t="s">
        <v>218</v>
      </c>
      <c r="F68" s="316">
        <v>0</v>
      </c>
      <c r="G68" s="317">
        <v>0</v>
      </c>
      <c r="H68" s="319">
        <v>4.9406564584124654E-324</v>
      </c>
      <c r="I68" s="316">
        <v>1.4821969375237396E-323</v>
      </c>
      <c r="J68" s="317">
        <v>1.4821969375237396E-323</v>
      </c>
      <c r="K68" s="329" t="s">
        <v>218</v>
      </c>
    </row>
    <row r="69" spans="1:11" ht="14.4" customHeight="1" thickBot="1" x14ac:dyDescent="0.35">
      <c r="A69" s="338" t="s">
        <v>279</v>
      </c>
      <c r="B69" s="316">
        <v>0</v>
      </c>
      <c r="C69" s="316">
        <v>37.200000000000003</v>
      </c>
      <c r="D69" s="317">
        <v>37.200000000000003</v>
      </c>
      <c r="E69" s="326" t="s">
        <v>218</v>
      </c>
      <c r="F69" s="316">
        <v>0</v>
      </c>
      <c r="G69" s="317">
        <v>0</v>
      </c>
      <c r="H69" s="319">
        <v>4.9406564584124654E-324</v>
      </c>
      <c r="I69" s="316">
        <v>1.4821969375237396E-323</v>
      </c>
      <c r="J69" s="317">
        <v>1.4821969375237396E-323</v>
      </c>
      <c r="K69" s="329" t="s">
        <v>218</v>
      </c>
    </row>
    <row r="70" spans="1:11" ht="14.4" customHeight="1" thickBot="1" x14ac:dyDescent="0.35">
      <c r="A70" s="335" t="s">
        <v>280</v>
      </c>
      <c r="B70" s="316">
        <v>37.999999999997002</v>
      </c>
      <c r="C70" s="316">
        <v>40.387999999999998</v>
      </c>
      <c r="D70" s="317">
        <v>2.3880000000020001</v>
      </c>
      <c r="E70" s="318">
        <v>1.0628421052629999</v>
      </c>
      <c r="F70" s="316">
        <v>39.999111066650002</v>
      </c>
      <c r="G70" s="317">
        <v>9.9997777666619996</v>
      </c>
      <c r="H70" s="319">
        <v>3.3220000000000001</v>
      </c>
      <c r="I70" s="316">
        <v>9.9580000000000002</v>
      </c>
      <c r="J70" s="317">
        <v>-4.1777766661999997E-2</v>
      </c>
      <c r="K70" s="320">
        <v>0.24895553262100001</v>
      </c>
    </row>
    <row r="71" spans="1:11" ht="14.4" customHeight="1" thickBot="1" x14ac:dyDescent="0.35">
      <c r="A71" s="336" t="s">
        <v>281</v>
      </c>
      <c r="B71" s="316">
        <v>37.999999999997002</v>
      </c>
      <c r="C71" s="316">
        <v>39.353999999999999</v>
      </c>
      <c r="D71" s="317">
        <v>1.354000000002</v>
      </c>
      <c r="E71" s="318">
        <v>1.0356315789470001</v>
      </c>
      <c r="F71" s="316">
        <v>39.999111066650002</v>
      </c>
      <c r="G71" s="317">
        <v>9.9997777666619996</v>
      </c>
      <c r="H71" s="319">
        <v>3.3220000000000001</v>
      </c>
      <c r="I71" s="316">
        <v>9.9580000000000002</v>
      </c>
      <c r="J71" s="317">
        <v>-4.1777766661999997E-2</v>
      </c>
      <c r="K71" s="320">
        <v>0.24895553262100001</v>
      </c>
    </row>
    <row r="72" spans="1:11" ht="14.4" customHeight="1" thickBot="1" x14ac:dyDescent="0.35">
      <c r="A72" s="337" t="s">
        <v>282</v>
      </c>
      <c r="B72" s="321">
        <v>37.999999999997002</v>
      </c>
      <c r="C72" s="321">
        <v>39.353999999999999</v>
      </c>
      <c r="D72" s="322">
        <v>1.354000000002</v>
      </c>
      <c r="E72" s="327">
        <v>1.0356315789470001</v>
      </c>
      <c r="F72" s="321">
        <v>39.999111066650002</v>
      </c>
      <c r="G72" s="322">
        <v>9.9997777666619996</v>
      </c>
      <c r="H72" s="324">
        <v>3.3220000000000001</v>
      </c>
      <c r="I72" s="321">
        <v>9.9580000000000002</v>
      </c>
      <c r="J72" s="322">
        <v>-4.1777766661999997E-2</v>
      </c>
      <c r="K72" s="325">
        <v>0.24895553262100001</v>
      </c>
    </row>
    <row r="73" spans="1:11" ht="14.4" customHeight="1" thickBot="1" x14ac:dyDescent="0.35">
      <c r="A73" s="338" t="s">
        <v>283</v>
      </c>
      <c r="B73" s="316">
        <v>20.999999999998</v>
      </c>
      <c r="C73" s="316">
        <v>21.963999999999999</v>
      </c>
      <c r="D73" s="317">
        <v>0.96400000000099995</v>
      </c>
      <c r="E73" s="318">
        <v>1.0459047619040001</v>
      </c>
      <c r="F73" s="316">
        <v>21.999125944873999</v>
      </c>
      <c r="G73" s="317">
        <v>5.4997814862179997</v>
      </c>
      <c r="H73" s="319">
        <v>1.869</v>
      </c>
      <c r="I73" s="316">
        <v>5.5990000000000002</v>
      </c>
      <c r="J73" s="317">
        <v>9.9218513780999995E-2</v>
      </c>
      <c r="K73" s="320">
        <v>0.25451011162999998</v>
      </c>
    </row>
    <row r="74" spans="1:11" ht="14.4" customHeight="1" thickBot="1" x14ac:dyDescent="0.35">
      <c r="A74" s="338" t="s">
        <v>284</v>
      </c>
      <c r="B74" s="316">
        <v>9.9999999999989999</v>
      </c>
      <c r="C74" s="316">
        <v>9.9120000000000008</v>
      </c>
      <c r="D74" s="317">
        <v>-8.7999999999000003E-2</v>
      </c>
      <c r="E74" s="318">
        <v>0.99119999999999997</v>
      </c>
      <c r="F74" s="316">
        <v>10.000083664575</v>
      </c>
      <c r="G74" s="317">
        <v>2.5000209161429998</v>
      </c>
      <c r="H74" s="319">
        <v>0.82599999999999996</v>
      </c>
      <c r="I74" s="316">
        <v>2.4780000000000002</v>
      </c>
      <c r="J74" s="317">
        <v>-2.2020916142999999E-2</v>
      </c>
      <c r="K74" s="320">
        <v>0.24779792680900001</v>
      </c>
    </row>
    <row r="75" spans="1:11" ht="14.4" customHeight="1" thickBot="1" x14ac:dyDescent="0.35">
      <c r="A75" s="338" t="s">
        <v>285</v>
      </c>
      <c r="B75" s="316">
        <v>6.9999999999989999</v>
      </c>
      <c r="C75" s="316">
        <v>7.4779999999999998</v>
      </c>
      <c r="D75" s="317">
        <v>0.47799999999999998</v>
      </c>
      <c r="E75" s="318">
        <v>1.068285714285</v>
      </c>
      <c r="F75" s="316">
        <v>7.9999014572</v>
      </c>
      <c r="G75" s="317">
        <v>1.9999753643</v>
      </c>
      <c r="H75" s="319">
        <v>0.627</v>
      </c>
      <c r="I75" s="316">
        <v>1.881</v>
      </c>
      <c r="J75" s="317">
        <v>-0.1189753643</v>
      </c>
      <c r="K75" s="320">
        <v>0.23512789627</v>
      </c>
    </row>
    <row r="76" spans="1:11" ht="14.4" customHeight="1" thickBot="1" x14ac:dyDescent="0.35">
      <c r="A76" s="336" t="s">
        <v>286</v>
      </c>
      <c r="B76" s="316">
        <v>0</v>
      </c>
      <c r="C76" s="316">
        <v>1.034</v>
      </c>
      <c r="D76" s="317">
        <v>1.034</v>
      </c>
      <c r="E76" s="326" t="s">
        <v>218</v>
      </c>
      <c r="F76" s="316">
        <v>0</v>
      </c>
      <c r="G76" s="317">
        <v>0</v>
      </c>
      <c r="H76" s="319">
        <v>4.9406564584124654E-324</v>
      </c>
      <c r="I76" s="316">
        <v>1.4821969375237396E-323</v>
      </c>
      <c r="J76" s="317">
        <v>1.4821969375237396E-323</v>
      </c>
      <c r="K76" s="329" t="s">
        <v>218</v>
      </c>
    </row>
    <row r="77" spans="1:11" ht="14.4" customHeight="1" thickBot="1" x14ac:dyDescent="0.35">
      <c r="A77" s="337" t="s">
        <v>287</v>
      </c>
      <c r="B77" s="321">
        <v>4.9406564584124654E-324</v>
      </c>
      <c r="C77" s="321">
        <v>1.034</v>
      </c>
      <c r="D77" s="322">
        <v>1.034</v>
      </c>
      <c r="E77" s="323" t="s">
        <v>224</v>
      </c>
      <c r="F77" s="321">
        <v>0</v>
      </c>
      <c r="G77" s="322">
        <v>0</v>
      </c>
      <c r="H77" s="324">
        <v>4.9406564584124654E-324</v>
      </c>
      <c r="I77" s="321">
        <v>1.4821969375237396E-323</v>
      </c>
      <c r="J77" s="322">
        <v>1.4821969375237396E-323</v>
      </c>
      <c r="K77" s="328" t="s">
        <v>218</v>
      </c>
    </row>
    <row r="78" spans="1:11" ht="14.4" customHeight="1" thickBot="1" x14ac:dyDescent="0.35">
      <c r="A78" s="338" t="s">
        <v>288</v>
      </c>
      <c r="B78" s="316">
        <v>4.9406564584124654E-324</v>
      </c>
      <c r="C78" s="316">
        <v>1.034</v>
      </c>
      <c r="D78" s="317">
        <v>1.034</v>
      </c>
      <c r="E78" s="326" t="s">
        <v>224</v>
      </c>
      <c r="F78" s="316">
        <v>0</v>
      </c>
      <c r="G78" s="317">
        <v>0</v>
      </c>
      <c r="H78" s="319">
        <v>4.9406564584124654E-324</v>
      </c>
      <c r="I78" s="316">
        <v>1.4821969375237396E-323</v>
      </c>
      <c r="J78" s="317">
        <v>1.4821969375237396E-323</v>
      </c>
      <c r="K78" s="329" t="s">
        <v>218</v>
      </c>
    </row>
    <row r="79" spans="1:11" ht="14.4" customHeight="1" thickBot="1" x14ac:dyDescent="0.35">
      <c r="A79" s="334" t="s">
        <v>289</v>
      </c>
      <c r="B79" s="316">
        <v>7524.2164956824199</v>
      </c>
      <c r="C79" s="316">
        <v>6631.3378499999999</v>
      </c>
      <c r="D79" s="317">
        <v>-892.87864568242196</v>
      </c>
      <c r="E79" s="318">
        <v>0.88133267481099997</v>
      </c>
      <c r="F79" s="316">
        <v>7065.5011840815296</v>
      </c>
      <c r="G79" s="317">
        <v>1766.3752960203799</v>
      </c>
      <c r="H79" s="319">
        <v>661.75104999999996</v>
      </c>
      <c r="I79" s="316">
        <v>2013.9998800000001</v>
      </c>
      <c r="J79" s="317">
        <v>247.624583979617</v>
      </c>
      <c r="K79" s="320">
        <v>0.28504699490199997</v>
      </c>
    </row>
    <row r="80" spans="1:11" ht="14.4" customHeight="1" thickBot="1" x14ac:dyDescent="0.35">
      <c r="A80" s="335" t="s">
        <v>290</v>
      </c>
      <c r="B80" s="316">
        <v>7469.3623792708404</v>
      </c>
      <c r="C80" s="316">
        <v>6567.9650000000001</v>
      </c>
      <c r="D80" s="317">
        <v>-901.39737927084002</v>
      </c>
      <c r="E80" s="318">
        <v>0.87932070590400002</v>
      </c>
      <c r="F80" s="316">
        <v>7019.6462461520096</v>
      </c>
      <c r="G80" s="317">
        <v>1754.9115615379999</v>
      </c>
      <c r="H80" s="319">
        <v>653.28007000000002</v>
      </c>
      <c r="I80" s="316">
        <v>1992.81834</v>
      </c>
      <c r="J80" s="317">
        <v>237.90677846199699</v>
      </c>
      <c r="K80" s="320">
        <v>0.28389156235500002</v>
      </c>
    </row>
    <row r="81" spans="1:11" ht="14.4" customHeight="1" thickBot="1" x14ac:dyDescent="0.35">
      <c r="A81" s="336" t="s">
        <v>291</v>
      </c>
      <c r="B81" s="316">
        <v>7469.3623792708404</v>
      </c>
      <c r="C81" s="316">
        <v>6567.9650000000001</v>
      </c>
      <c r="D81" s="317">
        <v>-901.39737927084002</v>
      </c>
      <c r="E81" s="318">
        <v>0.87932070590400002</v>
      </c>
      <c r="F81" s="316">
        <v>7019.6462461520096</v>
      </c>
      <c r="G81" s="317">
        <v>1754.9115615379999</v>
      </c>
      <c r="H81" s="319">
        <v>653.28007000000002</v>
      </c>
      <c r="I81" s="316">
        <v>1992.81834</v>
      </c>
      <c r="J81" s="317">
        <v>237.90677846199699</v>
      </c>
      <c r="K81" s="320">
        <v>0.28389156235500002</v>
      </c>
    </row>
    <row r="82" spans="1:11" ht="14.4" customHeight="1" thickBot="1" x14ac:dyDescent="0.35">
      <c r="A82" s="337" t="s">
        <v>292</v>
      </c>
      <c r="B82" s="321">
        <v>16.361912648484001</v>
      </c>
      <c r="C82" s="321">
        <v>15.66342</v>
      </c>
      <c r="D82" s="322">
        <v>-0.69849264848399994</v>
      </c>
      <c r="E82" s="327">
        <v>0.95730984124499996</v>
      </c>
      <c r="F82" s="321">
        <v>16.646246152012001</v>
      </c>
      <c r="G82" s="322">
        <v>4.1615615380030002</v>
      </c>
      <c r="H82" s="324">
        <v>3.1789800000000001</v>
      </c>
      <c r="I82" s="321">
        <v>3.1789800000000001</v>
      </c>
      <c r="J82" s="322">
        <v>-0.98258153800199999</v>
      </c>
      <c r="K82" s="325">
        <v>0.19097278575400001</v>
      </c>
    </row>
    <row r="83" spans="1:11" ht="14.4" customHeight="1" thickBot="1" x14ac:dyDescent="0.35">
      <c r="A83" s="338" t="s">
        <v>293</v>
      </c>
      <c r="B83" s="316">
        <v>16.361912648484001</v>
      </c>
      <c r="C83" s="316">
        <v>15.66342</v>
      </c>
      <c r="D83" s="317">
        <v>-0.69849264848399994</v>
      </c>
      <c r="E83" s="318">
        <v>0.95730984124499996</v>
      </c>
      <c r="F83" s="316">
        <v>16.646246152012001</v>
      </c>
      <c r="G83" s="317">
        <v>4.1615615380030002</v>
      </c>
      <c r="H83" s="319">
        <v>3.1789800000000001</v>
      </c>
      <c r="I83" s="316">
        <v>3.1789800000000001</v>
      </c>
      <c r="J83" s="317">
        <v>-0.98258153800199999</v>
      </c>
      <c r="K83" s="320">
        <v>0.19097278575400001</v>
      </c>
    </row>
    <row r="84" spans="1:11" ht="14.4" customHeight="1" thickBot="1" x14ac:dyDescent="0.35">
      <c r="A84" s="337" t="s">
        <v>294</v>
      </c>
      <c r="B84" s="321">
        <v>13.000067426026</v>
      </c>
      <c r="C84" s="321">
        <v>8.74282</v>
      </c>
      <c r="D84" s="322">
        <v>-4.2572474260259998</v>
      </c>
      <c r="E84" s="327">
        <v>0.67252112727400004</v>
      </c>
      <c r="F84" s="321">
        <v>0</v>
      </c>
      <c r="G84" s="322">
        <v>0</v>
      </c>
      <c r="H84" s="324">
        <v>1.1484000000000001</v>
      </c>
      <c r="I84" s="321">
        <v>4.24627</v>
      </c>
      <c r="J84" s="322">
        <v>4.24627</v>
      </c>
      <c r="K84" s="328" t="s">
        <v>218</v>
      </c>
    </row>
    <row r="85" spans="1:11" ht="14.4" customHeight="1" thickBot="1" x14ac:dyDescent="0.35">
      <c r="A85" s="338" t="s">
        <v>295</v>
      </c>
      <c r="B85" s="316">
        <v>5.0000697404340002</v>
      </c>
      <c r="C85" s="316">
        <v>8.74282</v>
      </c>
      <c r="D85" s="317">
        <v>3.7427502595650002</v>
      </c>
      <c r="E85" s="318">
        <v>1.748539611217</v>
      </c>
      <c r="F85" s="316">
        <v>0</v>
      </c>
      <c r="G85" s="317">
        <v>0</v>
      </c>
      <c r="H85" s="319">
        <v>1.1484000000000001</v>
      </c>
      <c r="I85" s="316">
        <v>4.24627</v>
      </c>
      <c r="J85" s="317">
        <v>4.24627</v>
      </c>
      <c r="K85" s="329" t="s">
        <v>218</v>
      </c>
    </row>
    <row r="86" spans="1:11" ht="14.4" customHeight="1" thickBot="1" x14ac:dyDescent="0.35">
      <c r="A86" s="337" t="s">
        <v>296</v>
      </c>
      <c r="B86" s="321">
        <v>8.0004244643270006</v>
      </c>
      <c r="C86" s="321">
        <v>2.9051999999999998</v>
      </c>
      <c r="D86" s="322">
        <v>-5.0952244643269999</v>
      </c>
      <c r="E86" s="327">
        <v>0.36313073299400001</v>
      </c>
      <c r="F86" s="321">
        <v>0</v>
      </c>
      <c r="G86" s="322">
        <v>0</v>
      </c>
      <c r="H86" s="324">
        <v>1.1484000000000001</v>
      </c>
      <c r="I86" s="321">
        <v>1.1484000000000001</v>
      </c>
      <c r="J86" s="322">
        <v>1.1484000000000001</v>
      </c>
      <c r="K86" s="328" t="s">
        <v>218</v>
      </c>
    </row>
    <row r="87" spans="1:11" ht="14.4" customHeight="1" thickBot="1" x14ac:dyDescent="0.35">
      <c r="A87" s="338" t="s">
        <v>297</v>
      </c>
      <c r="B87" s="316">
        <v>4.9998308612600004</v>
      </c>
      <c r="C87" s="316">
        <v>2.9051999999999998</v>
      </c>
      <c r="D87" s="317">
        <v>-2.0946308612600002</v>
      </c>
      <c r="E87" s="318">
        <v>0.581059655939</v>
      </c>
      <c r="F87" s="316">
        <v>0</v>
      </c>
      <c r="G87" s="317">
        <v>0</v>
      </c>
      <c r="H87" s="319">
        <v>4.9406564584124654E-324</v>
      </c>
      <c r="I87" s="316">
        <v>1.4821969375237396E-323</v>
      </c>
      <c r="J87" s="317">
        <v>1.4821969375237396E-323</v>
      </c>
      <c r="K87" s="329" t="s">
        <v>218</v>
      </c>
    </row>
    <row r="88" spans="1:11" ht="14.4" customHeight="1" thickBot="1" x14ac:dyDescent="0.35">
      <c r="A88" s="338" t="s">
        <v>298</v>
      </c>
      <c r="B88" s="316">
        <v>3.0005936030670002</v>
      </c>
      <c r="C88" s="316">
        <v>4.9406564584124654E-324</v>
      </c>
      <c r="D88" s="317">
        <v>-3.0005936030670002</v>
      </c>
      <c r="E88" s="318">
        <v>0</v>
      </c>
      <c r="F88" s="316">
        <v>4.9406564584124654E-324</v>
      </c>
      <c r="G88" s="317">
        <v>0</v>
      </c>
      <c r="H88" s="319">
        <v>1.1484000000000001</v>
      </c>
      <c r="I88" s="316">
        <v>1.1484000000000001</v>
      </c>
      <c r="J88" s="317">
        <v>1.1484000000000001</v>
      </c>
      <c r="K88" s="329" t="s">
        <v>224</v>
      </c>
    </row>
    <row r="89" spans="1:11" ht="14.4" customHeight="1" thickBot="1" x14ac:dyDescent="0.35">
      <c r="A89" s="337" t="s">
        <v>299</v>
      </c>
      <c r="B89" s="321">
        <v>4.9406564584124654E-324</v>
      </c>
      <c r="C89" s="321">
        <v>-0.15060999999999999</v>
      </c>
      <c r="D89" s="322">
        <v>-0.15060999999999999</v>
      </c>
      <c r="E89" s="323" t="s">
        <v>224</v>
      </c>
      <c r="F89" s="321">
        <v>0</v>
      </c>
      <c r="G89" s="322">
        <v>0</v>
      </c>
      <c r="H89" s="324">
        <v>4.9406564584124654E-324</v>
      </c>
      <c r="I89" s="321">
        <v>1.4821969375237396E-323</v>
      </c>
      <c r="J89" s="322">
        <v>1.4821969375237396E-323</v>
      </c>
      <c r="K89" s="328" t="s">
        <v>218</v>
      </c>
    </row>
    <row r="90" spans="1:11" ht="14.4" customHeight="1" thickBot="1" x14ac:dyDescent="0.35">
      <c r="A90" s="338" t="s">
        <v>300</v>
      </c>
      <c r="B90" s="316">
        <v>4.9406564584124654E-324</v>
      </c>
      <c r="C90" s="316">
        <v>-0.15060999999999999</v>
      </c>
      <c r="D90" s="317">
        <v>-0.15060999999999999</v>
      </c>
      <c r="E90" s="326" t="s">
        <v>224</v>
      </c>
      <c r="F90" s="316">
        <v>0</v>
      </c>
      <c r="G90" s="317">
        <v>0</v>
      </c>
      <c r="H90" s="319">
        <v>4.9406564584124654E-324</v>
      </c>
      <c r="I90" s="316">
        <v>1.4821969375237396E-323</v>
      </c>
      <c r="J90" s="317">
        <v>1.4821969375237396E-323</v>
      </c>
      <c r="K90" s="329" t="s">
        <v>218</v>
      </c>
    </row>
    <row r="91" spans="1:11" ht="14.4" customHeight="1" thickBot="1" x14ac:dyDescent="0.35">
      <c r="A91" s="337" t="s">
        <v>301</v>
      </c>
      <c r="B91" s="321">
        <v>7431.9999747319998</v>
      </c>
      <c r="C91" s="321">
        <v>6205.1005100000002</v>
      </c>
      <c r="D91" s="322">
        <v>-1226.8994647320001</v>
      </c>
      <c r="E91" s="327">
        <v>0.83491664842500002</v>
      </c>
      <c r="F91" s="321">
        <v>7003</v>
      </c>
      <c r="G91" s="322">
        <v>1750.75</v>
      </c>
      <c r="H91" s="324">
        <v>647.80429000000004</v>
      </c>
      <c r="I91" s="321">
        <v>1948.00992</v>
      </c>
      <c r="J91" s="322">
        <v>197.25991999999999</v>
      </c>
      <c r="K91" s="325">
        <v>0.27816791660700002</v>
      </c>
    </row>
    <row r="92" spans="1:11" ht="14.4" customHeight="1" thickBot="1" x14ac:dyDescent="0.35">
      <c r="A92" s="338" t="s">
        <v>302</v>
      </c>
      <c r="B92" s="316">
        <v>2724.9999917847999</v>
      </c>
      <c r="C92" s="316">
        <v>2232.4823200000001</v>
      </c>
      <c r="D92" s="317">
        <v>-492.51767178479798</v>
      </c>
      <c r="E92" s="318">
        <v>0.81925956944199996</v>
      </c>
      <c r="F92" s="316">
        <v>2495</v>
      </c>
      <c r="G92" s="317">
        <v>623.75</v>
      </c>
      <c r="H92" s="319">
        <v>194.76018999999999</v>
      </c>
      <c r="I92" s="316">
        <v>625.43507999999997</v>
      </c>
      <c r="J92" s="317">
        <v>1.685079999999</v>
      </c>
      <c r="K92" s="320">
        <v>0.25067538276500001</v>
      </c>
    </row>
    <row r="93" spans="1:11" ht="14.4" customHeight="1" thickBot="1" x14ac:dyDescent="0.35">
      <c r="A93" s="338" t="s">
        <v>303</v>
      </c>
      <c r="B93" s="316">
        <v>4706.9999829471999</v>
      </c>
      <c r="C93" s="316">
        <v>3972.6181900000001</v>
      </c>
      <c r="D93" s="317">
        <v>-734.38179294720305</v>
      </c>
      <c r="E93" s="318">
        <v>0.84398092296399996</v>
      </c>
      <c r="F93" s="316">
        <v>4508</v>
      </c>
      <c r="G93" s="317">
        <v>1127</v>
      </c>
      <c r="H93" s="319">
        <v>453.04410000000001</v>
      </c>
      <c r="I93" s="316">
        <v>1322.57484</v>
      </c>
      <c r="J93" s="317">
        <v>195.57483999999999</v>
      </c>
      <c r="K93" s="320">
        <v>0.29338394853499999</v>
      </c>
    </row>
    <row r="94" spans="1:11" ht="14.4" customHeight="1" thickBot="1" x14ac:dyDescent="0.35">
      <c r="A94" s="337" t="s">
        <v>304</v>
      </c>
      <c r="B94" s="321">
        <v>0</v>
      </c>
      <c r="C94" s="321">
        <v>335.70366000000001</v>
      </c>
      <c r="D94" s="322">
        <v>335.70366000000001</v>
      </c>
      <c r="E94" s="323" t="s">
        <v>218</v>
      </c>
      <c r="F94" s="321">
        <v>0</v>
      </c>
      <c r="G94" s="322">
        <v>0</v>
      </c>
      <c r="H94" s="324">
        <v>4.9406564584124654E-324</v>
      </c>
      <c r="I94" s="321">
        <v>36.234769999999997</v>
      </c>
      <c r="J94" s="322">
        <v>36.234769999999997</v>
      </c>
      <c r="K94" s="328" t="s">
        <v>218</v>
      </c>
    </row>
    <row r="95" spans="1:11" ht="14.4" customHeight="1" thickBot="1" x14ac:dyDescent="0.35">
      <c r="A95" s="338" t="s">
        <v>305</v>
      </c>
      <c r="B95" s="316">
        <v>4.9406564584124654E-324</v>
      </c>
      <c r="C95" s="316">
        <v>185.40097</v>
      </c>
      <c r="D95" s="317">
        <v>185.40097</v>
      </c>
      <c r="E95" s="326" t="s">
        <v>224</v>
      </c>
      <c r="F95" s="316">
        <v>0</v>
      </c>
      <c r="G95" s="317">
        <v>0</v>
      </c>
      <c r="H95" s="319">
        <v>4.9406564584124654E-324</v>
      </c>
      <c r="I95" s="316">
        <v>13.937810000000001</v>
      </c>
      <c r="J95" s="317">
        <v>13.937810000000001</v>
      </c>
      <c r="K95" s="329" t="s">
        <v>218</v>
      </c>
    </row>
    <row r="96" spans="1:11" ht="14.4" customHeight="1" thickBot="1" x14ac:dyDescent="0.35">
      <c r="A96" s="338" t="s">
        <v>306</v>
      </c>
      <c r="B96" s="316">
        <v>0</v>
      </c>
      <c r="C96" s="316">
        <v>150.30269000000001</v>
      </c>
      <c r="D96" s="317">
        <v>150.30269000000001</v>
      </c>
      <c r="E96" s="326" t="s">
        <v>218</v>
      </c>
      <c r="F96" s="316">
        <v>0</v>
      </c>
      <c r="G96" s="317">
        <v>0</v>
      </c>
      <c r="H96" s="319">
        <v>4.9406564584124654E-324</v>
      </c>
      <c r="I96" s="316">
        <v>22.296959999999999</v>
      </c>
      <c r="J96" s="317">
        <v>22.296959999999999</v>
      </c>
      <c r="K96" s="329" t="s">
        <v>218</v>
      </c>
    </row>
    <row r="97" spans="1:11" ht="14.4" customHeight="1" thickBot="1" x14ac:dyDescent="0.35">
      <c r="A97" s="335" t="s">
        <v>307</v>
      </c>
      <c r="B97" s="316">
        <v>54.854116411581998</v>
      </c>
      <c r="C97" s="316">
        <v>63.37285</v>
      </c>
      <c r="D97" s="317">
        <v>8.5187335884179998</v>
      </c>
      <c r="E97" s="318">
        <v>1.1552979820960001</v>
      </c>
      <c r="F97" s="316">
        <v>45.854937929517</v>
      </c>
      <c r="G97" s="317">
        <v>11.463734482379</v>
      </c>
      <c r="H97" s="319">
        <v>8.4709800000000008</v>
      </c>
      <c r="I97" s="316">
        <v>21.181539999999998</v>
      </c>
      <c r="J97" s="317">
        <v>9.7178055176200004</v>
      </c>
      <c r="K97" s="320">
        <v>0.461924951955</v>
      </c>
    </row>
    <row r="98" spans="1:11" ht="14.4" customHeight="1" thickBot="1" x14ac:dyDescent="0.35">
      <c r="A98" s="336" t="s">
        <v>308</v>
      </c>
      <c r="B98" s="316">
        <v>8.999178482064</v>
      </c>
      <c r="C98" s="316">
        <v>2.2114099999999999</v>
      </c>
      <c r="D98" s="317">
        <v>-6.7877684820640001</v>
      </c>
      <c r="E98" s="318">
        <v>0.245734652824</v>
      </c>
      <c r="F98" s="316">
        <v>0</v>
      </c>
      <c r="G98" s="317">
        <v>0</v>
      </c>
      <c r="H98" s="319">
        <v>4.9406564584124654E-324</v>
      </c>
      <c r="I98" s="316">
        <v>1.4821969375237396E-323</v>
      </c>
      <c r="J98" s="317">
        <v>1.4821969375237396E-323</v>
      </c>
      <c r="K98" s="329" t="s">
        <v>218</v>
      </c>
    </row>
    <row r="99" spans="1:11" ht="14.4" customHeight="1" thickBot="1" x14ac:dyDescent="0.35">
      <c r="A99" s="337" t="s">
        <v>309</v>
      </c>
      <c r="B99" s="321">
        <v>8.999178482064</v>
      </c>
      <c r="C99" s="321">
        <v>2.2114099999999999</v>
      </c>
      <c r="D99" s="322">
        <v>-6.7877684820640001</v>
      </c>
      <c r="E99" s="327">
        <v>0.245734652824</v>
      </c>
      <c r="F99" s="321">
        <v>0</v>
      </c>
      <c r="G99" s="322">
        <v>0</v>
      </c>
      <c r="H99" s="324">
        <v>4.9406564584124654E-324</v>
      </c>
      <c r="I99" s="321">
        <v>1.4821969375237396E-323</v>
      </c>
      <c r="J99" s="322">
        <v>1.4821969375237396E-323</v>
      </c>
      <c r="K99" s="328" t="s">
        <v>218</v>
      </c>
    </row>
    <row r="100" spans="1:11" ht="14.4" customHeight="1" thickBot="1" x14ac:dyDescent="0.35">
      <c r="A100" s="338" t="s">
        <v>310</v>
      </c>
      <c r="B100" s="316">
        <v>0</v>
      </c>
      <c r="C100" s="316">
        <v>1.8149999999999999</v>
      </c>
      <c r="D100" s="317">
        <v>1.8149999999999999</v>
      </c>
      <c r="E100" s="326" t="s">
        <v>218</v>
      </c>
      <c r="F100" s="316">
        <v>0</v>
      </c>
      <c r="G100" s="317">
        <v>0</v>
      </c>
      <c r="H100" s="319">
        <v>4.9406564584124654E-324</v>
      </c>
      <c r="I100" s="316">
        <v>1.4821969375237396E-323</v>
      </c>
      <c r="J100" s="317">
        <v>1.4821969375237396E-323</v>
      </c>
      <c r="K100" s="329" t="s">
        <v>218</v>
      </c>
    </row>
    <row r="101" spans="1:11" ht="14.4" customHeight="1" thickBot="1" x14ac:dyDescent="0.35">
      <c r="A101" s="338" t="s">
        <v>311</v>
      </c>
      <c r="B101" s="316">
        <v>0</v>
      </c>
      <c r="C101" s="316">
        <v>0.39640999999999998</v>
      </c>
      <c r="D101" s="317">
        <v>0.39640999999999998</v>
      </c>
      <c r="E101" s="326" t="s">
        <v>218</v>
      </c>
      <c r="F101" s="316">
        <v>0</v>
      </c>
      <c r="G101" s="317">
        <v>0</v>
      </c>
      <c r="H101" s="319">
        <v>4.9406564584124654E-324</v>
      </c>
      <c r="I101" s="316">
        <v>1.4821969375237396E-323</v>
      </c>
      <c r="J101" s="317">
        <v>1.4821969375237396E-323</v>
      </c>
      <c r="K101" s="329" t="s">
        <v>218</v>
      </c>
    </row>
    <row r="102" spans="1:11" ht="14.4" customHeight="1" thickBot="1" x14ac:dyDescent="0.35">
      <c r="A102" s="341" t="s">
        <v>312</v>
      </c>
      <c r="B102" s="321">
        <v>45.854937929517</v>
      </c>
      <c r="C102" s="321">
        <v>61.161439999999999</v>
      </c>
      <c r="D102" s="322">
        <v>15.306502070482001</v>
      </c>
      <c r="E102" s="327">
        <v>1.333802699591</v>
      </c>
      <c r="F102" s="321">
        <v>45.854937929517</v>
      </c>
      <c r="G102" s="322">
        <v>11.463734482379</v>
      </c>
      <c r="H102" s="324">
        <v>8.4709800000000008</v>
      </c>
      <c r="I102" s="321">
        <v>21.181539999999998</v>
      </c>
      <c r="J102" s="322">
        <v>9.7178055176200004</v>
      </c>
      <c r="K102" s="325">
        <v>0.461924951955</v>
      </c>
    </row>
    <row r="103" spans="1:11" ht="14.4" customHeight="1" thickBot="1" x14ac:dyDescent="0.35">
      <c r="A103" s="337" t="s">
        <v>313</v>
      </c>
      <c r="B103" s="321">
        <v>4.9406564584124654E-324</v>
      </c>
      <c r="C103" s="321">
        <v>0.34</v>
      </c>
      <c r="D103" s="322">
        <v>0.34</v>
      </c>
      <c r="E103" s="323" t="s">
        <v>224</v>
      </c>
      <c r="F103" s="321">
        <v>0</v>
      </c>
      <c r="G103" s="322">
        <v>0</v>
      </c>
      <c r="H103" s="324">
        <v>4.9406564584124654E-324</v>
      </c>
      <c r="I103" s="321">
        <v>1.4821969375237396E-323</v>
      </c>
      <c r="J103" s="322">
        <v>1.4821969375237396E-323</v>
      </c>
      <c r="K103" s="328" t="s">
        <v>218</v>
      </c>
    </row>
    <row r="104" spans="1:11" ht="14.4" customHeight="1" thickBot="1" x14ac:dyDescent="0.35">
      <c r="A104" s="338" t="s">
        <v>314</v>
      </c>
      <c r="B104" s="316">
        <v>4.9406564584124654E-324</v>
      </c>
      <c r="C104" s="316">
        <v>0.34</v>
      </c>
      <c r="D104" s="317">
        <v>0.34</v>
      </c>
      <c r="E104" s="326" t="s">
        <v>224</v>
      </c>
      <c r="F104" s="316">
        <v>0</v>
      </c>
      <c r="G104" s="317">
        <v>0</v>
      </c>
      <c r="H104" s="319">
        <v>4.9406564584124654E-324</v>
      </c>
      <c r="I104" s="316">
        <v>1.4821969375237396E-323</v>
      </c>
      <c r="J104" s="317">
        <v>1.4821969375237396E-323</v>
      </c>
      <c r="K104" s="329" t="s">
        <v>218</v>
      </c>
    </row>
    <row r="105" spans="1:11" ht="14.4" customHeight="1" thickBot="1" x14ac:dyDescent="0.35">
      <c r="A105" s="337" t="s">
        <v>315</v>
      </c>
      <c r="B105" s="321">
        <v>0</v>
      </c>
      <c r="C105" s="321">
        <v>5.08012</v>
      </c>
      <c r="D105" s="322">
        <v>5.08012</v>
      </c>
      <c r="E105" s="323" t="s">
        <v>218</v>
      </c>
      <c r="F105" s="321">
        <v>0</v>
      </c>
      <c r="G105" s="322">
        <v>0</v>
      </c>
      <c r="H105" s="324">
        <v>8.0000000000000007E-5</v>
      </c>
      <c r="I105" s="321">
        <v>5.0000000000000002E-5</v>
      </c>
      <c r="J105" s="322">
        <v>5.0000000000000002E-5</v>
      </c>
      <c r="K105" s="328" t="s">
        <v>218</v>
      </c>
    </row>
    <row r="106" spans="1:11" ht="14.4" customHeight="1" thickBot="1" x14ac:dyDescent="0.35">
      <c r="A106" s="338" t="s">
        <v>316</v>
      </c>
      <c r="B106" s="316">
        <v>0</v>
      </c>
      <c r="C106" s="316">
        <v>1.2E-4</v>
      </c>
      <c r="D106" s="317">
        <v>1.2E-4</v>
      </c>
      <c r="E106" s="326" t="s">
        <v>218</v>
      </c>
      <c r="F106" s="316">
        <v>0</v>
      </c>
      <c r="G106" s="317">
        <v>0</v>
      </c>
      <c r="H106" s="319">
        <v>8.0000000000000007E-5</v>
      </c>
      <c r="I106" s="316">
        <v>5.0000000000000002E-5</v>
      </c>
      <c r="J106" s="317">
        <v>5.0000000000000002E-5</v>
      </c>
      <c r="K106" s="329" t="s">
        <v>218</v>
      </c>
    </row>
    <row r="107" spans="1:11" ht="14.4" customHeight="1" thickBot="1" x14ac:dyDescent="0.35">
      <c r="A107" s="338" t="s">
        <v>317</v>
      </c>
      <c r="B107" s="316">
        <v>4.9406564584124654E-324</v>
      </c>
      <c r="C107" s="316">
        <v>5.08</v>
      </c>
      <c r="D107" s="317">
        <v>5.08</v>
      </c>
      <c r="E107" s="326" t="s">
        <v>224</v>
      </c>
      <c r="F107" s="316">
        <v>0</v>
      </c>
      <c r="G107" s="317">
        <v>0</v>
      </c>
      <c r="H107" s="319">
        <v>4.9406564584124654E-324</v>
      </c>
      <c r="I107" s="316">
        <v>1.4821969375237396E-323</v>
      </c>
      <c r="J107" s="317">
        <v>1.4821969375237396E-323</v>
      </c>
      <c r="K107" s="329" t="s">
        <v>218</v>
      </c>
    </row>
    <row r="108" spans="1:11" ht="14.4" customHeight="1" thickBot="1" x14ac:dyDescent="0.35">
      <c r="A108" s="337" t="s">
        <v>318</v>
      </c>
      <c r="B108" s="321">
        <v>45.854937929517</v>
      </c>
      <c r="C108" s="321">
        <v>55.741320000000002</v>
      </c>
      <c r="D108" s="322">
        <v>9.886382070482</v>
      </c>
      <c r="E108" s="327">
        <v>1.2156012529260001</v>
      </c>
      <c r="F108" s="321">
        <v>45.854937929517</v>
      </c>
      <c r="G108" s="322">
        <v>11.463734482379</v>
      </c>
      <c r="H108" s="324">
        <v>8.4709000000000003</v>
      </c>
      <c r="I108" s="321">
        <v>21.18149</v>
      </c>
      <c r="J108" s="322">
        <v>9.7177555176200006</v>
      </c>
      <c r="K108" s="325">
        <v>0.46192386155999998</v>
      </c>
    </row>
    <row r="109" spans="1:11" ht="14.4" customHeight="1" thickBot="1" x14ac:dyDescent="0.35">
      <c r="A109" s="338" t="s">
        <v>319</v>
      </c>
      <c r="B109" s="316">
        <v>4.9406564584124654E-324</v>
      </c>
      <c r="C109" s="316">
        <v>1.48752</v>
      </c>
      <c r="D109" s="317">
        <v>1.48752</v>
      </c>
      <c r="E109" s="326" t="s">
        <v>224</v>
      </c>
      <c r="F109" s="316">
        <v>4.9406564584124654E-324</v>
      </c>
      <c r="G109" s="317">
        <v>0</v>
      </c>
      <c r="H109" s="319">
        <v>-2.2312799999999999</v>
      </c>
      <c r="I109" s="316">
        <v>-1.48752</v>
      </c>
      <c r="J109" s="317">
        <v>-1.48752</v>
      </c>
      <c r="K109" s="329" t="s">
        <v>224</v>
      </c>
    </row>
    <row r="110" spans="1:11" ht="14.4" customHeight="1" thickBot="1" x14ac:dyDescent="0.35">
      <c r="A110" s="338" t="s">
        <v>320</v>
      </c>
      <c r="B110" s="316">
        <v>45.854937929517</v>
      </c>
      <c r="C110" s="316">
        <v>54.253799999999998</v>
      </c>
      <c r="D110" s="317">
        <v>8.3988620704820001</v>
      </c>
      <c r="E110" s="318">
        <v>1.1831615623030001</v>
      </c>
      <c r="F110" s="316">
        <v>45.854937929517</v>
      </c>
      <c r="G110" s="317">
        <v>11.463734482379</v>
      </c>
      <c r="H110" s="319">
        <v>10.70218</v>
      </c>
      <c r="I110" s="316">
        <v>22.66901</v>
      </c>
      <c r="J110" s="317">
        <v>11.205275517620001</v>
      </c>
      <c r="K110" s="320">
        <v>0.49436355218299999</v>
      </c>
    </row>
    <row r="111" spans="1:11" ht="14.4" customHeight="1" thickBot="1" x14ac:dyDescent="0.35">
      <c r="A111" s="334" t="s">
        <v>321</v>
      </c>
      <c r="B111" s="316">
        <v>1109.6533070524499</v>
      </c>
      <c r="C111" s="316">
        <v>893.32807000000003</v>
      </c>
      <c r="D111" s="317">
        <v>-216.32523705245001</v>
      </c>
      <c r="E111" s="318">
        <v>0.80505150962200001</v>
      </c>
      <c r="F111" s="316">
        <v>1142.00028352708</v>
      </c>
      <c r="G111" s="317">
        <v>285.50007088176898</v>
      </c>
      <c r="H111" s="319">
        <v>82.433869999999999</v>
      </c>
      <c r="I111" s="316">
        <v>246.92189999999999</v>
      </c>
      <c r="J111" s="317">
        <v>-38.578170881768997</v>
      </c>
      <c r="K111" s="320">
        <v>0.21621877293799999</v>
      </c>
    </row>
    <row r="112" spans="1:11" ht="14.4" customHeight="1" thickBot="1" x14ac:dyDescent="0.35">
      <c r="A112" s="339" t="s">
        <v>322</v>
      </c>
      <c r="B112" s="321">
        <v>1109.6533070524499</v>
      </c>
      <c r="C112" s="321">
        <v>893.32807000000003</v>
      </c>
      <c r="D112" s="322">
        <v>-216.32523705245001</v>
      </c>
      <c r="E112" s="327">
        <v>0.80505150962200001</v>
      </c>
      <c r="F112" s="321">
        <v>1142.00028352708</v>
      </c>
      <c r="G112" s="322">
        <v>285.50007088176898</v>
      </c>
      <c r="H112" s="324">
        <v>82.433869999999999</v>
      </c>
      <c r="I112" s="321">
        <v>246.92189999999999</v>
      </c>
      <c r="J112" s="322">
        <v>-38.578170881768997</v>
      </c>
      <c r="K112" s="325">
        <v>0.21621877293799999</v>
      </c>
    </row>
    <row r="113" spans="1:11" ht="14.4" customHeight="1" thickBot="1" x14ac:dyDescent="0.35">
      <c r="A113" s="341" t="s">
        <v>31</v>
      </c>
      <c r="B113" s="321">
        <v>1109.6533070524499</v>
      </c>
      <c r="C113" s="321">
        <v>893.32807000000003</v>
      </c>
      <c r="D113" s="322">
        <v>-216.32523705245001</v>
      </c>
      <c r="E113" s="327">
        <v>0.80505150962200001</v>
      </c>
      <c r="F113" s="321">
        <v>1142.00028352708</v>
      </c>
      <c r="G113" s="322">
        <v>285.50007088176898</v>
      </c>
      <c r="H113" s="324">
        <v>82.433869999999999</v>
      </c>
      <c r="I113" s="321">
        <v>246.92189999999999</v>
      </c>
      <c r="J113" s="322">
        <v>-38.578170881768997</v>
      </c>
      <c r="K113" s="325">
        <v>0.21621877293799999</v>
      </c>
    </row>
    <row r="114" spans="1:11" ht="14.4" customHeight="1" thickBot="1" x14ac:dyDescent="0.35">
      <c r="A114" s="337" t="s">
        <v>323</v>
      </c>
      <c r="B114" s="321">
        <v>4.9999999999989999</v>
      </c>
      <c r="C114" s="321">
        <v>5.1791999999999998</v>
      </c>
      <c r="D114" s="322">
        <v>0.1792</v>
      </c>
      <c r="E114" s="327">
        <v>1.0358400000000001</v>
      </c>
      <c r="F114" s="321">
        <v>3</v>
      </c>
      <c r="G114" s="322">
        <v>0.75</v>
      </c>
      <c r="H114" s="324">
        <v>0.43159999999999998</v>
      </c>
      <c r="I114" s="321">
        <v>1.2948</v>
      </c>
      <c r="J114" s="322">
        <v>0.54479999999999995</v>
      </c>
      <c r="K114" s="325">
        <v>0.43159999999999998</v>
      </c>
    </row>
    <row r="115" spans="1:11" ht="14.4" customHeight="1" thickBot="1" x14ac:dyDescent="0.35">
      <c r="A115" s="338" t="s">
        <v>324</v>
      </c>
      <c r="B115" s="316">
        <v>4.9999999999989999</v>
      </c>
      <c r="C115" s="316">
        <v>5.1791999999999998</v>
      </c>
      <c r="D115" s="317">
        <v>0.1792</v>
      </c>
      <c r="E115" s="318">
        <v>1.0358400000000001</v>
      </c>
      <c r="F115" s="316">
        <v>3</v>
      </c>
      <c r="G115" s="317">
        <v>0.75</v>
      </c>
      <c r="H115" s="319">
        <v>0.43159999999999998</v>
      </c>
      <c r="I115" s="316">
        <v>1.2948</v>
      </c>
      <c r="J115" s="317">
        <v>0.54479999999999995</v>
      </c>
      <c r="K115" s="320">
        <v>0.43159999999999998</v>
      </c>
    </row>
    <row r="116" spans="1:11" ht="14.4" customHeight="1" thickBot="1" x14ac:dyDescent="0.35">
      <c r="A116" s="337" t="s">
        <v>325</v>
      </c>
      <c r="B116" s="321">
        <v>2.8827012321969998</v>
      </c>
      <c r="C116" s="321">
        <v>1.3</v>
      </c>
      <c r="D116" s="322">
        <v>-1.582701232197</v>
      </c>
      <c r="E116" s="327">
        <v>0.45096591539899999</v>
      </c>
      <c r="F116" s="321">
        <v>2.0002835270760002</v>
      </c>
      <c r="G116" s="322">
        <v>0.50007088176900005</v>
      </c>
      <c r="H116" s="324">
        <v>4.9406564584124654E-324</v>
      </c>
      <c r="I116" s="321">
        <v>1.4821969375237396E-323</v>
      </c>
      <c r="J116" s="322">
        <v>-0.50007088176900005</v>
      </c>
      <c r="K116" s="325">
        <v>4.9406564584124654E-324</v>
      </c>
    </row>
    <row r="117" spans="1:11" ht="14.4" customHeight="1" thickBot="1" x14ac:dyDescent="0.35">
      <c r="A117" s="338" t="s">
        <v>326</v>
      </c>
      <c r="B117" s="316">
        <v>2.8827012321969998</v>
      </c>
      <c r="C117" s="316">
        <v>1.3</v>
      </c>
      <c r="D117" s="317">
        <v>-1.582701232197</v>
      </c>
      <c r="E117" s="318">
        <v>0.45096591539899999</v>
      </c>
      <c r="F117" s="316">
        <v>2.0002835270760002</v>
      </c>
      <c r="G117" s="317">
        <v>0.50007088176900005</v>
      </c>
      <c r="H117" s="319">
        <v>4.9406564584124654E-324</v>
      </c>
      <c r="I117" s="316">
        <v>1.4821969375237396E-323</v>
      </c>
      <c r="J117" s="317">
        <v>-0.50007088176900005</v>
      </c>
      <c r="K117" s="320">
        <v>4.9406564584124654E-324</v>
      </c>
    </row>
    <row r="118" spans="1:11" ht="14.4" customHeight="1" thickBot="1" x14ac:dyDescent="0.35">
      <c r="A118" s="337" t="s">
        <v>327</v>
      </c>
      <c r="B118" s="321">
        <v>0</v>
      </c>
      <c r="C118" s="321">
        <v>0.51200000000000001</v>
      </c>
      <c r="D118" s="322">
        <v>0.51200000000000001</v>
      </c>
      <c r="E118" s="323" t="s">
        <v>218</v>
      </c>
      <c r="F118" s="321">
        <v>4.9406564584124654E-324</v>
      </c>
      <c r="G118" s="322">
        <v>0</v>
      </c>
      <c r="H118" s="324">
        <v>4.9406564584124654E-324</v>
      </c>
      <c r="I118" s="321">
        <v>1.4821969375237396E-323</v>
      </c>
      <c r="J118" s="322">
        <v>1.4821969375237396E-323</v>
      </c>
      <c r="K118" s="325">
        <v>0</v>
      </c>
    </row>
    <row r="119" spans="1:11" ht="14.4" customHeight="1" thickBot="1" x14ac:dyDescent="0.35">
      <c r="A119" s="338" t="s">
        <v>328</v>
      </c>
      <c r="B119" s="316">
        <v>0</v>
      </c>
      <c r="C119" s="316">
        <v>0.51200000000000001</v>
      </c>
      <c r="D119" s="317">
        <v>0.51200000000000001</v>
      </c>
      <c r="E119" s="326" t="s">
        <v>218</v>
      </c>
      <c r="F119" s="316">
        <v>4.9406564584124654E-324</v>
      </c>
      <c r="G119" s="317">
        <v>0</v>
      </c>
      <c r="H119" s="319">
        <v>4.9406564584124654E-324</v>
      </c>
      <c r="I119" s="316">
        <v>1.4821969375237396E-323</v>
      </c>
      <c r="J119" s="317">
        <v>1.4821969375237396E-323</v>
      </c>
      <c r="K119" s="320">
        <v>0</v>
      </c>
    </row>
    <row r="120" spans="1:11" ht="14.4" customHeight="1" thickBot="1" x14ac:dyDescent="0.35">
      <c r="A120" s="337" t="s">
        <v>329</v>
      </c>
      <c r="B120" s="321">
        <v>282.99999999999602</v>
      </c>
      <c r="C120" s="321">
        <v>251.11569</v>
      </c>
      <c r="D120" s="322">
        <v>-31.884309999995999</v>
      </c>
      <c r="E120" s="327">
        <v>0.88733459363900002</v>
      </c>
      <c r="F120" s="321">
        <v>349</v>
      </c>
      <c r="G120" s="322">
        <v>87.25</v>
      </c>
      <c r="H120" s="324">
        <v>19.769189999999998</v>
      </c>
      <c r="I120" s="321">
        <v>55.223579999999998</v>
      </c>
      <c r="J120" s="322">
        <v>-32.026420000000002</v>
      </c>
      <c r="K120" s="325">
        <v>0.158233753581</v>
      </c>
    </row>
    <row r="121" spans="1:11" ht="14.4" customHeight="1" thickBot="1" x14ac:dyDescent="0.35">
      <c r="A121" s="338" t="s">
        <v>330</v>
      </c>
      <c r="B121" s="316">
        <v>282.99999999999602</v>
      </c>
      <c r="C121" s="316">
        <v>251.11569</v>
      </c>
      <c r="D121" s="317">
        <v>-31.884309999995999</v>
      </c>
      <c r="E121" s="318">
        <v>0.88733459363900002</v>
      </c>
      <c r="F121" s="316">
        <v>349</v>
      </c>
      <c r="G121" s="317">
        <v>87.25</v>
      </c>
      <c r="H121" s="319">
        <v>19.769189999999998</v>
      </c>
      <c r="I121" s="316">
        <v>55.223579999999998</v>
      </c>
      <c r="J121" s="317">
        <v>-32.026420000000002</v>
      </c>
      <c r="K121" s="320">
        <v>0.158233753581</v>
      </c>
    </row>
    <row r="122" spans="1:11" ht="14.4" customHeight="1" thickBot="1" x14ac:dyDescent="0.35">
      <c r="A122" s="337" t="s">
        <v>331</v>
      </c>
      <c r="B122" s="321">
        <v>816.99999999999</v>
      </c>
      <c r="C122" s="321">
        <v>635.22118</v>
      </c>
      <c r="D122" s="322">
        <v>-181.77881999998999</v>
      </c>
      <c r="E122" s="327">
        <v>0.777504504283</v>
      </c>
      <c r="F122" s="321">
        <v>788</v>
      </c>
      <c r="G122" s="322">
        <v>197</v>
      </c>
      <c r="H122" s="324">
        <v>62.233080000000001</v>
      </c>
      <c r="I122" s="321">
        <v>190.40351999999999</v>
      </c>
      <c r="J122" s="322">
        <v>-6.5964799999989996</v>
      </c>
      <c r="K122" s="325">
        <v>0.24162883248700001</v>
      </c>
    </row>
    <row r="123" spans="1:11" ht="14.4" customHeight="1" thickBot="1" x14ac:dyDescent="0.35">
      <c r="A123" s="338" t="s">
        <v>332</v>
      </c>
      <c r="B123" s="316">
        <v>816.99999999999</v>
      </c>
      <c r="C123" s="316">
        <v>635.22118</v>
      </c>
      <c r="D123" s="317">
        <v>-181.77881999998999</v>
      </c>
      <c r="E123" s="318">
        <v>0.777504504283</v>
      </c>
      <c r="F123" s="316">
        <v>788</v>
      </c>
      <c r="G123" s="317">
        <v>197</v>
      </c>
      <c r="H123" s="319">
        <v>62.233080000000001</v>
      </c>
      <c r="I123" s="316">
        <v>190.40351999999999</v>
      </c>
      <c r="J123" s="317">
        <v>-6.5964799999989996</v>
      </c>
      <c r="K123" s="320">
        <v>0.24162883248700001</v>
      </c>
    </row>
    <row r="124" spans="1:11" ht="14.4" customHeight="1" thickBot="1" x14ac:dyDescent="0.35">
      <c r="A124" s="342"/>
      <c r="B124" s="316">
        <v>153.12421378356399</v>
      </c>
      <c r="C124" s="316">
        <v>-1141.8188299999999</v>
      </c>
      <c r="D124" s="317">
        <v>-1294.9430437835699</v>
      </c>
      <c r="E124" s="318">
        <v>-7.456814319477</v>
      </c>
      <c r="F124" s="316">
        <v>-1299.63495677175</v>
      </c>
      <c r="G124" s="317">
        <v>-324.90873919293699</v>
      </c>
      <c r="H124" s="319">
        <v>30.572590000000002</v>
      </c>
      <c r="I124" s="316">
        <v>105.490769999997</v>
      </c>
      <c r="J124" s="317">
        <v>430.39950919293398</v>
      </c>
      <c r="K124" s="320">
        <v>-8.1169538760999999E-2</v>
      </c>
    </row>
    <row r="125" spans="1:11" ht="14.4" customHeight="1" thickBot="1" x14ac:dyDescent="0.35">
      <c r="A125" s="343" t="s">
        <v>43</v>
      </c>
      <c r="B125" s="330">
        <v>153.12421378356601</v>
      </c>
      <c r="C125" s="330">
        <v>-1141.8188299999999</v>
      </c>
      <c r="D125" s="331">
        <v>-1294.9430437835699</v>
      </c>
      <c r="E125" s="332">
        <v>-1.0224804194299999</v>
      </c>
      <c r="F125" s="330">
        <v>-1299.63495677175</v>
      </c>
      <c r="G125" s="331">
        <v>-324.90873919293699</v>
      </c>
      <c r="H125" s="330">
        <v>30.572590000000002</v>
      </c>
      <c r="I125" s="330">
        <v>105.490769999997</v>
      </c>
      <c r="J125" s="331">
        <v>430.39950919293398</v>
      </c>
      <c r="K125" s="333">
        <v>-8.1169538760999999E-2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4" t="s">
        <v>103</v>
      </c>
      <c r="B1" s="295"/>
      <c r="C1" s="295"/>
      <c r="D1" s="295"/>
      <c r="E1" s="295"/>
      <c r="F1" s="295"/>
      <c r="G1" s="266"/>
      <c r="H1" s="296"/>
      <c r="I1" s="296"/>
    </row>
    <row r="2" spans="1:10" ht="14.4" customHeight="1" thickBot="1" x14ac:dyDescent="0.35">
      <c r="A2" s="195" t="s">
        <v>217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2012</v>
      </c>
      <c r="D3" s="254">
        <v>2013</v>
      </c>
      <c r="E3" s="7"/>
      <c r="F3" s="289">
        <v>2014</v>
      </c>
      <c r="G3" s="290"/>
      <c r="H3" s="290"/>
      <c r="I3" s="291"/>
    </row>
    <row r="4" spans="1:10" ht="14.4" customHeight="1" thickBot="1" x14ac:dyDescent="0.35">
      <c r="A4" s="258" t="s">
        <v>0</v>
      </c>
      <c r="B4" s="259" t="s">
        <v>216</v>
      </c>
      <c r="C4" s="292" t="s">
        <v>49</v>
      </c>
      <c r="D4" s="293"/>
      <c r="E4" s="260"/>
      <c r="F4" s="255" t="s">
        <v>49</v>
      </c>
      <c r="G4" s="256" t="s">
        <v>50</v>
      </c>
      <c r="H4" s="256" t="s">
        <v>45</v>
      </c>
      <c r="I4" s="257" t="s">
        <v>51</v>
      </c>
    </row>
    <row r="5" spans="1:10" ht="14.4" customHeight="1" x14ac:dyDescent="0.3">
      <c r="A5" s="344" t="s">
        <v>333</v>
      </c>
      <c r="B5" s="345" t="s">
        <v>334</v>
      </c>
      <c r="C5" s="346" t="s">
        <v>335</v>
      </c>
      <c r="D5" s="346" t="s">
        <v>335</v>
      </c>
      <c r="E5" s="346"/>
      <c r="F5" s="346" t="s">
        <v>335</v>
      </c>
      <c r="G5" s="346" t="s">
        <v>335</v>
      </c>
      <c r="H5" s="346" t="s">
        <v>335</v>
      </c>
      <c r="I5" s="347" t="s">
        <v>335</v>
      </c>
      <c r="J5" s="348" t="s">
        <v>46</v>
      </c>
    </row>
    <row r="6" spans="1:10" ht="14.4" customHeight="1" x14ac:dyDescent="0.3">
      <c r="A6" s="344" t="s">
        <v>333</v>
      </c>
      <c r="B6" s="345" t="s">
        <v>225</v>
      </c>
      <c r="C6" s="346" t="s">
        <v>335</v>
      </c>
      <c r="D6" s="346">
        <v>0.56330000000000002</v>
      </c>
      <c r="E6" s="346"/>
      <c r="F6" s="346">
        <v>0</v>
      </c>
      <c r="G6" s="346">
        <v>0.25</v>
      </c>
      <c r="H6" s="346">
        <v>-0.25</v>
      </c>
      <c r="I6" s="347">
        <v>0</v>
      </c>
      <c r="J6" s="348" t="s">
        <v>1</v>
      </c>
    </row>
    <row r="7" spans="1:10" ht="14.4" customHeight="1" x14ac:dyDescent="0.3">
      <c r="A7" s="344" t="s">
        <v>333</v>
      </c>
      <c r="B7" s="345" t="s">
        <v>336</v>
      </c>
      <c r="C7" s="346" t="s">
        <v>335</v>
      </c>
      <c r="D7" s="346">
        <v>0.56330000000000002</v>
      </c>
      <c r="E7" s="346"/>
      <c r="F7" s="346">
        <v>0</v>
      </c>
      <c r="G7" s="346">
        <v>0.25</v>
      </c>
      <c r="H7" s="346">
        <v>-0.25</v>
      </c>
      <c r="I7" s="347">
        <v>0</v>
      </c>
      <c r="J7" s="348" t="s">
        <v>337</v>
      </c>
    </row>
    <row r="9" spans="1:10" ht="14.4" customHeight="1" x14ac:dyDescent="0.3">
      <c r="A9" s="344" t="s">
        <v>333</v>
      </c>
      <c r="B9" s="345" t="s">
        <v>334</v>
      </c>
      <c r="C9" s="346" t="s">
        <v>335</v>
      </c>
      <c r="D9" s="346" t="s">
        <v>335</v>
      </c>
      <c r="E9" s="346"/>
      <c r="F9" s="346" t="s">
        <v>335</v>
      </c>
      <c r="G9" s="346" t="s">
        <v>335</v>
      </c>
      <c r="H9" s="346" t="s">
        <v>335</v>
      </c>
      <c r="I9" s="347" t="s">
        <v>335</v>
      </c>
      <c r="J9" s="348" t="s">
        <v>46</v>
      </c>
    </row>
    <row r="10" spans="1:10" ht="14.4" customHeight="1" x14ac:dyDescent="0.3">
      <c r="A10" s="344" t="s">
        <v>338</v>
      </c>
      <c r="B10" s="345" t="s">
        <v>339</v>
      </c>
      <c r="C10" s="346" t="s">
        <v>335</v>
      </c>
      <c r="D10" s="346" t="s">
        <v>335</v>
      </c>
      <c r="E10" s="346"/>
      <c r="F10" s="346" t="s">
        <v>335</v>
      </c>
      <c r="G10" s="346" t="s">
        <v>335</v>
      </c>
      <c r="H10" s="346" t="s">
        <v>335</v>
      </c>
      <c r="I10" s="347" t="s">
        <v>335</v>
      </c>
      <c r="J10" s="348" t="s">
        <v>0</v>
      </c>
    </row>
    <row r="11" spans="1:10" ht="14.4" customHeight="1" x14ac:dyDescent="0.3">
      <c r="A11" s="344" t="s">
        <v>338</v>
      </c>
      <c r="B11" s="345" t="s">
        <v>225</v>
      </c>
      <c r="C11" s="346" t="s">
        <v>335</v>
      </c>
      <c r="D11" s="346">
        <v>0.56330000000000002</v>
      </c>
      <c r="E11" s="346"/>
      <c r="F11" s="346">
        <v>0</v>
      </c>
      <c r="G11" s="346">
        <v>0.25</v>
      </c>
      <c r="H11" s="346">
        <v>-0.25</v>
      </c>
      <c r="I11" s="347">
        <v>0</v>
      </c>
      <c r="J11" s="348" t="s">
        <v>1</v>
      </c>
    </row>
    <row r="12" spans="1:10" ht="14.4" customHeight="1" x14ac:dyDescent="0.3">
      <c r="A12" s="344" t="s">
        <v>338</v>
      </c>
      <c r="B12" s="345" t="s">
        <v>340</v>
      </c>
      <c r="C12" s="346" t="s">
        <v>335</v>
      </c>
      <c r="D12" s="346">
        <v>0.56330000000000002</v>
      </c>
      <c r="E12" s="346"/>
      <c r="F12" s="346">
        <v>0</v>
      </c>
      <c r="G12" s="346">
        <v>0.25</v>
      </c>
      <c r="H12" s="346">
        <v>-0.25</v>
      </c>
      <c r="I12" s="347">
        <v>0</v>
      </c>
      <c r="J12" s="348" t="s">
        <v>341</v>
      </c>
    </row>
    <row r="13" spans="1:10" ht="14.4" customHeight="1" x14ac:dyDescent="0.3">
      <c r="A13" s="344" t="s">
        <v>335</v>
      </c>
      <c r="B13" s="345" t="s">
        <v>335</v>
      </c>
      <c r="C13" s="346" t="s">
        <v>335</v>
      </c>
      <c r="D13" s="346" t="s">
        <v>335</v>
      </c>
      <c r="E13" s="346"/>
      <c r="F13" s="346" t="s">
        <v>335</v>
      </c>
      <c r="G13" s="346" t="s">
        <v>335</v>
      </c>
      <c r="H13" s="346" t="s">
        <v>335</v>
      </c>
      <c r="I13" s="347" t="s">
        <v>335</v>
      </c>
      <c r="J13" s="348" t="s">
        <v>342</v>
      </c>
    </row>
    <row r="14" spans="1:10" ht="14.4" customHeight="1" x14ac:dyDescent="0.3">
      <c r="A14" s="344" t="s">
        <v>333</v>
      </c>
      <c r="B14" s="345" t="s">
        <v>336</v>
      </c>
      <c r="C14" s="346" t="s">
        <v>335</v>
      </c>
      <c r="D14" s="346">
        <v>0.56330000000000002</v>
      </c>
      <c r="E14" s="346"/>
      <c r="F14" s="346">
        <v>0</v>
      </c>
      <c r="G14" s="346">
        <v>0.25</v>
      </c>
      <c r="H14" s="346">
        <v>-0.25</v>
      </c>
      <c r="I14" s="347">
        <v>0</v>
      </c>
      <c r="J14" s="348" t="s">
        <v>337</v>
      </c>
    </row>
  </sheetData>
  <mergeCells count="3">
    <mergeCell ref="F3:I3"/>
    <mergeCell ref="C4:D4"/>
    <mergeCell ref="A1:I1"/>
  </mergeCells>
  <conditionalFormatting sqref="F8 F15:F65537">
    <cfRule type="cellIs" dxfId="34" priority="18" stopIfTrue="1" operator="greaterThan">
      <formula>1</formula>
    </cfRule>
  </conditionalFormatting>
  <conditionalFormatting sqref="H5:H7">
    <cfRule type="expression" dxfId="33" priority="14">
      <formula>$H5&gt;0</formula>
    </cfRule>
  </conditionalFormatting>
  <conditionalFormatting sqref="I5:I7">
    <cfRule type="expression" dxfId="32" priority="15">
      <formula>$I5&gt;1</formula>
    </cfRule>
  </conditionalFormatting>
  <conditionalFormatting sqref="B5:B7">
    <cfRule type="expression" dxfId="31" priority="11">
      <formula>OR($J5="NS",$J5="SumaNS",$J5="Účet")</formula>
    </cfRule>
  </conditionalFormatting>
  <conditionalFormatting sqref="B5:D7 F5:I7">
    <cfRule type="expression" dxfId="30" priority="17">
      <formula>AND($J5&lt;&gt;"",$J5&lt;&gt;"mezeraKL")</formula>
    </cfRule>
  </conditionalFormatting>
  <conditionalFormatting sqref="B5:D7 F5:I7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8" priority="13">
      <formula>OR($J5="SumaNS",$J5="NS")</formula>
    </cfRule>
  </conditionalFormatting>
  <conditionalFormatting sqref="A5:A7">
    <cfRule type="expression" dxfId="27" priority="9">
      <formula>AND($J5&lt;&gt;"mezeraKL",$J5&lt;&gt;"")</formula>
    </cfRule>
  </conditionalFormatting>
  <conditionalFormatting sqref="A5:A7">
    <cfRule type="expression" dxfId="26" priority="10">
      <formula>AND($J5&lt;&gt;"",$J5&lt;&gt;"mezeraKL")</formula>
    </cfRule>
  </conditionalFormatting>
  <conditionalFormatting sqref="H9:H14">
    <cfRule type="expression" dxfId="25" priority="5">
      <formula>$H9&gt;0</formula>
    </cfRule>
  </conditionalFormatting>
  <conditionalFormatting sqref="A9:A14">
    <cfRule type="expression" dxfId="24" priority="2">
      <formula>AND($J9&lt;&gt;"mezeraKL",$J9&lt;&gt;"")</formula>
    </cfRule>
  </conditionalFormatting>
  <conditionalFormatting sqref="I9:I14">
    <cfRule type="expression" dxfId="23" priority="6">
      <formula>$I9&gt;1</formula>
    </cfRule>
  </conditionalFormatting>
  <conditionalFormatting sqref="B9:B14">
    <cfRule type="expression" dxfId="22" priority="1">
      <formula>OR($J9="NS",$J9="SumaNS",$J9="Účet")</formula>
    </cfRule>
  </conditionalFormatting>
  <conditionalFormatting sqref="A9:D14 F9:I14">
    <cfRule type="expression" dxfId="21" priority="8">
      <formula>AND($J9&lt;&gt;"",$J9&lt;&gt;"mezeraKL")</formula>
    </cfRule>
  </conditionalFormatting>
  <conditionalFormatting sqref="B9:D14 F9:I14">
    <cfRule type="expression" dxfId="20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1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4" t="s">
        <v>104</v>
      </c>
      <c r="B1" s="295"/>
      <c r="C1" s="295"/>
      <c r="D1" s="295"/>
      <c r="E1" s="295"/>
      <c r="F1" s="295"/>
      <c r="G1" s="266"/>
      <c r="H1" s="296"/>
      <c r="I1" s="296"/>
    </row>
    <row r="2" spans="1:10" ht="14.4" customHeight="1" thickBot="1" x14ac:dyDescent="0.35">
      <c r="A2" s="195" t="s">
        <v>217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2012</v>
      </c>
      <c r="D3" s="254">
        <v>2013</v>
      </c>
      <c r="E3" s="7"/>
      <c r="F3" s="289">
        <v>2014</v>
      </c>
      <c r="G3" s="290"/>
      <c r="H3" s="290"/>
      <c r="I3" s="291"/>
    </row>
    <row r="4" spans="1:10" ht="14.4" customHeight="1" thickBot="1" x14ac:dyDescent="0.35">
      <c r="A4" s="258" t="s">
        <v>0</v>
      </c>
      <c r="B4" s="259" t="s">
        <v>216</v>
      </c>
      <c r="C4" s="292" t="s">
        <v>49</v>
      </c>
      <c r="D4" s="293"/>
      <c r="E4" s="260"/>
      <c r="F4" s="255" t="s">
        <v>49</v>
      </c>
      <c r="G4" s="256" t="s">
        <v>50</v>
      </c>
      <c r="H4" s="256" t="s">
        <v>45</v>
      </c>
      <c r="I4" s="257" t="s">
        <v>51</v>
      </c>
    </row>
    <row r="5" spans="1:10" ht="14.4" customHeight="1" x14ac:dyDescent="0.3">
      <c r="A5" s="344" t="s">
        <v>333</v>
      </c>
      <c r="B5" s="345" t="s">
        <v>334</v>
      </c>
      <c r="C5" s="346" t="s">
        <v>335</v>
      </c>
      <c r="D5" s="346" t="s">
        <v>335</v>
      </c>
      <c r="E5" s="346"/>
      <c r="F5" s="346" t="s">
        <v>335</v>
      </c>
      <c r="G5" s="346" t="s">
        <v>335</v>
      </c>
      <c r="H5" s="346" t="s">
        <v>335</v>
      </c>
      <c r="I5" s="347" t="s">
        <v>335</v>
      </c>
      <c r="J5" s="348" t="s">
        <v>46</v>
      </c>
    </row>
    <row r="6" spans="1:10" ht="14.4" customHeight="1" x14ac:dyDescent="0.3">
      <c r="A6" s="344" t="s">
        <v>333</v>
      </c>
      <c r="B6" s="345" t="s">
        <v>227</v>
      </c>
      <c r="C6" s="346" t="s">
        <v>335</v>
      </c>
      <c r="D6" s="346">
        <v>0.18515999999999999</v>
      </c>
      <c r="E6" s="346"/>
      <c r="F6" s="346" t="s">
        <v>335</v>
      </c>
      <c r="G6" s="346" t="s">
        <v>335</v>
      </c>
      <c r="H6" s="346" t="s">
        <v>335</v>
      </c>
      <c r="I6" s="347" t="s">
        <v>335</v>
      </c>
      <c r="J6" s="348" t="s">
        <v>1</v>
      </c>
    </row>
    <row r="7" spans="1:10" ht="14.4" customHeight="1" x14ac:dyDescent="0.3">
      <c r="A7" s="344" t="s">
        <v>333</v>
      </c>
      <c r="B7" s="345" t="s">
        <v>228</v>
      </c>
      <c r="C7" s="346" t="s">
        <v>335</v>
      </c>
      <c r="D7" s="346">
        <v>4.6379999999999998E-2</v>
      </c>
      <c r="E7" s="346"/>
      <c r="F7" s="346" t="s">
        <v>335</v>
      </c>
      <c r="G7" s="346" t="s">
        <v>335</v>
      </c>
      <c r="H7" s="346" t="s">
        <v>335</v>
      </c>
      <c r="I7" s="347" t="s">
        <v>335</v>
      </c>
      <c r="J7" s="348" t="s">
        <v>1</v>
      </c>
    </row>
    <row r="8" spans="1:10" ht="14.4" customHeight="1" x14ac:dyDescent="0.3">
      <c r="A8" s="344" t="s">
        <v>333</v>
      </c>
      <c r="B8" s="345" t="s">
        <v>336</v>
      </c>
      <c r="C8" s="346" t="s">
        <v>335</v>
      </c>
      <c r="D8" s="346">
        <v>0.23154</v>
      </c>
      <c r="E8" s="346"/>
      <c r="F8" s="346" t="s">
        <v>335</v>
      </c>
      <c r="G8" s="346" t="s">
        <v>335</v>
      </c>
      <c r="H8" s="346" t="s">
        <v>335</v>
      </c>
      <c r="I8" s="347" t="s">
        <v>335</v>
      </c>
      <c r="J8" s="348" t="s">
        <v>337</v>
      </c>
    </row>
    <row r="10" spans="1:10" ht="14.4" customHeight="1" x14ac:dyDescent="0.3">
      <c r="A10" s="344" t="s">
        <v>333</v>
      </c>
      <c r="B10" s="345" t="s">
        <v>334</v>
      </c>
      <c r="C10" s="346" t="s">
        <v>335</v>
      </c>
      <c r="D10" s="346" t="s">
        <v>335</v>
      </c>
      <c r="E10" s="346"/>
      <c r="F10" s="346" t="s">
        <v>335</v>
      </c>
      <c r="G10" s="346" t="s">
        <v>335</v>
      </c>
      <c r="H10" s="346" t="s">
        <v>335</v>
      </c>
      <c r="I10" s="347" t="s">
        <v>335</v>
      </c>
      <c r="J10" s="348" t="s">
        <v>46</v>
      </c>
    </row>
    <row r="11" spans="1:10" ht="14.4" customHeight="1" x14ac:dyDescent="0.3">
      <c r="A11" s="344" t="s">
        <v>338</v>
      </c>
      <c r="B11" s="345" t="s">
        <v>339</v>
      </c>
      <c r="C11" s="346" t="s">
        <v>335</v>
      </c>
      <c r="D11" s="346" t="s">
        <v>335</v>
      </c>
      <c r="E11" s="346"/>
      <c r="F11" s="346" t="s">
        <v>335</v>
      </c>
      <c r="G11" s="346" t="s">
        <v>335</v>
      </c>
      <c r="H11" s="346" t="s">
        <v>335</v>
      </c>
      <c r="I11" s="347" t="s">
        <v>335</v>
      </c>
      <c r="J11" s="348" t="s">
        <v>0</v>
      </c>
    </row>
    <row r="12" spans="1:10" ht="14.4" customHeight="1" x14ac:dyDescent="0.3">
      <c r="A12" s="344" t="s">
        <v>338</v>
      </c>
      <c r="B12" s="345" t="s">
        <v>227</v>
      </c>
      <c r="C12" s="346" t="s">
        <v>335</v>
      </c>
      <c r="D12" s="346">
        <v>0.18515999999999999</v>
      </c>
      <c r="E12" s="346"/>
      <c r="F12" s="346" t="s">
        <v>335</v>
      </c>
      <c r="G12" s="346" t="s">
        <v>335</v>
      </c>
      <c r="H12" s="346" t="s">
        <v>335</v>
      </c>
      <c r="I12" s="347" t="s">
        <v>335</v>
      </c>
      <c r="J12" s="348" t="s">
        <v>1</v>
      </c>
    </row>
    <row r="13" spans="1:10" ht="14.4" customHeight="1" x14ac:dyDescent="0.3">
      <c r="A13" s="344" t="s">
        <v>338</v>
      </c>
      <c r="B13" s="345" t="s">
        <v>228</v>
      </c>
      <c r="C13" s="346" t="s">
        <v>335</v>
      </c>
      <c r="D13" s="346">
        <v>4.6379999999999998E-2</v>
      </c>
      <c r="E13" s="346"/>
      <c r="F13" s="346" t="s">
        <v>335</v>
      </c>
      <c r="G13" s="346" t="s">
        <v>335</v>
      </c>
      <c r="H13" s="346" t="s">
        <v>335</v>
      </c>
      <c r="I13" s="347" t="s">
        <v>335</v>
      </c>
      <c r="J13" s="348" t="s">
        <v>1</v>
      </c>
    </row>
    <row r="14" spans="1:10" ht="14.4" customHeight="1" x14ac:dyDescent="0.3">
      <c r="A14" s="344" t="s">
        <v>338</v>
      </c>
      <c r="B14" s="345" t="s">
        <v>340</v>
      </c>
      <c r="C14" s="346" t="s">
        <v>335</v>
      </c>
      <c r="D14" s="346">
        <v>0.23154</v>
      </c>
      <c r="E14" s="346"/>
      <c r="F14" s="346" t="s">
        <v>335</v>
      </c>
      <c r="G14" s="346" t="s">
        <v>335</v>
      </c>
      <c r="H14" s="346" t="s">
        <v>335</v>
      </c>
      <c r="I14" s="347" t="s">
        <v>335</v>
      </c>
      <c r="J14" s="348" t="s">
        <v>341</v>
      </c>
    </row>
    <row r="15" spans="1:10" ht="14.4" customHeight="1" x14ac:dyDescent="0.3">
      <c r="A15" s="344" t="s">
        <v>335</v>
      </c>
      <c r="B15" s="345" t="s">
        <v>335</v>
      </c>
      <c r="C15" s="346" t="s">
        <v>335</v>
      </c>
      <c r="D15" s="346" t="s">
        <v>335</v>
      </c>
      <c r="E15" s="346"/>
      <c r="F15" s="346" t="s">
        <v>335</v>
      </c>
      <c r="G15" s="346" t="s">
        <v>335</v>
      </c>
      <c r="H15" s="346" t="s">
        <v>335</v>
      </c>
      <c r="I15" s="347" t="s">
        <v>335</v>
      </c>
      <c r="J15" s="348" t="s">
        <v>342</v>
      </c>
    </row>
    <row r="16" spans="1:10" ht="14.4" customHeight="1" x14ac:dyDescent="0.3">
      <c r="A16" s="344" t="s">
        <v>333</v>
      </c>
      <c r="B16" s="345" t="s">
        <v>336</v>
      </c>
      <c r="C16" s="346" t="s">
        <v>335</v>
      </c>
      <c r="D16" s="346">
        <v>0.23154</v>
      </c>
      <c r="E16" s="346"/>
      <c r="F16" s="346" t="s">
        <v>335</v>
      </c>
      <c r="G16" s="346" t="s">
        <v>335</v>
      </c>
      <c r="H16" s="346" t="s">
        <v>335</v>
      </c>
      <c r="I16" s="347" t="s">
        <v>335</v>
      </c>
      <c r="J16" s="348" t="s">
        <v>337</v>
      </c>
    </row>
  </sheetData>
  <mergeCells count="3">
    <mergeCell ref="A1:I1"/>
    <mergeCell ref="F3:I3"/>
    <mergeCell ref="C4:D4"/>
  </mergeCells>
  <conditionalFormatting sqref="F9 F17:F65537">
    <cfRule type="cellIs" dxfId="18" priority="18" stopIfTrue="1" operator="greaterThan">
      <formula>1</formula>
    </cfRule>
  </conditionalFormatting>
  <conditionalFormatting sqref="H5:H8">
    <cfRule type="expression" dxfId="17" priority="14">
      <formula>$H5&gt;0</formula>
    </cfRule>
  </conditionalFormatting>
  <conditionalFormatting sqref="I5:I8">
    <cfRule type="expression" dxfId="16" priority="15">
      <formula>$I5&gt;1</formula>
    </cfRule>
  </conditionalFormatting>
  <conditionalFormatting sqref="B5:B8">
    <cfRule type="expression" dxfId="15" priority="11">
      <formula>OR($J5="NS",$J5="SumaNS",$J5="Účet")</formula>
    </cfRule>
  </conditionalFormatting>
  <conditionalFormatting sqref="F5:I8 B5:D8">
    <cfRule type="expression" dxfId="14" priority="17">
      <formula>AND($J5&lt;&gt;"",$J5&lt;&gt;"mezeraKL")</formula>
    </cfRule>
  </conditionalFormatting>
  <conditionalFormatting sqref="B5:D8 F5:I8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2" priority="13">
      <formula>OR($J5="SumaNS",$J5="NS")</formula>
    </cfRule>
  </conditionalFormatting>
  <conditionalFormatting sqref="A5:A8">
    <cfRule type="expression" dxfId="11" priority="9">
      <formula>AND($J5&lt;&gt;"mezeraKL",$J5&lt;&gt;"")</formula>
    </cfRule>
  </conditionalFormatting>
  <conditionalFormatting sqref="A5:A8">
    <cfRule type="expression" dxfId="10" priority="10">
      <formula>AND($J5&lt;&gt;"",$J5&lt;&gt;"mezeraKL")</formula>
    </cfRule>
  </conditionalFormatting>
  <conditionalFormatting sqref="H10:H16">
    <cfRule type="expression" dxfId="9" priority="5">
      <formula>$H10&gt;0</formula>
    </cfRule>
  </conditionalFormatting>
  <conditionalFormatting sqref="A10:A16">
    <cfRule type="expression" dxfId="8" priority="2">
      <formula>AND($J10&lt;&gt;"mezeraKL",$J10&lt;&gt;"")</formula>
    </cfRule>
  </conditionalFormatting>
  <conditionalFormatting sqref="I10:I16">
    <cfRule type="expression" dxfId="7" priority="6">
      <formula>$I10&gt;1</formula>
    </cfRule>
  </conditionalFormatting>
  <conditionalFormatting sqref="B10:B16">
    <cfRule type="expression" dxfId="6" priority="1">
      <formula>OR($J10="NS",$J10="SumaNS",$J10="Účet")</formula>
    </cfRule>
  </conditionalFormatting>
  <conditionalFormatting sqref="A10:D16 F10:I16">
    <cfRule type="expression" dxfId="5" priority="8">
      <formula>AND($J10&lt;&gt;"",$J10&lt;&gt;"mezeraKL")</formula>
    </cfRule>
  </conditionalFormatting>
  <conditionalFormatting sqref="B10:D16 F10:I16">
    <cfRule type="expression" dxfId="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16" width="13.109375" hidden="1" customWidth="1"/>
    <col min="17" max="17" width="13.109375" customWidth="1"/>
    <col min="18" max="29" width="13.109375" hidden="1" customWidth="1"/>
    <col min="30" max="30" width="13.109375" customWidth="1"/>
    <col min="31" max="32" width="13.109375" hidden="1" customWidth="1"/>
    <col min="33" max="33" width="13.109375" customWidth="1"/>
  </cols>
  <sheetData>
    <row r="1" spans="1:34" ht="18.600000000000001" thickBot="1" x14ac:dyDescent="0.4">
      <c r="A1" s="297" t="s">
        <v>83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4" ht="15" thickBot="1" x14ac:dyDescent="0.35">
      <c r="A2" s="195" t="s">
        <v>217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</row>
    <row r="3" spans="1:34" x14ac:dyDescent="0.3">
      <c r="A3" s="214" t="s">
        <v>177</v>
      </c>
      <c r="B3" s="298" t="s">
        <v>158</v>
      </c>
      <c r="C3" s="197">
        <v>0</v>
      </c>
      <c r="D3" s="198">
        <v>101</v>
      </c>
      <c r="E3" s="198">
        <v>102</v>
      </c>
      <c r="F3" s="217">
        <v>305</v>
      </c>
      <c r="G3" s="217">
        <v>306</v>
      </c>
      <c r="H3" s="217">
        <v>408</v>
      </c>
      <c r="I3" s="217">
        <v>409</v>
      </c>
      <c r="J3" s="217">
        <v>410</v>
      </c>
      <c r="K3" s="217">
        <v>415</v>
      </c>
      <c r="L3" s="217">
        <v>416</v>
      </c>
      <c r="M3" s="217">
        <v>418</v>
      </c>
      <c r="N3" s="217">
        <v>419</v>
      </c>
      <c r="O3" s="217">
        <v>420</v>
      </c>
      <c r="P3" s="217">
        <v>421</v>
      </c>
      <c r="Q3" s="217">
        <v>522</v>
      </c>
      <c r="R3" s="217">
        <v>523</v>
      </c>
      <c r="S3" s="217">
        <v>524</v>
      </c>
      <c r="T3" s="217">
        <v>525</v>
      </c>
      <c r="U3" s="217">
        <v>526</v>
      </c>
      <c r="V3" s="217">
        <v>527</v>
      </c>
      <c r="W3" s="217">
        <v>528</v>
      </c>
      <c r="X3" s="217">
        <v>629</v>
      </c>
      <c r="Y3" s="217">
        <v>630</v>
      </c>
      <c r="Z3" s="217">
        <v>636</v>
      </c>
      <c r="AA3" s="217">
        <v>637</v>
      </c>
      <c r="AB3" s="217">
        <v>640</v>
      </c>
      <c r="AC3" s="217">
        <v>642</v>
      </c>
      <c r="AD3" s="217">
        <v>743</v>
      </c>
      <c r="AE3" s="198">
        <v>745</v>
      </c>
      <c r="AF3" s="198">
        <v>746</v>
      </c>
      <c r="AG3" s="358">
        <v>930</v>
      </c>
      <c r="AH3" s="373"/>
    </row>
    <row r="4" spans="1:34" ht="36.6" outlineLevel="1" thickBot="1" x14ac:dyDescent="0.35">
      <c r="A4" s="215">
        <v>2014</v>
      </c>
      <c r="B4" s="299"/>
      <c r="C4" s="199" t="s">
        <v>159</v>
      </c>
      <c r="D4" s="200" t="s">
        <v>160</v>
      </c>
      <c r="E4" s="200" t="s">
        <v>161</v>
      </c>
      <c r="F4" s="218" t="s">
        <v>189</v>
      </c>
      <c r="G4" s="218" t="s">
        <v>190</v>
      </c>
      <c r="H4" s="218" t="s">
        <v>191</v>
      </c>
      <c r="I4" s="218" t="s">
        <v>192</v>
      </c>
      <c r="J4" s="218" t="s">
        <v>193</v>
      </c>
      <c r="K4" s="218" t="s">
        <v>194</v>
      </c>
      <c r="L4" s="218" t="s">
        <v>195</v>
      </c>
      <c r="M4" s="218" t="s">
        <v>196</v>
      </c>
      <c r="N4" s="218" t="s">
        <v>197</v>
      </c>
      <c r="O4" s="218" t="s">
        <v>198</v>
      </c>
      <c r="P4" s="218" t="s">
        <v>199</v>
      </c>
      <c r="Q4" s="218" t="s">
        <v>200</v>
      </c>
      <c r="R4" s="218" t="s">
        <v>201</v>
      </c>
      <c r="S4" s="218" t="s">
        <v>202</v>
      </c>
      <c r="T4" s="218" t="s">
        <v>203</v>
      </c>
      <c r="U4" s="218" t="s">
        <v>204</v>
      </c>
      <c r="V4" s="218" t="s">
        <v>205</v>
      </c>
      <c r="W4" s="218" t="s">
        <v>214</v>
      </c>
      <c r="X4" s="218" t="s">
        <v>206</v>
      </c>
      <c r="Y4" s="218" t="s">
        <v>215</v>
      </c>
      <c r="Z4" s="218" t="s">
        <v>207</v>
      </c>
      <c r="AA4" s="218" t="s">
        <v>208</v>
      </c>
      <c r="AB4" s="218" t="s">
        <v>209</v>
      </c>
      <c r="AC4" s="218" t="s">
        <v>210</v>
      </c>
      <c r="AD4" s="218" t="s">
        <v>211</v>
      </c>
      <c r="AE4" s="200" t="s">
        <v>212</v>
      </c>
      <c r="AF4" s="200" t="s">
        <v>213</v>
      </c>
      <c r="AG4" s="359" t="s">
        <v>179</v>
      </c>
      <c r="AH4" s="373"/>
    </row>
    <row r="5" spans="1:34" x14ac:dyDescent="0.3">
      <c r="A5" s="201" t="s">
        <v>162</v>
      </c>
      <c r="B5" s="237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360"/>
      <c r="AH5" s="373"/>
    </row>
    <row r="6" spans="1:34" ht="15" collapsed="1" thickBot="1" x14ac:dyDescent="0.35">
      <c r="A6" s="202" t="s">
        <v>49</v>
      </c>
      <c r="B6" s="240">
        <f xml:space="preserve">
TRUNC(IF($A$4&lt;=12,SUMIFS('ON Data'!F:F,'ON Data'!$D:$D,$A$4,'ON Data'!$E:$E,1),SUMIFS('ON Data'!F:F,'ON Data'!$E:$E,1)/'ON Data'!$D$3),1)</f>
        <v>13.2</v>
      </c>
      <c r="C6" s="241">
        <f xml:space="preserve">
TRUNC(IF($A$4&lt;=12,SUMIFS('ON Data'!G:G,'ON Data'!$D:$D,$A$4,'ON Data'!$E:$E,1),SUMIFS('ON Data'!G:G,'ON Data'!$E:$E,1)/'ON Data'!$D$3),1)</f>
        <v>0</v>
      </c>
      <c r="D6" s="242">
        <f xml:space="preserve">
TRUNC(IF($A$4&lt;=12,SUMIFS('ON Data'!H:H,'ON Data'!$D:$D,$A$4,'ON Data'!$E:$E,1),SUMIFS('ON Data'!H:H,'ON Data'!$E:$E,1)/'ON Data'!$D$3),1)</f>
        <v>0</v>
      </c>
      <c r="E6" s="242">
        <f xml:space="preserve">
TRUNC(IF($A$4&lt;=12,SUMIFS('ON Data'!I:I,'ON Data'!$D:$D,$A$4,'ON Data'!$E:$E,1),SUMIFS('ON Data'!I:I,'ON Data'!$E:$E,1)/'ON Data'!$D$3),1)</f>
        <v>0</v>
      </c>
      <c r="F6" s="242">
        <f xml:space="preserve">
TRUNC(IF($A$4&lt;=12,SUMIFS('ON Data'!K:K,'ON Data'!$D:$D,$A$4,'ON Data'!$E:$E,1),SUMIFS('ON Data'!K:K,'ON Data'!$E:$E,1)/'ON Data'!$D$3),1)</f>
        <v>0</v>
      </c>
      <c r="G6" s="242">
        <f xml:space="preserve">
TRUNC(IF($A$4&lt;=12,SUMIFS('ON Data'!L:L,'ON Data'!$D:$D,$A$4,'ON Data'!$E:$E,1),SUMIFS('ON Data'!L:L,'ON Data'!$E:$E,1)/'ON Data'!$D$3),1)</f>
        <v>0</v>
      </c>
      <c r="H6" s="242">
        <f xml:space="preserve">
TRUNC(IF($A$4&lt;=12,SUMIFS('ON Data'!M:M,'ON Data'!$D:$D,$A$4,'ON Data'!$E:$E,1),SUMIFS('ON Data'!M:M,'ON Data'!$E:$E,1)/'ON Data'!$D$3),1)</f>
        <v>0</v>
      </c>
      <c r="I6" s="242">
        <f xml:space="preserve">
TRUNC(IF($A$4&lt;=12,SUMIFS('ON Data'!N:N,'ON Data'!$D:$D,$A$4,'ON Data'!$E:$E,1),SUMIFS('ON Data'!N:N,'ON Data'!$E:$E,1)/'ON Data'!$D$3),1)</f>
        <v>0</v>
      </c>
      <c r="J6" s="242">
        <f xml:space="preserve">
TRUNC(IF($A$4&lt;=12,SUMIFS('ON Data'!O:O,'ON Data'!$D:$D,$A$4,'ON Data'!$E:$E,1),SUMIFS('ON Data'!O:O,'ON Data'!$E:$E,1)/'ON Data'!$D$3),1)</f>
        <v>0</v>
      </c>
      <c r="K6" s="242">
        <f xml:space="preserve">
TRUNC(IF($A$4&lt;=12,SUMIFS('ON Data'!P:P,'ON Data'!$D:$D,$A$4,'ON Data'!$E:$E,1),SUMIFS('ON Data'!P:P,'ON Data'!$E:$E,1)/'ON Data'!$D$3),1)</f>
        <v>0</v>
      </c>
      <c r="L6" s="242">
        <f xml:space="preserve">
TRUNC(IF($A$4&lt;=12,SUMIFS('ON Data'!Q:Q,'ON Data'!$D:$D,$A$4,'ON Data'!$E:$E,1),SUMIFS('ON Data'!Q:Q,'ON Data'!$E:$E,1)/'ON Data'!$D$3),1)</f>
        <v>0</v>
      </c>
      <c r="M6" s="242">
        <f xml:space="preserve">
TRUNC(IF($A$4&lt;=12,SUMIFS('ON Data'!R:R,'ON Data'!$D:$D,$A$4,'ON Data'!$E:$E,1),SUMIFS('ON Data'!R:R,'ON Data'!$E:$E,1)/'ON Data'!$D$3),1)</f>
        <v>0</v>
      </c>
      <c r="N6" s="242">
        <f xml:space="preserve">
TRUNC(IF($A$4&lt;=12,SUMIFS('ON Data'!S:S,'ON Data'!$D:$D,$A$4,'ON Data'!$E:$E,1),SUMIFS('ON Data'!S:S,'ON Data'!$E:$E,1)/'ON Data'!$D$3),1)</f>
        <v>0</v>
      </c>
      <c r="O6" s="242">
        <f xml:space="preserve">
TRUNC(IF($A$4&lt;=12,SUMIFS('ON Data'!T:T,'ON Data'!$D:$D,$A$4,'ON Data'!$E:$E,1),SUMIFS('ON Data'!T:T,'ON Data'!$E:$E,1)/'ON Data'!$D$3),1)</f>
        <v>0</v>
      </c>
      <c r="P6" s="242">
        <f xml:space="preserve">
TRUNC(IF($A$4&lt;=12,SUMIFS('ON Data'!U:U,'ON Data'!$D:$D,$A$4,'ON Data'!$E:$E,1),SUMIFS('ON Data'!U:U,'ON Data'!$E:$E,1)/'ON Data'!$D$3),1)</f>
        <v>0</v>
      </c>
      <c r="Q6" s="242">
        <f xml:space="preserve">
TRUNC(IF($A$4&lt;=12,SUMIFS('ON Data'!V:V,'ON Data'!$D:$D,$A$4,'ON Data'!$E:$E,1),SUMIFS('ON Data'!V:V,'ON Data'!$E:$E,1)/'ON Data'!$D$3),1)</f>
        <v>9.1999999999999993</v>
      </c>
      <c r="R6" s="242">
        <f xml:space="preserve">
TRUNC(IF($A$4&lt;=12,SUMIFS('ON Data'!W:W,'ON Data'!$D:$D,$A$4,'ON Data'!$E:$E,1),SUMIFS('ON Data'!W:W,'ON Data'!$E:$E,1)/'ON Data'!$D$3),1)</f>
        <v>0</v>
      </c>
      <c r="S6" s="242">
        <f xml:space="preserve">
TRUNC(IF($A$4&lt;=12,SUMIFS('ON Data'!X:X,'ON Data'!$D:$D,$A$4,'ON Data'!$E:$E,1),SUMIFS('ON Data'!X:X,'ON Data'!$E:$E,1)/'ON Data'!$D$3),1)</f>
        <v>0</v>
      </c>
      <c r="T6" s="242">
        <f xml:space="preserve">
TRUNC(IF($A$4&lt;=12,SUMIFS('ON Data'!Y:Y,'ON Data'!$D:$D,$A$4,'ON Data'!$E:$E,1),SUMIFS('ON Data'!Y:Y,'ON Data'!$E:$E,1)/'ON Data'!$D$3),1)</f>
        <v>0</v>
      </c>
      <c r="U6" s="242">
        <f xml:space="preserve">
TRUNC(IF($A$4&lt;=12,SUMIFS('ON Data'!Z:Z,'ON Data'!$D:$D,$A$4,'ON Data'!$E:$E,1),SUMIFS('ON Data'!Z:Z,'ON Data'!$E:$E,1)/'ON Data'!$D$3),1)</f>
        <v>0</v>
      </c>
      <c r="V6" s="242">
        <f xml:space="preserve">
TRUNC(IF($A$4&lt;=12,SUMIFS('ON Data'!AA:AA,'ON Data'!$D:$D,$A$4,'ON Data'!$E:$E,1),SUMIFS('ON Data'!AA:AA,'ON Data'!$E:$E,1)/'ON Data'!$D$3),1)</f>
        <v>0</v>
      </c>
      <c r="W6" s="242">
        <f xml:space="preserve">
TRUNC(IF($A$4&lt;=12,SUMIFS('ON Data'!AB:AB,'ON Data'!$D:$D,$A$4,'ON Data'!$E:$E,1),SUMIFS('ON Data'!AB:AB,'ON Data'!$E:$E,1)/'ON Data'!$D$3),1)</f>
        <v>0</v>
      </c>
      <c r="X6" s="242">
        <f xml:space="preserve">
TRUNC(IF($A$4&lt;=12,SUMIFS('ON Data'!AC:AC,'ON Data'!$D:$D,$A$4,'ON Data'!$E:$E,1),SUMIFS('ON Data'!AC:AC,'ON Data'!$E:$E,1)/'ON Data'!$D$3),1)</f>
        <v>0</v>
      </c>
      <c r="Y6" s="242">
        <f xml:space="preserve">
TRUNC(IF($A$4&lt;=12,SUMIFS('ON Data'!AD:AD,'ON Data'!$D:$D,$A$4,'ON Data'!$E:$E,1),SUMIFS('ON Data'!AD:AD,'ON Data'!$E:$E,1)/'ON Data'!$D$3),1)</f>
        <v>0</v>
      </c>
      <c r="Z6" s="242">
        <f xml:space="preserve">
TRUNC(IF($A$4&lt;=12,SUMIFS('ON Data'!AE:AE,'ON Data'!$D:$D,$A$4,'ON Data'!$E:$E,1),SUMIFS('ON Data'!AE:AE,'ON Data'!$E:$E,1)/'ON Data'!$D$3),1)</f>
        <v>0</v>
      </c>
      <c r="AA6" s="242">
        <f xml:space="preserve">
TRUNC(IF($A$4&lt;=12,SUMIFS('ON Data'!AF:AF,'ON Data'!$D:$D,$A$4,'ON Data'!$E:$E,1),SUMIFS('ON Data'!AF:AF,'ON Data'!$E:$E,1)/'ON Data'!$D$3),1)</f>
        <v>0</v>
      </c>
      <c r="AB6" s="242">
        <f xml:space="preserve">
TRUNC(IF($A$4&lt;=12,SUMIFS('ON Data'!AG:AG,'ON Data'!$D:$D,$A$4,'ON Data'!$E:$E,1),SUMIFS('ON Data'!AG:AG,'ON Data'!$E:$E,1)/'ON Data'!$D$3),1)</f>
        <v>0</v>
      </c>
      <c r="AC6" s="242">
        <f xml:space="preserve">
TRUNC(IF($A$4&lt;=12,SUMIFS('ON Data'!AH:AH,'ON Data'!$D:$D,$A$4,'ON Data'!$E:$E,1),SUMIFS('ON Data'!AH:AH,'ON Data'!$E:$E,1)/'ON Data'!$D$3),1)</f>
        <v>0</v>
      </c>
      <c r="AD6" s="242">
        <f xml:space="preserve">
TRUNC(IF($A$4&lt;=12,SUMIFS('ON Data'!AI:AI,'ON Data'!$D:$D,$A$4,'ON Data'!$E:$E,1),SUMIFS('ON Data'!AI:AI,'ON Data'!$E:$E,1)/'ON Data'!$D$3),1)</f>
        <v>3</v>
      </c>
      <c r="AE6" s="242">
        <f xml:space="preserve">
TRUNC(IF($A$4&lt;=12,SUMIFS('ON Data'!AJ:AJ,'ON Data'!$D:$D,$A$4,'ON Data'!$E:$E,1),SUMIFS('ON Data'!AJ:AJ,'ON Data'!$E:$E,1)/'ON Data'!$D$3),1)</f>
        <v>0</v>
      </c>
      <c r="AF6" s="242">
        <f xml:space="preserve">
TRUNC(IF($A$4&lt;=12,SUMIFS('ON Data'!AK:AK,'ON Data'!$D:$D,$A$4,'ON Data'!$E:$E,1),SUMIFS('ON Data'!AK:AK,'ON Data'!$E:$E,1)/'ON Data'!$D$3),1)</f>
        <v>0</v>
      </c>
      <c r="AG6" s="361">
        <f xml:space="preserve">
TRUNC(IF($A$4&lt;=12,SUMIFS('ON Data'!AM:AM,'ON Data'!$D:$D,$A$4,'ON Data'!$E:$E,1),SUMIFS('ON Data'!AM:AM,'ON Data'!$E:$E,1)/'ON Data'!$D$3),1)</f>
        <v>1</v>
      </c>
      <c r="AH6" s="373"/>
    </row>
    <row r="7" spans="1:34" ht="15" hidden="1" outlineLevel="1" thickBot="1" x14ac:dyDescent="0.35">
      <c r="A7" s="202" t="s">
        <v>84</v>
      </c>
      <c r="B7" s="240"/>
      <c r="C7" s="243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361"/>
      <c r="AH7" s="373"/>
    </row>
    <row r="8" spans="1:34" ht="15" hidden="1" outlineLevel="1" thickBot="1" x14ac:dyDescent="0.35">
      <c r="A8" s="202" t="s">
        <v>51</v>
      </c>
      <c r="B8" s="240"/>
      <c r="C8" s="243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361"/>
      <c r="AH8" s="373"/>
    </row>
    <row r="9" spans="1:34" ht="15" hidden="1" outlineLevel="1" thickBot="1" x14ac:dyDescent="0.35">
      <c r="A9" s="203" t="s">
        <v>45</v>
      </c>
      <c r="B9" s="244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362"/>
      <c r="AH9" s="373"/>
    </row>
    <row r="10" spans="1:34" x14ac:dyDescent="0.3">
      <c r="A10" s="204" t="s">
        <v>163</v>
      </c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363"/>
      <c r="AH10" s="373"/>
    </row>
    <row r="11" spans="1:34" x14ac:dyDescent="0.3">
      <c r="A11" s="205" t="s">
        <v>164</v>
      </c>
      <c r="B11" s="222">
        <f xml:space="preserve">
IF($A$4&lt;=12,SUMIFS('ON Data'!F:F,'ON Data'!$D:$D,$A$4,'ON Data'!$E:$E,2),SUMIFS('ON Data'!F:F,'ON Data'!$E:$E,2))</f>
        <v>6306.4</v>
      </c>
      <c r="C11" s="223">
        <f xml:space="preserve">
IF($A$4&lt;=12,SUMIFS('ON Data'!G:G,'ON Data'!$D:$D,$A$4,'ON Data'!$E:$E,2),SUMIFS('ON Data'!G:G,'ON Data'!$E:$E,2))</f>
        <v>0</v>
      </c>
      <c r="D11" s="224">
        <f xml:space="preserve">
IF($A$4&lt;=12,SUMIFS('ON Data'!H:H,'ON Data'!$D:$D,$A$4,'ON Data'!$E:$E,2),SUMIFS('ON Data'!H:H,'ON Data'!$E:$E,2))</f>
        <v>0</v>
      </c>
      <c r="E11" s="224">
        <f xml:space="preserve">
IF($A$4&lt;=12,SUMIFS('ON Data'!I:I,'ON Data'!$D:$D,$A$4,'ON Data'!$E:$E,2),SUMIFS('ON Data'!I:I,'ON Data'!$E:$E,2))</f>
        <v>0</v>
      </c>
      <c r="F11" s="224">
        <f xml:space="preserve">
IF($A$4&lt;=12,SUMIFS('ON Data'!K:K,'ON Data'!$D:$D,$A$4,'ON Data'!$E:$E,2),SUMIFS('ON Data'!K:K,'ON Data'!$E:$E,2))</f>
        <v>0</v>
      </c>
      <c r="G11" s="224">
        <f xml:space="preserve">
IF($A$4&lt;=12,SUMIFS('ON Data'!L:L,'ON Data'!$D:$D,$A$4,'ON Data'!$E:$E,2),SUMIFS('ON Data'!L:L,'ON Data'!$E:$E,2))</f>
        <v>0</v>
      </c>
      <c r="H11" s="224">
        <f xml:space="preserve">
IF($A$4&lt;=12,SUMIFS('ON Data'!M:M,'ON Data'!$D:$D,$A$4,'ON Data'!$E:$E,2),SUMIFS('ON Data'!M:M,'ON Data'!$E:$E,2))</f>
        <v>0</v>
      </c>
      <c r="I11" s="224">
        <f xml:space="preserve">
IF($A$4&lt;=12,SUMIFS('ON Data'!N:N,'ON Data'!$D:$D,$A$4,'ON Data'!$E:$E,2),SUMIFS('ON Data'!N:N,'ON Data'!$E:$E,2))</f>
        <v>0</v>
      </c>
      <c r="J11" s="224">
        <f xml:space="preserve">
IF($A$4&lt;=12,SUMIFS('ON Data'!O:O,'ON Data'!$D:$D,$A$4,'ON Data'!$E:$E,2),SUMIFS('ON Data'!O:O,'ON Data'!$E:$E,2))</f>
        <v>0</v>
      </c>
      <c r="K11" s="224">
        <f xml:space="preserve">
IF($A$4&lt;=12,SUMIFS('ON Data'!P:P,'ON Data'!$D:$D,$A$4,'ON Data'!$E:$E,2),SUMIFS('ON Data'!P:P,'ON Data'!$E:$E,2))</f>
        <v>0</v>
      </c>
      <c r="L11" s="224">
        <f xml:space="preserve">
IF($A$4&lt;=12,SUMIFS('ON Data'!Q:Q,'ON Data'!$D:$D,$A$4,'ON Data'!$E:$E,2),SUMIFS('ON Data'!Q:Q,'ON Data'!$E:$E,2))</f>
        <v>0</v>
      </c>
      <c r="M11" s="224">
        <f xml:space="preserve">
IF($A$4&lt;=12,SUMIFS('ON Data'!R:R,'ON Data'!$D:$D,$A$4,'ON Data'!$E:$E,2),SUMIFS('ON Data'!R:R,'ON Data'!$E:$E,2))</f>
        <v>0</v>
      </c>
      <c r="N11" s="224">
        <f xml:space="preserve">
IF($A$4&lt;=12,SUMIFS('ON Data'!S:S,'ON Data'!$D:$D,$A$4,'ON Data'!$E:$E,2),SUMIFS('ON Data'!S:S,'ON Data'!$E:$E,2))</f>
        <v>0</v>
      </c>
      <c r="O11" s="224">
        <f xml:space="preserve">
IF($A$4&lt;=12,SUMIFS('ON Data'!T:T,'ON Data'!$D:$D,$A$4,'ON Data'!$E:$E,2),SUMIFS('ON Data'!T:T,'ON Data'!$E:$E,2))</f>
        <v>0</v>
      </c>
      <c r="P11" s="224">
        <f xml:space="preserve">
IF($A$4&lt;=12,SUMIFS('ON Data'!U:U,'ON Data'!$D:$D,$A$4,'ON Data'!$E:$E,2),SUMIFS('ON Data'!U:U,'ON Data'!$E:$E,2))</f>
        <v>0</v>
      </c>
      <c r="Q11" s="224">
        <f xml:space="preserve">
IF($A$4&lt;=12,SUMIFS('ON Data'!V:V,'ON Data'!$D:$D,$A$4,'ON Data'!$E:$E,2),SUMIFS('ON Data'!V:V,'ON Data'!$E:$E,2))</f>
        <v>4426.3999999999996</v>
      </c>
      <c r="R11" s="224">
        <f xml:space="preserve">
IF($A$4&lt;=12,SUMIFS('ON Data'!W:W,'ON Data'!$D:$D,$A$4,'ON Data'!$E:$E,2),SUMIFS('ON Data'!W:W,'ON Data'!$E:$E,2))</f>
        <v>0</v>
      </c>
      <c r="S11" s="224">
        <f xml:space="preserve">
IF($A$4&lt;=12,SUMIFS('ON Data'!X:X,'ON Data'!$D:$D,$A$4,'ON Data'!$E:$E,2),SUMIFS('ON Data'!X:X,'ON Data'!$E:$E,2))</f>
        <v>0</v>
      </c>
      <c r="T11" s="224">
        <f xml:space="preserve">
IF($A$4&lt;=12,SUMIFS('ON Data'!Y:Y,'ON Data'!$D:$D,$A$4,'ON Data'!$E:$E,2),SUMIFS('ON Data'!Y:Y,'ON Data'!$E:$E,2))</f>
        <v>0</v>
      </c>
      <c r="U11" s="224">
        <f xml:space="preserve">
IF($A$4&lt;=12,SUMIFS('ON Data'!Z:Z,'ON Data'!$D:$D,$A$4,'ON Data'!$E:$E,2),SUMIFS('ON Data'!Z:Z,'ON Data'!$E:$E,2))</f>
        <v>0</v>
      </c>
      <c r="V11" s="224">
        <f xml:space="preserve">
IF($A$4&lt;=12,SUMIFS('ON Data'!AA:AA,'ON Data'!$D:$D,$A$4,'ON Data'!$E:$E,2),SUMIFS('ON Data'!AA:AA,'ON Data'!$E:$E,2))</f>
        <v>0</v>
      </c>
      <c r="W11" s="224">
        <f xml:space="preserve">
IF($A$4&lt;=12,SUMIFS('ON Data'!AB:AB,'ON Data'!$D:$D,$A$4,'ON Data'!$E:$E,2),SUMIFS('ON Data'!AB:AB,'ON Data'!$E:$E,2))</f>
        <v>0</v>
      </c>
      <c r="X11" s="224">
        <f xml:space="preserve">
IF($A$4&lt;=12,SUMIFS('ON Data'!AC:AC,'ON Data'!$D:$D,$A$4,'ON Data'!$E:$E,2),SUMIFS('ON Data'!AC:AC,'ON Data'!$E:$E,2))</f>
        <v>0</v>
      </c>
      <c r="Y11" s="224">
        <f xml:space="preserve">
IF($A$4&lt;=12,SUMIFS('ON Data'!AD:AD,'ON Data'!$D:$D,$A$4,'ON Data'!$E:$E,2),SUMIFS('ON Data'!AD:AD,'ON Data'!$E:$E,2))</f>
        <v>0</v>
      </c>
      <c r="Z11" s="224">
        <f xml:space="preserve">
IF($A$4&lt;=12,SUMIFS('ON Data'!AE:AE,'ON Data'!$D:$D,$A$4,'ON Data'!$E:$E,2),SUMIFS('ON Data'!AE:AE,'ON Data'!$E:$E,2))</f>
        <v>0</v>
      </c>
      <c r="AA11" s="224">
        <f xml:space="preserve">
IF($A$4&lt;=12,SUMIFS('ON Data'!AF:AF,'ON Data'!$D:$D,$A$4,'ON Data'!$E:$E,2),SUMIFS('ON Data'!AF:AF,'ON Data'!$E:$E,2))</f>
        <v>0</v>
      </c>
      <c r="AB11" s="224">
        <f xml:space="preserve">
IF($A$4&lt;=12,SUMIFS('ON Data'!AG:AG,'ON Data'!$D:$D,$A$4,'ON Data'!$E:$E,2),SUMIFS('ON Data'!AG:AG,'ON Data'!$E:$E,2))</f>
        <v>0</v>
      </c>
      <c r="AC11" s="224">
        <f xml:space="preserve">
IF($A$4&lt;=12,SUMIFS('ON Data'!AH:AH,'ON Data'!$D:$D,$A$4,'ON Data'!$E:$E,2),SUMIFS('ON Data'!AH:AH,'ON Data'!$E:$E,2))</f>
        <v>0</v>
      </c>
      <c r="AD11" s="224">
        <f xml:space="preserve">
IF($A$4&lt;=12,SUMIFS('ON Data'!AI:AI,'ON Data'!$D:$D,$A$4,'ON Data'!$E:$E,2),SUMIFS('ON Data'!AI:AI,'ON Data'!$E:$E,2))</f>
        <v>1448</v>
      </c>
      <c r="AE11" s="224">
        <f xml:space="preserve">
IF($A$4&lt;=12,SUMIFS('ON Data'!AJ:AJ,'ON Data'!$D:$D,$A$4,'ON Data'!$E:$E,2),SUMIFS('ON Data'!AJ:AJ,'ON Data'!$E:$E,2))</f>
        <v>0</v>
      </c>
      <c r="AF11" s="224">
        <f xml:space="preserve">
IF($A$4&lt;=12,SUMIFS('ON Data'!AK:AK,'ON Data'!$D:$D,$A$4,'ON Data'!$E:$E,2),SUMIFS('ON Data'!AK:AK,'ON Data'!$E:$E,2))</f>
        <v>0</v>
      </c>
      <c r="AG11" s="364">
        <f xml:space="preserve">
IF($A$4&lt;=12,SUMIFS('ON Data'!AM:AM,'ON Data'!$D:$D,$A$4,'ON Data'!$E:$E,2),SUMIFS('ON Data'!AM:AM,'ON Data'!$E:$E,2))</f>
        <v>432</v>
      </c>
      <c r="AH11" s="373"/>
    </row>
    <row r="12" spans="1:34" x14ac:dyDescent="0.3">
      <c r="A12" s="205" t="s">
        <v>165</v>
      </c>
      <c r="B12" s="222">
        <f xml:space="preserve">
IF($A$4&lt;=12,SUMIFS('ON Data'!F:F,'ON Data'!$D:$D,$A$4,'ON Data'!$E:$E,3),SUMIFS('ON Data'!F:F,'ON Data'!$E:$E,3))</f>
        <v>0</v>
      </c>
      <c r="C12" s="223">
        <f xml:space="preserve">
IF($A$4&lt;=12,SUMIFS('ON Data'!G:G,'ON Data'!$D:$D,$A$4,'ON Data'!$E:$E,3),SUMIFS('ON Data'!G:G,'ON Data'!$E:$E,3))</f>
        <v>0</v>
      </c>
      <c r="D12" s="224">
        <f xml:space="preserve">
IF($A$4&lt;=12,SUMIFS('ON Data'!H:H,'ON Data'!$D:$D,$A$4,'ON Data'!$E:$E,3),SUMIFS('ON Data'!H:H,'ON Data'!$E:$E,3))</f>
        <v>0</v>
      </c>
      <c r="E12" s="224">
        <f xml:space="preserve">
IF($A$4&lt;=12,SUMIFS('ON Data'!I:I,'ON Data'!$D:$D,$A$4,'ON Data'!$E:$E,3),SUMIFS('ON Data'!I:I,'ON Data'!$E:$E,3))</f>
        <v>0</v>
      </c>
      <c r="F12" s="224">
        <f xml:space="preserve">
IF($A$4&lt;=12,SUMIFS('ON Data'!K:K,'ON Data'!$D:$D,$A$4,'ON Data'!$E:$E,3),SUMIFS('ON Data'!K:K,'ON Data'!$E:$E,3))</f>
        <v>0</v>
      </c>
      <c r="G12" s="224">
        <f xml:space="preserve">
IF($A$4&lt;=12,SUMIFS('ON Data'!L:L,'ON Data'!$D:$D,$A$4,'ON Data'!$E:$E,3),SUMIFS('ON Data'!L:L,'ON Data'!$E:$E,3))</f>
        <v>0</v>
      </c>
      <c r="H12" s="224">
        <f xml:space="preserve">
IF($A$4&lt;=12,SUMIFS('ON Data'!M:M,'ON Data'!$D:$D,$A$4,'ON Data'!$E:$E,3),SUMIFS('ON Data'!M:M,'ON Data'!$E:$E,3))</f>
        <v>0</v>
      </c>
      <c r="I12" s="224">
        <f xml:space="preserve">
IF($A$4&lt;=12,SUMIFS('ON Data'!N:N,'ON Data'!$D:$D,$A$4,'ON Data'!$E:$E,3),SUMIFS('ON Data'!N:N,'ON Data'!$E:$E,3))</f>
        <v>0</v>
      </c>
      <c r="J12" s="224">
        <f xml:space="preserve">
IF($A$4&lt;=12,SUMIFS('ON Data'!O:O,'ON Data'!$D:$D,$A$4,'ON Data'!$E:$E,3),SUMIFS('ON Data'!O:O,'ON Data'!$E:$E,3))</f>
        <v>0</v>
      </c>
      <c r="K12" s="224">
        <f xml:space="preserve">
IF($A$4&lt;=12,SUMIFS('ON Data'!P:P,'ON Data'!$D:$D,$A$4,'ON Data'!$E:$E,3),SUMIFS('ON Data'!P:P,'ON Data'!$E:$E,3))</f>
        <v>0</v>
      </c>
      <c r="L12" s="224">
        <f xml:space="preserve">
IF($A$4&lt;=12,SUMIFS('ON Data'!Q:Q,'ON Data'!$D:$D,$A$4,'ON Data'!$E:$E,3),SUMIFS('ON Data'!Q:Q,'ON Data'!$E:$E,3))</f>
        <v>0</v>
      </c>
      <c r="M12" s="224">
        <f xml:space="preserve">
IF($A$4&lt;=12,SUMIFS('ON Data'!R:R,'ON Data'!$D:$D,$A$4,'ON Data'!$E:$E,3),SUMIFS('ON Data'!R:R,'ON Data'!$E:$E,3))</f>
        <v>0</v>
      </c>
      <c r="N12" s="224">
        <f xml:space="preserve">
IF($A$4&lt;=12,SUMIFS('ON Data'!S:S,'ON Data'!$D:$D,$A$4,'ON Data'!$E:$E,3),SUMIFS('ON Data'!S:S,'ON Data'!$E:$E,3))</f>
        <v>0</v>
      </c>
      <c r="O12" s="224">
        <f xml:space="preserve">
IF($A$4&lt;=12,SUMIFS('ON Data'!T:T,'ON Data'!$D:$D,$A$4,'ON Data'!$E:$E,3),SUMIFS('ON Data'!T:T,'ON Data'!$E:$E,3))</f>
        <v>0</v>
      </c>
      <c r="P12" s="224">
        <f xml:space="preserve">
IF($A$4&lt;=12,SUMIFS('ON Data'!U:U,'ON Data'!$D:$D,$A$4,'ON Data'!$E:$E,3),SUMIFS('ON Data'!U:U,'ON Data'!$E:$E,3))</f>
        <v>0</v>
      </c>
      <c r="Q12" s="224">
        <f xml:space="preserve">
IF($A$4&lt;=12,SUMIFS('ON Data'!V:V,'ON Data'!$D:$D,$A$4,'ON Data'!$E:$E,3),SUMIFS('ON Data'!V:V,'ON Data'!$E:$E,3))</f>
        <v>0</v>
      </c>
      <c r="R12" s="224">
        <f xml:space="preserve">
IF($A$4&lt;=12,SUMIFS('ON Data'!W:W,'ON Data'!$D:$D,$A$4,'ON Data'!$E:$E,3),SUMIFS('ON Data'!W:W,'ON Data'!$E:$E,3))</f>
        <v>0</v>
      </c>
      <c r="S12" s="224">
        <f xml:space="preserve">
IF($A$4&lt;=12,SUMIFS('ON Data'!X:X,'ON Data'!$D:$D,$A$4,'ON Data'!$E:$E,3),SUMIFS('ON Data'!X:X,'ON Data'!$E:$E,3))</f>
        <v>0</v>
      </c>
      <c r="T12" s="224">
        <f xml:space="preserve">
IF($A$4&lt;=12,SUMIFS('ON Data'!Y:Y,'ON Data'!$D:$D,$A$4,'ON Data'!$E:$E,3),SUMIFS('ON Data'!Y:Y,'ON Data'!$E:$E,3))</f>
        <v>0</v>
      </c>
      <c r="U12" s="224">
        <f xml:space="preserve">
IF($A$4&lt;=12,SUMIFS('ON Data'!Z:Z,'ON Data'!$D:$D,$A$4,'ON Data'!$E:$E,3),SUMIFS('ON Data'!Z:Z,'ON Data'!$E:$E,3))</f>
        <v>0</v>
      </c>
      <c r="V12" s="224">
        <f xml:space="preserve">
IF($A$4&lt;=12,SUMIFS('ON Data'!AA:AA,'ON Data'!$D:$D,$A$4,'ON Data'!$E:$E,3),SUMIFS('ON Data'!AA:AA,'ON Data'!$E:$E,3))</f>
        <v>0</v>
      </c>
      <c r="W12" s="224">
        <f xml:space="preserve">
IF($A$4&lt;=12,SUMIFS('ON Data'!AB:AB,'ON Data'!$D:$D,$A$4,'ON Data'!$E:$E,3),SUMIFS('ON Data'!AB:AB,'ON Data'!$E:$E,3))</f>
        <v>0</v>
      </c>
      <c r="X12" s="224">
        <f xml:space="preserve">
IF($A$4&lt;=12,SUMIFS('ON Data'!AC:AC,'ON Data'!$D:$D,$A$4,'ON Data'!$E:$E,3),SUMIFS('ON Data'!AC:AC,'ON Data'!$E:$E,3))</f>
        <v>0</v>
      </c>
      <c r="Y12" s="224">
        <f xml:space="preserve">
IF($A$4&lt;=12,SUMIFS('ON Data'!AD:AD,'ON Data'!$D:$D,$A$4,'ON Data'!$E:$E,3),SUMIFS('ON Data'!AD:AD,'ON Data'!$E:$E,3))</f>
        <v>0</v>
      </c>
      <c r="Z12" s="224">
        <f xml:space="preserve">
IF($A$4&lt;=12,SUMIFS('ON Data'!AE:AE,'ON Data'!$D:$D,$A$4,'ON Data'!$E:$E,3),SUMIFS('ON Data'!AE:AE,'ON Data'!$E:$E,3))</f>
        <v>0</v>
      </c>
      <c r="AA12" s="224">
        <f xml:space="preserve">
IF($A$4&lt;=12,SUMIFS('ON Data'!AF:AF,'ON Data'!$D:$D,$A$4,'ON Data'!$E:$E,3),SUMIFS('ON Data'!AF:AF,'ON Data'!$E:$E,3))</f>
        <v>0</v>
      </c>
      <c r="AB12" s="224">
        <f xml:space="preserve">
IF($A$4&lt;=12,SUMIFS('ON Data'!AG:AG,'ON Data'!$D:$D,$A$4,'ON Data'!$E:$E,3),SUMIFS('ON Data'!AG:AG,'ON Data'!$E:$E,3))</f>
        <v>0</v>
      </c>
      <c r="AC12" s="224">
        <f xml:space="preserve">
IF($A$4&lt;=12,SUMIFS('ON Data'!AH:AH,'ON Data'!$D:$D,$A$4,'ON Data'!$E:$E,3),SUMIFS('ON Data'!AH:AH,'ON Data'!$E:$E,3))</f>
        <v>0</v>
      </c>
      <c r="AD12" s="224">
        <f xml:space="preserve">
IF($A$4&lt;=12,SUMIFS('ON Data'!AI:AI,'ON Data'!$D:$D,$A$4,'ON Data'!$E:$E,3),SUMIFS('ON Data'!AI:AI,'ON Data'!$E:$E,3))</f>
        <v>0</v>
      </c>
      <c r="AE12" s="224">
        <f xml:space="preserve">
IF($A$4&lt;=12,SUMIFS('ON Data'!AJ:AJ,'ON Data'!$D:$D,$A$4,'ON Data'!$E:$E,3),SUMIFS('ON Data'!AJ:AJ,'ON Data'!$E:$E,3))</f>
        <v>0</v>
      </c>
      <c r="AF12" s="224">
        <f xml:space="preserve">
IF($A$4&lt;=12,SUMIFS('ON Data'!AK:AK,'ON Data'!$D:$D,$A$4,'ON Data'!$E:$E,3),SUMIFS('ON Data'!AK:AK,'ON Data'!$E:$E,3))</f>
        <v>0</v>
      </c>
      <c r="AG12" s="364">
        <f xml:space="preserve">
IF($A$4&lt;=12,SUMIFS('ON Data'!AM:AM,'ON Data'!$D:$D,$A$4,'ON Data'!$E:$E,3),SUMIFS('ON Data'!AM:AM,'ON Data'!$E:$E,3))</f>
        <v>0</v>
      </c>
      <c r="AH12" s="373"/>
    </row>
    <row r="13" spans="1:34" x14ac:dyDescent="0.3">
      <c r="A13" s="205" t="s">
        <v>172</v>
      </c>
      <c r="B13" s="222">
        <f xml:space="preserve">
IF($A$4&lt;=12,SUMIFS('ON Data'!F:F,'ON Data'!$D:$D,$A$4,'ON Data'!$E:$E,4),SUMIFS('ON Data'!F:F,'ON Data'!$E:$E,4))</f>
        <v>0</v>
      </c>
      <c r="C13" s="223">
        <f xml:space="preserve">
IF($A$4&lt;=12,SUMIFS('ON Data'!G:G,'ON Data'!$D:$D,$A$4,'ON Data'!$E:$E,4),SUMIFS('ON Data'!G:G,'ON Data'!$E:$E,4))</f>
        <v>0</v>
      </c>
      <c r="D13" s="224">
        <f xml:space="preserve">
IF($A$4&lt;=12,SUMIFS('ON Data'!H:H,'ON Data'!$D:$D,$A$4,'ON Data'!$E:$E,4),SUMIFS('ON Data'!H:H,'ON Data'!$E:$E,4))</f>
        <v>0</v>
      </c>
      <c r="E13" s="224">
        <f xml:space="preserve">
IF($A$4&lt;=12,SUMIFS('ON Data'!I:I,'ON Data'!$D:$D,$A$4,'ON Data'!$E:$E,4),SUMIFS('ON Data'!I:I,'ON Data'!$E:$E,4))</f>
        <v>0</v>
      </c>
      <c r="F13" s="224">
        <f xml:space="preserve">
IF($A$4&lt;=12,SUMIFS('ON Data'!K:K,'ON Data'!$D:$D,$A$4,'ON Data'!$E:$E,4),SUMIFS('ON Data'!K:K,'ON Data'!$E:$E,4))</f>
        <v>0</v>
      </c>
      <c r="G13" s="224">
        <f xml:space="preserve">
IF($A$4&lt;=12,SUMIFS('ON Data'!L:L,'ON Data'!$D:$D,$A$4,'ON Data'!$E:$E,4),SUMIFS('ON Data'!L:L,'ON Data'!$E:$E,4))</f>
        <v>0</v>
      </c>
      <c r="H13" s="224">
        <f xml:space="preserve">
IF($A$4&lt;=12,SUMIFS('ON Data'!M:M,'ON Data'!$D:$D,$A$4,'ON Data'!$E:$E,4),SUMIFS('ON Data'!M:M,'ON Data'!$E:$E,4))</f>
        <v>0</v>
      </c>
      <c r="I13" s="224">
        <f xml:space="preserve">
IF($A$4&lt;=12,SUMIFS('ON Data'!N:N,'ON Data'!$D:$D,$A$4,'ON Data'!$E:$E,4),SUMIFS('ON Data'!N:N,'ON Data'!$E:$E,4))</f>
        <v>0</v>
      </c>
      <c r="J13" s="224">
        <f xml:space="preserve">
IF($A$4&lt;=12,SUMIFS('ON Data'!O:O,'ON Data'!$D:$D,$A$4,'ON Data'!$E:$E,4),SUMIFS('ON Data'!O:O,'ON Data'!$E:$E,4))</f>
        <v>0</v>
      </c>
      <c r="K13" s="224">
        <f xml:space="preserve">
IF($A$4&lt;=12,SUMIFS('ON Data'!P:P,'ON Data'!$D:$D,$A$4,'ON Data'!$E:$E,4),SUMIFS('ON Data'!P:P,'ON Data'!$E:$E,4))</f>
        <v>0</v>
      </c>
      <c r="L13" s="224">
        <f xml:space="preserve">
IF($A$4&lt;=12,SUMIFS('ON Data'!Q:Q,'ON Data'!$D:$D,$A$4,'ON Data'!$E:$E,4),SUMIFS('ON Data'!Q:Q,'ON Data'!$E:$E,4))</f>
        <v>0</v>
      </c>
      <c r="M13" s="224">
        <f xml:space="preserve">
IF($A$4&lt;=12,SUMIFS('ON Data'!R:R,'ON Data'!$D:$D,$A$4,'ON Data'!$E:$E,4),SUMIFS('ON Data'!R:R,'ON Data'!$E:$E,4))</f>
        <v>0</v>
      </c>
      <c r="N13" s="224">
        <f xml:space="preserve">
IF($A$4&lt;=12,SUMIFS('ON Data'!S:S,'ON Data'!$D:$D,$A$4,'ON Data'!$E:$E,4),SUMIFS('ON Data'!S:S,'ON Data'!$E:$E,4))</f>
        <v>0</v>
      </c>
      <c r="O13" s="224">
        <f xml:space="preserve">
IF($A$4&lt;=12,SUMIFS('ON Data'!T:T,'ON Data'!$D:$D,$A$4,'ON Data'!$E:$E,4),SUMIFS('ON Data'!T:T,'ON Data'!$E:$E,4))</f>
        <v>0</v>
      </c>
      <c r="P13" s="224">
        <f xml:space="preserve">
IF($A$4&lt;=12,SUMIFS('ON Data'!U:U,'ON Data'!$D:$D,$A$4,'ON Data'!$E:$E,4),SUMIFS('ON Data'!U:U,'ON Data'!$E:$E,4))</f>
        <v>0</v>
      </c>
      <c r="Q13" s="224">
        <f xml:space="preserve">
IF($A$4&lt;=12,SUMIFS('ON Data'!V:V,'ON Data'!$D:$D,$A$4,'ON Data'!$E:$E,4),SUMIFS('ON Data'!V:V,'ON Data'!$E:$E,4))</f>
        <v>0</v>
      </c>
      <c r="R13" s="224">
        <f xml:space="preserve">
IF($A$4&lt;=12,SUMIFS('ON Data'!W:W,'ON Data'!$D:$D,$A$4,'ON Data'!$E:$E,4),SUMIFS('ON Data'!W:W,'ON Data'!$E:$E,4))</f>
        <v>0</v>
      </c>
      <c r="S13" s="224">
        <f xml:space="preserve">
IF($A$4&lt;=12,SUMIFS('ON Data'!X:X,'ON Data'!$D:$D,$A$4,'ON Data'!$E:$E,4),SUMIFS('ON Data'!X:X,'ON Data'!$E:$E,4))</f>
        <v>0</v>
      </c>
      <c r="T13" s="224">
        <f xml:space="preserve">
IF($A$4&lt;=12,SUMIFS('ON Data'!Y:Y,'ON Data'!$D:$D,$A$4,'ON Data'!$E:$E,4),SUMIFS('ON Data'!Y:Y,'ON Data'!$E:$E,4))</f>
        <v>0</v>
      </c>
      <c r="U13" s="224">
        <f xml:space="preserve">
IF($A$4&lt;=12,SUMIFS('ON Data'!Z:Z,'ON Data'!$D:$D,$A$4,'ON Data'!$E:$E,4),SUMIFS('ON Data'!Z:Z,'ON Data'!$E:$E,4))</f>
        <v>0</v>
      </c>
      <c r="V13" s="224">
        <f xml:space="preserve">
IF($A$4&lt;=12,SUMIFS('ON Data'!AA:AA,'ON Data'!$D:$D,$A$4,'ON Data'!$E:$E,4),SUMIFS('ON Data'!AA:AA,'ON Data'!$E:$E,4))</f>
        <v>0</v>
      </c>
      <c r="W13" s="224">
        <f xml:space="preserve">
IF($A$4&lt;=12,SUMIFS('ON Data'!AB:AB,'ON Data'!$D:$D,$A$4,'ON Data'!$E:$E,4),SUMIFS('ON Data'!AB:AB,'ON Data'!$E:$E,4))</f>
        <v>0</v>
      </c>
      <c r="X13" s="224">
        <f xml:space="preserve">
IF($A$4&lt;=12,SUMIFS('ON Data'!AC:AC,'ON Data'!$D:$D,$A$4,'ON Data'!$E:$E,4),SUMIFS('ON Data'!AC:AC,'ON Data'!$E:$E,4))</f>
        <v>0</v>
      </c>
      <c r="Y13" s="224">
        <f xml:space="preserve">
IF($A$4&lt;=12,SUMIFS('ON Data'!AD:AD,'ON Data'!$D:$D,$A$4,'ON Data'!$E:$E,4),SUMIFS('ON Data'!AD:AD,'ON Data'!$E:$E,4))</f>
        <v>0</v>
      </c>
      <c r="Z13" s="224">
        <f xml:space="preserve">
IF($A$4&lt;=12,SUMIFS('ON Data'!AE:AE,'ON Data'!$D:$D,$A$4,'ON Data'!$E:$E,4),SUMIFS('ON Data'!AE:AE,'ON Data'!$E:$E,4))</f>
        <v>0</v>
      </c>
      <c r="AA13" s="224">
        <f xml:space="preserve">
IF($A$4&lt;=12,SUMIFS('ON Data'!AF:AF,'ON Data'!$D:$D,$A$4,'ON Data'!$E:$E,4),SUMIFS('ON Data'!AF:AF,'ON Data'!$E:$E,4))</f>
        <v>0</v>
      </c>
      <c r="AB13" s="224">
        <f xml:space="preserve">
IF($A$4&lt;=12,SUMIFS('ON Data'!AG:AG,'ON Data'!$D:$D,$A$4,'ON Data'!$E:$E,4),SUMIFS('ON Data'!AG:AG,'ON Data'!$E:$E,4))</f>
        <v>0</v>
      </c>
      <c r="AC13" s="224">
        <f xml:space="preserve">
IF($A$4&lt;=12,SUMIFS('ON Data'!AH:AH,'ON Data'!$D:$D,$A$4,'ON Data'!$E:$E,4),SUMIFS('ON Data'!AH:AH,'ON Data'!$E:$E,4))</f>
        <v>0</v>
      </c>
      <c r="AD13" s="224">
        <f xml:space="preserve">
IF($A$4&lt;=12,SUMIFS('ON Data'!AI:AI,'ON Data'!$D:$D,$A$4,'ON Data'!$E:$E,4),SUMIFS('ON Data'!AI:AI,'ON Data'!$E:$E,4))</f>
        <v>0</v>
      </c>
      <c r="AE13" s="224">
        <f xml:space="preserve">
IF($A$4&lt;=12,SUMIFS('ON Data'!AJ:AJ,'ON Data'!$D:$D,$A$4,'ON Data'!$E:$E,4),SUMIFS('ON Data'!AJ:AJ,'ON Data'!$E:$E,4))</f>
        <v>0</v>
      </c>
      <c r="AF13" s="224">
        <f xml:space="preserve">
IF($A$4&lt;=12,SUMIFS('ON Data'!AK:AK,'ON Data'!$D:$D,$A$4,'ON Data'!$E:$E,4),SUMIFS('ON Data'!AK:AK,'ON Data'!$E:$E,4))</f>
        <v>0</v>
      </c>
      <c r="AG13" s="364">
        <f xml:space="preserve">
IF($A$4&lt;=12,SUMIFS('ON Data'!AM:AM,'ON Data'!$D:$D,$A$4,'ON Data'!$E:$E,4),SUMIFS('ON Data'!AM:AM,'ON Data'!$E:$E,4))</f>
        <v>0</v>
      </c>
      <c r="AH13" s="373"/>
    </row>
    <row r="14" spans="1:34" ht="15" thickBot="1" x14ac:dyDescent="0.35">
      <c r="A14" s="206" t="s">
        <v>166</v>
      </c>
      <c r="B14" s="225">
        <f xml:space="preserve">
IF($A$4&lt;=12,SUMIFS('ON Data'!F:F,'ON Data'!$D:$D,$A$4,'ON Data'!$E:$E,5),SUMIFS('ON Data'!F:F,'ON Data'!$E:$E,5))</f>
        <v>0</v>
      </c>
      <c r="C14" s="226">
        <f xml:space="preserve">
IF($A$4&lt;=12,SUMIFS('ON Data'!G:G,'ON Data'!$D:$D,$A$4,'ON Data'!$E:$E,5),SUMIFS('ON Data'!G:G,'ON Data'!$E:$E,5))</f>
        <v>0</v>
      </c>
      <c r="D14" s="227">
        <f xml:space="preserve">
IF($A$4&lt;=12,SUMIFS('ON Data'!H:H,'ON Data'!$D:$D,$A$4,'ON Data'!$E:$E,5),SUMIFS('ON Data'!H:H,'ON Data'!$E:$E,5))</f>
        <v>0</v>
      </c>
      <c r="E14" s="227">
        <f xml:space="preserve">
IF($A$4&lt;=12,SUMIFS('ON Data'!I:I,'ON Data'!$D:$D,$A$4,'ON Data'!$E:$E,5),SUMIFS('ON Data'!I:I,'ON Data'!$E:$E,5))</f>
        <v>0</v>
      </c>
      <c r="F14" s="227">
        <f xml:space="preserve">
IF($A$4&lt;=12,SUMIFS('ON Data'!K:K,'ON Data'!$D:$D,$A$4,'ON Data'!$E:$E,5),SUMIFS('ON Data'!K:K,'ON Data'!$E:$E,5))</f>
        <v>0</v>
      </c>
      <c r="G14" s="227">
        <f xml:space="preserve">
IF($A$4&lt;=12,SUMIFS('ON Data'!L:L,'ON Data'!$D:$D,$A$4,'ON Data'!$E:$E,5),SUMIFS('ON Data'!L:L,'ON Data'!$E:$E,5))</f>
        <v>0</v>
      </c>
      <c r="H14" s="227">
        <f xml:space="preserve">
IF($A$4&lt;=12,SUMIFS('ON Data'!M:M,'ON Data'!$D:$D,$A$4,'ON Data'!$E:$E,5),SUMIFS('ON Data'!M:M,'ON Data'!$E:$E,5))</f>
        <v>0</v>
      </c>
      <c r="I14" s="227">
        <f xml:space="preserve">
IF($A$4&lt;=12,SUMIFS('ON Data'!N:N,'ON Data'!$D:$D,$A$4,'ON Data'!$E:$E,5),SUMIFS('ON Data'!N:N,'ON Data'!$E:$E,5))</f>
        <v>0</v>
      </c>
      <c r="J14" s="227">
        <f xml:space="preserve">
IF($A$4&lt;=12,SUMIFS('ON Data'!O:O,'ON Data'!$D:$D,$A$4,'ON Data'!$E:$E,5),SUMIFS('ON Data'!O:O,'ON Data'!$E:$E,5))</f>
        <v>0</v>
      </c>
      <c r="K14" s="227">
        <f xml:space="preserve">
IF($A$4&lt;=12,SUMIFS('ON Data'!P:P,'ON Data'!$D:$D,$A$4,'ON Data'!$E:$E,5),SUMIFS('ON Data'!P:P,'ON Data'!$E:$E,5))</f>
        <v>0</v>
      </c>
      <c r="L14" s="227">
        <f xml:space="preserve">
IF($A$4&lt;=12,SUMIFS('ON Data'!Q:Q,'ON Data'!$D:$D,$A$4,'ON Data'!$E:$E,5),SUMIFS('ON Data'!Q:Q,'ON Data'!$E:$E,5))</f>
        <v>0</v>
      </c>
      <c r="M14" s="227">
        <f xml:space="preserve">
IF($A$4&lt;=12,SUMIFS('ON Data'!R:R,'ON Data'!$D:$D,$A$4,'ON Data'!$E:$E,5),SUMIFS('ON Data'!R:R,'ON Data'!$E:$E,5))</f>
        <v>0</v>
      </c>
      <c r="N14" s="227">
        <f xml:space="preserve">
IF($A$4&lt;=12,SUMIFS('ON Data'!S:S,'ON Data'!$D:$D,$A$4,'ON Data'!$E:$E,5),SUMIFS('ON Data'!S:S,'ON Data'!$E:$E,5))</f>
        <v>0</v>
      </c>
      <c r="O14" s="227">
        <f xml:space="preserve">
IF($A$4&lt;=12,SUMIFS('ON Data'!T:T,'ON Data'!$D:$D,$A$4,'ON Data'!$E:$E,5),SUMIFS('ON Data'!T:T,'ON Data'!$E:$E,5))</f>
        <v>0</v>
      </c>
      <c r="P14" s="227">
        <f xml:space="preserve">
IF($A$4&lt;=12,SUMIFS('ON Data'!U:U,'ON Data'!$D:$D,$A$4,'ON Data'!$E:$E,5),SUMIFS('ON Data'!U:U,'ON Data'!$E:$E,5))</f>
        <v>0</v>
      </c>
      <c r="Q14" s="227">
        <f xml:space="preserve">
IF($A$4&lt;=12,SUMIFS('ON Data'!V:V,'ON Data'!$D:$D,$A$4,'ON Data'!$E:$E,5),SUMIFS('ON Data'!V:V,'ON Data'!$E:$E,5))</f>
        <v>0</v>
      </c>
      <c r="R14" s="227">
        <f xml:space="preserve">
IF($A$4&lt;=12,SUMIFS('ON Data'!W:W,'ON Data'!$D:$D,$A$4,'ON Data'!$E:$E,5),SUMIFS('ON Data'!W:W,'ON Data'!$E:$E,5))</f>
        <v>0</v>
      </c>
      <c r="S14" s="227">
        <f xml:space="preserve">
IF($A$4&lt;=12,SUMIFS('ON Data'!X:X,'ON Data'!$D:$D,$A$4,'ON Data'!$E:$E,5),SUMIFS('ON Data'!X:X,'ON Data'!$E:$E,5))</f>
        <v>0</v>
      </c>
      <c r="T14" s="227">
        <f xml:space="preserve">
IF($A$4&lt;=12,SUMIFS('ON Data'!Y:Y,'ON Data'!$D:$D,$A$4,'ON Data'!$E:$E,5),SUMIFS('ON Data'!Y:Y,'ON Data'!$E:$E,5))</f>
        <v>0</v>
      </c>
      <c r="U14" s="227">
        <f xml:space="preserve">
IF($A$4&lt;=12,SUMIFS('ON Data'!Z:Z,'ON Data'!$D:$D,$A$4,'ON Data'!$E:$E,5),SUMIFS('ON Data'!Z:Z,'ON Data'!$E:$E,5))</f>
        <v>0</v>
      </c>
      <c r="V14" s="227">
        <f xml:space="preserve">
IF($A$4&lt;=12,SUMIFS('ON Data'!AA:AA,'ON Data'!$D:$D,$A$4,'ON Data'!$E:$E,5),SUMIFS('ON Data'!AA:AA,'ON Data'!$E:$E,5))</f>
        <v>0</v>
      </c>
      <c r="W14" s="227">
        <f xml:space="preserve">
IF($A$4&lt;=12,SUMIFS('ON Data'!AB:AB,'ON Data'!$D:$D,$A$4,'ON Data'!$E:$E,5),SUMIFS('ON Data'!AB:AB,'ON Data'!$E:$E,5))</f>
        <v>0</v>
      </c>
      <c r="X14" s="227">
        <f xml:space="preserve">
IF($A$4&lt;=12,SUMIFS('ON Data'!AC:AC,'ON Data'!$D:$D,$A$4,'ON Data'!$E:$E,5),SUMIFS('ON Data'!AC:AC,'ON Data'!$E:$E,5))</f>
        <v>0</v>
      </c>
      <c r="Y14" s="227">
        <f xml:space="preserve">
IF($A$4&lt;=12,SUMIFS('ON Data'!AD:AD,'ON Data'!$D:$D,$A$4,'ON Data'!$E:$E,5),SUMIFS('ON Data'!AD:AD,'ON Data'!$E:$E,5))</f>
        <v>0</v>
      </c>
      <c r="Z14" s="227">
        <f xml:space="preserve">
IF($A$4&lt;=12,SUMIFS('ON Data'!AE:AE,'ON Data'!$D:$D,$A$4,'ON Data'!$E:$E,5),SUMIFS('ON Data'!AE:AE,'ON Data'!$E:$E,5))</f>
        <v>0</v>
      </c>
      <c r="AA14" s="227">
        <f xml:space="preserve">
IF($A$4&lt;=12,SUMIFS('ON Data'!AF:AF,'ON Data'!$D:$D,$A$4,'ON Data'!$E:$E,5),SUMIFS('ON Data'!AF:AF,'ON Data'!$E:$E,5))</f>
        <v>0</v>
      </c>
      <c r="AB14" s="227">
        <f xml:space="preserve">
IF($A$4&lt;=12,SUMIFS('ON Data'!AG:AG,'ON Data'!$D:$D,$A$4,'ON Data'!$E:$E,5),SUMIFS('ON Data'!AG:AG,'ON Data'!$E:$E,5))</f>
        <v>0</v>
      </c>
      <c r="AC14" s="227">
        <f xml:space="preserve">
IF($A$4&lt;=12,SUMIFS('ON Data'!AH:AH,'ON Data'!$D:$D,$A$4,'ON Data'!$E:$E,5),SUMIFS('ON Data'!AH:AH,'ON Data'!$E:$E,5))</f>
        <v>0</v>
      </c>
      <c r="AD14" s="227">
        <f xml:space="preserve">
IF($A$4&lt;=12,SUMIFS('ON Data'!AI:AI,'ON Data'!$D:$D,$A$4,'ON Data'!$E:$E,5),SUMIFS('ON Data'!AI:AI,'ON Data'!$E:$E,5))</f>
        <v>0</v>
      </c>
      <c r="AE14" s="227">
        <f xml:space="preserve">
IF($A$4&lt;=12,SUMIFS('ON Data'!AJ:AJ,'ON Data'!$D:$D,$A$4,'ON Data'!$E:$E,5),SUMIFS('ON Data'!AJ:AJ,'ON Data'!$E:$E,5))</f>
        <v>0</v>
      </c>
      <c r="AF14" s="227">
        <f xml:space="preserve">
IF($A$4&lt;=12,SUMIFS('ON Data'!AK:AK,'ON Data'!$D:$D,$A$4,'ON Data'!$E:$E,5),SUMIFS('ON Data'!AK:AK,'ON Data'!$E:$E,5))</f>
        <v>0</v>
      </c>
      <c r="AG14" s="365">
        <f xml:space="preserve">
IF($A$4&lt;=12,SUMIFS('ON Data'!AM:AM,'ON Data'!$D:$D,$A$4,'ON Data'!$E:$E,5),SUMIFS('ON Data'!AM:AM,'ON Data'!$E:$E,5))</f>
        <v>0</v>
      </c>
      <c r="AH14" s="373"/>
    </row>
    <row r="15" spans="1:34" x14ac:dyDescent="0.3">
      <c r="A15" s="132" t="s">
        <v>176</v>
      </c>
      <c r="B15" s="228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366"/>
      <c r="AH15" s="373"/>
    </row>
    <row r="16" spans="1:34" x14ac:dyDescent="0.3">
      <c r="A16" s="207" t="s">
        <v>167</v>
      </c>
      <c r="B16" s="222">
        <f xml:space="preserve">
IF($A$4&lt;=12,SUMIFS('ON Data'!F:F,'ON Data'!$D:$D,$A$4,'ON Data'!$E:$E,7),SUMIFS('ON Data'!F:F,'ON Data'!$E:$E,7))</f>
        <v>0</v>
      </c>
      <c r="C16" s="223">
        <f xml:space="preserve">
IF($A$4&lt;=12,SUMIFS('ON Data'!G:G,'ON Data'!$D:$D,$A$4,'ON Data'!$E:$E,7),SUMIFS('ON Data'!G:G,'ON Data'!$E:$E,7))</f>
        <v>0</v>
      </c>
      <c r="D16" s="224">
        <f xml:space="preserve">
IF($A$4&lt;=12,SUMIFS('ON Data'!H:H,'ON Data'!$D:$D,$A$4,'ON Data'!$E:$E,7),SUMIFS('ON Data'!H:H,'ON Data'!$E:$E,7))</f>
        <v>0</v>
      </c>
      <c r="E16" s="224">
        <f xml:space="preserve">
IF($A$4&lt;=12,SUMIFS('ON Data'!I:I,'ON Data'!$D:$D,$A$4,'ON Data'!$E:$E,7),SUMIFS('ON Data'!I:I,'ON Data'!$E:$E,7))</f>
        <v>0</v>
      </c>
      <c r="F16" s="224">
        <f xml:space="preserve">
IF($A$4&lt;=12,SUMIFS('ON Data'!K:K,'ON Data'!$D:$D,$A$4,'ON Data'!$E:$E,7),SUMIFS('ON Data'!K:K,'ON Data'!$E:$E,7))</f>
        <v>0</v>
      </c>
      <c r="G16" s="224">
        <f xml:space="preserve">
IF($A$4&lt;=12,SUMIFS('ON Data'!L:L,'ON Data'!$D:$D,$A$4,'ON Data'!$E:$E,7),SUMIFS('ON Data'!L:L,'ON Data'!$E:$E,7))</f>
        <v>0</v>
      </c>
      <c r="H16" s="224">
        <f xml:space="preserve">
IF($A$4&lt;=12,SUMIFS('ON Data'!M:M,'ON Data'!$D:$D,$A$4,'ON Data'!$E:$E,7),SUMIFS('ON Data'!M:M,'ON Data'!$E:$E,7))</f>
        <v>0</v>
      </c>
      <c r="I16" s="224">
        <f xml:space="preserve">
IF($A$4&lt;=12,SUMIFS('ON Data'!N:N,'ON Data'!$D:$D,$A$4,'ON Data'!$E:$E,7),SUMIFS('ON Data'!N:N,'ON Data'!$E:$E,7))</f>
        <v>0</v>
      </c>
      <c r="J16" s="224">
        <f xml:space="preserve">
IF($A$4&lt;=12,SUMIFS('ON Data'!O:O,'ON Data'!$D:$D,$A$4,'ON Data'!$E:$E,7),SUMIFS('ON Data'!O:O,'ON Data'!$E:$E,7))</f>
        <v>0</v>
      </c>
      <c r="K16" s="224">
        <f xml:space="preserve">
IF($A$4&lt;=12,SUMIFS('ON Data'!P:P,'ON Data'!$D:$D,$A$4,'ON Data'!$E:$E,7),SUMIFS('ON Data'!P:P,'ON Data'!$E:$E,7))</f>
        <v>0</v>
      </c>
      <c r="L16" s="224">
        <f xml:space="preserve">
IF($A$4&lt;=12,SUMIFS('ON Data'!Q:Q,'ON Data'!$D:$D,$A$4,'ON Data'!$E:$E,7),SUMIFS('ON Data'!Q:Q,'ON Data'!$E:$E,7))</f>
        <v>0</v>
      </c>
      <c r="M16" s="224">
        <f xml:space="preserve">
IF($A$4&lt;=12,SUMIFS('ON Data'!R:R,'ON Data'!$D:$D,$A$4,'ON Data'!$E:$E,7),SUMIFS('ON Data'!R:R,'ON Data'!$E:$E,7))</f>
        <v>0</v>
      </c>
      <c r="N16" s="224">
        <f xml:space="preserve">
IF($A$4&lt;=12,SUMIFS('ON Data'!S:S,'ON Data'!$D:$D,$A$4,'ON Data'!$E:$E,7),SUMIFS('ON Data'!S:S,'ON Data'!$E:$E,7))</f>
        <v>0</v>
      </c>
      <c r="O16" s="224">
        <f xml:space="preserve">
IF($A$4&lt;=12,SUMIFS('ON Data'!T:T,'ON Data'!$D:$D,$A$4,'ON Data'!$E:$E,7),SUMIFS('ON Data'!T:T,'ON Data'!$E:$E,7))</f>
        <v>0</v>
      </c>
      <c r="P16" s="224">
        <f xml:space="preserve">
IF($A$4&lt;=12,SUMIFS('ON Data'!U:U,'ON Data'!$D:$D,$A$4,'ON Data'!$E:$E,7),SUMIFS('ON Data'!U:U,'ON Data'!$E:$E,7))</f>
        <v>0</v>
      </c>
      <c r="Q16" s="224">
        <f xml:space="preserve">
IF($A$4&lt;=12,SUMIFS('ON Data'!V:V,'ON Data'!$D:$D,$A$4,'ON Data'!$E:$E,7),SUMIFS('ON Data'!V:V,'ON Data'!$E:$E,7))</f>
        <v>0</v>
      </c>
      <c r="R16" s="224">
        <f xml:space="preserve">
IF($A$4&lt;=12,SUMIFS('ON Data'!W:W,'ON Data'!$D:$D,$A$4,'ON Data'!$E:$E,7),SUMIFS('ON Data'!W:W,'ON Data'!$E:$E,7))</f>
        <v>0</v>
      </c>
      <c r="S16" s="224">
        <f xml:space="preserve">
IF($A$4&lt;=12,SUMIFS('ON Data'!X:X,'ON Data'!$D:$D,$A$4,'ON Data'!$E:$E,7),SUMIFS('ON Data'!X:X,'ON Data'!$E:$E,7))</f>
        <v>0</v>
      </c>
      <c r="T16" s="224">
        <f xml:space="preserve">
IF($A$4&lt;=12,SUMIFS('ON Data'!Y:Y,'ON Data'!$D:$D,$A$4,'ON Data'!$E:$E,7),SUMIFS('ON Data'!Y:Y,'ON Data'!$E:$E,7))</f>
        <v>0</v>
      </c>
      <c r="U16" s="224">
        <f xml:space="preserve">
IF($A$4&lt;=12,SUMIFS('ON Data'!Z:Z,'ON Data'!$D:$D,$A$4,'ON Data'!$E:$E,7),SUMIFS('ON Data'!Z:Z,'ON Data'!$E:$E,7))</f>
        <v>0</v>
      </c>
      <c r="V16" s="224">
        <f xml:space="preserve">
IF($A$4&lt;=12,SUMIFS('ON Data'!AA:AA,'ON Data'!$D:$D,$A$4,'ON Data'!$E:$E,7),SUMIFS('ON Data'!AA:AA,'ON Data'!$E:$E,7))</f>
        <v>0</v>
      </c>
      <c r="W16" s="224">
        <f xml:space="preserve">
IF($A$4&lt;=12,SUMIFS('ON Data'!AB:AB,'ON Data'!$D:$D,$A$4,'ON Data'!$E:$E,7),SUMIFS('ON Data'!AB:AB,'ON Data'!$E:$E,7))</f>
        <v>0</v>
      </c>
      <c r="X16" s="224">
        <f xml:space="preserve">
IF($A$4&lt;=12,SUMIFS('ON Data'!AC:AC,'ON Data'!$D:$D,$A$4,'ON Data'!$E:$E,7),SUMIFS('ON Data'!AC:AC,'ON Data'!$E:$E,7))</f>
        <v>0</v>
      </c>
      <c r="Y16" s="224">
        <f xml:space="preserve">
IF($A$4&lt;=12,SUMIFS('ON Data'!AD:AD,'ON Data'!$D:$D,$A$4,'ON Data'!$E:$E,7),SUMIFS('ON Data'!AD:AD,'ON Data'!$E:$E,7))</f>
        <v>0</v>
      </c>
      <c r="Z16" s="224">
        <f xml:space="preserve">
IF($A$4&lt;=12,SUMIFS('ON Data'!AE:AE,'ON Data'!$D:$D,$A$4,'ON Data'!$E:$E,7),SUMIFS('ON Data'!AE:AE,'ON Data'!$E:$E,7))</f>
        <v>0</v>
      </c>
      <c r="AA16" s="224">
        <f xml:space="preserve">
IF($A$4&lt;=12,SUMIFS('ON Data'!AF:AF,'ON Data'!$D:$D,$A$4,'ON Data'!$E:$E,7),SUMIFS('ON Data'!AF:AF,'ON Data'!$E:$E,7))</f>
        <v>0</v>
      </c>
      <c r="AB16" s="224">
        <f xml:space="preserve">
IF($A$4&lt;=12,SUMIFS('ON Data'!AG:AG,'ON Data'!$D:$D,$A$4,'ON Data'!$E:$E,7),SUMIFS('ON Data'!AG:AG,'ON Data'!$E:$E,7))</f>
        <v>0</v>
      </c>
      <c r="AC16" s="224">
        <f xml:space="preserve">
IF($A$4&lt;=12,SUMIFS('ON Data'!AH:AH,'ON Data'!$D:$D,$A$4,'ON Data'!$E:$E,7),SUMIFS('ON Data'!AH:AH,'ON Data'!$E:$E,7))</f>
        <v>0</v>
      </c>
      <c r="AD16" s="224">
        <f xml:space="preserve">
IF($A$4&lt;=12,SUMIFS('ON Data'!AI:AI,'ON Data'!$D:$D,$A$4,'ON Data'!$E:$E,7),SUMIFS('ON Data'!AI:AI,'ON Data'!$E:$E,7))</f>
        <v>0</v>
      </c>
      <c r="AE16" s="224">
        <f xml:space="preserve">
IF($A$4&lt;=12,SUMIFS('ON Data'!AJ:AJ,'ON Data'!$D:$D,$A$4,'ON Data'!$E:$E,7),SUMIFS('ON Data'!AJ:AJ,'ON Data'!$E:$E,7))</f>
        <v>0</v>
      </c>
      <c r="AF16" s="224">
        <f xml:space="preserve">
IF($A$4&lt;=12,SUMIFS('ON Data'!AK:AK,'ON Data'!$D:$D,$A$4,'ON Data'!$E:$E,7),SUMIFS('ON Data'!AK:AK,'ON Data'!$E:$E,7))</f>
        <v>0</v>
      </c>
      <c r="AG16" s="364">
        <f xml:space="preserve">
IF($A$4&lt;=12,SUMIFS('ON Data'!AM:AM,'ON Data'!$D:$D,$A$4,'ON Data'!$E:$E,7),SUMIFS('ON Data'!AM:AM,'ON Data'!$E:$E,7))</f>
        <v>0</v>
      </c>
      <c r="AH16" s="373"/>
    </row>
    <row r="17" spans="1:34" x14ac:dyDescent="0.3">
      <c r="A17" s="207" t="s">
        <v>168</v>
      </c>
      <c r="B17" s="222">
        <f xml:space="preserve">
IF($A$4&lt;=12,SUMIFS('ON Data'!F:F,'ON Data'!$D:$D,$A$4,'ON Data'!$E:$E,8),SUMIFS('ON Data'!F:F,'ON Data'!$E:$E,8))</f>
        <v>0</v>
      </c>
      <c r="C17" s="223">
        <f xml:space="preserve">
IF($A$4&lt;=12,SUMIFS('ON Data'!G:G,'ON Data'!$D:$D,$A$4,'ON Data'!$E:$E,8),SUMIFS('ON Data'!G:G,'ON Data'!$E:$E,8))</f>
        <v>0</v>
      </c>
      <c r="D17" s="224">
        <f xml:space="preserve">
IF($A$4&lt;=12,SUMIFS('ON Data'!H:H,'ON Data'!$D:$D,$A$4,'ON Data'!$E:$E,8),SUMIFS('ON Data'!H:H,'ON Data'!$E:$E,8))</f>
        <v>0</v>
      </c>
      <c r="E17" s="224">
        <f xml:space="preserve">
IF($A$4&lt;=12,SUMIFS('ON Data'!I:I,'ON Data'!$D:$D,$A$4,'ON Data'!$E:$E,8),SUMIFS('ON Data'!I:I,'ON Data'!$E:$E,8))</f>
        <v>0</v>
      </c>
      <c r="F17" s="224">
        <f xml:space="preserve">
IF($A$4&lt;=12,SUMIFS('ON Data'!K:K,'ON Data'!$D:$D,$A$4,'ON Data'!$E:$E,8),SUMIFS('ON Data'!K:K,'ON Data'!$E:$E,8))</f>
        <v>0</v>
      </c>
      <c r="G17" s="224">
        <f xml:space="preserve">
IF($A$4&lt;=12,SUMIFS('ON Data'!L:L,'ON Data'!$D:$D,$A$4,'ON Data'!$E:$E,8),SUMIFS('ON Data'!L:L,'ON Data'!$E:$E,8))</f>
        <v>0</v>
      </c>
      <c r="H17" s="224">
        <f xml:space="preserve">
IF($A$4&lt;=12,SUMIFS('ON Data'!M:M,'ON Data'!$D:$D,$A$4,'ON Data'!$E:$E,8),SUMIFS('ON Data'!M:M,'ON Data'!$E:$E,8))</f>
        <v>0</v>
      </c>
      <c r="I17" s="224">
        <f xml:space="preserve">
IF($A$4&lt;=12,SUMIFS('ON Data'!N:N,'ON Data'!$D:$D,$A$4,'ON Data'!$E:$E,8),SUMIFS('ON Data'!N:N,'ON Data'!$E:$E,8))</f>
        <v>0</v>
      </c>
      <c r="J17" s="224">
        <f xml:space="preserve">
IF($A$4&lt;=12,SUMIFS('ON Data'!O:O,'ON Data'!$D:$D,$A$4,'ON Data'!$E:$E,8),SUMIFS('ON Data'!O:O,'ON Data'!$E:$E,8))</f>
        <v>0</v>
      </c>
      <c r="K17" s="224">
        <f xml:space="preserve">
IF($A$4&lt;=12,SUMIFS('ON Data'!P:P,'ON Data'!$D:$D,$A$4,'ON Data'!$E:$E,8),SUMIFS('ON Data'!P:P,'ON Data'!$E:$E,8))</f>
        <v>0</v>
      </c>
      <c r="L17" s="224">
        <f xml:space="preserve">
IF($A$4&lt;=12,SUMIFS('ON Data'!Q:Q,'ON Data'!$D:$D,$A$4,'ON Data'!$E:$E,8),SUMIFS('ON Data'!Q:Q,'ON Data'!$E:$E,8))</f>
        <v>0</v>
      </c>
      <c r="M17" s="224">
        <f xml:space="preserve">
IF($A$4&lt;=12,SUMIFS('ON Data'!R:R,'ON Data'!$D:$D,$A$4,'ON Data'!$E:$E,8),SUMIFS('ON Data'!R:R,'ON Data'!$E:$E,8))</f>
        <v>0</v>
      </c>
      <c r="N17" s="224">
        <f xml:space="preserve">
IF($A$4&lt;=12,SUMIFS('ON Data'!S:S,'ON Data'!$D:$D,$A$4,'ON Data'!$E:$E,8),SUMIFS('ON Data'!S:S,'ON Data'!$E:$E,8))</f>
        <v>0</v>
      </c>
      <c r="O17" s="224">
        <f xml:space="preserve">
IF($A$4&lt;=12,SUMIFS('ON Data'!T:T,'ON Data'!$D:$D,$A$4,'ON Data'!$E:$E,8),SUMIFS('ON Data'!T:T,'ON Data'!$E:$E,8))</f>
        <v>0</v>
      </c>
      <c r="P17" s="224">
        <f xml:space="preserve">
IF($A$4&lt;=12,SUMIFS('ON Data'!U:U,'ON Data'!$D:$D,$A$4,'ON Data'!$E:$E,8),SUMIFS('ON Data'!U:U,'ON Data'!$E:$E,8))</f>
        <v>0</v>
      </c>
      <c r="Q17" s="224">
        <f xml:space="preserve">
IF($A$4&lt;=12,SUMIFS('ON Data'!V:V,'ON Data'!$D:$D,$A$4,'ON Data'!$E:$E,8),SUMIFS('ON Data'!V:V,'ON Data'!$E:$E,8))</f>
        <v>0</v>
      </c>
      <c r="R17" s="224">
        <f xml:space="preserve">
IF($A$4&lt;=12,SUMIFS('ON Data'!W:W,'ON Data'!$D:$D,$A$4,'ON Data'!$E:$E,8),SUMIFS('ON Data'!W:W,'ON Data'!$E:$E,8))</f>
        <v>0</v>
      </c>
      <c r="S17" s="224">
        <f xml:space="preserve">
IF($A$4&lt;=12,SUMIFS('ON Data'!X:X,'ON Data'!$D:$D,$A$4,'ON Data'!$E:$E,8),SUMIFS('ON Data'!X:X,'ON Data'!$E:$E,8))</f>
        <v>0</v>
      </c>
      <c r="T17" s="224">
        <f xml:space="preserve">
IF($A$4&lt;=12,SUMIFS('ON Data'!Y:Y,'ON Data'!$D:$D,$A$4,'ON Data'!$E:$E,8),SUMIFS('ON Data'!Y:Y,'ON Data'!$E:$E,8))</f>
        <v>0</v>
      </c>
      <c r="U17" s="224">
        <f xml:space="preserve">
IF($A$4&lt;=12,SUMIFS('ON Data'!Z:Z,'ON Data'!$D:$D,$A$4,'ON Data'!$E:$E,8),SUMIFS('ON Data'!Z:Z,'ON Data'!$E:$E,8))</f>
        <v>0</v>
      </c>
      <c r="V17" s="224">
        <f xml:space="preserve">
IF($A$4&lt;=12,SUMIFS('ON Data'!AA:AA,'ON Data'!$D:$D,$A$4,'ON Data'!$E:$E,8),SUMIFS('ON Data'!AA:AA,'ON Data'!$E:$E,8))</f>
        <v>0</v>
      </c>
      <c r="W17" s="224">
        <f xml:space="preserve">
IF($A$4&lt;=12,SUMIFS('ON Data'!AB:AB,'ON Data'!$D:$D,$A$4,'ON Data'!$E:$E,8),SUMIFS('ON Data'!AB:AB,'ON Data'!$E:$E,8))</f>
        <v>0</v>
      </c>
      <c r="X17" s="224">
        <f xml:space="preserve">
IF($A$4&lt;=12,SUMIFS('ON Data'!AC:AC,'ON Data'!$D:$D,$A$4,'ON Data'!$E:$E,8),SUMIFS('ON Data'!AC:AC,'ON Data'!$E:$E,8))</f>
        <v>0</v>
      </c>
      <c r="Y17" s="224">
        <f xml:space="preserve">
IF($A$4&lt;=12,SUMIFS('ON Data'!AD:AD,'ON Data'!$D:$D,$A$4,'ON Data'!$E:$E,8),SUMIFS('ON Data'!AD:AD,'ON Data'!$E:$E,8))</f>
        <v>0</v>
      </c>
      <c r="Z17" s="224">
        <f xml:space="preserve">
IF($A$4&lt;=12,SUMIFS('ON Data'!AE:AE,'ON Data'!$D:$D,$A$4,'ON Data'!$E:$E,8),SUMIFS('ON Data'!AE:AE,'ON Data'!$E:$E,8))</f>
        <v>0</v>
      </c>
      <c r="AA17" s="224">
        <f xml:space="preserve">
IF($A$4&lt;=12,SUMIFS('ON Data'!AF:AF,'ON Data'!$D:$D,$A$4,'ON Data'!$E:$E,8),SUMIFS('ON Data'!AF:AF,'ON Data'!$E:$E,8))</f>
        <v>0</v>
      </c>
      <c r="AB17" s="224">
        <f xml:space="preserve">
IF($A$4&lt;=12,SUMIFS('ON Data'!AG:AG,'ON Data'!$D:$D,$A$4,'ON Data'!$E:$E,8),SUMIFS('ON Data'!AG:AG,'ON Data'!$E:$E,8))</f>
        <v>0</v>
      </c>
      <c r="AC17" s="224">
        <f xml:space="preserve">
IF($A$4&lt;=12,SUMIFS('ON Data'!AH:AH,'ON Data'!$D:$D,$A$4,'ON Data'!$E:$E,8),SUMIFS('ON Data'!AH:AH,'ON Data'!$E:$E,8))</f>
        <v>0</v>
      </c>
      <c r="AD17" s="224">
        <f xml:space="preserve">
IF($A$4&lt;=12,SUMIFS('ON Data'!AI:AI,'ON Data'!$D:$D,$A$4,'ON Data'!$E:$E,8),SUMIFS('ON Data'!AI:AI,'ON Data'!$E:$E,8))</f>
        <v>0</v>
      </c>
      <c r="AE17" s="224">
        <f xml:space="preserve">
IF($A$4&lt;=12,SUMIFS('ON Data'!AJ:AJ,'ON Data'!$D:$D,$A$4,'ON Data'!$E:$E,8),SUMIFS('ON Data'!AJ:AJ,'ON Data'!$E:$E,8))</f>
        <v>0</v>
      </c>
      <c r="AF17" s="224">
        <f xml:space="preserve">
IF($A$4&lt;=12,SUMIFS('ON Data'!AK:AK,'ON Data'!$D:$D,$A$4,'ON Data'!$E:$E,8),SUMIFS('ON Data'!AK:AK,'ON Data'!$E:$E,8))</f>
        <v>0</v>
      </c>
      <c r="AG17" s="364">
        <f xml:space="preserve">
IF($A$4&lt;=12,SUMIFS('ON Data'!AM:AM,'ON Data'!$D:$D,$A$4,'ON Data'!$E:$E,8),SUMIFS('ON Data'!AM:AM,'ON Data'!$E:$E,8))</f>
        <v>0</v>
      </c>
      <c r="AH17" s="373"/>
    </row>
    <row r="18" spans="1:34" x14ac:dyDescent="0.3">
      <c r="A18" s="207" t="s">
        <v>169</v>
      </c>
      <c r="B18" s="222">
        <f xml:space="preserve">
B19-B16-B17</f>
        <v>0</v>
      </c>
      <c r="C18" s="223">
        <f t="shared" ref="C18" si="0" xml:space="preserve">
C19-C16-C17</f>
        <v>0</v>
      </c>
      <c r="D18" s="224">
        <f t="shared" ref="D18:AG18" si="1" xml:space="preserve">
D19-D16-D17</f>
        <v>0</v>
      </c>
      <c r="E18" s="224">
        <f t="shared" si="1"/>
        <v>0</v>
      </c>
      <c r="F18" s="224">
        <f t="shared" si="1"/>
        <v>0</v>
      </c>
      <c r="G18" s="224">
        <f t="shared" si="1"/>
        <v>0</v>
      </c>
      <c r="H18" s="224">
        <f t="shared" si="1"/>
        <v>0</v>
      </c>
      <c r="I18" s="224">
        <f t="shared" si="1"/>
        <v>0</v>
      </c>
      <c r="J18" s="224">
        <f t="shared" si="1"/>
        <v>0</v>
      </c>
      <c r="K18" s="224">
        <f t="shared" si="1"/>
        <v>0</v>
      </c>
      <c r="L18" s="224">
        <f t="shared" si="1"/>
        <v>0</v>
      </c>
      <c r="M18" s="224">
        <f t="shared" si="1"/>
        <v>0</v>
      </c>
      <c r="N18" s="224">
        <f t="shared" si="1"/>
        <v>0</v>
      </c>
      <c r="O18" s="224">
        <f t="shared" si="1"/>
        <v>0</v>
      </c>
      <c r="P18" s="224">
        <f t="shared" si="1"/>
        <v>0</v>
      </c>
      <c r="Q18" s="224">
        <f t="shared" si="1"/>
        <v>0</v>
      </c>
      <c r="R18" s="224">
        <f t="shared" si="1"/>
        <v>0</v>
      </c>
      <c r="S18" s="224">
        <f t="shared" si="1"/>
        <v>0</v>
      </c>
      <c r="T18" s="224">
        <f t="shared" si="1"/>
        <v>0</v>
      </c>
      <c r="U18" s="224">
        <f t="shared" si="1"/>
        <v>0</v>
      </c>
      <c r="V18" s="224">
        <f t="shared" si="1"/>
        <v>0</v>
      </c>
      <c r="W18" s="224">
        <f t="shared" si="1"/>
        <v>0</v>
      </c>
      <c r="X18" s="224">
        <f t="shared" si="1"/>
        <v>0</v>
      </c>
      <c r="Y18" s="224">
        <f t="shared" si="1"/>
        <v>0</v>
      </c>
      <c r="Z18" s="224">
        <f t="shared" si="1"/>
        <v>0</v>
      </c>
      <c r="AA18" s="224">
        <f t="shared" si="1"/>
        <v>0</v>
      </c>
      <c r="AB18" s="224">
        <f t="shared" si="1"/>
        <v>0</v>
      </c>
      <c r="AC18" s="224">
        <f t="shared" si="1"/>
        <v>0</v>
      </c>
      <c r="AD18" s="224">
        <f t="shared" si="1"/>
        <v>0</v>
      </c>
      <c r="AE18" s="224">
        <f t="shared" si="1"/>
        <v>0</v>
      </c>
      <c r="AF18" s="224">
        <f t="shared" si="1"/>
        <v>0</v>
      </c>
      <c r="AG18" s="364">
        <f t="shared" si="1"/>
        <v>0</v>
      </c>
      <c r="AH18" s="373"/>
    </row>
    <row r="19" spans="1:34" ht="15" thickBot="1" x14ac:dyDescent="0.35">
      <c r="A19" s="208" t="s">
        <v>170</v>
      </c>
      <c r="B19" s="231">
        <f xml:space="preserve">
IF($A$4&lt;=12,SUMIFS('ON Data'!F:F,'ON Data'!$D:$D,$A$4,'ON Data'!$E:$E,9),SUMIFS('ON Data'!F:F,'ON Data'!$E:$E,9))</f>
        <v>0</v>
      </c>
      <c r="C19" s="232">
        <f xml:space="preserve">
IF($A$4&lt;=12,SUMIFS('ON Data'!G:G,'ON Data'!$D:$D,$A$4,'ON Data'!$E:$E,9),SUMIFS('ON Data'!G:G,'ON Data'!$E:$E,9))</f>
        <v>0</v>
      </c>
      <c r="D19" s="233">
        <f xml:space="preserve">
IF($A$4&lt;=12,SUMIFS('ON Data'!H:H,'ON Data'!$D:$D,$A$4,'ON Data'!$E:$E,9),SUMIFS('ON Data'!H:H,'ON Data'!$E:$E,9))</f>
        <v>0</v>
      </c>
      <c r="E19" s="233">
        <f xml:space="preserve">
IF($A$4&lt;=12,SUMIFS('ON Data'!I:I,'ON Data'!$D:$D,$A$4,'ON Data'!$E:$E,9),SUMIFS('ON Data'!I:I,'ON Data'!$E:$E,9))</f>
        <v>0</v>
      </c>
      <c r="F19" s="233">
        <f xml:space="preserve">
IF($A$4&lt;=12,SUMIFS('ON Data'!K:K,'ON Data'!$D:$D,$A$4,'ON Data'!$E:$E,9),SUMIFS('ON Data'!K:K,'ON Data'!$E:$E,9))</f>
        <v>0</v>
      </c>
      <c r="G19" s="233">
        <f xml:space="preserve">
IF($A$4&lt;=12,SUMIFS('ON Data'!L:L,'ON Data'!$D:$D,$A$4,'ON Data'!$E:$E,9),SUMIFS('ON Data'!L:L,'ON Data'!$E:$E,9))</f>
        <v>0</v>
      </c>
      <c r="H19" s="233">
        <f xml:space="preserve">
IF($A$4&lt;=12,SUMIFS('ON Data'!M:M,'ON Data'!$D:$D,$A$4,'ON Data'!$E:$E,9),SUMIFS('ON Data'!M:M,'ON Data'!$E:$E,9))</f>
        <v>0</v>
      </c>
      <c r="I19" s="233">
        <f xml:space="preserve">
IF($A$4&lt;=12,SUMIFS('ON Data'!N:N,'ON Data'!$D:$D,$A$4,'ON Data'!$E:$E,9),SUMIFS('ON Data'!N:N,'ON Data'!$E:$E,9))</f>
        <v>0</v>
      </c>
      <c r="J19" s="233">
        <f xml:space="preserve">
IF($A$4&lt;=12,SUMIFS('ON Data'!O:O,'ON Data'!$D:$D,$A$4,'ON Data'!$E:$E,9),SUMIFS('ON Data'!O:O,'ON Data'!$E:$E,9))</f>
        <v>0</v>
      </c>
      <c r="K19" s="233">
        <f xml:space="preserve">
IF($A$4&lt;=12,SUMIFS('ON Data'!P:P,'ON Data'!$D:$D,$A$4,'ON Data'!$E:$E,9),SUMIFS('ON Data'!P:P,'ON Data'!$E:$E,9))</f>
        <v>0</v>
      </c>
      <c r="L19" s="233">
        <f xml:space="preserve">
IF($A$4&lt;=12,SUMIFS('ON Data'!Q:Q,'ON Data'!$D:$D,$A$4,'ON Data'!$E:$E,9),SUMIFS('ON Data'!Q:Q,'ON Data'!$E:$E,9))</f>
        <v>0</v>
      </c>
      <c r="M19" s="233">
        <f xml:space="preserve">
IF($A$4&lt;=12,SUMIFS('ON Data'!R:R,'ON Data'!$D:$D,$A$4,'ON Data'!$E:$E,9),SUMIFS('ON Data'!R:R,'ON Data'!$E:$E,9))</f>
        <v>0</v>
      </c>
      <c r="N19" s="233">
        <f xml:space="preserve">
IF($A$4&lt;=12,SUMIFS('ON Data'!S:S,'ON Data'!$D:$D,$A$4,'ON Data'!$E:$E,9),SUMIFS('ON Data'!S:S,'ON Data'!$E:$E,9))</f>
        <v>0</v>
      </c>
      <c r="O19" s="233">
        <f xml:space="preserve">
IF($A$4&lt;=12,SUMIFS('ON Data'!T:T,'ON Data'!$D:$D,$A$4,'ON Data'!$E:$E,9),SUMIFS('ON Data'!T:T,'ON Data'!$E:$E,9))</f>
        <v>0</v>
      </c>
      <c r="P19" s="233">
        <f xml:space="preserve">
IF($A$4&lt;=12,SUMIFS('ON Data'!U:U,'ON Data'!$D:$D,$A$4,'ON Data'!$E:$E,9),SUMIFS('ON Data'!U:U,'ON Data'!$E:$E,9))</f>
        <v>0</v>
      </c>
      <c r="Q19" s="233">
        <f xml:space="preserve">
IF($A$4&lt;=12,SUMIFS('ON Data'!V:V,'ON Data'!$D:$D,$A$4,'ON Data'!$E:$E,9),SUMIFS('ON Data'!V:V,'ON Data'!$E:$E,9))</f>
        <v>0</v>
      </c>
      <c r="R19" s="233">
        <f xml:space="preserve">
IF($A$4&lt;=12,SUMIFS('ON Data'!W:W,'ON Data'!$D:$D,$A$4,'ON Data'!$E:$E,9),SUMIFS('ON Data'!W:W,'ON Data'!$E:$E,9))</f>
        <v>0</v>
      </c>
      <c r="S19" s="233">
        <f xml:space="preserve">
IF($A$4&lt;=12,SUMIFS('ON Data'!X:X,'ON Data'!$D:$D,$A$4,'ON Data'!$E:$E,9),SUMIFS('ON Data'!X:X,'ON Data'!$E:$E,9))</f>
        <v>0</v>
      </c>
      <c r="T19" s="233">
        <f xml:space="preserve">
IF($A$4&lt;=12,SUMIFS('ON Data'!Y:Y,'ON Data'!$D:$D,$A$4,'ON Data'!$E:$E,9),SUMIFS('ON Data'!Y:Y,'ON Data'!$E:$E,9))</f>
        <v>0</v>
      </c>
      <c r="U19" s="233">
        <f xml:space="preserve">
IF($A$4&lt;=12,SUMIFS('ON Data'!Z:Z,'ON Data'!$D:$D,$A$4,'ON Data'!$E:$E,9),SUMIFS('ON Data'!Z:Z,'ON Data'!$E:$E,9))</f>
        <v>0</v>
      </c>
      <c r="V19" s="233">
        <f xml:space="preserve">
IF($A$4&lt;=12,SUMIFS('ON Data'!AA:AA,'ON Data'!$D:$D,$A$4,'ON Data'!$E:$E,9),SUMIFS('ON Data'!AA:AA,'ON Data'!$E:$E,9))</f>
        <v>0</v>
      </c>
      <c r="W19" s="233">
        <f xml:space="preserve">
IF($A$4&lt;=12,SUMIFS('ON Data'!AB:AB,'ON Data'!$D:$D,$A$4,'ON Data'!$E:$E,9),SUMIFS('ON Data'!AB:AB,'ON Data'!$E:$E,9))</f>
        <v>0</v>
      </c>
      <c r="X19" s="233">
        <f xml:space="preserve">
IF($A$4&lt;=12,SUMIFS('ON Data'!AC:AC,'ON Data'!$D:$D,$A$4,'ON Data'!$E:$E,9),SUMIFS('ON Data'!AC:AC,'ON Data'!$E:$E,9))</f>
        <v>0</v>
      </c>
      <c r="Y19" s="233">
        <f xml:space="preserve">
IF($A$4&lt;=12,SUMIFS('ON Data'!AD:AD,'ON Data'!$D:$D,$A$4,'ON Data'!$E:$E,9),SUMIFS('ON Data'!AD:AD,'ON Data'!$E:$E,9))</f>
        <v>0</v>
      </c>
      <c r="Z19" s="233">
        <f xml:space="preserve">
IF($A$4&lt;=12,SUMIFS('ON Data'!AE:AE,'ON Data'!$D:$D,$A$4,'ON Data'!$E:$E,9),SUMIFS('ON Data'!AE:AE,'ON Data'!$E:$E,9))</f>
        <v>0</v>
      </c>
      <c r="AA19" s="233">
        <f xml:space="preserve">
IF($A$4&lt;=12,SUMIFS('ON Data'!AF:AF,'ON Data'!$D:$D,$A$4,'ON Data'!$E:$E,9),SUMIFS('ON Data'!AF:AF,'ON Data'!$E:$E,9))</f>
        <v>0</v>
      </c>
      <c r="AB19" s="233">
        <f xml:space="preserve">
IF($A$4&lt;=12,SUMIFS('ON Data'!AG:AG,'ON Data'!$D:$D,$A$4,'ON Data'!$E:$E,9),SUMIFS('ON Data'!AG:AG,'ON Data'!$E:$E,9))</f>
        <v>0</v>
      </c>
      <c r="AC19" s="233">
        <f xml:space="preserve">
IF($A$4&lt;=12,SUMIFS('ON Data'!AH:AH,'ON Data'!$D:$D,$A$4,'ON Data'!$E:$E,9),SUMIFS('ON Data'!AH:AH,'ON Data'!$E:$E,9))</f>
        <v>0</v>
      </c>
      <c r="AD19" s="233">
        <f xml:space="preserve">
IF($A$4&lt;=12,SUMIFS('ON Data'!AI:AI,'ON Data'!$D:$D,$A$4,'ON Data'!$E:$E,9),SUMIFS('ON Data'!AI:AI,'ON Data'!$E:$E,9))</f>
        <v>0</v>
      </c>
      <c r="AE19" s="233">
        <f xml:space="preserve">
IF($A$4&lt;=12,SUMIFS('ON Data'!AJ:AJ,'ON Data'!$D:$D,$A$4,'ON Data'!$E:$E,9),SUMIFS('ON Data'!AJ:AJ,'ON Data'!$E:$E,9))</f>
        <v>0</v>
      </c>
      <c r="AF19" s="233">
        <f xml:space="preserve">
IF($A$4&lt;=12,SUMIFS('ON Data'!AK:AK,'ON Data'!$D:$D,$A$4,'ON Data'!$E:$E,9),SUMIFS('ON Data'!AK:AK,'ON Data'!$E:$E,9))</f>
        <v>0</v>
      </c>
      <c r="AG19" s="367">
        <f xml:space="preserve">
IF($A$4&lt;=12,SUMIFS('ON Data'!AM:AM,'ON Data'!$D:$D,$A$4,'ON Data'!$E:$E,9),SUMIFS('ON Data'!AM:AM,'ON Data'!$E:$E,9))</f>
        <v>0</v>
      </c>
      <c r="AH19" s="373"/>
    </row>
    <row r="20" spans="1:34" ht="15" collapsed="1" thickBot="1" x14ac:dyDescent="0.35">
      <c r="A20" s="209" t="s">
        <v>49</v>
      </c>
      <c r="B20" s="234">
        <f xml:space="preserve">
IF($A$4&lt;=12,SUMIFS('ON Data'!F:F,'ON Data'!$D:$D,$A$4,'ON Data'!$E:$E,6),SUMIFS('ON Data'!F:F,'ON Data'!$E:$E,6))</f>
        <v>1184544</v>
      </c>
      <c r="C20" s="235">
        <f xml:space="preserve">
IF($A$4&lt;=12,SUMIFS('ON Data'!G:G,'ON Data'!$D:$D,$A$4,'ON Data'!$E:$E,6),SUMIFS('ON Data'!G:G,'ON Data'!$E:$E,6))</f>
        <v>0</v>
      </c>
      <c r="D20" s="236">
        <f xml:space="preserve">
IF($A$4&lt;=12,SUMIFS('ON Data'!H:H,'ON Data'!$D:$D,$A$4,'ON Data'!$E:$E,6),SUMIFS('ON Data'!H:H,'ON Data'!$E:$E,6))</f>
        <v>0</v>
      </c>
      <c r="E20" s="236">
        <f xml:space="preserve">
IF($A$4&lt;=12,SUMIFS('ON Data'!I:I,'ON Data'!$D:$D,$A$4,'ON Data'!$E:$E,6),SUMIFS('ON Data'!I:I,'ON Data'!$E:$E,6))</f>
        <v>0</v>
      </c>
      <c r="F20" s="236">
        <f xml:space="preserve">
IF($A$4&lt;=12,SUMIFS('ON Data'!K:K,'ON Data'!$D:$D,$A$4,'ON Data'!$E:$E,6),SUMIFS('ON Data'!K:K,'ON Data'!$E:$E,6))</f>
        <v>0</v>
      </c>
      <c r="G20" s="236">
        <f xml:space="preserve">
IF($A$4&lt;=12,SUMIFS('ON Data'!L:L,'ON Data'!$D:$D,$A$4,'ON Data'!$E:$E,6),SUMIFS('ON Data'!L:L,'ON Data'!$E:$E,6))</f>
        <v>0</v>
      </c>
      <c r="H20" s="236">
        <f xml:space="preserve">
IF($A$4&lt;=12,SUMIFS('ON Data'!M:M,'ON Data'!$D:$D,$A$4,'ON Data'!$E:$E,6),SUMIFS('ON Data'!M:M,'ON Data'!$E:$E,6))</f>
        <v>0</v>
      </c>
      <c r="I20" s="236">
        <f xml:space="preserve">
IF($A$4&lt;=12,SUMIFS('ON Data'!N:N,'ON Data'!$D:$D,$A$4,'ON Data'!$E:$E,6),SUMIFS('ON Data'!N:N,'ON Data'!$E:$E,6))</f>
        <v>0</v>
      </c>
      <c r="J20" s="236">
        <f xml:space="preserve">
IF($A$4&lt;=12,SUMIFS('ON Data'!O:O,'ON Data'!$D:$D,$A$4,'ON Data'!$E:$E,6),SUMIFS('ON Data'!O:O,'ON Data'!$E:$E,6))</f>
        <v>0</v>
      </c>
      <c r="K20" s="236">
        <f xml:space="preserve">
IF($A$4&lt;=12,SUMIFS('ON Data'!P:P,'ON Data'!$D:$D,$A$4,'ON Data'!$E:$E,6),SUMIFS('ON Data'!P:P,'ON Data'!$E:$E,6))</f>
        <v>0</v>
      </c>
      <c r="L20" s="236">
        <f xml:space="preserve">
IF($A$4&lt;=12,SUMIFS('ON Data'!Q:Q,'ON Data'!$D:$D,$A$4,'ON Data'!$E:$E,6),SUMIFS('ON Data'!Q:Q,'ON Data'!$E:$E,6))</f>
        <v>0</v>
      </c>
      <c r="M20" s="236">
        <f xml:space="preserve">
IF($A$4&lt;=12,SUMIFS('ON Data'!R:R,'ON Data'!$D:$D,$A$4,'ON Data'!$E:$E,6),SUMIFS('ON Data'!R:R,'ON Data'!$E:$E,6))</f>
        <v>0</v>
      </c>
      <c r="N20" s="236">
        <f xml:space="preserve">
IF($A$4&lt;=12,SUMIFS('ON Data'!S:S,'ON Data'!$D:$D,$A$4,'ON Data'!$E:$E,6),SUMIFS('ON Data'!S:S,'ON Data'!$E:$E,6))</f>
        <v>0</v>
      </c>
      <c r="O20" s="236">
        <f xml:space="preserve">
IF($A$4&lt;=12,SUMIFS('ON Data'!T:T,'ON Data'!$D:$D,$A$4,'ON Data'!$E:$E,6),SUMIFS('ON Data'!T:T,'ON Data'!$E:$E,6))</f>
        <v>0</v>
      </c>
      <c r="P20" s="236">
        <f xml:space="preserve">
IF($A$4&lt;=12,SUMIFS('ON Data'!U:U,'ON Data'!$D:$D,$A$4,'ON Data'!$E:$E,6),SUMIFS('ON Data'!U:U,'ON Data'!$E:$E,6))</f>
        <v>0</v>
      </c>
      <c r="Q20" s="236">
        <f xml:space="preserve">
IF($A$4&lt;=12,SUMIFS('ON Data'!V:V,'ON Data'!$D:$D,$A$4,'ON Data'!$E:$E,6),SUMIFS('ON Data'!V:V,'ON Data'!$E:$E,6))</f>
        <v>903401</v>
      </c>
      <c r="R20" s="236">
        <f xml:space="preserve">
IF($A$4&lt;=12,SUMIFS('ON Data'!W:W,'ON Data'!$D:$D,$A$4,'ON Data'!$E:$E,6),SUMIFS('ON Data'!W:W,'ON Data'!$E:$E,6))</f>
        <v>0</v>
      </c>
      <c r="S20" s="236">
        <f xml:space="preserve">
IF($A$4&lt;=12,SUMIFS('ON Data'!X:X,'ON Data'!$D:$D,$A$4,'ON Data'!$E:$E,6),SUMIFS('ON Data'!X:X,'ON Data'!$E:$E,6))</f>
        <v>0</v>
      </c>
      <c r="T20" s="236">
        <f xml:space="preserve">
IF($A$4&lt;=12,SUMIFS('ON Data'!Y:Y,'ON Data'!$D:$D,$A$4,'ON Data'!$E:$E,6),SUMIFS('ON Data'!Y:Y,'ON Data'!$E:$E,6))</f>
        <v>0</v>
      </c>
      <c r="U20" s="236">
        <f xml:space="preserve">
IF($A$4&lt;=12,SUMIFS('ON Data'!Z:Z,'ON Data'!$D:$D,$A$4,'ON Data'!$E:$E,6),SUMIFS('ON Data'!Z:Z,'ON Data'!$E:$E,6))</f>
        <v>0</v>
      </c>
      <c r="V20" s="236">
        <f xml:space="preserve">
IF($A$4&lt;=12,SUMIFS('ON Data'!AA:AA,'ON Data'!$D:$D,$A$4,'ON Data'!$E:$E,6),SUMIFS('ON Data'!AA:AA,'ON Data'!$E:$E,6))</f>
        <v>0</v>
      </c>
      <c r="W20" s="236">
        <f xml:space="preserve">
IF($A$4&lt;=12,SUMIFS('ON Data'!AB:AB,'ON Data'!$D:$D,$A$4,'ON Data'!$E:$E,6),SUMIFS('ON Data'!AB:AB,'ON Data'!$E:$E,6))</f>
        <v>0</v>
      </c>
      <c r="X20" s="236">
        <f xml:space="preserve">
IF($A$4&lt;=12,SUMIFS('ON Data'!AC:AC,'ON Data'!$D:$D,$A$4,'ON Data'!$E:$E,6),SUMIFS('ON Data'!AC:AC,'ON Data'!$E:$E,6))</f>
        <v>0</v>
      </c>
      <c r="Y20" s="236">
        <f xml:space="preserve">
IF($A$4&lt;=12,SUMIFS('ON Data'!AD:AD,'ON Data'!$D:$D,$A$4,'ON Data'!$E:$E,6),SUMIFS('ON Data'!AD:AD,'ON Data'!$E:$E,6))</f>
        <v>0</v>
      </c>
      <c r="Z20" s="236">
        <f xml:space="preserve">
IF($A$4&lt;=12,SUMIFS('ON Data'!AE:AE,'ON Data'!$D:$D,$A$4,'ON Data'!$E:$E,6),SUMIFS('ON Data'!AE:AE,'ON Data'!$E:$E,6))</f>
        <v>0</v>
      </c>
      <c r="AA20" s="236">
        <f xml:space="preserve">
IF($A$4&lt;=12,SUMIFS('ON Data'!AF:AF,'ON Data'!$D:$D,$A$4,'ON Data'!$E:$E,6),SUMIFS('ON Data'!AF:AF,'ON Data'!$E:$E,6))</f>
        <v>0</v>
      </c>
      <c r="AB20" s="236">
        <f xml:space="preserve">
IF($A$4&lt;=12,SUMIFS('ON Data'!AG:AG,'ON Data'!$D:$D,$A$4,'ON Data'!$E:$E,6),SUMIFS('ON Data'!AG:AG,'ON Data'!$E:$E,6))</f>
        <v>0</v>
      </c>
      <c r="AC20" s="236">
        <f xml:space="preserve">
IF($A$4&lt;=12,SUMIFS('ON Data'!AH:AH,'ON Data'!$D:$D,$A$4,'ON Data'!$E:$E,6),SUMIFS('ON Data'!AH:AH,'ON Data'!$E:$E,6))</f>
        <v>0</v>
      </c>
      <c r="AD20" s="236">
        <f xml:space="preserve">
IF($A$4&lt;=12,SUMIFS('ON Data'!AI:AI,'ON Data'!$D:$D,$A$4,'ON Data'!$E:$E,6),SUMIFS('ON Data'!AI:AI,'ON Data'!$E:$E,6))</f>
        <v>232832</v>
      </c>
      <c r="AE20" s="236">
        <f xml:space="preserve">
IF($A$4&lt;=12,SUMIFS('ON Data'!AJ:AJ,'ON Data'!$D:$D,$A$4,'ON Data'!$E:$E,6),SUMIFS('ON Data'!AJ:AJ,'ON Data'!$E:$E,6))</f>
        <v>0</v>
      </c>
      <c r="AF20" s="236">
        <f xml:space="preserve">
IF($A$4&lt;=12,SUMIFS('ON Data'!AK:AK,'ON Data'!$D:$D,$A$4,'ON Data'!$E:$E,6),SUMIFS('ON Data'!AK:AK,'ON Data'!$E:$E,6))</f>
        <v>0</v>
      </c>
      <c r="AG20" s="368">
        <f xml:space="preserve">
IF($A$4&lt;=12,SUMIFS('ON Data'!AM:AM,'ON Data'!$D:$D,$A$4,'ON Data'!$E:$E,6),SUMIFS('ON Data'!AM:AM,'ON Data'!$E:$E,6))</f>
        <v>48311</v>
      </c>
      <c r="AH20" s="373"/>
    </row>
    <row r="21" spans="1:34" ht="15" hidden="1" outlineLevel="1" thickBot="1" x14ac:dyDescent="0.35">
      <c r="A21" s="202" t="s">
        <v>84</v>
      </c>
      <c r="B21" s="222"/>
      <c r="C21" s="223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364"/>
      <c r="AH21" s="373"/>
    </row>
    <row r="22" spans="1:34" ht="15" hidden="1" outlineLevel="1" thickBot="1" x14ac:dyDescent="0.35">
      <c r="A22" s="202" t="s">
        <v>51</v>
      </c>
      <c r="B22" s="222"/>
      <c r="C22" s="223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364"/>
      <c r="AH22" s="373"/>
    </row>
    <row r="23" spans="1:34" ht="15" hidden="1" outlineLevel="1" thickBot="1" x14ac:dyDescent="0.35">
      <c r="A23" s="210" t="s">
        <v>45</v>
      </c>
      <c r="B23" s="225"/>
      <c r="C23" s="226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365"/>
      <c r="AH23" s="373"/>
    </row>
    <row r="24" spans="1:34" x14ac:dyDescent="0.3">
      <c r="A24" s="204" t="s">
        <v>171</v>
      </c>
      <c r="B24" s="251" t="s">
        <v>3</v>
      </c>
      <c r="C24" s="374" t="s">
        <v>182</v>
      </c>
      <c r="D24" s="349"/>
      <c r="E24" s="350"/>
      <c r="F24" s="350" t="s">
        <v>183</v>
      </c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69" t="s">
        <v>184</v>
      </c>
      <c r="AH24" s="373"/>
    </row>
    <row r="25" spans="1:34" x14ac:dyDescent="0.3">
      <c r="A25" s="205" t="s">
        <v>49</v>
      </c>
      <c r="B25" s="222">
        <f xml:space="preserve">
SUM(C25:AG25)</f>
        <v>5500</v>
      </c>
      <c r="C25" s="375">
        <f xml:space="preserve">
IF($A$4&lt;=12,SUMIFS('ON Data'!H:H,'ON Data'!$D:$D,$A$4,'ON Data'!$E:$E,10),SUMIFS('ON Data'!H:H,'ON Data'!$E:$E,10))</f>
        <v>0</v>
      </c>
      <c r="D25" s="351"/>
      <c r="E25" s="352"/>
      <c r="F25" s="352">
        <f xml:space="preserve">
IF($A$4&lt;=12,SUMIFS('ON Data'!K:K,'ON Data'!$D:$D,$A$4,'ON Data'!$E:$E,10),SUMIFS('ON Data'!K:K,'ON Data'!$E:$E,10))</f>
        <v>5500</v>
      </c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70">
        <f xml:space="preserve">
IF($A$4&lt;=12,SUMIFS('ON Data'!AM:AM,'ON Data'!$D:$D,$A$4,'ON Data'!$E:$E,10),SUMIFS('ON Data'!AM:AM,'ON Data'!$E:$E,10))</f>
        <v>0</v>
      </c>
      <c r="AH25" s="373"/>
    </row>
    <row r="26" spans="1:34" x14ac:dyDescent="0.3">
      <c r="A26" s="211" t="s">
        <v>181</v>
      </c>
      <c r="B26" s="231">
        <f xml:space="preserve">
SUM(C26:AG26)</f>
        <v>3500</v>
      </c>
      <c r="C26" s="375">
        <f xml:space="preserve">
IF($A$4&lt;=12,SUMIFS('ON Data'!H:H,'ON Data'!$D:$D,$A$4,'ON Data'!$E:$E,11),SUMIFS('ON Data'!H:H,'ON Data'!$E:$E,11))</f>
        <v>0</v>
      </c>
      <c r="D26" s="351"/>
      <c r="E26" s="352"/>
      <c r="F26" s="353">
        <f xml:space="preserve">
IF($A$4&lt;=12,SUMIFS('ON Data'!K:K,'ON Data'!$D:$D,$A$4,'ON Data'!$E:$E,11),SUMIFS('ON Data'!K:K,'ON Data'!$E:$E,11))</f>
        <v>3500</v>
      </c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353"/>
      <c r="AF26" s="353"/>
      <c r="AG26" s="370">
        <f xml:space="preserve">
IF($A$4&lt;=12,SUMIFS('ON Data'!AM:AM,'ON Data'!$D:$D,$A$4,'ON Data'!$E:$E,11),SUMIFS('ON Data'!AM:AM,'ON Data'!$E:$E,11))</f>
        <v>0</v>
      </c>
      <c r="AH26" s="373"/>
    </row>
    <row r="27" spans="1:34" x14ac:dyDescent="0.3">
      <c r="A27" s="211" t="s">
        <v>51</v>
      </c>
      <c r="B27" s="252">
        <f xml:space="preserve">
IF(B26=0,0,B25/B26)</f>
        <v>1.5714285714285714</v>
      </c>
      <c r="C27" s="376">
        <f xml:space="preserve">
IF(C26=0,0,C25/C26)</f>
        <v>0</v>
      </c>
      <c r="D27" s="354"/>
      <c r="E27" s="355"/>
      <c r="F27" s="355">
        <f xml:space="preserve">
IF(F26=0,0,F25/F26)</f>
        <v>1.5714285714285714</v>
      </c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71">
        <f xml:space="preserve">
IF(AG26=0,0,AG25/AG26)</f>
        <v>0</v>
      </c>
      <c r="AH27" s="373"/>
    </row>
    <row r="28" spans="1:34" ht="15" thickBot="1" x14ac:dyDescent="0.35">
      <c r="A28" s="211" t="s">
        <v>180</v>
      </c>
      <c r="B28" s="231">
        <f xml:space="preserve">
SUM(C28:AG28)</f>
        <v>-2000</v>
      </c>
      <c r="C28" s="377">
        <f xml:space="preserve">
C26-C25</f>
        <v>0</v>
      </c>
      <c r="D28" s="356"/>
      <c r="E28" s="357"/>
      <c r="F28" s="357">
        <f xml:space="preserve">
F26-F25</f>
        <v>-2000</v>
      </c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72">
        <f xml:space="preserve">
AG26-AG25</f>
        <v>0</v>
      </c>
      <c r="AH28" s="373"/>
    </row>
    <row r="29" spans="1:34" x14ac:dyDescent="0.3">
      <c r="A29" s="212"/>
      <c r="B29" s="212"/>
      <c r="C29" s="213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2"/>
      <c r="AF29" s="212"/>
      <c r="AG29" s="212"/>
    </row>
    <row r="30" spans="1:34" x14ac:dyDescent="0.3">
      <c r="A30" s="85" t="s">
        <v>114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178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8" t="s">
        <v>175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</row>
    <row r="33" spans="1:1" x14ac:dyDescent="0.3">
      <c r="A33" s="250" t="s">
        <v>185</v>
      </c>
    </row>
    <row r="34" spans="1:1" x14ac:dyDescent="0.3">
      <c r="A34" s="250" t="s">
        <v>186</v>
      </c>
    </row>
    <row r="35" spans="1:1" x14ac:dyDescent="0.3">
      <c r="A35" s="250" t="s">
        <v>187</v>
      </c>
    </row>
    <row r="36" spans="1:1" x14ac:dyDescent="0.3">
      <c r="A36" s="250" t="s">
        <v>188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2014-04-25T05:41:58Z</dcterms:modified>
</cp:coreProperties>
</file>