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Osobní náklady" sheetId="419" r:id="rId9"/>
    <sheet name="ON Data" sheetId="418" state="hidden" r:id="rId10"/>
    <sheet name="ZV Vykáz.-A" sheetId="344" r:id="rId11"/>
    <sheet name="ZV Vykáz.-A Lékaři" sheetId="429" r:id="rId12"/>
    <sheet name="ZV Vykáz.-A Detail" sheetId="345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12" hidden="1">'ZV Vykáz.-A Detail'!$A$5:$P$5</definedName>
    <definedName name="_xlnm._FilterDatabase" localSheetId="11" hidden="1">'ZV Vykáz.-A Lékaři'!$A$4:$A$5</definedName>
    <definedName name="_xlnm._FilterDatabase" localSheetId="14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F22" i="419" l="1"/>
  <c r="R22" i="419"/>
  <c r="AD22" i="419"/>
  <c r="D22" i="419"/>
  <c r="E22" i="419"/>
  <c r="H22" i="419"/>
  <c r="L22" i="419"/>
  <c r="P22" i="419"/>
  <c r="T22" i="419"/>
  <c r="X22" i="419"/>
  <c r="AB22" i="419"/>
  <c r="AF22" i="419"/>
  <c r="J22" i="419"/>
  <c r="Z22" i="419"/>
  <c r="B22" i="419"/>
  <c r="I22" i="419"/>
  <c r="M22" i="419"/>
  <c r="Q22" i="419"/>
  <c r="U22" i="419"/>
  <c r="Y22" i="419"/>
  <c r="AC22" i="419"/>
  <c r="C22" i="419"/>
  <c r="N22" i="419"/>
  <c r="V22" i="419"/>
  <c r="AG22" i="419"/>
  <c r="G22" i="419"/>
  <c r="K22" i="419"/>
  <c r="O22" i="419"/>
  <c r="S22" i="419"/>
  <c r="W22" i="419"/>
  <c r="AA22" i="419"/>
  <c r="AE22" i="419"/>
  <c r="A17" i="383"/>
  <c r="G3" i="429"/>
  <c r="F3" i="429"/>
  <c r="E3" i="429"/>
  <c r="D3" i="429"/>
  <c r="C3" i="429"/>
  <c r="B3" i="429"/>
  <c r="AG26" i="419" l="1"/>
  <c r="AG25" i="419"/>
  <c r="C11" i="340" l="1"/>
  <c r="A12" i="383" l="1"/>
  <c r="A11" i="383"/>
  <c r="C12" i="414"/>
  <c r="D12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G18" i="419" l="1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6" i="414" s="1"/>
  <c r="C11" i="339"/>
  <c r="H11" i="339" l="1"/>
  <c r="G11" i="339"/>
  <c r="A17" i="414"/>
  <c r="A16" i="414"/>
  <c r="A11" i="414"/>
  <c r="A7" i="414"/>
  <c r="A12" i="414"/>
  <c r="A4" i="414"/>
  <c r="A6" i="339" l="1"/>
  <c r="A5" i="339"/>
  <c r="D4" i="414"/>
  <c r="C15" i="414"/>
  <c r="D15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C18" i="414"/>
  <c r="D18" i="414"/>
  <c r="F13" i="339" l="1"/>
  <c r="E13" i="339"/>
  <c r="E15" i="339" s="1"/>
  <c r="H12" i="339"/>
  <c r="G12" i="339"/>
  <c r="A4" i="383"/>
  <c r="A20" i="383"/>
  <c r="A19" i="383"/>
  <c r="A18" i="383"/>
  <c r="A16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4" i="414"/>
  <c r="C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<sst xmlns="http://schemas.openxmlformats.org/spreadsheetml/2006/main" count="1174" uniqueCount="462">
  <si>
    <t>NS</t>
  </si>
  <si>
    <t>Účet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</si>
  <si>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</si>
  <si>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</si>
  <si>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</si>
  <si>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</si>
  <si>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</si>
  <si>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</si>
  <si>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</si>
  <si>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</si>
  <si>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</si>
  <si>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</si>
  <si>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</si>
  <si>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</si>
  <si>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</si>
  <si>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</si>
  <si>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</si>
  <si>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</si>
  <si>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</si>
  <si>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</si>
  <si>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</si>
  <si>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</si>
  <si>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</si>
  <si>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</si>
  <si>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</si>
  <si>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</si>
  <si>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</si>
  <si>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</si>
  <si>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</si>
  <si>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</si>
  <si>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</si>
  <si>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</si>
  <si>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</si>
  <si>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</si>
  <si>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</si>
  <si>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</si>
  <si>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</si>
  <si>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</si>
  <si>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</si>
  <si>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</si>
  <si>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</si>
  <si>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</si>
  <si>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</si>
  <si>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</si>
  <si>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</si>
  <si>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</si>
  <si>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</si>
  <si>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</si>
  <si>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</si>
  <si>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</si>
  <si>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</si>
  <si>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</si>
  <si>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</si>
  <si>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</si>
  <si>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</si>
  <si>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</si>
  <si>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</si>
  <si>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</si>
  <si>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</si>
  <si>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</si>
  <si>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</si>
  <si>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</si>
  <si>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</si>
  <si>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</si>
  <si>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</si>
  <si>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</si>
  <si>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</si>
  <si>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</si>
  <si>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</si>
  <si>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</si>
  <si>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</si>
  <si>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</si>
  <si>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</si>
  <si>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</si>
  <si>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</si>
  <si>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</si>
  <si>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</si>
  <si>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</si>
  <si>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</si>
  <si>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</si>
  <si>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</si>
  <si>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</si>
  <si>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</si>
  <si>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</si>
  <si>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</si>
  <si>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</si>
  <si>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</si>
  <si>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</si>
  <si>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</si>
  <si>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</si>
  <si>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</si>
  <si>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</si>
  <si>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</si>
  <si>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</si>
  <si>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</si>
  <si>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</si>
  <si>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</si>
  <si>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</si>
  <si>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</si>
  <si>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</si>
  <si>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</si>
  <si>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</si>
  <si>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</si>
  <si>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</si>
  <si>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</si>
  <si>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</si>
  <si>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</si>
  <si>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</si>
  <si>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</si>
  <si>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</si>
  <si>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</si>
  <si>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</si>
  <si>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</si>
  <si>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</si>
  <si>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</si>
  <si>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</si>
  <si>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</si>
  <si>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</si>
  <si>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</si>
  <si>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</si>
  <si>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</si>
  <si>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</si>
  <si>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</si>
  <si>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</si>
  <si>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</si>
  <si>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</si>
  <si>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</si>
  <si>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</si>
  <si>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</si>
  <si>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</si>
  <si>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</si>
  <si>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</si>
  <si>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</si>
  <si>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</si>
  <si>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</si>
  <si>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</si>
  <si>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</si>
  <si>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</si>
  <si>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</si>
  <si>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</si>
  <si>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</si>
  <si>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</si>
  <si>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</si>
  <si>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</si>
  <si>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</si>
  <si>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</si>
  <si>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</si>
  <si>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</si>
  <si>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</si>
  <si>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</si>
  <si>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</si>
  <si>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</si>
  <si>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</si>
  <si>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</si>
  <si>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</si>
  <si>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</si>
  <si>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</si>
  <si>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</si>
  <si>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</si>
  <si>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</si>
  <si>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</si>
  <si>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</si>
  <si>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</si>
  <si>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</si>
  <si>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</si>
  <si>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</si>
  <si>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</si>
  <si>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</si>
  <si>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</si>
  <si>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</si>
  <si>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</si>
  <si>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</si>
  <si>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</si>
  <si>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</si>
  <si>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</si>
  <si>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</si>
  <si>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</si>
  <si>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</si>
  <si>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</si>
  <si>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</si>
  <si>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</si>
  <si>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</si>
  <si>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</si>
  <si>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</si>
  <si>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</si>
  <si>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</si>
  <si>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</si>
  <si>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</si>
  <si>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</si>
  <si>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</si>
  <si>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</si>
  <si>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</si>
  <si>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</si>
  <si>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</si>
  <si>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</si>
  <si>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</si>
  <si>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</si>
  <si>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</si>
  <si>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</si>
  <si>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</si>
  <si>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</si>
  <si>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</si>
  <si>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</si>
  <si>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</si>
  <si>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</si>
  <si>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</si>
  <si>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</si>
  <si>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</si>
  <si>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</si>
  <si>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</si>
  <si>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</si>
  <si>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</si>
  <si>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</si>
  <si>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</si>
  <si>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</si>
  <si>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</si>
  <si>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</si>
  <si>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</si>
  <si>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</si>
  <si>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</si>
  <si>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</si>
  <si>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</si>
  <si>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</si>
  <si>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</si>
  <si>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</si>
  <si>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</si>
  <si>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</si>
  <si>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</si>
  <si>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</si>
  <si>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</si>
  <si>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</si>
  <si>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50115050     obvazový materiál (sk.Z_502)</t>
  </si>
  <si>
    <t>50115060     ostatní ZPr - mimo níže uvedené (sk.Z_503)</t>
  </si>
  <si>
    <t>50117     Všeobecný materiál</t>
  </si>
  <si>
    <t>50117001     všeobecný materiál (sk.V30,32,33,34,42,43,Z510)</t>
  </si>
  <si>
    <t>50117002     prací a čistící prostř.,drog.zboží (sk.V41)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</si>
  <si>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</si>
  <si>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</si>
  <si>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</si>
  <si>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</si>
  <si>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</si>
  <si>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</si>
  <si>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</si>
  <si>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</si>
  <si>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</si>
  <si>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</si>
  <si>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</si>
  <si>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</si>
  <si>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</si>
  <si>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</si>
  <si>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</si>
  <si>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</si>
  <si>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</si>
  <si>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</si>
  <si>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</si>
  <si>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</si>
  <si>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</si>
  <si>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</si>
  <si>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</si>
  <si>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</si>
  <si>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</si>
  <si>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</si>
  <si>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</si>
  <si>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</si>
  <si>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</si>
  <si>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</si>
  <si>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</si>
  <si>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</si>
  <si>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</si>
  <si>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</si>
  <si>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</si>
  <si>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</si>
  <si>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</si>
  <si>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</si>
  <si>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</si>
  <si>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</si>
  <si>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</si>
  <si>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</si>
  <si>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</si>
  <si>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</si>
  <si>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</si>
  <si>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</si>
  <si>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</si>
  <si>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</si>
  <si>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</si>
  <si>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54924     Ostatní výplaty fyzickým osobám</t>
  </si>
  <si>
    <t>54924001     odškod.zaměst. - prac.úraz,...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</si>
  <si>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</si>
  <si>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</si>
  <si>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</si>
  <si>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</si>
  <si>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</si>
  <si>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</si>
  <si>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</si>
  <si>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</si>
  <si>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</si>
  <si>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</si>
  <si>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</si>
  <si>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</si>
  <si>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</si>
  <si>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</si>
  <si>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</si>
  <si>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</si>
  <si>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</si>
  <si>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</si>
  <si>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</si>
  <si>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</si>
  <si>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</si>
  <si>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</si>
  <si>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</si>
  <si>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</si>
  <si>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</si>
  <si>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</si>
  <si>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</si>
  <si>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</si>
  <si>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</si>
  <si>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</si>
  <si>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</si>
  <si>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</si>
  <si>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</si>
  <si>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</si>
  <si>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</si>
  <si>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</si>
  <si>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</si>
  <si>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</si>
  <si>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</si>
  <si>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</si>
  <si>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</si>
  <si>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</si>
  <si>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</si>
  <si>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</si>
  <si>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64924446     Teoretické ústavy - poplatky za vjezd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</si>
  <si>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</si>
  <si>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</si>
  <si>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</si>
  <si>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</si>
  <si>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</si>
  <si>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</si>
  <si>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</si>
  <si>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</si>
  <si>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</si>
  <si>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</si>
  <si>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</si>
  <si>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</si>
  <si>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</si>
  <si>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</si>
  <si>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Oddělení klinické psychologie</t>
  </si>
  <si>
    <t/>
  </si>
  <si>
    <t>Oddělení klinické psychologie Celkem</t>
  </si>
  <si>
    <t>SumaKL</t>
  </si>
  <si>
    <t>3921</t>
  </si>
  <si>
    <t>ambulance - odborná poradna</t>
  </si>
  <si>
    <t>ambulance - odborná poradna Celkem</t>
  </si>
  <si>
    <t>SumaNS</t>
  </si>
  <si>
    <t>mezeraNS</t>
  </si>
  <si>
    <t>ON Data</t>
  </si>
  <si>
    <t>901 - Pracoviště klinické psychologie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</si>
  <si>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</si>
  <si>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</si>
  <si>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</si>
  <si>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</si>
  <si>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</si>
  <si>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Dařílková Naděžda</t>
  </si>
  <si>
    <t>Dlabačová Marie</t>
  </si>
  <si>
    <t>Halířová Monika</t>
  </si>
  <si>
    <t>Hradilová Michaela</t>
  </si>
  <si>
    <t>Hubáčková Lia</t>
  </si>
  <si>
    <t>Kasalová Petra</t>
  </si>
  <si>
    <t>Kolářová Jana</t>
  </si>
  <si>
    <t>Kreiselová Silvie</t>
  </si>
  <si>
    <t>Kubíček Zdenek</t>
  </si>
  <si>
    <t>Machová Karolína</t>
  </si>
  <si>
    <t>Svozilová Simona</t>
  </si>
  <si>
    <t>Škrobánková Alexandra</t>
  </si>
  <si>
    <t>Šmídová Magdaléna</t>
  </si>
  <si>
    <t>Štecková Tereza</t>
  </si>
  <si>
    <t>Tenglerová Petra</t>
  </si>
  <si>
    <t>Zdravotní výkony vykázané na pracovišti v rámci ambulantní péče dle lékařů *</t>
  </si>
  <si>
    <t>901</t>
  </si>
  <si>
    <t>V</t>
  </si>
  <si>
    <t>09511</t>
  </si>
  <si>
    <t>MINIMÁLNÍ KONTAKT LÉKAŘE S PACIENTEM</t>
  </si>
  <si>
    <t>35050</t>
  </si>
  <si>
    <t xml:space="preserve">TELEFONICKÁ KONZULTACE PSYCHIATRA NEBO KLINICKÉHO </t>
  </si>
  <si>
    <t>35520</t>
  </si>
  <si>
    <t>PSYCHOTERAPIE INDIVIDUÁLNÍ SYSTEMATICKÁ, PROVÁDĚNÁ</t>
  </si>
  <si>
    <t>35650</t>
  </si>
  <si>
    <t>RODINNÁ SYSTEMATICKÁ PSYCHOTERAPIE Á 30 MINUT</t>
  </si>
  <si>
    <t>37115</t>
  </si>
  <si>
    <t>KRIZOVÁ INTERVENCE(Á 30 MINUT)</t>
  </si>
  <si>
    <t>09547</t>
  </si>
  <si>
    <t>REGULAČNÍ POPLATEK -- POJIŠTĚNEC OD ÚHRADY POPLATK</t>
  </si>
  <si>
    <t>09543</t>
  </si>
  <si>
    <t>REGULAČNÍ POPLATEK ZA NÁVŠTĚVU -- POPLATEK UHRAZEN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</si>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</sst>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3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165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7" xfId="1" applyFont="1" applyFill="1" applyBorder="1"/>
    <xf numFmtId="0" fontId="44" fillId="2" borderId="3" xfId="1" applyFont="1" applyFill="1" applyBorder="1"/>
    <xf numFmtId="0" fontId="44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6" xfId="1" applyFont="1" applyFill="1" applyBorder="1" applyAlignment="1">
      <alignment horizontal="left"/>
    </xf>
    <xf numFmtId="0" fontId="44" fillId="4" borderId="33" xfId="1" applyFont="1" applyFill="1" applyBorder="1" applyAlignment="1">
      <alignment horizontal="left" indent="2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1" fillId="8" borderId="58" xfId="0" applyNumberFormat="1" applyFont="1" applyFill="1" applyBorder="1"/>
    <xf numFmtId="3" fontId="51" fillId="8" borderId="57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1" xfId="0" applyNumberFormat="1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3" fontId="53" fillId="2" borderId="64" xfId="0" applyNumberFormat="1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/>
    <xf numFmtId="0" fontId="39" fillId="2" borderId="69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7" xfId="0" applyFont="1" applyFill="1" applyBorder="1" applyAlignment="1"/>
    <xf numFmtId="0" fontId="39" fillId="4" borderId="69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69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7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3" fillId="2" borderId="81" xfId="0" applyNumberFormat="1" applyFont="1" applyFill="1" applyBorder="1" applyAlignment="1">
      <alignment horizontal="center" vertical="center" wrapText="1"/>
    </xf>
    <xf numFmtId="174" fontId="39" fillId="4" borderId="68" xfId="0" applyNumberFormat="1" applyFont="1" applyFill="1" applyBorder="1" applyAlignment="1"/>
    <xf numFmtId="174" fontId="39" fillId="4" borderId="61" xfId="0" applyNumberFormat="1" applyFont="1" applyFill="1" applyBorder="1" applyAlignment="1"/>
    <xf numFmtId="174" fontId="39" fillId="4" borderId="62" xfId="0" applyNumberFormat="1" applyFont="1" applyFill="1" applyBorder="1" applyAlignment="1"/>
    <xf numFmtId="174" fontId="39" fillId="0" borderId="70" xfId="0" applyNumberFormat="1" applyFont="1" applyBorder="1"/>
    <xf numFmtId="174" fontId="32" fillId="0" borderId="74" xfId="0" applyNumberFormat="1" applyFont="1" applyBorder="1"/>
    <xf numFmtId="174" fontId="32" fillId="0" borderId="72" xfId="0" applyNumberFormat="1" applyFont="1" applyBorder="1"/>
    <xf numFmtId="174" fontId="39" fillId="0" borderId="80" xfId="0" applyNumberFormat="1" applyFont="1" applyBorder="1"/>
    <xf numFmtId="174" fontId="32" fillId="0" borderId="81" xfId="0" applyNumberFormat="1" applyFont="1" applyBorder="1"/>
    <xf numFmtId="174" fontId="32" fillId="0" borderId="65" xfId="0" applyNumberFormat="1" applyFont="1" applyBorder="1"/>
    <xf numFmtId="174" fontId="39" fillId="2" borderId="82" xfId="0" applyNumberFormat="1" applyFont="1" applyFill="1" applyBorder="1" applyAlignment="1"/>
    <xf numFmtId="174" fontId="39" fillId="2" borderId="61" xfId="0" applyNumberFormat="1" applyFont="1" applyFill="1" applyBorder="1" applyAlignment="1"/>
    <xf numFmtId="174" fontId="39" fillId="2" borderId="62" xfId="0" applyNumberFormat="1" applyFont="1" applyFill="1" applyBorder="1" applyAlignment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174" fontId="39" fillId="0" borderId="68" xfId="0" applyNumberFormat="1" applyFont="1" applyBorder="1"/>
    <xf numFmtId="174" fontId="32" fillId="0" borderId="83" xfId="0" applyNumberFormat="1" applyFont="1" applyBorder="1"/>
    <xf numFmtId="174" fontId="32" fillId="0" borderId="62" xfId="0" applyNumberFormat="1" applyFont="1" applyBorder="1"/>
    <xf numFmtId="175" fontId="39" fillId="2" borderId="68" xfId="0" applyNumberFormat="1" applyFont="1" applyFill="1" applyBorder="1" applyAlignment="1"/>
    <xf numFmtId="175" fontId="32" fillId="2" borderId="61" xfId="0" applyNumberFormat="1" applyFont="1" applyFill="1" applyBorder="1" applyAlignment="1"/>
    <xf numFmtId="175" fontId="32" fillId="2" borderId="62" xfId="0" applyNumberFormat="1" applyFont="1" applyFill="1" applyBorder="1" applyAlignment="1"/>
    <xf numFmtId="175" fontId="39" fillId="0" borderId="70" xfId="0" applyNumberFormat="1" applyFont="1" applyBorder="1"/>
    <xf numFmtId="175" fontId="32" fillId="0" borderId="71" xfId="0" applyNumberFormat="1" applyFont="1" applyBorder="1"/>
    <xf numFmtId="175" fontId="32" fillId="0" borderId="72" xfId="0" applyNumberFormat="1" applyFont="1" applyBorder="1"/>
    <xf numFmtId="175" fontId="32" fillId="0" borderId="74" xfId="0" applyNumberFormat="1" applyFont="1" applyBorder="1"/>
    <xf numFmtId="175" fontId="39" fillId="0" borderId="76" xfId="0" applyNumberFormat="1" applyFont="1" applyBorder="1"/>
    <xf numFmtId="175" fontId="32" fillId="0" borderId="77" xfId="0" applyNumberFormat="1" applyFont="1" applyBorder="1"/>
    <xf numFmtId="175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8" xfId="0" applyNumberFormat="1" applyFont="1" applyFill="1" applyBorder="1" applyAlignment="1">
      <alignment horizontal="center"/>
    </xf>
    <xf numFmtId="176" fontId="39" fillId="0" borderId="76" xfId="0" applyNumberFormat="1" applyFont="1" applyBorder="1"/>
    <xf numFmtId="0" fontId="31" fillId="2" borderId="90" xfId="74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32" fillId="0" borderId="84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70" fontId="39" fillId="0" borderId="19" xfId="0" applyNumberFormat="1" applyFont="1" applyFill="1" applyBorder="1" applyAlignment="1"/>
    <xf numFmtId="9" fontId="39" fillId="0" borderId="70" xfId="0" applyNumberFormat="1" applyFont="1" applyBorder="1"/>
    <xf numFmtId="9" fontId="32" fillId="0" borderId="74" xfId="0" applyNumberFormat="1" applyFont="1" applyBorder="1"/>
    <xf numFmtId="9" fontId="32" fillId="0" borderId="72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0" xfId="80" applyFont="1" applyFill="1" applyBorder="1" applyAlignment="1">
      <alignment horizontal="center"/>
    </xf>
    <xf numFmtId="0" fontId="31" fillId="2" borderId="88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89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0" fontId="2" fillId="0" borderId="1" xfId="26" applyFont="1" applyFill="1" applyBorder="1" applyAlignment="1"/>
    <xf numFmtId="167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91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2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2" fillId="2" borderId="42" xfId="0" applyNumberFormat="1" applyFont="1" applyFill="1" applyBorder="1" applyAlignment="1">
      <alignment horizontal="center" vertical="top"/>
    </xf>
    <xf numFmtId="3" fontId="33" fillId="9" borderId="93" xfId="0" applyNumberFormat="1" applyFont="1" applyFill="1" applyBorder="1" applyAlignment="1">
      <alignment horizontal="right" vertical="top"/>
    </xf>
    <xf numFmtId="3" fontId="33" fillId="9" borderId="94" xfId="0" applyNumberFormat="1" applyFont="1" applyFill="1" applyBorder="1" applyAlignment="1">
      <alignment horizontal="right" vertical="top"/>
    </xf>
    <xf numFmtId="177" fontId="33" fillId="9" borderId="95" xfId="0" applyNumberFormat="1" applyFont="1" applyFill="1" applyBorder="1" applyAlignment="1">
      <alignment horizontal="right" vertical="top"/>
    </xf>
    <xf numFmtId="3" fontId="33" fillId="0" borderId="93" xfId="0" applyNumberFormat="1" applyFont="1" applyBorder="1" applyAlignment="1">
      <alignment horizontal="right" vertical="top"/>
    </xf>
    <xf numFmtId="177" fontId="33" fillId="9" borderId="96" xfId="0" applyNumberFormat="1" applyFont="1" applyFill="1" applyBorder="1" applyAlignment="1">
      <alignment horizontal="right" vertical="top"/>
    </xf>
    <xf numFmtId="3" fontId="35" fillId="9" borderId="98" xfId="0" applyNumberFormat="1" applyFont="1" applyFill="1" applyBorder="1" applyAlignment="1">
      <alignment horizontal="right" vertical="top"/>
    </xf>
    <xf numFmtId="3" fontId="35" fillId="9" borderId="99" xfId="0" applyNumberFormat="1" applyFont="1" applyFill="1" applyBorder="1" applyAlignment="1">
      <alignment horizontal="right" vertical="top"/>
    </xf>
    <xf numFmtId="0" fontId="35" fillId="9" borderId="100" xfId="0" applyFont="1" applyFill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177" fontId="35" fillId="9" borderId="101" xfId="0" applyNumberFormat="1" applyFont="1" applyFill="1" applyBorder="1" applyAlignment="1">
      <alignment horizontal="right" vertical="top"/>
    </xf>
    <xf numFmtId="0" fontId="33" fillId="9" borderId="95" xfId="0" applyFont="1" applyFill="1" applyBorder="1" applyAlignment="1">
      <alignment horizontal="right" vertical="top"/>
    </xf>
    <xf numFmtId="177" fontId="35" fillId="9" borderId="100" xfId="0" applyNumberFormat="1" applyFont="1" applyFill="1" applyBorder="1" applyAlignment="1">
      <alignment horizontal="right" vertical="top"/>
    </xf>
    <xf numFmtId="0" fontId="35" fillId="9" borderId="101" xfId="0" applyFont="1" applyFill="1" applyBorder="1" applyAlignment="1">
      <alignment horizontal="right" vertical="top"/>
    </xf>
    <xf numFmtId="0" fontId="33" fillId="9" borderId="96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177" fontId="35" fillId="9" borderId="105" xfId="0" applyNumberFormat="1" applyFont="1" applyFill="1" applyBorder="1" applyAlignment="1">
      <alignment horizontal="right" vertical="top"/>
    </xf>
    <xf numFmtId="0" fontId="37" fillId="10" borderId="92" xfId="0" applyFont="1" applyFill="1" applyBorder="1" applyAlignment="1">
      <alignment vertical="top"/>
    </xf>
    <xf numFmtId="0" fontId="37" fillId="10" borderId="92" xfId="0" applyFont="1" applyFill="1" applyBorder="1" applyAlignment="1">
      <alignment vertical="top" indent="2"/>
    </xf>
    <xf numFmtId="0" fontId="37" fillId="10" borderId="92" xfId="0" applyFont="1" applyFill="1" applyBorder="1" applyAlignment="1">
      <alignment vertical="top" indent="4"/>
    </xf>
    <xf numFmtId="0" fontId="38" fillId="10" borderId="97" xfId="0" applyFont="1" applyFill="1" applyBorder="1" applyAlignment="1">
      <alignment vertical="top" indent="6"/>
    </xf>
    <xf numFmtId="0" fontId="37" fillId="10" borderId="92" xfId="0" applyFont="1" applyFill="1" applyBorder="1" applyAlignment="1">
      <alignment vertical="top" indent="8"/>
    </xf>
    <xf numFmtId="0" fontId="38" fillId="10" borderId="97" xfId="0" applyFont="1" applyFill="1" applyBorder="1" applyAlignment="1">
      <alignment vertical="top" indent="2"/>
    </xf>
    <xf numFmtId="0" fontId="37" fillId="10" borderId="92" xfId="0" applyFont="1" applyFill="1" applyBorder="1" applyAlignment="1">
      <alignment vertical="top" indent="6"/>
    </xf>
    <xf numFmtId="0" fontId="38" fillId="10" borderId="97" xfId="0" applyFont="1" applyFill="1" applyBorder="1" applyAlignment="1">
      <alignment vertical="top" indent="4"/>
    </xf>
    <xf numFmtId="0" fontId="32" fillId="10" borderId="92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74" fontId="39" fillId="4" borderId="106" xfId="0" applyNumberFormat="1" applyFont="1" applyFill="1" applyBorder="1" applyAlignment="1">
      <alignment horizontal="center"/>
    </xf>
    <xf numFmtId="174" fontId="39" fillId="4" borderId="107" xfId="0" applyNumberFormat="1" applyFont="1" applyFill="1" applyBorder="1" applyAlignment="1">
      <alignment horizontal="center"/>
    </xf>
    <xf numFmtId="174" fontId="32" fillId="0" borderId="108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 wrapText="1"/>
    </xf>
    <xf numFmtId="176" fontId="32" fillId="0" borderId="108" xfId="0" applyNumberFormat="1" applyFont="1" applyBorder="1" applyAlignment="1">
      <alignment horizontal="right"/>
    </xf>
    <xf numFmtId="176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/>
    </xf>
    <xf numFmtId="0" fontId="39" fillId="2" borderId="87" xfId="0" applyFont="1" applyFill="1" applyBorder="1" applyAlignment="1">
      <alignment horizontal="center" vertical="center"/>
    </xf>
    <xf numFmtId="0" fontId="53" fillId="2" borderId="86" xfId="0" applyFont="1" applyFill="1" applyBorder="1" applyAlignment="1">
      <alignment horizontal="center" vertical="center" wrapText="1"/>
    </xf>
    <xf numFmtId="175" fontId="32" fillId="2" borderId="87" xfId="0" applyNumberFormat="1" applyFont="1" applyFill="1" applyBorder="1" applyAlignment="1"/>
    <xf numFmtId="175" fontId="32" fillId="0" borderId="85" xfId="0" applyNumberFormat="1" applyFont="1" applyBorder="1"/>
    <xf numFmtId="175" fontId="32" fillId="0" borderId="112" xfId="0" applyNumberFormat="1" applyFont="1" applyBorder="1"/>
    <xf numFmtId="174" fontId="39" fillId="4" borderId="87" xfId="0" applyNumberFormat="1" applyFont="1" applyFill="1" applyBorder="1" applyAlignment="1"/>
    <xf numFmtId="174" fontId="32" fillId="0" borderId="85" xfId="0" applyNumberFormat="1" applyFont="1" applyBorder="1"/>
    <xf numFmtId="174" fontId="32" fillId="0" borderId="86" xfId="0" applyNumberFormat="1" applyFont="1" applyBorder="1"/>
    <xf numFmtId="174" fontId="39" fillId="2" borderId="87" xfId="0" applyNumberFormat="1" applyFont="1" applyFill="1" applyBorder="1" applyAlignment="1"/>
    <xf numFmtId="174" fontId="32" fillId="0" borderId="112" xfId="0" applyNumberFormat="1" applyFont="1" applyBorder="1"/>
    <xf numFmtId="174" fontId="32" fillId="0" borderId="87" xfId="0" applyNumberFormat="1" applyFont="1" applyBorder="1"/>
    <xf numFmtId="9" fontId="32" fillId="0" borderId="85" xfId="0" applyNumberFormat="1" applyFont="1" applyBorder="1"/>
    <xf numFmtId="174" fontId="39" fillId="4" borderId="113" xfId="0" applyNumberFormat="1" applyFont="1" applyFill="1" applyBorder="1" applyAlignment="1">
      <alignment horizontal="center"/>
    </xf>
    <xf numFmtId="174" fontId="32" fillId="0" borderId="114" xfId="0" applyNumberFormat="1" applyFont="1" applyBorder="1" applyAlignment="1">
      <alignment horizontal="right"/>
    </xf>
    <xf numFmtId="176" fontId="32" fillId="0" borderId="114" xfId="0" applyNumberFormat="1" applyFont="1" applyBorder="1" applyAlignment="1">
      <alignment horizontal="right"/>
    </xf>
    <xf numFmtId="174" fontId="32" fillId="0" borderId="115" xfId="0" applyNumberFormat="1" applyFont="1" applyBorder="1" applyAlignment="1">
      <alignment horizontal="right"/>
    </xf>
    <xf numFmtId="0" fontId="0" fillId="0" borderId="14" xfId="0" applyBorder="1"/>
    <xf numFmtId="174" fontId="39" fillId="4" borderId="32" xfId="0" applyNumberFormat="1" applyFont="1" applyFill="1" applyBorder="1" applyAlignment="1">
      <alignment horizontal="center"/>
    </xf>
    <xf numFmtId="174" fontId="32" fillId="0" borderId="69" xfId="0" applyNumberFormat="1" applyFont="1" applyBorder="1" applyAlignment="1">
      <alignment horizontal="right"/>
    </xf>
    <xf numFmtId="176" fontId="32" fillId="0" borderId="69" xfId="0" applyNumberFormat="1" applyFont="1" applyBorder="1" applyAlignment="1">
      <alignment horizontal="right"/>
    </xf>
    <xf numFmtId="174" fontId="32" fillId="0" borderId="79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70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7" fillId="0" borderId="0" xfId="0" applyFont="1" applyFill="1"/>
    <xf numFmtId="0" fontId="58" fillId="0" borderId="0" xfId="0" applyFont="1" applyFill="1"/>
    <xf numFmtId="0" fontId="31" fillId="2" borderId="15" xfId="26" applyNumberFormat="1" applyFont="1" applyFill="1" applyBorder="1"/>
    <xf numFmtId="0" fontId="32" fillId="0" borderId="23" xfId="0" applyFont="1" applyFill="1" applyBorder="1"/>
    <xf numFmtId="3" fontId="32" fillId="0" borderId="62" xfId="0" applyNumberFormat="1" applyFont="1" applyFill="1" applyBorder="1"/>
    <xf numFmtId="170" fontId="32" fillId="0" borderId="62" xfId="0" applyNumberFormat="1" applyFont="1" applyFill="1" applyBorder="1"/>
    <xf numFmtId="170" fontId="32" fillId="0" borderId="63" xfId="0" applyNumberFormat="1" applyFont="1" applyFill="1" applyBorder="1"/>
    <xf numFmtId="0" fontId="32" fillId="0" borderId="71" xfId="0" applyFont="1" applyFill="1" applyBorder="1"/>
    <xf numFmtId="3" fontId="32" fillId="0" borderId="72" xfId="0" applyNumberFormat="1" applyFont="1" applyFill="1" applyBorder="1"/>
    <xf numFmtId="170" fontId="32" fillId="0" borderId="72" xfId="0" applyNumberFormat="1" applyFont="1" applyFill="1" applyBorder="1"/>
    <xf numFmtId="170" fontId="32" fillId="0" borderId="73" xfId="0" applyNumberFormat="1" applyFont="1" applyFill="1" applyBorder="1"/>
    <xf numFmtId="0" fontId="32" fillId="0" borderId="64" xfId="0" applyFont="1" applyFill="1" applyBorder="1"/>
    <xf numFmtId="3" fontId="32" fillId="0" borderId="65" xfId="0" applyNumberFormat="1" applyFont="1" applyFill="1" applyBorder="1"/>
    <xf numFmtId="170" fontId="32" fillId="0" borderId="65" xfId="0" applyNumberFormat="1" applyFont="1" applyFill="1" applyBorder="1"/>
    <xf numFmtId="170" fontId="32" fillId="0" borderId="66" xfId="0" applyNumberFormat="1" applyFont="1" applyFill="1" applyBorder="1"/>
    <xf numFmtId="0" fontId="39" fillId="0" borderId="23" xfId="0" applyFont="1" applyFill="1" applyBorder="1"/>
    <xf numFmtId="0" fontId="39" fillId="0" borderId="71" xfId="0" applyFont="1" applyFill="1" applyBorder="1"/>
    <xf numFmtId="0" fontId="39" fillId="0" borderId="64" xfId="0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2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0" fontId="32" fillId="0" borderId="62" xfId="0" applyFont="1" applyFill="1" applyBorder="1"/>
    <xf numFmtId="9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2" fillId="0" borderId="72" xfId="0" applyFont="1" applyFill="1" applyBorder="1"/>
    <xf numFmtId="9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5" xfId="0" applyFont="1" applyFill="1" applyBorder="1"/>
    <xf numFmtId="9" fontId="32" fillId="0" borderId="65" xfId="0" applyNumberFormat="1" applyFont="1" applyFill="1" applyBorder="1"/>
    <xf numFmtId="3" fontId="32" fillId="0" borderId="66" xfId="0" applyNumberFormat="1" applyFont="1" applyFill="1" applyBorder="1"/>
    <xf numFmtId="9" fontId="32" fillId="0" borderId="63" xfId="0" applyNumberFormat="1" applyFont="1" applyFill="1" applyBorder="1"/>
    <xf numFmtId="9" fontId="32" fillId="0" borderId="73" xfId="0" applyNumberFormat="1" applyFont="1" applyFill="1" applyBorder="1"/>
    <xf numFmtId="9" fontId="32" fillId="0" borderId="66" xfId="0" applyNumberFormat="1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2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9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0.6001961374563286</c:v>
                </c:pt>
                <c:pt idx="1">
                  <c:v>0.62930821251256364</c:v>
                </c:pt>
                <c:pt idx="2">
                  <c:v>0.68105122210226798</c:v>
                </c:pt>
                <c:pt idx="3">
                  <c:v>0.72165802968250603</c:v>
                </c:pt>
                <c:pt idx="4">
                  <c:v>0.73376548160318267</c:v>
                </c:pt>
                <c:pt idx="5">
                  <c:v>0.72971607383517412</c:v>
                </c:pt>
                <c:pt idx="6">
                  <c:v>0.66119765836110667</c:v>
                </c:pt>
                <c:pt idx="7">
                  <c:v>0.62869789667266718</c:v>
                </c:pt>
                <c:pt idx="8">
                  <c:v>0.62646607687540901</c:v>
                </c:pt>
                <c:pt idx="9">
                  <c:v>0.61274384913447111</c:v>
                </c:pt>
                <c:pt idx="10">
                  <c:v>0.58696692666294281</c:v>
                </c:pt>
                <c:pt idx="11">
                  <c:v>0.56577688442814256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660992"/>
        <c:axId val="12146629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0.46812548826288786</c:v>
                </c:pt>
                <c:pt idx="1">
                  <c:v>0.46812548826288786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059456"/>
        <c:axId val="1215060992"/>
      </c:scatterChart>
      <c:catAx>
        <c:axId val="121466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1466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4662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14660992"/>
        <c:crosses val="autoZero"/>
        <c:crossBetween val="between"/>
      </c:valAx>
      <c:valAx>
        <c:axId val="12150594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15060992"/>
        <c:crosses val="max"/>
        <c:crossBetween val="midCat"/>
      </c:valAx>
      <c:valAx>
        <c:axId val="12150609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150594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74" t="s">
        <v>86</v>
      </c>
      <c r="B1" s="274"/>
    </row>
    <row r="2" spans="1:3" ht="14.4" customHeight="1" thickBot="1" x14ac:dyDescent="0.35">
      <c r="A2" s="195" t="s">
        <v>221</v>
      </c>
      <c r="B2" s="41"/>
    </row>
    <row r="3" spans="1:3" ht="14.4" customHeight="1" thickBot="1" x14ac:dyDescent="0.35">
      <c r="A3" s="270" t="s">
        <v>107</v>
      </c>
      <c r="B3" s="271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95</v>
      </c>
      <c r="C4" s="42" t="s">
        <v>96</v>
      </c>
    </row>
    <row r="5" spans="1:3" ht="14.4" customHeight="1" x14ac:dyDescent="0.3">
      <c r="A5" s="115" t="str">
        <f t="shared" si="0"/>
        <v>HI</v>
      </c>
      <c r="B5" s="64" t="s">
        <v>104</v>
      </c>
      <c r="C5" s="42" t="s">
        <v>89</v>
      </c>
    </row>
    <row r="6" spans="1:3" ht="14.4" customHeight="1" x14ac:dyDescent="0.3">
      <c r="A6" s="116" t="str">
        <f t="shared" si="0"/>
        <v>HI Graf</v>
      </c>
      <c r="B6" s="65" t="s">
        <v>82</v>
      </c>
      <c r="C6" s="42" t="s">
        <v>90</v>
      </c>
    </row>
    <row r="7" spans="1:3" ht="14.4" customHeight="1" x14ac:dyDescent="0.3">
      <c r="A7" s="116" t="str">
        <f t="shared" si="0"/>
        <v>Man Tab</v>
      </c>
      <c r="B7" s="65" t="s">
        <v>223</v>
      </c>
      <c r="C7" s="42" t="s">
        <v>91</v>
      </c>
    </row>
    <row r="8" spans="1:3" ht="14.4" customHeight="1" thickBot="1" x14ac:dyDescent="0.35">
      <c r="A8" s="117" t="str">
        <f t="shared" si="0"/>
        <v>HV</v>
      </c>
      <c r="B8" s="66" t="s">
        <v>38</v>
      </c>
      <c r="C8" s="42" t="s">
        <v>43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72" t="s">
        <v>87</v>
      </c>
      <c r="B10" s="271"/>
    </row>
    <row r="11" spans="1:3" ht="14.4" customHeight="1" x14ac:dyDescent="0.3">
      <c r="A11" s="118" t="str">
        <f t="shared" ref="A11" si="1">HYPERLINK("#'"&amp;C11&amp;"'!A1",C11)</f>
        <v>Léky Žádanky</v>
      </c>
      <c r="B11" s="64" t="s">
        <v>105</v>
      </c>
      <c r="C11" s="42" t="s">
        <v>92</v>
      </c>
    </row>
    <row r="12" spans="1:3" ht="14.4" customHeight="1" x14ac:dyDescent="0.3">
      <c r="A12" s="118" t="str">
        <f t="shared" ref="A12" si="2">HYPERLINK("#'"&amp;C12&amp;"'!A1",C12)</f>
        <v>Materiál Žádanky</v>
      </c>
      <c r="B12" s="65" t="s">
        <v>106</v>
      </c>
      <c r="C12" s="42" t="s">
        <v>93</v>
      </c>
    </row>
    <row r="13" spans="1:3" ht="14.4" customHeight="1" thickBot="1" x14ac:dyDescent="0.35">
      <c r="A13" s="118" t="str">
        <f t="shared" ref="A13" si="3">HYPERLINK("#'"&amp;C13&amp;"'!A1",C13)</f>
        <v>Osobní náklady</v>
      </c>
      <c r="B13" s="65" t="s">
        <v>84</v>
      </c>
      <c r="C13" s="42" t="s">
        <v>94</v>
      </c>
    </row>
    <row r="14" spans="1:3" ht="14.4" customHeight="1" thickBot="1" x14ac:dyDescent="0.35">
      <c r="A14" s="68"/>
      <c r="B14" s="68"/>
    </row>
    <row r="15" spans="1:3" ht="14.4" customHeight="1" thickBot="1" x14ac:dyDescent="0.35">
      <c r="A15" s="273" t="s">
        <v>88</v>
      </c>
      <c r="B15" s="271"/>
    </row>
    <row r="16" spans="1:3" ht="14.4" customHeight="1" x14ac:dyDescent="0.3">
      <c r="A16" s="119" t="str">
        <f t="shared" ref="A16:A20" si="4">HYPERLINK("#'"&amp;C16&amp;"'!A1",C16)</f>
        <v>ZV Vykáz.-A</v>
      </c>
      <c r="B16" s="64" t="s">
        <v>360</v>
      </c>
      <c r="C16" s="42" t="s">
        <v>97</v>
      </c>
    </row>
    <row r="17" spans="1:3" ht="14.4" customHeight="1" x14ac:dyDescent="0.3">
      <c r="A17" s="116" t="str">
        <f t="shared" ref="A17" si="5">HYPERLINK("#'"&amp;C17&amp;"'!A1",C17)</f>
        <v>ZV Vykáz.-A Lékaři</v>
      </c>
      <c r="B17" s="65" t="s">
        <v>377</v>
      </c>
      <c r="C17" s="42" t="s">
        <v>220</v>
      </c>
    </row>
    <row r="18" spans="1:3" ht="14.4" customHeight="1" x14ac:dyDescent="0.3">
      <c r="A18" s="116" t="str">
        <f t="shared" si="4"/>
        <v>ZV Vykáz.-A Detail</v>
      </c>
      <c r="B18" s="65" t="s">
        <v>406</v>
      </c>
      <c r="C18" s="42" t="s">
        <v>98</v>
      </c>
    </row>
    <row r="19" spans="1:3" ht="14.4" customHeight="1" x14ac:dyDescent="0.3">
      <c r="A19" s="116" t="str">
        <f t="shared" si="4"/>
        <v>ZV Vykáz.-H</v>
      </c>
      <c r="B19" s="65" t="s">
        <v>101</v>
      </c>
      <c r="C19" s="42" t="s">
        <v>99</v>
      </c>
    </row>
    <row r="20" spans="1:3" ht="14.4" customHeight="1" x14ac:dyDescent="0.3">
      <c r="A20" s="116" t="str">
        <f t="shared" si="4"/>
        <v>ZV Vykáz.-H Detail</v>
      </c>
      <c r="B20" s="65" t="s">
        <v>461</v>
      </c>
      <c r="C20" s="42" t="s">
        <v>100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36"/>
  <sheetViews>
    <sheetView showGridLines="0" showRowColHeaders="0" workbookViewId="0"/>
  </sheetViews>
  <sheetFormatPr defaultRowHeight="14.4" x14ac:dyDescent="0.3"/>
  <cols>
    <col min="1" max="16384" width="8.88671875" style="191"/>
  </cols>
  <sheetData>
    <row r="1" spans="1:40" x14ac:dyDescent="0.3">
      <c r="A1" s="191" t="s">
        <v>355</v>
      </c>
    </row>
    <row r="2" spans="1:40" x14ac:dyDescent="0.3">
      <c r="A2" s="195" t="s">
        <v>221</v>
      </c>
    </row>
    <row r="3" spans="1:40" x14ac:dyDescent="0.3">
      <c r="A3" s="191" t="s">
        <v>146</v>
      </c>
      <c r="B3" s="216">
        <v>2014</v>
      </c>
      <c r="D3" s="192">
        <f>MAX(D5:D1048576)</f>
        <v>12</v>
      </c>
      <c r="F3" s="192">
        <f>SUMIF($E5:$E1048576,"&lt;10",F5:F1048576)</f>
        <v>5454962.1999999993</v>
      </c>
      <c r="G3" s="192">
        <f t="shared" ref="G3:AN3" si="0">SUMIF($E5:$E1048576,"&lt;10",G5:G1048576)</f>
        <v>0</v>
      </c>
      <c r="H3" s="192">
        <f t="shared" si="0"/>
        <v>0</v>
      </c>
      <c r="I3" s="192">
        <f t="shared" si="0"/>
        <v>0</v>
      </c>
      <c r="J3" s="192">
        <f t="shared" si="0"/>
        <v>0</v>
      </c>
      <c r="K3" s="192">
        <f t="shared" si="0"/>
        <v>0</v>
      </c>
      <c r="L3" s="192">
        <f t="shared" si="0"/>
        <v>0</v>
      </c>
      <c r="M3" s="192">
        <f t="shared" si="0"/>
        <v>0</v>
      </c>
      <c r="N3" s="192">
        <f t="shared" si="0"/>
        <v>0</v>
      </c>
      <c r="O3" s="192">
        <f t="shared" si="0"/>
        <v>0</v>
      </c>
      <c r="P3" s="192">
        <f t="shared" si="0"/>
        <v>0</v>
      </c>
      <c r="Q3" s="192">
        <f t="shared" si="0"/>
        <v>0</v>
      </c>
      <c r="R3" s="192">
        <f t="shared" si="0"/>
        <v>0</v>
      </c>
      <c r="S3" s="192">
        <f t="shared" si="0"/>
        <v>0</v>
      </c>
      <c r="T3" s="192">
        <f t="shared" si="0"/>
        <v>0</v>
      </c>
      <c r="U3" s="192">
        <f t="shared" si="0"/>
        <v>0</v>
      </c>
      <c r="V3" s="192">
        <f t="shared" si="0"/>
        <v>4052322.8000000007</v>
      </c>
      <c r="W3" s="192">
        <f t="shared" si="0"/>
        <v>0</v>
      </c>
      <c r="X3" s="192">
        <f t="shared" si="0"/>
        <v>0</v>
      </c>
      <c r="Y3" s="192">
        <f t="shared" si="0"/>
        <v>0</v>
      </c>
      <c r="Z3" s="192">
        <f t="shared" si="0"/>
        <v>0</v>
      </c>
      <c r="AA3" s="192">
        <f t="shared" si="0"/>
        <v>0</v>
      </c>
      <c r="AB3" s="192">
        <f t="shared" si="0"/>
        <v>0</v>
      </c>
      <c r="AC3" s="192">
        <f t="shared" si="0"/>
        <v>0</v>
      </c>
      <c r="AD3" s="192">
        <f t="shared" si="0"/>
        <v>0</v>
      </c>
      <c r="AE3" s="192">
        <f t="shared" si="0"/>
        <v>0</v>
      </c>
      <c r="AF3" s="192">
        <f t="shared" si="0"/>
        <v>0</v>
      </c>
      <c r="AG3" s="192">
        <f t="shared" si="0"/>
        <v>0</v>
      </c>
      <c r="AH3" s="192">
        <f t="shared" si="0"/>
        <v>0</v>
      </c>
      <c r="AI3" s="192">
        <f t="shared" si="0"/>
        <v>1155518.3999999999</v>
      </c>
      <c r="AJ3" s="192">
        <f t="shared" si="0"/>
        <v>0</v>
      </c>
      <c r="AK3" s="192">
        <f t="shared" si="0"/>
        <v>0</v>
      </c>
      <c r="AL3" s="192">
        <f t="shared" si="0"/>
        <v>0</v>
      </c>
      <c r="AM3" s="192">
        <f t="shared" si="0"/>
        <v>247121</v>
      </c>
      <c r="AN3" s="192">
        <f t="shared" si="0"/>
        <v>0</v>
      </c>
    </row>
    <row r="4" spans="1:40" x14ac:dyDescent="0.3">
      <c r="A4" s="191" t="s">
        <v>147</v>
      </c>
      <c r="B4" s="216">
        <v>1</v>
      </c>
      <c r="C4" s="193" t="s">
        <v>4</v>
      </c>
      <c r="D4" s="194" t="s">
        <v>44</v>
      </c>
      <c r="E4" s="194" t="s">
        <v>141</v>
      </c>
      <c r="F4" s="194" t="s">
        <v>3</v>
      </c>
      <c r="G4" s="194" t="s">
        <v>142</v>
      </c>
      <c r="H4" s="194" t="s">
        <v>143</v>
      </c>
      <c r="I4" s="194" t="s">
        <v>144</v>
      </c>
      <c r="J4" s="194" t="s">
        <v>145</v>
      </c>
      <c r="K4" s="194">
        <v>305</v>
      </c>
      <c r="L4" s="194">
        <v>306</v>
      </c>
      <c r="M4" s="194">
        <v>408</v>
      </c>
      <c r="N4" s="194">
        <v>409</v>
      </c>
      <c r="O4" s="194">
        <v>410</v>
      </c>
      <c r="P4" s="194">
        <v>415</v>
      </c>
      <c r="Q4" s="194">
        <v>416</v>
      </c>
      <c r="R4" s="194">
        <v>418</v>
      </c>
      <c r="S4" s="194">
        <v>419</v>
      </c>
      <c r="T4" s="194">
        <v>420</v>
      </c>
      <c r="U4" s="194">
        <v>421</v>
      </c>
      <c r="V4" s="194">
        <v>522</v>
      </c>
      <c r="W4" s="194">
        <v>523</v>
      </c>
      <c r="X4" s="194">
        <v>524</v>
      </c>
      <c r="Y4" s="194">
        <v>525</v>
      </c>
      <c r="Z4" s="194">
        <v>526</v>
      </c>
      <c r="AA4" s="194">
        <v>527</v>
      </c>
      <c r="AB4" s="194">
        <v>528</v>
      </c>
      <c r="AC4" s="194">
        <v>629</v>
      </c>
      <c r="AD4" s="194">
        <v>630</v>
      </c>
      <c r="AE4" s="194">
        <v>636</v>
      </c>
      <c r="AF4" s="194">
        <v>637</v>
      </c>
      <c r="AG4" s="194">
        <v>640</v>
      </c>
      <c r="AH4" s="194">
        <v>642</v>
      </c>
      <c r="AI4" s="194">
        <v>743</v>
      </c>
      <c r="AJ4" s="194">
        <v>745</v>
      </c>
      <c r="AK4" s="194">
        <v>746</v>
      </c>
      <c r="AL4" s="194">
        <v>747</v>
      </c>
      <c r="AM4" s="194">
        <v>930</v>
      </c>
      <c r="AN4" s="194">
        <v>940</v>
      </c>
    </row>
    <row r="5" spans="1:40" x14ac:dyDescent="0.3">
      <c r="A5" s="191" t="s">
        <v>148</v>
      </c>
      <c r="B5" s="216">
        <v>2</v>
      </c>
      <c r="C5" s="191">
        <v>39</v>
      </c>
      <c r="D5" s="191">
        <v>1</v>
      </c>
      <c r="E5" s="191">
        <v>1</v>
      </c>
      <c r="F5" s="191">
        <v>13.2</v>
      </c>
      <c r="G5" s="191">
        <v>0</v>
      </c>
      <c r="H5" s="191">
        <v>0</v>
      </c>
      <c r="I5" s="191">
        <v>0</v>
      </c>
      <c r="J5" s="191">
        <v>0</v>
      </c>
      <c r="K5" s="191">
        <v>0</v>
      </c>
      <c r="L5" s="191">
        <v>0</v>
      </c>
      <c r="M5" s="191">
        <v>0</v>
      </c>
      <c r="N5" s="191">
        <v>0</v>
      </c>
      <c r="O5" s="191">
        <v>0</v>
      </c>
      <c r="P5" s="191">
        <v>0</v>
      </c>
      <c r="Q5" s="191">
        <v>0</v>
      </c>
      <c r="R5" s="191">
        <v>0</v>
      </c>
      <c r="S5" s="191">
        <v>0</v>
      </c>
      <c r="T5" s="191">
        <v>0</v>
      </c>
      <c r="U5" s="191">
        <v>0</v>
      </c>
      <c r="V5" s="191">
        <v>9.1999999999999993</v>
      </c>
      <c r="W5" s="191">
        <v>0</v>
      </c>
      <c r="X5" s="191">
        <v>0</v>
      </c>
      <c r="Y5" s="191">
        <v>0</v>
      </c>
      <c r="Z5" s="191">
        <v>0</v>
      </c>
      <c r="AA5" s="191">
        <v>0</v>
      </c>
      <c r="AB5" s="191">
        <v>0</v>
      </c>
      <c r="AC5" s="191">
        <v>0</v>
      </c>
      <c r="AD5" s="191">
        <v>0</v>
      </c>
      <c r="AE5" s="191">
        <v>0</v>
      </c>
      <c r="AF5" s="191">
        <v>0</v>
      </c>
      <c r="AG5" s="191">
        <v>0</v>
      </c>
      <c r="AH5" s="191">
        <v>0</v>
      </c>
      <c r="AI5" s="191">
        <v>3</v>
      </c>
      <c r="AJ5" s="191">
        <v>0</v>
      </c>
      <c r="AK5" s="191">
        <v>0</v>
      </c>
      <c r="AL5" s="191">
        <v>0</v>
      </c>
      <c r="AM5" s="191">
        <v>1</v>
      </c>
      <c r="AN5" s="191">
        <v>0</v>
      </c>
    </row>
    <row r="6" spans="1:40" x14ac:dyDescent="0.3">
      <c r="A6" s="191" t="s">
        <v>149</v>
      </c>
      <c r="B6" s="216">
        <v>3</v>
      </c>
      <c r="C6" s="191">
        <v>39</v>
      </c>
      <c r="D6" s="191">
        <v>1</v>
      </c>
      <c r="E6" s="191">
        <v>2</v>
      </c>
      <c r="F6" s="191">
        <v>2240.8000000000002</v>
      </c>
      <c r="G6" s="191">
        <v>0</v>
      </c>
      <c r="H6" s="191">
        <v>0</v>
      </c>
      <c r="I6" s="191">
        <v>0</v>
      </c>
      <c r="J6" s="191">
        <v>0</v>
      </c>
      <c r="K6" s="191">
        <v>0</v>
      </c>
      <c r="L6" s="191">
        <v>0</v>
      </c>
      <c r="M6" s="191">
        <v>0</v>
      </c>
      <c r="N6" s="191">
        <v>0</v>
      </c>
      <c r="O6" s="191">
        <v>0</v>
      </c>
      <c r="P6" s="191">
        <v>0</v>
      </c>
      <c r="Q6" s="191">
        <v>0</v>
      </c>
      <c r="R6" s="191">
        <v>0</v>
      </c>
      <c r="S6" s="191">
        <v>0</v>
      </c>
      <c r="T6" s="191">
        <v>0</v>
      </c>
      <c r="U6" s="191">
        <v>0</v>
      </c>
      <c r="V6" s="191">
        <v>1584.8</v>
      </c>
      <c r="W6" s="191">
        <v>0</v>
      </c>
      <c r="X6" s="191">
        <v>0</v>
      </c>
      <c r="Y6" s="191">
        <v>0</v>
      </c>
      <c r="Z6" s="191">
        <v>0</v>
      </c>
      <c r="AA6" s="191">
        <v>0</v>
      </c>
      <c r="AB6" s="191">
        <v>0</v>
      </c>
      <c r="AC6" s="191">
        <v>0</v>
      </c>
      <c r="AD6" s="191">
        <v>0</v>
      </c>
      <c r="AE6" s="191">
        <v>0</v>
      </c>
      <c r="AF6" s="191">
        <v>0</v>
      </c>
      <c r="AG6" s="191">
        <v>0</v>
      </c>
      <c r="AH6" s="191">
        <v>0</v>
      </c>
      <c r="AI6" s="191">
        <v>472</v>
      </c>
      <c r="AJ6" s="191">
        <v>0</v>
      </c>
      <c r="AK6" s="191">
        <v>0</v>
      </c>
      <c r="AL6" s="191">
        <v>0</v>
      </c>
      <c r="AM6" s="191">
        <v>184</v>
      </c>
      <c r="AN6" s="191">
        <v>0</v>
      </c>
    </row>
    <row r="7" spans="1:40" x14ac:dyDescent="0.3">
      <c r="A7" s="191" t="s">
        <v>150</v>
      </c>
      <c r="B7" s="216">
        <v>4</v>
      </c>
      <c r="C7" s="191">
        <v>39</v>
      </c>
      <c r="D7" s="191">
        <v>1</v>
      </c>
      <c r="E7" s="191">
        <v>3</v>
      </c>
      <c r="F7" s="191">
        <v>0</v>
      </c>
      <c r="G7" s="191">
        <v>0</v>
      </c>
      <c r="H7" s="191">
        <v>0</v>
      </c>
      <c r="I7" s="191">
        <v>0</v>
      </c>
      <c r="J7" s="191">
        <v>0</v>
      </c>
      <c r="K7" s="191">
        <v>0</v>
      </c>
      <c r="L7" s="191">
        <v>0</v>
      </c>
      <c r="M7" s="191">
        <v>0</v>
      </c>
      <c r="N7" s="191">
        <v>0</v>
      </c>
      <c r="O7" s="191">
        <v>0</v>
      </c>
      <c r="P7" s="191">
        <v>0</v>
      </c>
      <c r="Q7" s="191">
        <v>0</v>
      </c>
      <c r="R7" s="191">
        <v>0</v>
      </c>
      <c r="S7" s="191">
        <v>0</v>
      </c>
      <c r="T7" s="191">
        <v>0</v>
      </c>
      <c r="U7" s="191">
        <v>0</v>
      </c>
      <c r="V7" s="191">
        <v>0</v>
      </c>
      <c r="W7" s="191">
        <v>0</v>
      </c>
      <c r="X7" s="191">
        <v>0</v>
      </c>
      <c r="Y7" s="191">
        <v>0</v>
      </c>
      <c r="Z7" s="191">
        <v>0</v>
      </c>
      <c r="AA7" s="191">
        <v>0</v>
      </c>
      <c r="AB7" s="191">
        <v>0</v>
      </c>
      <c r="AC7" s="191">
        <v>0</v>
      </c>
      <c r="AD7" s="191">
        <v>0</v>
      </c>
      <c r="AE7" s="191">
        <v>0</v>
      </c>
      <c r="AF7" s="191">
        <v>0</v>
      </c>
      <c r="AG7" s="191">
        <v>0</v>
      </c>
      <c r="AH7" s="191">
        <v>0</v>
      </c>
      <c r="AI7" s="191">
        <v>0</v>
      </c>
      <c r="AJ7" s="191">
        <v>0</v>
      </c>
      <c r="AK7" s="191">
        <v>0</v>
      </c>
      <c r="AL7" s="191">
        <v>0</v>
      </c>
      <c r="AM7" s="191">
        <v>0</v>
      </c>
      <c r="AN7" s="191">
        <v>0</v>
      </c>
    </row>
    <row r="8" spans="1:40" x14ac:dyDescent="0.3">
      <c r="A8" s="191" t="s">
        <v>151</v>
      </c>
      <c r="B8" s="216">
        <v>5</v>
      </c>
      <c r="C8" s="191">
        <v>39</v>
      </c>
      <c r="D8" s="191">
        <v>1</v>
      </c>
      <c r="E8" s="191">
        <v>4</v>
      </c>
      <c r="F8" s="191">
        <v>0</v>
      </c>
      <c r="G8" s="191">
        <v>0</v>
      </c>
      <c r="H8" s="191">
        <v>0</v>
      </c>
      <c r="I8" s="191">
        <v>0</v>
      </c>
      <c r="J8" s="191">
        <v>0</v>
      </c>
      <c r="K8" s="191">
        <v>0</v>
      </c>
      <c r="L8" s="191">
        <v>0</v>
      </c>
      <c r="M8" s="191">
        <v>0</v>
      </c>
      <c r="N8" s="191">
        <v>0</v>
      </c>
      <c r="O8" s="191">
        <v>0</v>
      </c>
      <c r="P8" s="191">
        <v>0</v>
      </c>
      <c r="Q8" s="191">
        <v>0</v>
      </c>
      <c r="R8" s="191">
        <v>0</v>
      </c>
      <c r="S8" s="191">
        <v>0</v>
      </c>
      <c r="T8" s="191">
        <v>0</v>
      </c>
      <c r="U8" s="191">
        <v>0</v>
      </c>
      <c r="V8" s="191">
        <v>0</v>
      </c>
      <c r="W8" s="191">
        <v>0</v>
      </c>
      <c r="X8" s="191">
        <v>0</v>
      </c>
      <c r="Y8" s="191">
        <v>0</v>
      </c>
      <c r="Z8" s="191">
        <v>0</v>
      </c>
      <c r="AA8" s="191">
        <v>0</v>
      </c>
      <c r="AB8" s="191">
        <v>0</v>
      </c>
      <c r="AC8" s="191">
        <v>0</v>
      </c>
      <c r="AD8" s="191">
        <v>0</v>
      </c>
      <c r="AE8" s="191">
        <v>0</v>
      </c>
      <c r="AF8" s="191">
        <v>0</v>
      </c>
      <c r="AG8" s="191">
        <v>0</v>
      </c>
      <c r="AH8" s="191">
        <v>0</v>
      </c>
      <c r="AI8" s="191">
        <v>0</v>
      </c>
      <c r="AJ8" s="191">
        <v>0</v>
      </c>
      <c r="AK8" s="191">
        <v>0</v>
      </c>
      <c r="AL8" s="191">
        <v>0</v>
      </c>
      <c r="AM8" s="191">
        <v>0</v>
      </c>
      <c r="AN8" s="191">
        <v>0</v>
      </c>
    </row>
    <row r="9" spans="1:40" x14ac:dyDescent="0.3">
      <c r="A9" s="191" t="s">
        <v>152</v>
      </c>
      <c r="B9" s="216">
        <v>6</v>
      </c>
      <c r="C9" s="191">
        <v>39</v>
      </c>
      <c r="D9" s="191">
        <v>1</v>
      </c>
      <c r="E9" s="191">
        <v>5</v>
      </c>
      <c r="F9" s="191">
        <v>0</v>
      </c>
      <c r="G9" s="191">
        <v>0</v>
      </c>
      <c r="H9" s="191">
        <v>0</v>
      </c>
      <c r="I9" s="191">
        <v>0</v>
      </c>
      <c r="J9" s="191">
        <v>0</v>
      </c>
      <c r="K9" s="191">
        <v>0</v>
      </c>
      <c r="L9" s="191">
        <v>0</v>
      </c>
      <c r="M9" s="191">
        <v>0</v>
      </c>
      <c r="N9" s="191">
        <v>0</v>
      </c>
      <c r="O9" s="191">
        <v>0</v>
      </c>
      <c r="P9" s="191">
        <v>0</v>
      </c>
      <c r="Q9" s="191">
        <v>0</v>
      </c>
      <c r="R9" s="191">
        <v>0</v>
      </c>
      <c r="S9" s="191">
        <v>0</v>
      </c>
      <c r="T9" s="191">
        <v>0</v>
      </c>
      <c r="U9" s="191">
        <v>0</v>
      </c>
      <c r="V9" s="191">
        <v>0</v>
      </c>
      <c r="W9" s="191">
        <v>0</v>
      </c>
      <c r="X9" s="191">
        <v>0</v>
      </c>
      <c r="Y9" s="191">
        <v>0</v>
      </c>
      <c r="Z9" s="191">
        <v>0</v>
      </c>
      <c r="AA9" s="191">
        <v>0</v>
      </c>
      <c r="AB9" s="191">
        <v>0</v>
      </c>
      <c r="AC9" s="191">
        <v>0</v>
      </c>
      <c r="AD9" s="191">
        <v>0</v>
      </c>
      <c r="AE9" s="191">
        <v>0</v>
      </c>
      <c r="AF9" s="191">
        <v>0</v>
      </c>
      <c r="AG9" s="191">
        <v>0</v>
      </c>
      <c r="AH9" s="191">
        <v>0</v>
      </c>
      <c r="AI9" s="191">
        <v>0</v>
      </c>
      <c r="AJ9" s="191">
        <v>0</v>
      </c>
      <c r="AK9" s="191">
        <v>0</v>
      </c>
      <c r="AL9" s="191">
        <v>0</v>
      </c>
      <c r="AM9" s="191">
        <v>0</v>
      </c>
      <c r="AN9" s="191">
        <v>0</v>
      </c>
    </row>
    <row r="10" spans="1:40" x14ac:dyDescent="0.3">
      <c r="A10" s="191" t="s">
        <v>153</v>
      </c>
      <c r="B10" s="216">
        <v>7</v>
      </c>
      <c r="C10" s="191">
        <v>39</v>
      </c>
      <c r="D10" s="191">
        <v>1</v>
      </c>
      <c r="E10" s="191">
        <v>6</v>
      </c>
      <c r="F10" s="191">
        <v>420367</v>
      </c>
      <c r="G10" s="191">
        <v>0</v>
      </c>
      <c r="H10" s="191">
        <v>0</v>
      </c>
      <c r="I10" s="191">
        <v>0</v>
      </c>
      <c r="J10" s="191">
        <v>0</v>
      </c>
      <c r="K10" s="191">
        <v>0</v>
      </c>
      <c r="L10" s="191">
        <v>0</v>
      </c>
      <c r="M10" s="191">
        <v>0</v>
      </c>
      <c r="N10" s="191">
        <v>0</v>
      </c>
      <c r="O10" s="191">
        <v>0</v>
      </c>
      <c r="P10" s="191">
        <v>0</v>
      </c>
      <c r="Q10" s="191">
        <v>0</v>
      </c>
      <c r="R10" s="191">
        <v>0</v>
      </c>
      <c r="S10" s="191">
        <v>0</v>
      </c>
      <c r="T10" s="191">
        <v>0</v>
      </c>
      <c r="U10" s="191">
        <v>0</v>
      </c>
      <c r="V10" s="191">
        <v>322794</v>
      </c>
      <c r="W10" s="191">
        <v>0</v>
      </c>
      <c r="X10" s="191">
        <v>0</v>
      </c>
      <c r="Y10" s="191">
        <v>0</v>
      </c>
      <c r="Z10" s="191">
        <v>0</v>
      </c>
      <c r="AA10" s="191">
        <v>0</v>
      </c>
      <c r="AB10" s="191">
        <v>0</v>
      </c>
      <c r="AC10" s="191">
        <v>0</v>
      </c>
      <c r="AD10" s="191">
        <v>0</v>
      </c>
      <c r="AE10" s="191">
        <v>0</v>
      </c>
      <c r="AF10" s="191">
        <v>0</v>
      </c>
      <c r="AG10" s="191">
        <v>0</v>
      </c>
      <c r="AH10" s="191">
        <v>0</v>
      </c>
      <c r="AI10" s="191">
        <v>79573</v>
      </c>
      <c r="AJ10" s="191">
        <v>0</v>
      </c>
      <c r="AK10" s="191">
        <v>0</v>
      </c>
      <c r="AL10" s="191">
        <v>0</v>
      </c>
      <c r="AM10" s="191">
        <v>18000</v>
      </c>
      <c r="AN10" s="191">
        <v>0</v>
      </c>
    </row>
    <row r="11" spans="1:40" x14ac:dyDescent="0.3">
      <c r="A11" s="191" t="s">
        <v>154</v>
      </c>
      <c r="B11" s="216">
        <v>8</v>
      </c>
      <c r="C11" s="191">
        <v>39</v>
      </c>
      <c r="D11" s="191">
        <v>1</v>
      </c>
      <c r="E11" s="191">
        <v>7</v>
      </c>
      <c r="F11" s="191">
        <v>0</v>
      </c>
      <c r="G11" s="191">
        <v>0</v>
      </c>
      <c r="H11" s="191">
        <v>0</v>
      </c>
      <c r="I11" s="191">
        <v>0</v>
      </c>
      <c r="J11" s="191">
        <v>0</v>
      </c>
      <c r="K11" s="191">
        <v>0</v>
      </c>
      <c r="L11" s="191">
        <v>0</v>
      </c>
      <c r="M11" s="191">
        <v>0</v>
      </c>
      <c r="N11" s="191">
        <v>0</v>
      </c>
      <c r="O11" s="191">
        <v>0</v>
      </c>
      <c r="P11" s="191">
        <v>0</v>
      </c>
      <c r="Q11" s="191">
        <v>0</v>
      </c>
      <c r="R11" s="191">
        <v>0</v>
      </c>
      <c r="S11" s="191">
        <v>0</v>
      </c>
      <c r="T11" s="191">
        <v>0</v>
      </c>
      <c r="U11" s="191">
        <v>0</v>
      </c>
      <c r="V11" s="191">
        <v>0</v>
      </c>
      <c r="W11" s="191">
        <v>0</v>
      </c>
      <c r="X11" s="191">
        <v>0</v>
      </c>
      <c r="Y11" s="191">
        <v>0</v>
      </c>
      <c r="Z11" s="191">
        <v>0</v>
      </c>
      <c r="AA11" s="191">
        <v>0</v>
      </c>
      <c r="AB11" s="191">
        <v>0</v>
      </c>
      <c r="AC11" s="191">
        <v>0</v>
      </c>
      <c r="AD11" s="191">
        <v>0</v>
      </c>
      <c r="AE11" s="191">
        <v>0</v>
      </c>
      <c r="AF11" s="191">
        <v>0</v>
      </c>
      <c r="AG11" s="191">
        <v>0</v>
      </c>
      <c r="AH11" s="191">
        <v>0</v>
      </c>
      <c r="AI11" s="191">
        <v>0</v>
      </c>
      <c r="AJ11" s="191">
        <v>0</v>
      </c>
      <c r="AK11" s="191">
        <v>0</v>
      </c>
      <c r="AL11" s="191">
        <v>0</v>
      </c>
      <c r="AM11" s="191">
        <v>0</v>
      </c>
      <c r="AN11" s="191">
        <v>0</v>
      </c>
    </row>
    <row r="12" spans="1:40" x14ac:dyDescent="0.3">
      <c r="A12" s="191" t="s">
        <v>155</v>
      </c>
      <c r="B12" s="216">
        <v>9</v>
      </c>
      <c r="C12" s="191">
        <v>39</v>
      </c>
      <c r="D12" s="191">
        <v>1</v>
      </c>
      <c r="E12" s="191">
        <v>8</v>
      </c>
      <c r="F12" s="191">
        <v>0</v>
      </c>
      <c r="G12" s="191">
        <v>0</v>
      </c>
      <c r="H12" s="191">
        <v>0</v>
      </c>
      <c r="I12" s="191">
        <v>0</v>
      </c>
      <c r="J12" s="191">
        <v>0</v>
      </c>
      <c r="K12" s="191">
        <v>0</v>
      </c>
      <c r="L12" s="191">
        <v>0</v>
      </c>
      <c r="M12" s="191">
        <v>0</v>
      </c>
      <c r="N12" s="191">
        <v>0</v>
      </c>
      <c r="O12" s="191">
        <v>0</v>
      </c>
      <c r="P12" s="191">
        <v>0</v>
      </c>
      <c r="Q12" s="191">
        <v>0</v>
      </c>
      <c r="R12" s="191">
        <v>0</v>
      </c>
      <c r="S12" s="191">
        <v>0</v>
      </c>
      <c r="T12" s="191">
        <v>0</v>
      </c>
      <c r="U12" s="191">
        <v>0</v>
      </c>
      <c r="V12" s="191">
        <v>0</v>
      </c>
      <c r="W12" s="191">
        <v>0</v>
      </c>
      <c r="X12" s="191">
        <v>0</v>
      </c>
      <c r="Y12" s="191">
        <v>0</v>
      </c>
      <c r="Z12" s="191">
        <v>0</v>
      </c>
      <c r="AA12" s="191">
        <v>0</v>
      </c>
      <c r="AB12" s="191">
        <v>0</v>
      </c>
      <c r="AC12" s="191">
        <v>0</v>
      </c>
      <c r="AD12" s="191">
        <v>0</v>
      </c>
      <c r="AE12" s="191">
        <v>0</v>
      </c>
      <c r="AF12" s="191">
        <v>0</v>
      </c>
      <c r="AG12" s="191">
        <v>0</v>
      </c>
      <c r="AH12" s="191">
        <v>0</v>
      </c>
      <c r="AI12" s="191">
        <v>0</v>
      </c>
      <c r="AJ12" s="191">
        <v>0</v>
      </c>
      <c r="AK12" s="191">
        <v>0</v>
      </c>
      <c r="AL12" s="191">
        <v>0</v>
      </c>
      <c r="AM12" s="191">
        <v>0</v>
      </c>
      <c r="AN12" s="191">
        <v>0</v>
      </c>
    </row>
    <row r="13" spans="1:40" x14ac:dyDescent="0.3">
      <c r="A13" s="191" t="s">
        <v>156</v>
      </c>
      <c r="B13" s="216">
        <v>10</v>
      </c>
      <c r="C13" s="191">
        <v>39</v>
      </c>
      <c r="D13" s="191">
        <v>1</v>
      </c>
      <c r="E13" s="191">
        <v>9</v>
      </c>
      <c r="F13" s="191">
        <v>0</v>
      </c>
      <c r="G13" s="191">
        <v>0</v>
      </c>
      <c r="H13" s="191">
        <v>0</v>
      </c>
      <c r="I13" s="191">
        <v>0</v>
      </c>
      <c r="J13" s="191">
        <v>0</v>
      </c>
      <c r="K13" s="191">
        <v>0</v>
      </c>
      <c r="L13" s="191">
        <v>0</v>
      </c>
      <c r="M13" s="191">
        <v>0</v>
      </c>
      <c r="N13" s="191">
        <v>0</v>
      </c>
      <c r="O13" s="191">
        <v>0</v>
      </c>
      <c r="P13" s="191">
        <v>0</v>
      </c>
      <c r="Q13" s="191">
        <v>0</v>
      </c>
      <c r="R13" s="191">
        <v>0</v>
      </c>
      <c r="S13" s="191">
        <v>0</v>
      </c>
      <c r="T13" s="191">
        <v>0</v>
      </c>
      <c r="U13" s="191">
        <v>0</v>
      </c>
      <c r="V13" s="191">
        <v>0</v>
      </c>
      <c r="W13" s="191">
        <v>0</v>
      </c>
      <c r="X13" s="191">
        <v>0</v>
      </c>
      <c r="Y13" s="191">
        <v>0</v>
      </c>
      <c r="Z13" s="191">
        <v>0</v>
      </c>
      <c r="AA13" s="191">
        <v>0</v>
      </c>
      <c r="AB13" s="191">
        <v>0</v>
      </c>
      <c r="AC13" s="191">
        <v>0</v>
      </c>
      <c r="AD13" s="191">
        <v>0</v>
      </c>
      <c r="AE13" s="191">
        <v>0</v>
      </c>
      <c r="AF13" s="191">
        <v>0</v>
      </c>
      <c r="AG13" s="191">
        <v>0</v>
      </c>
      <c r="AH13" s="191">
        <v>0</v>
      </c>
      <c r="AI13" s="191">
        <v>0</v>
      </c>
      <c r="AJ13" s="191">
        <v>0</v>
      </c>
      <c r="AK13" s="191">
        <v>0</v>
      </c>
      <c r="AL13" s="191">
        <v>0</v>
      </c>
      <c r="AM13" s="191">
        <v>0</v>
      </c>
      <c r="AN13" s="191">
        <v>0</v>
      </c>
    </row>
    <row r="14" spans="1:40" x14ac:dyDescent="0.3">
      <c r="A14" s="191" t="s">
        <v>157</v>
      </c>
      <c r="B14" s="216">
        <v>11</v>
      </c>
      <c r="C14" s="191">
        <v>39</v>
      </c>
      <c r="D14" s="191">
        <v>1</v>
      </c>
      <c r="E14" s="191">
        <v>10</v>
      </c>
      <c r="F14" s="191">
        <v>5500</v>
      </c>
      <c r="G14" s="191">
        <v>0</v>
      </c>
      <c r="H14" s="191">
        <v>0</v>
      </c>
      <c r="I14" s="191">
        <v>0</v>
      </c>
      <c r="J14" s="191">
        <v>0</v>
      </c>
      <c r="K14" s="191">
        <v>5500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  <c r="AC14" s="191">
        <v>0</v>
      </c>
      <c r="AD14" s="191">
        <v>0</v>
      </c>
      <c r="AE14" s="191">
        <v>0</v>
      </c>
      <c r="AF14" s="191">
        <v>0</v>
      </c>
      <c r="AG14" s="191">
        <v>0</v>
      </c>
      <c r="AH14" s="191">
        <v>0</v>
      </c>
      <c r="AI14" s="191">
        <v>0</v>
      </c>
      <c r="AJ14" s="191">
        <v>0</v>
      </c>
      <c r="AK14" s="191">
        <v>0</v>
      </c>
      <c r="AL14" s="191">
        <v>0</v>
      </c>
      <c r="AM14" s="191">
        <v>0</v>
      </c>
      <c r="AN14" s="191">
        <v>0</v>
      </c>
    </row>
    <row r="15" spans="1:40" x14ac:dyDescent="0.3">
      <c r="A15" s="191" t="s">
        <v>158</v>
      </c>
      <c r="B15" s="216">
        <v>12</v>
      </c>
      <c r="C15" s="191">
        <v>39</v>
      </c>
      <c r="D15" s="191">
        <v>1</v>
      </c>
      <c r="E15" s="191">
        <v>11</v>
      </c>
      <c r="F15" s="191">
        <v>1166.6666666666667</v>
      </c>
      <c r="G15" s="191">
        <v>0</v>
      </c>
      <c r="H15" s="191">
        <v>0</v>
      </c>
      <c r="I15" s="191">
        <v>0</v>
      </c>
      <c r="J15" s="191">
        <v>0</v>
      </c>
      <c r="K15" s="191">
        <v>1166.6666666666667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  <c r="AC15" s="191">
        <v>0</v>
      </c>
      <c r="AD15" s="191">
        <v>0</v>
      </c>
      <c r="AE15" s="191">
        <v>0</v>
      </c>
      <c r="AF15" s="191">
        <v>0</v>
      </c>
      <c r="AG15" s="191">
        <v>0</v>
      </c>
      <c r="AH15" s="191">
        <v>0</v>
      </c>
      <c r="AI15" s="191">
        <v>0</v>
      </c>
      <c r="AJ15" s="191">
        <v>0</v>
      </c>
      <c r="AK15" s="191">
        <v>0</v>
      </c>
      <c r="AL15" s="191">
        <v>0</v>
      </c>
      <c r="AM15" s="191">
        <v>0</v>
      </c>
      <c r="AN15" s="191">
        <v>0</v>
      </c>
    </row>
    <row r="16" spans="1:40" x14ac:dyDescent="0.3">
      <c r="A16" s="191" t="s">
        <v>146</v>
      </c>
      <c r="B16" s="216">
        <v>2014</v>
      </c>
      <c r="C16" s="191">
        <v>39</v>
      </c>
      <c r="D16" s="191">
        <v>2</v>
      </c>
      <c r="E16" s="191">
        <v>1</v>
      </c>
      <c r="F16" s="191">
        <v>13.2</v>
      </c>
      <c r="G16" s="191">
        <v>0</v>
      </c>
      <c r="H16" s="191">
        <v>0</v>
      </c>
      <c r="I16" s="191">
        <v>0</v>
      </c>
      <c r="J16" s="191">
        <v>0</v>
      </c>
      <c r="K16" s="191">
        <v>0</v>
      </c>
      <c r="L16" s="191">
        <v>0</v>
      </c>
      <c r="M16" s="191">
        <v>0</v>
      </c>
      <c r="N16" s="191">
        <v>0</v>
      </c>
      <c r="O16" s="191">
        <v>0</v>
      </c>
      <c r="P16" s="191">
        <v>0</v>
      </c>
      <c r="Q16" s="191">
        <v>0</v>
      </c>
      <c r="R16" s="191">
        <v>0</v>
      </c>
      <c r="S16" s="191">
        <v>0</v>
      </c>
      <c r="T16" s="191">
        <v>0</v>
      </c>
      <c r="U16" s="191">
        <v>0</v>
      </c>
      <c r="V16" s="191">
        <v>9.1999999999999993</v>
      </c>
      <c r="W16" s="191">
        <v>0</v>
      </c>
      <c r="X16" s="191">
        <v>0</v>
      </c>
      <c r="Y16" s="191">
        <v>0</v>
      </c>
      <c r="Z16" s="191">
        <v>0</v>
      </c>
      <c r="AA16" s="191">
        <v>0</v>
      </c>
      <c r="AB16" s="191">
        <v>0</v>
      </c>
      <c r="AC16" s="191">
        <v>0</v>
      </c>
      <c r="AD16" s="191">
        <v>0</v>
      </c>
      <c r="AE16" s="191">
        <v>0</v>
      </c>
      <c r="AF16" s="191">
        <v>0</v>
      </c>
      <c r="AG16" s="191">
        <v>0</v>
      </c>
      <c r="AH16" s="191">
        <v>0</v>
      </c>
      <c r="AI16" s="191">
        <v>3</v>
      </c>
      <c r="AJ16" s="191">
        <v>0</v>
      </c>
      <c r="AK16" s="191">
        <v>0</v>
      </c>
      <c r="AL16" s="191">
        <v>0</v>
      </c>
      <c r="AM16" s="191">
        <v>1</v>
      </c>
      <c r="AN16" s="191">
        <v>0</v>
      </c>
    </row>
    <row r="17" spans="3:40" x14ac:dyDescent="0.3">
      <c r="C17" s="191">
        <v>39</v>
      </c>
      <c r="D17" s="191">
        <v>2</v>
      </c>
      <c r="E17" s="191">
        <v>2</v>
      </c>
      <c r="F17" s="191">
        <v>1896</v>
      </c>
      <c r="G17" s="191">
        <v>0</v>
      </c>
      <c r="H17" s="191">
        <v>0</v>
      </c>
      <c r="I17" s="191">
        <v>0</v>
      </c>
      <c r="J17" s="191">
        <v>0</v>
      </c>
      <c r="K17" s="191">
        <v>0</v>
      </c>
      <c r="L17" s="191">
        <v>0</v>
      </c>
      <c r="M17" s="191">
        <v>0</v>
      </c>
      <c r="N17" s="191">
        <v>0</v>
      </c>
      <c r="O17" s="191">
        <v>0</v>
      </c>
      <c r="P17" s="191">
        <v>0</v>
      </c>
      <c r="Q17" s="191">
        <v>0</v>
      </c>
      <c r="R17" s="191">
        <v>0</v>
      </c>
      <c r="S17" s="191">
        <v>0</v>
      </c>
      <c r="T17" s="191">
        <v>0</v>
      </c>
      <c r="U17" s="191">
        <v>0</v>
      </c>
      <c r="V17" s="191">
        <v>1336</v>
      </c>
      <c r="W17" s="191">
        <v>0</v>
      </c>
      <c r="X17" s="191">
        <v>0</v>
      </c>
      <c r="Y17" s="191">
        <v>0</v>
      </c>
      <c r="Z17" s="191">
        <v>0</v>
      </c>
      <c r="AA17" s="191">
        <v>0</v>
      </c>
      <c r="AB17" s="191">
        <v>0</v>
      </c>
      <c r="AC17" s="191">
        <v>0</v>
      </c>
      <c r="AD17" s="191">
        <v>0</v>
      </c>
      <c r="AE17" s="191">
        <v>0</v>
      </c>
      <c r="AF17" s="191">
        <v>0</v>
      </c>
      <c r="AG17" s="191">
        <v>0</v>
      </c>
      <c r="AH17" s="191">
        <v>0</v>
      </c>
      <c r="AI17" s="191">
        <v>480</v>
      </c>
      <c r="AJ17" s="191">
        <v>0</v>
      </c>
      <c r="AK17" s="191">
        <v>0</v>
      </c>
      <c r="AL17" s="191">
        <v>0</v>
      </c>
      <c r="AM17" s="191">
        <v>80</v>
      </c>
      <c r="AN17" s="191">
        <v>0</v>
      </c>
    </row>
    <row r="18" spans="3:40" x14ac:dyDescent="0.3">
      <c r="C18" s="191">
        <v>39</v>
      </c>
      <c r="D18" s="191">
        <v>2</v>
      </c>
      <c r="E18" s="191">
        <v>3</v>
      </c>
      <c r="F18" s="191">
        <v>0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  <c r="N18" s="191">
        <v>0</v>
      </c>
      <c r="O18" s="191">
        <v>0</v>
      </c>
      <c r="P18" s="191">
        <v>0</v>
      </c>
      <c r="Q18" s="191">
        <v>0</v>
      </c>
      <c r="R18" s="191">
        <v>0</v>
      </c>
      <c r="S18" s="191">
        <v>0</v>
      </c>
      <c r="T18" s="191">
        <v>0</v>
      </c>
      <c r="U18" s="191">
        <v>0</v>
      </c>
      <c r="V18" s="191">
        <v>0</v>
      </c>
      <c r="W18" s="191">
        <v>0</v>
      </c>
      <c r="X18" s="191">
        <v>0</v>
      </c>
      <c r="Y18" s="191">
        <v>0</v>
      </c>
      <c r="Z18" s="191">
        <v>0</v>
      </c>
      <c r="AA18" s="191">
        <v>0</v>
      </c>
      <c r="AB18" s="191">
        <v>0</v>
      </c>
      <c r="AC18" s="191">
        <v>0</v>
      </c>
      <c r="AD18" s="191">
        <v>0</v>
      </c>
      <c r="AE18" s="191">
        <v>0</v>
      </c>
      <c r="AF18" s="191">
        <v>0</v>
      </c>
      <c r="AG18" s="191">
        <v>0</v>
      </c>
      <c r="AH18" s="191">
        <v>0</v>
      </c>
      <c r="AI18" s="191">
        <v>0</v>
      </c>
      <c r="AJ18" s="191">
        <v>0</v>
      </c>
      <c r="AK18" s="191">
        <v>0</v>
      </c>
      <c r="AL18" s="191">
        <v>0</v>
      </c>
      <c r="AM18" s="191">
        <v>0</v>
      </c>
      <c r="AN18" s="191">
        <v>0</v>
      </c>
    </row>
    <row r="19" spans="3:40" x14ac:dyDescent="0.3">
      <c r="C19" s="191">
        <v>39</v>
      </c>
      <c r="D19" s="191">
        <v>2</v>
      </c>
      <c r="E19" s="191">
        <v>4</v>
      </c>
      <c r="F19" s="191">
        <v>0</v>
      </c>
      <c r="G19" s="191">
        <v>0</v>
      </c>
      <c r="H19" s="191">
        <v>0</v>
      </c>
      <c r="I19" s="191">
        <v>0</v>
      </c>
      <c r="J19" s="191">
        <v>0</v>
      </c>
      <c r="K19" s="191">
        <v>0</v>
      </c>
      <c r="L19" s="191">
        <v>0</v>
      </c>
      <c r="M19" s="191">
        <v>0</v>
      </c>
      <c r="N19" s="191">
        <v>0</v>
      </c>
      <c r="O19" s="191">
        <v>0</v>
      </c>
      <c r="P19" s="191">
        <v>0</v>
      </c>
      <c r="Q19" s="191">
        <v>0</v>
      </c>
      <c r="R19" s="191">
        <v>0</v>
      </c>
      <c r="S19" s="191">
        <v>0</v>
      </c>
      <c r="T19" s="191">
        <v>0</v>
      </c>
      <c r="U19" s="191">
        <v>0</v>
      </c>
      <c r="V19" s="191">
        <v>0</v>
      </c>
      <c r="W19" s="191">
        <v>0</v>
      </c>
      <c r="X19" s="191">
        <v>0</v>
      </c>
      <c r="Y19" s="191">
        <v>0</v>
      </c>
      <c r="Z19" s="191">
        <v>0</v>
      </c>
      <c r="AA19" s="191">
        <v>0</v>
      </c>
      <c r="AB19" s="191">
        <v>0</v>
      </c>
      <c r="AC19" s="191">
        <v>0</v>
      </c>
      <c r="AD19" s="191">
        <v>0</v>
      </c>
      <c r="AE19" s="191">
        <v>0</v>
      </c>
      <c r="AF19" s="191">
        <v>0</v>
      </c>
      <c r="AG19" s="191">
        <v>0</v>
      </c>
      <c r="AH19" s="191">
        <v>0</v>
      </c>
      <c r="AI19" s="191">
        <v>0</v>
      </c>
      <c r="AJ19" s="191">
        <v>0</v>
      </c>
      <c r="AK19" s="191">
        <v>0</v>
      </c>
      <c r="AL19" s="191">
        <v>0</v>
      </c>
      <c r="AM19" s="191">
        <v>0</v>
      </c>
      <c r="AN19" s="191">
        <v>0</v>
      </c>
    </row>
    <row r="20" spans="3:40" x14ac:dyDescent="0.3">
      <c r="C20" s="191">
        <v>39</v>
      </c>
      <c r="D20" s="191">
        <v>2</v>
      </c>
      <c r="E20" s="191">
        <v>5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  <c r="AB20" s="191">
        <v>0</v>
      </c>
      <c r="AC20" s="191">
        <v>0</v>
      </c>
      <c r="AD20" s="191">
        <v>0</v>
      </c>
      <c r="AE20" s="191">
        <v>0</v>
      </c>
      <c r="AF20" s="191">
        <v>0</v>
      </c>
      <c r="AG20" s="191">
        <v>0</v>
      </c>
      <c r="AH20" s="191">
        <v>0</v>
      </c>
      <c r="AI20" s="191">
        <v>0</v>
      </c>
      <c r="AJ20" s="191">
        <v>0</v>
      </c>
      <c r="AK20" s="191">
        <v>0</v>
      </c>
      <c r="AL20" s="191">
        <v>0</v>
      </c>
      <c r="AM20" s="191">
        <v>0</v>
      </c>
      <c r="AN20" s="191">
        <v>0</v>
      </c>
    </row>
    <row r="21" spans="3:40" x14ac:dyDescent="0.3">
      <c r="C21" s="191">
        <v>39</v>
      </c>
      <c r="D21" s="191">
        <v>2</v>
      </c>
      <c r="E21" s="191">
        <v>6</v>
      </c>
      <c r="F21" s="191">
        <v>379720</v>
      </c>
      <c r="G21" s="191">
        <v>0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1">
        <v>291229</v>
      </c>
      <c r="W21" s="191">
        <v>0</v>
      </c>
      <c r="X21" s="191">
        <v>0</v>
      </c>
      <c r="Y21" s="191">
        <v>0</v>
      </c>
      <c r="Z21" s="191">
        <v>0</v>
      </c>
      <c r="AA21" s="191">
        <v>0</v>
      </c>
      <c r="AB21" s="191">
        <v>0</v>
      </c>
      <c r="AC21" s="191">
        <v>0</v>
      </c>
      <c r="AD21" s="191">
        <v>0</v>
      </c>
      <c r="AE21" s="191">
        <v>0</v>
      </c>
      <c r="AF21" s="191">
        <v>0</v>
      </c>
      <c r="AG21" s="191">
        <v>0</v>
      </c>
      <c r="AH21" s="191">
        <v>0</v>
      </c>
      <c r="AI21" s="191">
        <v>76180</v>
      </c>
      <c r="AJ21" s="191">
        <v>0</v>
      </c>
      <c r="AK21" s="191">
        <v>0</v>
      </c>
      <c r="AL21" s="191">
        <v>0</v>
      </c>
      <c r="AM21" s="191">
        <v>12311</v>
      </c>
      <c r="AN21" s="191">
        <v>0</v>
      </c>
    </row>
    <row r="22" spans="3:40" x14ac:dyDescent="0.3">
      <c r="C22" s="191">
        <v>39</v>
      </c>
      <c r="D22" s="191">
        <v>2</v>
      </c>
      <c r="E22" s="191">
        <v>7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  <c r="AB22" s="191">
        <v>0</v>
      </c>
      <c r="AC22" s="191">
        <v>0</v>
      </c>
      <c r="AD22" s="191">
        <v>0</v>
      </c>
      <c r="AE22" s="191">
        <v>0</v>
      </c>
      <c r="AF22" s="191">
        <v>0</v>
      </c>
      <c r="AG22" s="191">
        <v>0</v>
      </c>
      <c r="AH22" s="191">
        <v>0</v>
      </c>
      <c r="AI22" s="191">
        <v>0</v>
      </c>
      <c r="AJ22" s="191">
        <v>0</v>
      </c>
      <c r="AK22" s="191">
        <v>0</v>
      </c>
      <c r="AL22" s="191">
        <v>0</v>
      </c>
      <c r="AM22" s="191">
        <v>0</v>
      </c>
      <c r="AN22" s="191">
        <v>0</v>
      </c>
    </row>
    <row r="23" spans="3:40" x14ac:dyDescent="0.3">
      <c r="C23" s="191">
        <v>39</v>
      </c>
      <c r="D23" s="191">
        <v>2</v>
      </c>
      <c r="E23" s="191">
        <v>8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0</v>
      </c>
      <c r="N23" s="191">
        <v>0</v>
      </c>
      <c r="O23" s="191">
        <v>0</v>
      </c>
      <c r="P23" s="191">
        <v>0</v>
      </c>
      <c r="Q23" s="191">
        <v>0</v>
      </c>
      <c r="R23" s="191">
        <v>0</v>
      </c>
      <c r="S23" s="191">
        <v>0</v>
      </c>
      <c r="T23" s="191">
        <v>0</v>
      </c>
      <c r="U23" s="191">
        <v>0</v>
      </c>
      <c r="V23" s="191">
        <v>0</v>
      </c>
      <c r="W23" s="191">
        <v>0</v>
      </c>
      <c r="X23" s="191">
        <v>0</v>
      </c>
      <c r="Y23" s="191">
        <v>0</v>
      </c>
      <c r="Z23" s="191">
        <v>0</v>
      </c>
      <c r="AA23" s="191">
        <v>0</v>
      </c>
      <c r="AB23" s="191">
        <v>0</v>
      </c>
      <c r="AC23" s="191">
        <v>0</v>
      </c>
      <c r="AD23" s="191">
        <v>0</v>
      </c>
      <c r="AE23" s="191">
        <v>0</v>
      </c>
      <c r="AF23" s="191">
        <v>0</v>
      </c>
      <c r="AG23" s="191">
        <v>0</v>
      </c>
      <c r="AH23" s="191">
        <v>0</v>
      </c>
      <c r="AI23" s="191">
        <v>0</v>
      </c>
      <c r="AJ23" s="191">
        <v>0</v>
      </c>
      <c r="AK23" s="191">
        <v>0</v>
      </c>
      <c r="AL23" s="191">
        <v>0</v>
      </c>
      <c r="AM23" s="191">
        <v>0</v>
      </c>
      <c r="AN23" s="191">
        <v>0</v>
      </c>
    </row>
    <row r="24" spans="3:40" x14ac:dyDescent="0.3">
      <c r="C24" s="191">
        <v>39</v>
      </c>
      <c r="D24" s="191">
        <v>2</v>
      </c>
      <c r="E24" s="191">
        <v>9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0</v>
      </c>
      <c r="M24" s="191">
        <v>0</v>
      </c>
      <c r="N24" s="191">
        <v>0</v>
      </c>
      <c r="O24" s="191">
        <v>0</v>
      </c>
      <c r="P24" s="191">
        <v>0</v>
      </c>
      <c r="Q24" s="191">
        <v>0</v>
      </c>
      <c r="R24" s="191">
        <v>0</v>
      </c>
      <c r="S24" s="191">
        <v>0</v>
      </c>
      <c r="T24" s="191">
        <v>0</v>
      </c>
      <c r="U24" s="191">
        <v>0</v>
      </c>
      <c r="V24" s="191">
        <v>0</v>
      </c>
      <c r="W24" s="191">
        <v>0</v>
      </c>
      <c r="X24" s="191">
        <v>0</v>
      </c>
      <c r="Y24" s="191">
        <v>0</v>
      </c>
      <c r="Z24" s="191">
        <v>0</v>
      </c>
      <c r="AA24" s="191">
        <v>0</v>
      </c>
      <c r="AB24" s="191">
        <v>0</v>
      </c>
      <c r="AC24" s="191">
        <v>0</v>
      </c>
      <c r="AD24" s="191">
        <v>0</v>
      </c>
      <c r="AE24" s="191">
        <v>0</v>
      </c>
      <c r="AF24" s="191">
        <v>0</v>
      </c>
      <c r="AG24" s="191">
        <v>0</v>
      </c>
      <c r="AH24" s="191">
        <v>0</v>
      </c>
      <c r="AI24" s="191">
        <v>0</v>
      </c>
      <c r="AJ24" s="191">
        <v>0</v>
      </c>
      <c r="AK24" s="191">
        <v>0</v>
      </c>
      <c r="AL24" s="191">
        <v>0</v>
      </c>
      <c r="AM24" s="191">
        <v>0</v>
      </c>
      <c r="AN24" s="191">
        <v>0</v>
      </c>
    </row>
    <row r="25" spans="3:40" x14ac:dyDescent="0.3">
      <c r="C25" s="191">
        <v>39</v>
      </c>
      <c r="D25" s="191">
        <v>2</v>
      </c>
      <c r="E25" s="191">
        <v>10</v>
      </c>
      <c r="F25" s="191">
        <v>0</v>
      </c>
      <c r="G25" s="191">
        <v>0</v>
      </c>
      <c r="H25" s="191">
        <v>0</v>
      </c>
      <c r="I25" s="191">
        <v>0</v>
      </c>
      <c r="J25" s="191">
        <v>0</v>
      </c>
      <c r="K25" s="191">
        <v>0</v>
      </c>
      <c r="L25" s="191">
        <v>0</v>
      </c>
      <c r="M25" s="191">
        <v>0</v>
      </c>
      <c r="N25" s="191">
        <v>0</v>
      </c>
      <c r="O25" s="191">
        <v>0</v>
      </c>
      <c r="P25" s="191">
        <v>0</v>
      </c>
      <c r="Q25" s="191">
        <v>0</v>
      </c>
      <c r="R25" s="191">
        <v>0</v>
      </c>
      <c r="S25" s="191">
        <v>0</v>
      </c>
      <c r="T25" s="191">
        <v>0</v>
      </c>
      <c r="U25" s="191">
        <v>0</v>
      </c>
      <c r="V25" s="191">
        <v>0</v>
      </c>
      <c r="W25" s="191">
        <v>0</v>
      </c>
      <c r="X25" s="191">
        <v>0</v>
      </c>
      <c r="Y25" s="191">
        <v>0</v>
      </c>
      <c r="Z25" s="191">
        <v>0</v>
      </c>
      <c r="AA25" s="191">
        <v>0</v>
      </c>
      <c r="AB25" s="191">
        <v>0</v>
      </c>
      <c r="AC25" s="191">
        <v>0</v>
      </c>
      <c r="AD25" s="191">
        <v>0</v>
      </c>
      <c r="AE25" s="191">
        <v>0</v>
      </c>
      <c r="AF25" s="191">
        <v>0</v>
      </c>
      <c r="AG25" s="191">
        <v>0</v>
      </c>
      <c r="AH25" s="191">
        <v>0</v>
      </c>
      <c r="AI25" s="191">
        <v>0</v>
      </c>
      <c r="AJ25" s="191">
        <v>0</v>
      </c>
      <c r="AK25" s="191">
        <v>0</v>
      </c>
      <c r="AL25" s="191">
        <v>0</v>
      </c>
      <c r="AM25" s="191">
        <v>0</v>
      </c>
      <c r="AN25" s="191">
        <v>0</v>
      </c>
    </row>
    <row r="26" spans="3:40" x14ac:dyDescent="0.3">
      <c r="C26" s="191">
        <v>39</v>
      </c>
      <c r="D26" s="191">
        <v>2</v>
      </c>
      <c r="E26" s="191">
        <v>11</v>
      </c>
      <c r="F26" s="191">
        <v>1166.6666666666667</v>
      </c>
      <c r="G26" s="191">
        <v>0</v>
      </c>
      <c r="H26" s="191">
        <v>0</v>
      </c>
      <c r="I26" s="191">
        <v>0</v>
      </c>
      <c r="J26" s="191">
        <v>0</v>
      </c>
      <c r="K26" s="191">
        <v>1166.6666666666667</v>
      </c>
      <c r="L26" s="191">
        <v>0</v>
      </c>
      <c r="M26" s="191">
        <v>0</v>
      </c>
      <c r="N26" s="191">
        <v>0</v>
      </c>
      <c r="O26" s="191">
        <v>0</v>
      </c>
      <c r="P26" s="191">
        <v>0</v>
      </c>
      <c r="Q26" s="191">
        <v>0</v>
      </c>
      <c r="R26" s="191">
        <v>0</v>
      </c>
      <c r="S26" s="191">
        <v>0</v>
      </c>
      <c r="T26" s="191">
        <v>0</v>
      </c>
      <c r="U26" s="191">
        <v>0</v>
      </c>
      <c r="V26" s="191">
        <v>0</v>
      </c>
      <c r="W26" s="191">
        <v>0</v>
      </c>
      <c r="X26" s="191">
        <v>0</v>
      </c>
      <c r="Y26" s="191">
        <v>0</v>
      </c>
      <c r="Z26" s="191">
        <v>0</v>
      </c>
      <c r="AA26" s="191">
        <v>0</v>
      </c>
      <c r="AB26" s="191">
        <v>0</v>
      </c>
      <c r="AC26" s="191">
        <v>0</v>
      </c>
      <c r="AD26" s="191">
        <v>0</v>
      </c>
      <c r="AE26" s="191">
        <v>0</v>
      </c>
      <c r="AF26" s="191">
        <v>0</v>
      </c>
      <c r="AG26" s="191">
        <v>0</v>
      </c>
      <c r="AH26" s="191">
        <v>0</v>
      </c>
      <c r="AI26" s="191">
        <v>0</v>
      </c>
      <c r="AJ26" s="191">
        <v>0</v>
      </c>
      <c r="AK26" s="191">
        <v>0</v>
      </c>
      <c r="AL26" s="191">
        <v>0</v>
      </c>
      <c r="AM26" s="191">
        <v>0</v>
      </c>
      <c r="AN26" s="191">
        <v>0</v>
      </c>
    </row>
    <row r="27" spans="3:40" x14ac:dyDescent="0.3">
      <c r="C27" s="191">
        <v>39</v>
      </c>
      <c r="D27" s="191">
        <v>3</v>
      </c>
      <c r="E27" s="191">
        <v>1</v>
      </c>
      <c r="F27" s="191">
        <v>13.2</v>
      </c>
      <c r="G27" s="191">
        <v>0</v>
      </c>
      <c r="H27" s="191">
        <v>0</v>
      </c>
      <c r="I27" s="191">
        <v>0</v>
      </c>
      <c r="J27" s="191">
        <v>0</v>
      </c>
      <c r="K27" s="191">
        <v>0</v>
      </c>
      <c r="L27" s="191">
        <v>0</v>
      </c>
      <c r="M27" s="191">
        <v>0</v>
      </c>
      <c r="N27" s="191">
        <v>0</v>
      </c>
      <c r="O27" s="191">
        <v>0</v>
      </c>
      <c r="P27" s="191">
        <v>0</v>
      </c>
      <c r="Q27" s="191">
        <v>0</v>
      </c>
      <c r="R27" s="191">
        <v>0</v>
      </c>
      <c r="S27" s="191">
        <v>0</v>
      </c>
      <c r="T27" s="191">
        <v>0</v>
      </c>
      <c r="U27" s="191">
        <v>0</v>
      </c>
      <c r="V27" s="191">
        <v>9.1999999999999993</v>
      </c>
      <c r="W27" s="191">
        <v>0</v>
      </c>
      <c r="X27" s="191">
        <v>0</v>
      </c>
      <c r="Y27" s="191">
        <v>0</v>
      </c>
      <c r="Z27" s="191">
        <v>0</v>
      </c>
      <c r="AA27" s="191">
        <v>0</v>
      </c>
      <c r="AB27" s="191">
        <v>0</v>
      </c>
      <c r="AC27" s="191">
        <v>0</v>
      </c>
      <c r="AD27" s="191">
        <v>0</v>
      </c>
      <c r="AE27" s="191">
        <v>0</v>
      </c>
      <c r="AF27" s="191">
        <v>0</v>
      </c>
      <c r="AG27" s="191">
        <v>0</v>
      </c>
      <c r="AH27" s="191">
        <v>0</v>
      </c>
      <c r="AI27" s="191">
        <v>3</v>
      </c>
      <c r="AJ27" s="191">
        <v>0</v>
      </c>
      <c r="AK27" s="191">
        <v>0</v>
      </c>
      <c r="AL27" s="191">
        <v>0</v>
      </c>
      <c r="AM27" s="191">
        <v>1</v>
      </c>
      <c r="AN27" s="191">
        <v>0</v>
      </c>
    </row>
    <row r="28" spans="3:40" x14ac:dyDescent="0.3">
      <c r="C28" s="191">
        <v>39</v>
      </c>
      <c r="D28" s="191">
        <v>3</v>
      </c>
      <c r="E28" s="191">
        <v>2</v>
      </c>
      <c r="F28" s="191">
        <v>2169.6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1">
        <v>1505.6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  <c r="AB28" s="191">
        <v>0</v>
      </c>
      <c r="AC28" s="191">
        <v>0</v>
      </c>
      <c r="AD28" s="191">
        <v>0</v>
      </c>
      <c r="AE28" s="191">
        <v>0</v>
      </c>
      <c r="AF28" s="191">
        <v>0</v>
      </c>
      <c r="AG28" s="191">
        <v>0</v>
      </c>
      <c r="AH28" s="191">
        <v>0</v>
      </c>
      <c r="AI28" s="191">
        <v>496</v>
      </c>
      <c r="AJ28" s="191">
        <v>0</v>
      </c>
      <c r="AK28" s="191">
        <v>0</v>
      </c>
      <c r="AL28" s="191">
        <v>0</v>
      </c>
      <c r="AM28" s="191">
        <v>168</v>
      </c>
      <c r="AN28" s="191">
        <v>0</v>
      </c>
    </row>
    <row r="29" spans="3:40" x14ac:dyDescent="0.3">
      <c r="C29" s="191">
        <v>39</v>
      </c>
      <c r="D29" s="191">
        <v>3</v>
      </c>
      <c r="E29" s="191">
        <v>3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1">
        <v>0</v>
      </c>
      <c r="S29" s="191">
        <v>0</v>
      </c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0</v>
      </c>
      <c r="Z29" s="191">
        <v>0</v>
      </c>
      <c r="AA29" s="191">
        <v>0</v>
      </c>
      <c r="AB29" s="191">
        <v>0</v>
      </c>
      <c r="AC29" s="191">
        <v>0</v>
      </c>
      <c r="AD29" s="191">
        <v>0</v>
      </c>
      <c r="AE29" s="191">
        <v>0</v>
      </c>
      <c r="AF29" s="191">
        <v>0</v>
      </c>
      <c r="AG29" s="191">
        <v>0</v>
      </c>
      <c r="AH29" s="191">
        <v>0</v>
      </c>
      <c r="AI29" s="191">
        <v>0</v>
      </c>
      <c r="AJ29" s="191">
        <v>0</v>
      </c>
      <c r="AK29" s="191">
        <v>0</v>
      </c>
      <c r="AL29" s="191">
        <v>0</v>
      </c>
      <c r="AM29" s="191">
        <v>0</v>
      </c>
      <c r="AN29" s="191">
        <v>0</v>
      </c>
    </row>
    <row r="30" spans="3:40" x14ac:dyDescent="0.3">
      <c r="C30" s="191">
        <v>39</v>
      </c>
      <c r="D30" s="191">
        <v>3</v>
      </c>
      <c r="E30" s="191">
        <v>4</v>
      </c>
      <c r="F30" s="191">
        <v>0</v>
      </c>
      <c r="G30" s="191">
        <v>0</v>
      </c>
      <c r="H30" s="191">
        <v>0</v>
      </c>
      <c r="I30" s="191">
        <v>0</v>
      </c>
      <c r="J30" s="191">
        <v>0</v>
      </c>
      <c r="K30" s="191">
        <v>0</v>
      </c>
      <c r="L30" s="191">
        <v>0</v>
      </c>
      <c r="M30" s="191">
        <v>0</v>
      </c>
      <c r="N30" s="191">
        <v>0</v>
      </c>
      <c r="O30" s="191">
        <v>0</v>
      </c>
      <c r="P30" s="191">
        <v>0</v>
      </c>
      <c r="Q30" s="191">
        <v>0</v>
      </c>
      <c r="R30" s="191">
        <v>0</v>
      </c>
      <c r="S30" s="191">
        <v>0</v>
      </c>
      <c r="T30" s="191">
        <v>0</v>
      </c>
      <c r="U30" s="191">
        <v>0</v>
      </c>
      <c r="V30" s="191">
        <v>0</v>
      </c>
      <c r="W30" s="191">
        <v>0</v>
      </c>
      <c r="X30" s="191">
        <v>0</v>
      </c>
      <c r="Y30" s="191">
        <v>0</v>
      </c>
      <c r="Z30" s="191">
        <v>0</v>
      </c>
      <c r="AA30" s="191">
        <v>0</v>
      </c>
      <c r="AB30" s="191">
        <v>0</v>
      </c>
      <c r="AC30" s="191">
        <v>0</v>
      </c>
      <c r="AD30" s="191">
        <v>0</v>
      </c>
      <c r="AE30" s="191">
        <v>0</v>
      </c>
      <c r="AF30" s="191">
        <v>0</v>
      </c>
      <c r="AG30" s="191">
        <v>0</v>
      </c>
      <c r="AH30" s="191">
        <v>0</v>
      </c>
      <c r="AI30" s="191">
        <v>0</v>
      </c>
      <c r="AJ30" s="191">
        <v>0</v>
      </c>
      <c r="AK30" s="191">
        <v>0</v>
      </c>
      <c r="AL30" s="191">
        <v>0</v>
      </c>
      <c r="AM30" s="191">
        <v>0</v>
      </c>
      <c r="AN30" s="191">
        <v>0</v>
      </c>
    </row>
    <row r="31" spans="3:40" x14ac:dyDescent="0.3">
      <c r="C31" s="191">
        <v>39</v>
      </c>
      <c r="D31" s="191">
        <v>3</v>
      </c>
      <c r="E31" s="191">
        <v>5</v>
      </c>
      <c r="F31" s="191">
        <v>0</v>
      </c>
      <c r="G31" s="191">
        <v>0</v>
      </c>
      <c r="H31" s="191">
        <v>0</v>
      </c>
      <c r="I31" s="191">
        <v>0</v>
      </c>
      <c r="J31" s="191">
        <v>0</v>
      </c>
      <c r="K31" s="191">
        <v>0</v>
      </c>
      <c r="L31" s="191">
        <v>0</v>
      </c>
      <c r="M31" s="191">
        <v>0</v>
      </c>
      <c r="N31" s="191">
        <v>0</v>
      </c>
      <c r="O31" s="191">
        <v>0</v>
      </c>
      <c r="P31" s="191">
        <v>0</v>
      </c>
      <c r="Q31" s="191">
        <v>0</v>
      </c>
      <c r="R31" s="191">
        <v>0</v>
      </c>
      <c r="S31" s="191">
        <v>0</v>
      </c>
      <c r="T31" s="191">
        <v>0</v>
      </c>
      <c r="U31" s="191">
        <v>0</v>
      </c>
      <c r="V31" s="191">
        <v>0</v>
      </c>
      <c r="W31" s="191">
        <v>0</v>
      </c>
      <c r="X31" s="191">
        <v>0</v>
      </c>
      <c r="Y31" s="191">
        <v>0</v>
      </c>
      <c r="Z31" s="191">
        <v>0</v>
      </c>
      <c r="AA31" s="191">
        <v>0</v>
      </c>
      <c r="AB31" s="191">
        <v>0</v>
      </c>
      <c r="AC31" s="191">
        <v>0</v>
      </c>
      <c r="AD31" s="191">
        <v>0</v>
      </c>
      <c r="AE31" s="191">
        <v>0</v>
      </c>
      <c r="AF31" s="191">
        <v>0</v>
      </c>
      <c r="AG31" s="191">
        <v>0</v>
      </c>
      <c r="AH31" s="191">
        <v>0</v>
      </c>
      <c r="AI31" s="191">
        <v>0</v>
      </c>
      <c r="AJ31" s="191">
        <v>0</v>
      </c>
      <c r="AK31" s="191">
        <v>0</v>
      </c>
      <c r="AL31" s="191">
        <v>0</v>
      </c>
      <c r="AM31" s="191">
        <v>0</v>
      </c>
      <c r="AN31" s="191">
        <v>0</v>
      </c>
    </row>
    <row r="32" spans="3:40" x14ac:dyDescent="0.3">
      <c r="C32" s="191">
        <v>39</v>
      </c>
      <c r="D32" s="191">
        <v>3</v>
      </c>
      <c r="E32" s="191">
        <v>6</v>
      </c>
      <c r="F32" s="191">
        <v>384457</v>
      </c>
      <c r="G32" s="191">
        <v>0</v>
      </c>
      <c r="H32" s="191">
        <v>0</v>
      </c>
      <c r="I32" s="191">
        <v>0</v>
      </c>
      <c r="J32" s="191">
        <v>0</v>
      </c>
      <c r="K32" s="191">
        <v>0</v>
      </c>
      <c r="L32" s="191">
        <v>0</v>
      </c>
      <c r="M32" s="191">
        <v>0</v>
      </c>
      <c r="N32" s="191">
        <v>0</v>
      </c>
      <c r="O32" s="191">
        <v>0</v>
      </c>
      <c r="P32" s="191">
        <v>0</v>
      </c>
      <c r="Q32" s="191">
        <v>0</v>
      </c>
      <c r="R32" s="191">
        <v>0</v>
      </c>
      <c r="S32" s="191">
        <v>0</v>
      </c>
      <c r="T32" s="191">
        <v>0</v>
      </c>
      <c r="U32" s="191">
        <v>0</v>
      </c>
      <c r="V32" s="191">
        <v>289378</v>
      </c>
      <c r="W32" s="191">
        <v>0</v>
      </c>
      <c r="X32" s="191">
        <v>0</v>
      </c>
      <c r="Y32" s="191">
        <v>0</v>
      </c>
      <c r="Z32" s="191">
        <v>0</v>
      </c>
      <c r="AA32" s="191">
        <v>0</v>
      </c>
      <c r="AB32" s="191">
        <v>0</v>
      </c>
      <c r="AC32" s="191">
        <v>0</v>
      </c>
      <c r="AD32" s="191">
        <v>0</v>
      </c>
      <c r="AE32" s="191">
        <v>0</v>
      </c>
      <c r="AF32" s="191">
        <v>0</v>
      </c>
      <c r="AG32" s="191">
        <v>0</v>
      </c>
      <c r="AH32" s="191">
        <v>0</v>
      </c>
      <c r="AI32" s="191">
        <v>77079</v>
      </c>
      <c r="AJ32" s="191">
        <v>0</v>
      </c>
      <c r="AK32" s="191">
        <v>0</v>
      </c>
      <c r="AL32" s="191">
        <v>0</v>
      </c>
      <c r="AM32" s="191">
        <v>18000</v>
      </c>
      <c r="AN32" s="191">
        <v>0</v>
      </c>
    </row>
    <row r="33" spans="3:40" x14ac:dyDescent="0.3">
      <c r="C33" s="191">
        <v>39</v>
      </c>
      <c r="D33" s="191">
        <v>3</v>
      </c>
      <c r="E33" s="191">
        <v>7</v>
      </c>
      <c r="F33" s="191">
        <v>0</v>
      </c>
      <c r="G33" s="191">
        <v>0</v>
      </c>
      <c r="H33" s="191">
        <v>0</v>
      </c>
      <c r="I33" s="191">
        <v>0</v>
      </c>
      <c r="J33" s="191">
        <v>0</v>
      </c>
      <c r="K33" s="191">
        <v>0</v>
      </c>
      <c r="L33" s="191">
        <v>0</v>
      </c>
      <c r="M33" s="191">
        <v>0</v>
      </c>
      <c r="N33" s="191">
        <v>0</v>
      </c>
      <c r="O33" s="191">
        <v>0</v>
      </c>
      <c r="P33" s="191">
        <v>0</v>
      </c>
      <c r="Q33" s="191">
        <v>0</v>
      </c>
      <c r="R33" s="191">
        <v>0</v>
      </c>
      <c r="S33" s="191">
        <v>0</v>
      </c>
      <c r="T33" s="191">
        <v>0</v>
      </c>
      <c r="U33" s="191">
        <v>0</v>
      </c>
      <c r="V33" s="191">
        <v>0</v>
      </c>
      <c r="W33" s="191">
        <v>0</v>
      </c>
      <c r="X33" s="191">
        <v>0</v>
      </c>
      <c r="Y33" s="191">
        <v>0</v>
      </c>
      <c r="Z33" s="191">
        <v>0</v>
      </c>
      <c r="AA33" s="191">
        <v>0</v>
      </c>
      <c r="AB33" s="191">
        <v>0</v>
      </c>
      <c r="AC33" s="191">
        <v>0</v>
      </c>
      <c r="AD33" s="191">
        <v>0</v>
      </c>
      <c r="AE33" s="191">
        <v>0</v>
      </c>
      <c r="AF33" s="191">
        <v>0</v>
      </c>
      <c r="AG33" s="191">
        <v>0</v>
      </c>
      <c r="AH33" s="191">
        <v>0</v>
      </c>
      <c r="AI33" s="191">
        <v>0</v>
      </c>
      <c r="AJ33" s="191">
        <v>0</v>
      </c>
      <c r="AK33" s="191">
        <v>0</v>
      </c>
      <c r="AL33" s="191">
        <v>0</v>
      </c>
      <c r="AM33" s="191">
        <v>0</v>
      </c>
      <c r="AN33" s="191">
        <v>0</v>
      </c>
    </row>
    <row r="34" spans="3:40" x14ac:dyDescent="0.3">
      <c r="C34" s="191">
        <v>39</v>
      </c>
      <c r="D34" s="191">
        <v>3</v>
      </c>
      <c r="E34" s="191">
        <v>8</v>
      </c>
      <c r="F34" s="191">
        <v>0</v>
      </c>
      <c r="G34" s="191">
        <v>0</v>
      </c>
      <c r="H34" s="191">
        <v>0</v>
      </c>
      <c r="I34" s="191">
        <v>0</v>
      </c>
      <c r="J34" s="191">
        <v>0</v>
      </c>
      <c r="K34" s="191">
        <v>0</v>
      </c>
      <c r="L34" s="191">
        <v>0</v>
      </c>
      <c r="M34" s="191">
        <v>0</v>
      </c>
      <c r="N34" s="191">
        <v>0</v>
      </c>
      <c r="O34" s="191">
        <v>0</v>
      </c>
      <c r="P34" s="191">
        <v>0</v>
      </c>
      <c r="Q34" s="191">
        <v>0</v>
      </c>
      <c r="R34" s="191">
        <v>0</v>
      </c>
      <c r="S34" s="191">
        <v>0</v>
      </c>
      <c r="T34" s="191">
        <v>0</v>
      </c>
      <c r="U34" s="191">
        <v>0</v>
      </c>
      <c r="V34" s="191">
        <v>0</v>
      </c>
      <c r="W34" s="191">
        <v>0</v>
      </c>
      <c r="X34" s="191">
        <v>0</v>
      </c>
      <c r="Y34" s="191">
        <v>0</v>
      </c>
      <c r="Z34" s="191">
        <v>0</v>
      </c>
      <c r="AA34" s="191">
        <v>0</v>
      </c>
      <c r="AB34" s="191">
        <v>0</v>
      </c>
      <c r="AC34" s="191">
        <v>0</v>
      </c>
      <c r="AD34" s="191">
        <v>0</v>
      </c>
      <c r="AE34" s="191">
        <v>0</v>
      </c>
      <c r="AF34" s="191">
        <v>0</v>
      </c>
      <c r="AG34" s="191">
        <v>0</v>
      </c>
      <c r="AH34" s="191">
        <v>0</v>
      </c>
      <c r="AI34" s="191">
        <v>0</v>
      </c>
      <c r="AJ34" s="191">
        <v>0</v>
      </c>
      <c r="AK34" s="191">
        <v>0</v>
      </c>
      <c r="AL34" s="191">
        <v>0</v>
      </c>
      <c r="AM34" s="191">
        <v>0</v>
      </c>
      <c r="AN34" s="191">
        <v>0</v>
      </c>
    </row>
    <row r="35" spans="3:40" x14ac:dyDescent="0.3">
      <c r="C35" s="191">
        <v>39</v>
      </c>
      <c r="D35" s="191">
        <v>3</v>
      </c>
      <c r="E35" s="191">
        <v>9</v>
      </c>
      <c r="F35" s="191">
        <v>0</v>
      </c>
      <c r="G35" s="191">
        <v>0</v>
      </c>
      <c r="H35" s="191">
        <v>0</v>
      </c>
      <c r="I35" s="191">
        <v>0</v>
      </c>
      <c r="J35" s="191">
        <v>0</v>
      </c>
      <c r="K35" s="191">
        <v>0</v>
      </c>
      <c r="L35" s="191">
        <v>0</v>
      </c>
      <c r="M35" s="191">
        <v>0</v>
      </c>
      <c r="N35" s="191">
        <v>0</v>
      </c>
      <c r="O35" s="191">
        <v>0</v>
      </c>
      <c r="P35" s="191">
        <v>0</v>
      </c>
      <c r="Q35" s="191">
        <v>0</v>
      </c>
      <c r="R35" s="191">
        <v>0</v>
      </c>
      <c r="S35" s="191">
        <v>0</v>
      </c>
      <c r="T35" s="191">
        <v>0</v>
      </c>
      <c r="U35" s="191">
        <v>0</v>
      </c>
      <c r="V35" s="191">
        <v>0</v>
      </c>
      <c r="W35" s="191">
        <v>0</v>
      </c>
      <c r="X35" s="191">
        <v>0</v>
      </c>
      <c r="Y35" s="191">
        <v>0</v>
      </c>
      <c r="Z35" s="191">
        <v>0</v>
      </c>
      <c r="AA35" s="191">
        <v>0</v>
      </c>
      <c r="AB35" s="191">
        <v>0</v>
      </c>
      <c r="AC35" s="191">
        <v>0</v>
      </c>
      <c r="AD35" s="191">
        <v>0</v>
      </c>
      <c r="AE35" s="191">
        <v>0</v>
      </c>
      <c r="AF35" s="191">
        <v>0</v>
      </c>
      <c r="AG35" s="191">
        <v>0</v>
      </c>
      <c r="AH35" s="191">
        <v>0</v>
      </c>
      <c r="AI35" s="191">
        <v>0</v>
      </c>
      <c r="AJ35" s="191">
        <v>0</v>
      </c>
      <c r="AK35" s="191">
        <v>0</v>
      </c>
      <c r="AL35" s="191">
        <v>0</v>
      </c>
      <c r="AM35" s="191">
        <v>0</v>
      </c>
      <c r="AN35" s="191">
        <v>0</v>
      </c>
    </row>
    <row r="36" spans="3:40" x14ac:dyDescent="0.3">
      <c r="C36" s="191">
        <v>39</v>
      </c>
      <c r="D36" s="191">
        <v>3</v>
      </c>
      <c r="E36" s="191">
        <v>10</v>
      </c>
      <c r="F36" s="191">
        <v>0</v>
      </c>
      <c r="G36" s="191">
        <v>0</v>
      </c>
      <c r="H36" s="191">
        <v>0</v>
      </c>
      <c r="I36" s="191">
        <v>0</v>
      </c>
      <c r="J36" s="191">
        <v>0</v>
      </c>
      <c r="K36" s="191">
        <v>0</v>
      </c>
      <c r="L36" s="191">
        <v>0</v>
      </c>
      <c r="M36" s="191">
        <v>0</v>
      </c>
      <c r="N36" s="191">
        <v>0</v>
      </c>
      <c r="O36" s="191">
        <v>0</v>
      </c>
      <c r="P36" s="191">
        <v>0</v>
      </c>
      <c r="Q36" s="191">
        <v>0</v>
      </c>
      <c r="R36" s="191">
        <v>0</v>
      </c>
      <c r="S36" s="191">
        <v>0</v>
      </c>
      <c r="T36" s="191">
        <v>0</v>
      </c>
      <c r="U36" s="191">
        <v>0</v>
      </c>
      <c r="V36" s="191">
        <v>0</v>
      </c>
      <c r="W36" s="191">
        <v>0</v>
      </c>
      <c r="X36" s="191">
        <v>0</v>
      </c>
      <c r="Y36" s="191">
        <v>0</v>
      </c>
      <c r="Z36" s="191">
        <v>0</v>
      </c>
      <c r="AA36" s="191">
        <v>0</v>
      </c>
      <c r="AB36" s="191">
        <v>0</v>
      </c>
      <c r="AC36" s="191">
        <v>0</v>
      </c>
      <c r="AD36" s="191">
        <v>0</v>
      </c>
      <c r="AE36" s="191">
        <v>0</v>
      </c>
      <c r="AF36" s="191">
        <v>0</v>
      </c>
      <c r="AG36" s="191">
        <v>0</v>
      </c>
      <c r="AH36" s="191">
        <v>0</v>
      </c>
      <c r="AI36" s="191">
        <v>0</v>
      </c>
      <c r="AJ36" s="191">
        <v>0</v>
      </c>
      <c r="AK36" s="191">
        <v>0</v>
      </c>
      <c r="AL36" s="191">
        <v>0</v>
      </c>
      <c r="AM36" s="191">
        <v>0</v>
      </c>
      <c r="AN36" s="191">
        <v>0</v>
      </c>
    </row>
    <row r="37" spans="3:40" x14ac:dyDescent="0.3">
      <c r="C37" s="191">
        <v>39</v>
      </c>
      <c r="D37" s="191">
        <v>3</v>
      </c>
      <c r="E37" s="191">
        <v>11</v>
      </c>
      <c r="F37" s="191">
        <v>1166.6666666666667</v>
      </c>
      <c r="G37" s="191">
        <v>0</v>
      </c>
      <c r="H37" s="191">
        <v>0</v>
      </c>
      <c r="I37" s="191">
        <v>0</v>
      </c>
      <c r="J37" s="191">
        <v>0</v>
      </c>
      <c r="K37" s="191">
        <v>1166.6666666666667</v>
      </c>
      <c r="L37" s="191">
        <v>0</v>
      </c>
      <c r="M37" s="191">
        <v>0</v>
      </c>
      <c r="N37" s="191">
        <v>0</v>
      </c>
      <c r="O37" s="191">
        <v>0</v>
      </c>
      <c r="P37" s="191">
        <v>0</v>
      </c>
      <c r="Q37" s="191">
        <v>0</v>
      </c>
      <c r="R37" s="191">
        <v>0</v>
      </c>
      <c r="S37" s="191">
        <v>0</v>
      </c>
      <c r="T37" s="191">
        <v>0</v>
      </c>
      <c r="U37" s="191">
        <v>0</v>
      </c>
      <c r="V37" s="191">
        <v>0</v>
      </c>
      <c r="W37" s="191">
        <v>0</v>
      </c>
      <c r="X37" s="191">
        <v>0</v>
      </c>
      <c r="Y37" s="191">
        <v>0</v>
      </c>
      <c r="Z37" s="191">
        <v>0</v>
      </c>
      <c r="AA37" s="191">
        <v>0</v>
      </c>
      <c r="AB37" s="191">
        <v>0</v>
      </c>
      <c r="AC37" s="191">
        <v>0</v>
      </c>
      <c r="AD37" s="191">
        <v>0</v>
      </c>
      <c r="AE37" s="191">
        <v>0</v>
      </c>
      <c r="AF37" s="191">
        <v>0</v>
      </c>
      <c r="AG37" s="191">
        <v>0</v>
      </c>
      <c r="AH37" s="191">
        <v>0</v>
      </c>
      <c r="AI37" s="191">
        <v>0</v>
      </c>
      <c r="AJ37" s="191">
        <v>0</v>
      </c>
      <c r="AK37" s="191">
        <v>0</v>
      </c>
      <c r="AL37" s="191">
        <v>0</v>
      </c>
      <c r="AM37" s="191">
        <v>0</v>
      </c>
      <c r="AN37" s="191">
        <v>0</v>
      </c>
    </row>
    <row r="38" spans="3:40" x14ac:dyDescent="0.3">
      <c r="C38" s="191">
        <v>39</v>
      </c>
      <c r="D38" s="191">
        <v>4</v>
      </c>
      <c r="E38" s="191">
        <v>1</v>
      </c>
      <c r="F38" s="191">
        <v>13.2</v>
      </c>
      <c r="G38" s="191">
        <v>0</v>
      </c>
      <c r="H38" s="191">
        <v>0</v>
      </c>
      <c r="I38" s="191">
        <v>0</v>
      </c>
      <c r="J38" s="191">
        <v>0</v>
      </c>
      <c r="K38" s="191">
        <v>0</v>
      </c>
      <c r="L38" s="191">
        <v>0</v>
      </c>
      <c r="M38" s="191">
        <v>0</v>
      </c>
      <c r="N38" s="191">
        <v>0</v>
      </c>
      <c r="O38" s="191">
        <v>0</v>
      </c>
      <c r="P38" s="191">
        <v>0</v>
      </c>
      <c r="Q38" s="191">
        <v>0</v>
      </c>
      <c r="R38" s="191">
        <v>0</v>
      </c>
      <c r="S38" s="191">
        <v>0</v>
      </c>
      <c r="T38" s="191">
        <v>0</v>
      </c>
      <c r="U38" s="191">
        <v>0</v>
      </c>
      <c r="V38" s="191">
        <v>9.1999999999999993</v>
      </c>
      <c r="W38" s="191">
        <v>0</v>
      </c>
      <c r="X38" s="191">
        <v>0</v>
      </c>
      <c r="Y38" s="191">
        <v>0</v>
      </c>
      <c r="Z38" s="191">
        <v>0</v>
      </c>
      <c r="AA38" s="191">
        <v>0</v>
      </c>
      <c r="AB38" s="191">
        <v>0</v>
      </c>
      <c r="AC38" s="191">
        <v>0</v>
      </c>
      <c r="AD38" s="191">
        <v>0</v>
      </c>
      <c r="AE38" s="191">
        <v>0</v>
      </c>
      <c r="AF38" s="191">
        <v>0</v>
      </c>
      <c r="AG38" s="191">
        <v>0</v>
      </c>
      <c r="AH38" s="191">
        <v>0</v>
      </c>
      <c r="AI38" s="191">
        <v>3</v>
      </c>
      <c r="AJ38" s="191">
        <v>0</v>
      </c>
      <c r="AK38" s="191">
        <v>0</v>
      </c>
      <c r="AL38" s="191">
        <v>0</v>
      </c>
      <c r="AM38" s="191">
        <v>1</v>
      </c>
      <c r="AN38" s="191">
        <v>0</v>
      </c>
    </row>
    <row r="39" spans="3:40" x14ac:dyDescent="0.3">
      <c r="C39" s="191">
        <v>39</v>
      </c>
      <c r="D39" s="191">
        <v>4</v>
      </c>
      <c r="E39" s="191">
        <v>2</v>
      </c>
      <c r="F39" s="191">
        <v>2231.1999999999998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191">
        <v>0</v>
      </c>
      <c r="O39" s="191">
        <v>0</v>
      </c>
      <c r="P39" s="191">
        <v>0</v>
      </c>
      <c r="Q39" s="191">
        <v>0</v>
      </c>
      <c r="R39" s="191">
        <v>0</v>
      </c>
      <c r="S39" s="191">
        <v>0</v>
      </c>
      <c r="T39" s="191">
        <v>0</v>
      </c>
      <c r="U39" s="191">
        <v>0</v>
      </c>
      <c r="V39" s="191">
        <v>1583.2</v>
      </c>
      <c r="W39" s="191">
        <v>0</v>
      </c>
      <c r="X39" s="191">
        <v>0</v>
      </c>
      <c r="Y39" s="191">
        <v>0</v>
      </c>
      <c r="Z39" s="191">
        <v>0</v>
      </c>
      <c r="AA39" s="191">
        <v>0</v>
      </c>
      <c r="AB39" s="191">
        <v>0</v>
      </c>
      <c r="AC39" s="191">
        <v>0</v>
      </c>
      <c r="AD39" s="191">
        <v>0</v>
      </c>
      <c r="AE39" s="191">
        <v>0</v>
      </c>
      <c r="AF39" s="191">
        <v>0</v>
      </c>
      <c r="AG39" s="191">
        <v>0</v>
      </c>
      <c r="AH39" s="191">
        <v>0</v>
      </c>
      <c r="AI39" s="191">
        <v>496</v>
      </c>
      <c r="AJ39" s="191">
        <v>0</v>
      </c>
      <c r="AK39" s="191">
        <v>0</v>
      </c>
      <c r="AL39" s="191">
        <v>0</v>
      </c>
      <c r="AM39" s="191">
        <v>152</v>
      </c>
      <c r="AN39" s="191">
        <v>0</v>
      </c>
    </row>
    <row r="40" spans="3:40" x14ac:dyDescent="0.3">
      <c r="C40" s="191">
        <v>39</v>
      </c>
      <c r="D40" s="191">
        <v>4</v>
      </c>
      <c r="E40" s="191">
        <v>3</v>
      </c>
      <c r="F40" s="191">
        <v>0</v>
      </c>
      <c r="G40" s="191">
        <v>0</v>
      </c>
      <c r="H40" s="191">
        <v>0</v>
      </c>
      <c r="I40" s="191">
        <v>0</v>
      </c>
      <c r="J40" s="191">
        <v>0</v>
      </c>
      <c r="K40" s="191">
        <v>0</v>
      </c>
      <c r="L40" s="191">
        <v>0</v>
      </c>
      <c r="M40" s="191">
        <v>0</v>
      </c>
      <c r="N40" s="191">
        <v>0</v>
      </c>
      <c r="O40" s="191">
        <v>0</v>
      </c>
      <c r="P40" s="191">
        <v>0</v>
      </c>
      <c r="Q40" s="191">
        <v>0</v>
      </c>
      <c r="R40" s="191">
        <v>0</v>
      </c>
      <c r="S40" s="191">
        <v>0</v>
      </c>
      <c r="T40" s="191">
        <v>0</v>
      </c>
      <c r="U40" s="191">
        <v>0</v>
      </c>
      <c r="V40" s="191">
        <v>0</v>
      </c>
      <c r="W40" s="191">
        <v>0</v>
      </c>
      <c r="X40" s="191">
        <v>0</v>
      </c>
      <c r="Y40" s="191">
        <v>0</v>
      </c>
      <c r="Z40" s="191">
        <v>0</v>
      </c>
      <c r="AA40" s="191">
        <v>0</v>
      </c>
      <c r="AB40" s="191">
        <v>0</v>
      </c>
      <c r="AC40" s="191">
        <v>0</v>
      </c>
      <c r="AD40" s="191">
        <v>0</v>
      </c>
      <c r="AE40" s="191">
        <v>0</v>
      </c>
      <c r="AF40" s="191">
        <v>0</v>
      </c>
      <c r="AG40" s="191">
        <v>0</v>
      </c>
      <c r="AH40" s="191">
        <v>0</v>
      </c>
      <c r="AI40" s="191">
        <v>0</v>
      </c>
      <c r="AJ40" s="191">
        <v>0</v>
      </c>
      <c r="AK40" s="191">
        <v>0</v>
      </c>
      <c r="AL40" s="191">
        <v>0</v>
      </c>
      <c r="AM40" s="191">
        <v>0</v>
      </c>
      <c r="AN40" s="191">
        <v>0</v>
      </c>
    </row>
    <row r="41" spans="3:40" x14ac:dyDescent="0.3">
      <c r="C41" s="191">
        <v>39</v>
      </c>
      <c r="D41" s="191">
        <v>4</v>
      </c>
      <c r="E41" s="191">
        <v>4</v>
      </c>
      <c r="F41" s="191">
        <v>0</v>
      </c>
      <c r="G41" s="191">
        <v>0</v>
      </c>
      <c r="H41" s="191">
        <v>0</v>
      </c>
      <c r="I41" s="191">
        <v>0</v>
      </c>
      <c r="J41" s="191">
        <v>0</v>
      </c>
      <c r="K41" s="191">
        <v>0</v>
      </c>
      <c r="L41" s="191">
        <v>0</v>
      </c>
      <c r="M41" s="191">
        <v>0</v>
      </c>
      <c r="N41" s="191">
        <v>0</v>
      </c>
      <c r="O41" s="191">
        <v>0</v>
      </c>
      <c r="P41" s="191">
        <v>0</v>
      </c>
      <c r="Q41" s="191">
        <v>0</v>
      </c>
      <c r="R41" s="191">
        <v>0</v>
      </c>
      <c r="S41" s="191">
        <v>0</v>
      </c>
      <c r="T41" s="191">
        <v>0</v>
      </c>
      <c r="U41" s="191">
        <v>0</v>
      </c>
      <c r="V41" s="191">
        <v>0</v>
      </c>
      <c r="W41" s="191">
        <v>0</v>
      </c>
      <c r="X41" s="191">
        <v>0</v>
      </c>
      <c r="Y41" s="191">
        <v>0</v>
      </c>
      <c r="Z41" s="191">
        <v>0</v>
      </c>
      <c r="AA41" s="191">
        <v>0</v>
      </c>
      <c r="AB41" s="191">
        <v>0</v>
      </c>
      <c r="AC41" s="191">
        <v>0</v>
      </c>
      <c r="AD41" s="191">
        <v>0</v>
      </c>
      <c r="AE41" s="191">
        <v>0</v>
      </c>
      <c r="AF41" s="191">
        <v>0</v>
      </c>
      <c r="AG41" s="191">
        <v>0</v>
      </c>
      <c r="AH41" s="191">
        <v>0</v>
      </c>
      <c r="AI41" s="191">
        <v>0</v>
      </c>
      <c r="AJ41" s="191">
        <v>0</v>
      </c>
      <c r="AK41" s="191">
        <v>0</v>
      </c>
      <c r="AL41" s="191">
        <v>0</v>
      </c>
      <c r="AM41" s="191">
        <v>0</v>
      </c>
      <c r="AN41" s="191">
        <v>0</v>
      </c>
    </row>
    <row r="42" spans="3:40" x14ac:dyDescent="0.3">
      <c r="C42" s="191">
        <v>39</v>
      </c>
      <c r="D42" s="191">
        <v>4</v>
      </c>
      <c r="E42" s="191">
        <v>5</v>
      </c>
      <c r="F42" s="191">
        <v>0</v>
      </c>
      <c r="G42" s="191">
        <v>0</v>
      </c>
      <c r="H42" s="191">
        <v>0</v>
      </c>
      <c r="I42" s="191">
        <v>0</v>
      </c>
      <c r="J42" s="191">
        <v>0</v>
      </c>
      <c r="K42" s="191">
        <v>0</v>
      </c>
      <c r="L42" s="191">
        <v>0</v>
      </c>
      <c r="M42" s="191">
        <v>0</v>
      </c>
      <c r="N42" s="191">
        <v>0</v>
      </c>
      <c r="O42" s="191">
        <v>0</v>
      </c>
      <c r="P42" s="191">
        <v>0</v>
      </c>
      <c r="Q42" s="191">
        <v>0</v>
      </c>
      <c r="R42" s="191">
        <v>0</v>
      </c>
      <c r="S42" s="191">
        <v>0</v>
      </c>
      <c r="T42" s="191">
        <v>0</v>
      </c>
      <c r="U42" s="191">
        <v>0</v>
      </c>
      <c r="V42" s="191">
        <v>0</v>
      </c>
      <c r="W42" s="191">
        <v>0</v>
      </c>
      <c r="X42" s="191">
        <v>0</v>
      </c>
      <c r="Y42" s="191">
        <v>0</v>
      </c>
      <c r="Z42" s="191">
        <v>0</v>
      </c>
      <c r="AA42" s="191">
        <v>0</v>
      </c>
      <c r="AB42" s="191">
        <v>0</v>
      </c>
      <c r="AC42" s="191">
        <v>0</v>
      </c>
      <c r="AD42" s="191">
        <v>0</v>
      </c>
      <c r="AE42" s="191">
        <v>0</v>
      </c>
      <c r="AF42" s="191">
        <v>0</v>
      </c>
      <c r="AG42" s="191">
        <v>0</v>
      </c>
      <c r="AH42" s="191">
        <v>0</v>
      </c>
      <c r="AI42" s="191">
        <v>0</v>
      </c>
      <c r="AJ42" s="191">
        <v>0</v>
      </c>
      <c r="AK42" s="191">
        <v>0</v>
      </c>
      <c r="AL42" s="191">
        <v>0</v>
      </c>
      <c r="AM42" s="191">
        <v>0</v>
      </c>
      <c r="AN42" s="191">
        <v>0</v>
      </c>
    </row>
    <row r="43" spans="3:40" x14ac:dyDescent="0.3">
      <c r="C43" s="191">
        <v>39</v>
      </c>
      <c r="D43" s="191">
        <v>4</v>
      </c>
      <c r="E43" s="191">
        <v>6</v>
      </c>
      <c r="F43" s="191">
        <v>391610</v>
      </c>
      <c r="G43" s="191">
        <v>0</v>
      </c>
      <c r="H43" s="191">
        <v>0</v>
      </c>
      <c r="I43" s="191">
        <v>0</v>
      </c>
      <c r="J43" s="191">
        <v>0</v>
      </c>
      <c r="K43" s="191">
        <v>0</v>
      </c>
      <c r="L43" s="191">
        <v>0</v>
      </c>
      <c r="M43" s="191">
        <v>0</v>
      </c>
      <c r="N43" s="191">
        <v>0</v>
      </c>
      <c r="O43" s="191">
        <v>0</v>
      </c>
      <c r="P43" s="191">
        <v>0</v>
      </c>
      <c r="Q43" s="191">
        <v>0</v>
      </c>
      <c r="R43" s="191">
        <v>0</v>
      </c>
      <c r="S43" s="191">
        <v>0</v>
      </c>
      <c r="T43" s="191">
        <v>0</v>
      </c>
      <c r="U43" s="191">
        <v>0</v>
      </c>
      <c r="V43" s="191">
        <v>296912</v>
      </c>
      <c r="W43" s="191">
        <v>0</v>
      </c>
      <c r="X43" s="191">
        <v>0</v>
      </c>
      <c r="Y43" s="191">
        <v>0</v>
      </c>
      <c r="Z43" s="191">
        <v>0</v>
      </c>
      <c r="AA43" s="191">
        <v>0</v>
      </c>
      <c r="AB43" s="191">
        <v>0</v>
      </c>
      <c r="AC43" s="191">
        <v>0</v>
      </c>
      <c r="AD43" s="191">
        <v>0</v>
      </c>
      <c r="AE43" s="191">
        <v>0</v>
      </c>
      <c r="AF43" s="191">
        <v>0</v>
      </c>
      <c r="AG43" s="191">
        <v>0</v>
      </c>
      <c r="AH43" s="191">
        <v>0</v>
      </c>
      <c r="AI43" s="191">
        <v>79152</v>
      </c>
      <c r="AJ43" s="191">
        <v>0</v>
      </c>
      <c r="AK43" s="191">
        <v>0</v>
      </c>
      <c r="AL43" s="191">
        <v>0</v>
      </c>
      <c r="AM43" s="191">
        <v>15546</v>
      </c>
      <c r="AN43" s="191">
        <v>0</v>
      </c>
    </row>
    <row r="44" spans="3:40" x14ac:dyDescent="0.3">
      <c r="C44" s="191">
        <v>39</v>
      </c>
      <c r="D44" s="191">
        <v>4</v>
      </c>
      <c r="E44" s="191">
        <v>7</v>
      </c>
      <c r="F44" s="191">
        <v>0</v>
      </c>
      <c r="G44" s="191">
        <v>0</v>
      </c>
      <c r="H44" s="191">
        <v>0</v>
      </c>
      <c r="I44" s="191">
        <v>0</v>
      </c>
      <c r="J44" s="191">
        <v>0</v>
      </c>
      <c r="K44" s="191">
        <v>0</v>
      </c>
      <c r="L44" s="191">
        <v>0</v>
      </c>
      <c r="M44" s="191">
        <v>0</v>
      </c>
      <c r="N44" s="191">
        <v>0</v>
      </c>
      <c r="O44" s="191">
        <v>0</v>
      </c>
      <c r="P44" s="191">
        <v>0</v>
      </c>
      <c r="Q44" s="191">
        <v>0</v>
      </c>
      <c r="R44" s="191">
        <v>0</v>
      </c>
      <c r="S44" s="191">
        <v>0</v>
      </c>
      <c r="T44" s="191">
        <v>0</v>
      </c>
      <c r="U44" s="191">
        <v>0</v>
      </c>
      <c r="V44" s="191">
        <v>0</v>
      </c>
      <c r="W44" s="191">
        <v>0</v>
      </c>
      <c r="X44" s="191">
        <v>0</v>
      </c>
      <c r="Y44" s="191">
        <v>0</v>
      </c>
      <c r="Z44" s="191">
        <v>0</v>
      </c>
      <c r="AA44" s="191">
        <v>0</v>
      </c>
      <c r="AB44" s="191">
        <v>0</v>
      </c>
      <c r="AC44" s="191">
        <v>0</v>
      </c>
      <c r="AD44" s="191">
        <v>0</v>
      </c>
      <c r="AE44" s="191">
        <v>0</v>
      </c>
      <c r="AF44" s="191">
        <v>0</v>
      </c>
      <c r="AG44" s="191">
        <v>0</v>
      </c>
      <c r="AH44" s="191">
        <v>0</v>
      </c>
      <c r="AI44" s="191">
        <v>0</v>
      </c>
      <c r="AJ44" s="191">
        <v>0</v>
      </c>
      <c r="AK44" s="191">
        <v>0</v>
      </c>
      <c r="AL44" s="191">
        <v>0</v>
      </c>
      <c r="AM44" s="191">
        <v>0</v>
      </c>
      <c r="AN44" s="191">
        <v>0</v>
      </c>
    </row>
    <row r="45" spans="3:40" x14ac:dyDescent="0.3">
      <c r="C45" s="191">
        <v>39</v>
      </c>
      <c r="D45" s="191">
        <v>4</v>
      </c>
      <c r="E45" s="191">
        <v>8</v>
      </c>
      <c r="F45" s="191">
        <v>0</v>
      </c>
      <c r="G45" s="191">
        <v>0</v>
      </c>
      <c r="H45" s="191">
        <v>0</v>
      </c>
      <c r="I45" s="191">
        <v>0</v>
      </c>
      <c r="J45" s="191">
        <v>0</v>
      </c>
      <c r="K45" s="191">
        <v>0</v>
      </c>
      <c r="L45" s="191">
        <v>0</v>
      </c>
      <c r="M45" s="191">
        <v>0</v>
      </c>
      <c r="N45" s="191">
        <v>0</v>
      </c>
      <c r="O45" s="191">
        <v>0</v>
      </c>
      <c r="P45" s="191">
        <v>0</v>
      </c>
      <c r="Q45" s="191">
        <v>0</v>
      </c>
      <c r="R45" s="191">
        <v>0</v>
      </c>
      <c r="S45" s="191">
        <v>0</v>
      </c>
      <c r="T45" s="191">
        <v>0</v>
      </c>
      <c r="U45" s="191">
        <v>0</v>
      </c>
      <c r="V45" s="191">
        <v>0</v>
      </c>
      <c r="W45" s="191">
        <v>0</v>
      </c>
      <c r="X45" s="191">
        <v>0</v>
      </c>
      <c r="Y45" s="191">
        <v>0</v>
      </c>
      <c r="Z45" s="191">
        <v>0</v>
      </c>
      <c r="AA45" s="191">
        <v>0</v>
      </c>
      <c r="AB45" s="191">
        <v>0</v>
      </c>
      <c r="AC45" s="191">
        <v>0</v>
      </c>
      <c r="AD45" s="191">
        <v>0</v>
      </c>
      <c r="AE45" s="191">
        <v>0</v>
      </c>
      <c r="AF45" s="191">
        <v>0</v>
      </c>
      <c r="AG45" s="191">
        <v>0</v>
      </c>
      <c r="AH45" s="191">
        <v>0</v>
      </c>
      <c r="AI45" s="191">
        <v>0</v>
      </c>
      <c r="AJ45" s="191">
        <v>0</v>
      </c>
      <c r="AK45" s="191">
        <v>0</v>
      </c>
      <c r="AL45" s="191">
        <v>0</v>
      </c>
      <c r="AM45" s="191">
        <v>0</v>
      </c>
      <c r="AN45" s="191">
        <v>0</v>
      </c>
    </row>
    <row r="46" spans="3:40" x14ac:dyDescent="0.3">
      <c r="C46" s="191">
        <v>39</v>
      </c>
      <c r="D46" s="191">
        <v>4</v>
      </c>
      <c r="E46" s="191">
        <v>9</v>
      </c>
      <c r="F46" s="191">
        <v>8016</v>
      </c>
      <c r="G46" s="191">
        <v>0</v>
      </c>
      <c r="H46" s="191">
        <v>0</v>
      </c>
      <c r="I46" s="191">
        <v>0</v>
      </c>
      <c r="J46" s="191">
        <v>0</v>
      </c>
      <c r="K46" s="191">
        <v>0</v>
      </c>
      <c r="L46" s="191">
        <v>0</v>
      </c>
      <c r="M46" s="191">
        <v>0</v>
      </c>
      <c r="N46" s="191">
        <v>0</v>
      </c>
      <c r="O46" s="191">
        <v>0</v>
      </c>
      <c r="P46" s="191">
        <v>0</v>
      </c>
      <c r="Q46" s="191">
        <v>0</v>
      </c>
      <c r="R46" s="191">
        <v>0</v>
      </c>
      <c r="S46" s="191">
        <v>0</v>
      </c>
      <c r="T46" s="191">
        <v>0</v>
      </c>
      <c r="U46" s="191">
        <v>0</v>
      </c>
      <c r="V46" s="191">
        <v>7520</v>
      </c>
      <c r="W46" s="191">
        <v>0</v>
      </c>
      <c r="X46" s="191">
        <v>0</v>
      </c>
      <c r="Y46" s="191">
        <v>0</v>
      </c>
      <c r="Z46" s="191">
        <v>0</v>
      </c>
      <c r="AA46" s="191">
        <v>0</v>
      </c>
      <c r="AB46" s="191">
        <v>0</v>
      </c>
      <c r="AC46" s="191">
        <v>0</v>
      </c>
      <c r="AD46" s="191">
        <v>0</v>
      </c>
      <c r="AE46" s="191">
        <v>0</v>
      </c>
      <c r="AF46" s="191">
        <v>0</v>
      </c>
      <c r="AG46" s="191">
        <v>0</v>
      </c>
      <c r="AH46" s="191">
        <v>0</v>
      </c>
      <c r="AI46" s="191">
        <v>496</v>
      </c>
      <c r="AJ46" s="191">
        <v>0</v>
      </c>
      <c r="AK46" s="191">
        <v>0</v>
      </c>
      <c r="AL46" s="191">
        <v>0</v>
      </c>
      <c r="AM46" s="191">
        <v>0</v>
      </c>
      <c r="AN46" s="191">
        <v>0</v>
      </c>
    </row>
    <row r="47" spans="3:40" x14ac:dyDescent="0.3">
      <c r="C47" s="191">
        <v>39</v>
      </c>
      <c r="D47" s="191">
        <v>4</v>
      </c>
      <c r="E47" s="191">
        <v>10</v>
      </c>
      <c r="F47" s="191">
        <v>0</v>
      </c>
      <c r="G47" s="191">
        <v>0</v>
      </c>
      <c r="H47" s="191">
        <v>0</v>
      </c>
      <c r="I47" s="191">
        <v>0</v>
      </c>
      <c r="J47" s="191">
        <v>0</v>
      </c>
      <c r="K47" s="191">
        <v>0</v>
      </c>
      <c r="L47" s="191">
        <v>0</v>
      </c>
      <c r="M47" s="191">
        <v>0</v>
      </c>
      <c r="N47" s="191">
        <v>0</v>
      </c>
      <c r="O47" s="191">
        <v>0</v>
      </c>
      <c r="P47" s="191">
        <v>0</v>
      </c>
      <c r="Q47" s="191">
        <v>0</v>
      </c>
      <c r="R47" s="191">
        <v>0</v>
      </c>
      <c r="S47" s="191">
        <v>0</v>
      </c>
      <c r="T47" s="191">
        <v>0</v>
      </c>
      <c r="U47" s="191">
        <v>0</v>
      </c>
      <c r="V47" s="191">
        <v>0</v>
      </c>
      <c r="W47" s="191">
        <v>0</v>
      </c>
      <c r="X47" s="191">
        <v>0</v>
      </c>
      <c r="Y47" s="191">
        <v>0</v>
      </c>
      <c r="Z47" s="191">
        <v>0</v>
      </c>
      <c r="AA47" s="191">
        <v>0</v>
      </c>
      <c r="AB47" s="191">
        <v>0</v>
      </c>
      <c r="AC47" s="191">
        <v>0</v>
      </c>
      <c r="AD47" s="191">
        <v>0</v>
      </c>
      <c r="AE47" s="191">
        <v>0</v>
      </c>
      <c r="AF47" s="191">
        <v>0</v>
      </c>
      <c r="AG47" s="191">
        <v>0</v>
      </c>
      <c r="AH47" s="191">
        <v>0</v>
      </c>
      <c r="AI47" s="191">
        <v>0</v>
      </c>
      <c r="AJ47" s="191">
        <v>0</v>
      </c>
      <c r="AK47" s="191">
        <v>0</v>
      </c>
      <c r="AL47" s="191">
        <v>0</v>
      </c>
      <c r="AM47" s="191">
        <v>0</v>
      </c>
      <c r="AN47" s="191">
        <v>0</v>
      </c>
    </row>
    <row r="48" spans="3:40" x14ac:dyDescent="0.3">
      <c r="C48" s="191">
        <v>39</v>
      </c>
      <c r="D48" s="191">
        <v>4</v>
      </c>
      <c r="E48" s="191">
        <v>11</v>
      </c>
      <c r="F48" s="191">
        <v>1166.6666666666667</v>
      </c>
      <c r="G48" s="191">
        <v>0</v>
      </c>
      <c r="H48" s="191">
        <v>0</v>
      </c>
      <c r="I48" s="191">
        <v>0</v>
      </c>
      <c r="J48" s="191">
        <v>0</v>
      </c>
      <c r="K48" s="191">
        <v>1166.6666666666667</v>
      </c>
      <c r="L48" s="191">
        <v>0</v>
      </c>
      <c r="M48" s="191">
        <v>0</v>
      </c>
      <c r="N48" s="191">
        <v>0</v>
      </c>
      <c r="O48" s="191">
        <v>0</v>
      </c>
      <c r="P48" s="191">
        <v>0</v>
      </c>
      <c r="Q48" s="191">
        <v>0</v>
      </c>
      <c r="R48" s="191">
        <v>0</v>
      </c>
      <c r="S48" s="191">
        <v>0</v>
      </c>
      <c r="T48" s="191">
        <v>0</v>
      </c>
      <c r="U48" s="191">
        <v>0</v>
      </c>
      <c r="V48" s="191">
        <v>0</v>
      </c>
      <c r="W48" s="191">
        <v>0</v>
      </c>
      <c r="X48" s="191">
        <v>0</v>
      </c>
      <c r="Y48" s="191">
        <v>0</v>
      </c>
      <c r="Z48" s="191">
        <v>0</v>
      </c>
      <c r="AA48" s="191">
        <v>0</v>
      </c>
      <c r="AB48" s="191">
        <v>0</v>
      </c>
      <c r="AC48" s="191">
        <v>0</v>
      </c>
      <c r="AD48" s="191">
        <v>0</v>
      </c>
      <c r="AE48" s="191">
        <v>0</v>
      </c>
      <c r="AF48" s="191">
        <v>0</v>
      </c>
      <c r="AG48" s="191">
        <v>0</v>
      </c>
      <c r="AH48" s="191">
        <v>0</v>
      </c>
      <c r="AI48" s="191">
        <v>0</v>
      </c>
      <c r="AJ48" s="191">
        <v>0</v>
      </c>
      <c r="AK48" s="191">
        <v>0</v>
      </c>
      <c r="AL48" s="191">
        <v>0</v>
      </c>
      <c r="AM48" s="191">
        <v>0</v>
      </c>
      <c r="AN48" s="191">
        <v>0</v>
      </c>
    </row>
    <row r="49" spans="3:40" x14ac:dyDescent="0.3">
      <c r="C49" s="191">
        <v>39</v>
      </c>
      <c r="D49" s="191">
        <v>5</v>
      </c>
      <c r="E49" s="191">
        <v>1</v>
      </c>
      <c r="F49" s="191">
        <v>13.2</v>
      </c>
      <c r="G49" s="191">
        <v>0</v>
      </c>
      <c r="H49" s="191">
        <v>0</v>
      </c>
      <c r="I49" s="191">
        <v>0</v>
      </c>
      <c r="J49" s="191">
        <v>0</v>
      </c>
      <c r="K49" s="191">
        <v>0</v>
      </c>
      <c r="L49" s="191">
        <v>0</v>
      </c>
      <c r="M49" s="191">
        <v>0</v>
      </c>
      <c r="N49" s="191">
        <v>0</v>
      </c>
      <c r="O49" s="191">
        <v>0</v>
      </c>
      <c r="P49" s="191">
        <v>0</v>
      </c>
      <c r="Q49" s="191">
        <v>0</v>
      </c>
      <c r="R49" s="191">
        <v>0</v>
      </c>
      <c r="S49" s="191">
        <v>0</v>
      </c>
      <c r="T49" s="191">
        <v>0</v>
      </c>
      <c r="U49" s="191">
        <v>0</v>
      </c>
      <c r="V49" s="191">
        <v>9.1999999999999993</v>
      </c>
      <c r="W49" s="191">
        <v>0</v>
      </c>
      <c r="X49" s="191">
        <v>0</v>
      </c>
      <c r="Y49" s="191">
        <v>0</v>
      </c>
      <c r="Z49" s="191">
        <v>0</v>
      </c>
      <c r="AA49" s="191">
        <v>0</v>
      </c>
      <c r="AB49" s="191">
        <v>0</v>
      </c>
      <c r="AC49" s="191">
        <v>0</v>
      </c>
      <c r="AD49" s="191">
        <v>0</v>
      </c>
      <c r="AE49" s="191">
        <v>0</v>
      </c>
      <c r="AF49" s="191">
        <v>0</v>
      </c>
      <c r="AG49" s="191">
        <v>0</v>
      </c>
      <c r="AH49" s="191">
        <v>0</v>
      </c>
      <c r="AI49" s="191">
        <v>3</v>
      </c>
      <c r="AJ49" s="191">
        <v>0</v>
      </c>
      <c r="AK49" s="191">
        <v>0</v>
      </c>
      <c r="AL49" s="191">
        <v>0</v>
      </c>
      <c r="AM49" s="191">
        <v>1</v>
      </c>
      <c r="AN49" s="191">
        <v>0</v>
      </c>
    </row>
    <row r="50" spans="3:40" x14ac:dyDescent="0.3">
      <c r="C50" s="191">
        <v>39</v>
      </c>
      <c r="D50" s="191">
        <v>5</v>
      </c>
      <c r="E50" s="191">
        <v>2</v>
      </c>
      <c r="F50" s="191">
        <v>2211.1999999999998</v>
      </c>
      <c r="G50" s="191">
        <v>0</v>
      </c>
      <c r="H50" s="191">
        <v>0</v>
      </c>
      <c r="I50" s="191">
        <v>0</v>
      </c>
      <c r="J50" s="191">
        <v>0</v>
      </c>
      <c r="K50" s="191">
        <v>0</v>
      </c>
      <c r="L50" s="191">
        <v>0</v>
      </c>
      <c r="M50" s="191">
        <v>0</v>
      </c>
      <c r="N50" s="191">
        <v>0</v>
      </c>
      <c r="O50" s="191">
        <v>0</v>
      </c>
      <c r="P50" s="191">
        <v>0</v>
      </c>
      <c r="Q50" s="191">
        <v>0</v>
      </c>
      <c r="R50" s="191">
        <v>0</v>
      </c>
      <c r="S50" s="191">
        <v>0</v>
      </c>
      <c r="T50" s="191">
        <v>0</v>
      </c>
      <c r="U50" s="191">
        <v>0</v>
      </c>
      <c r="V50" s="191">
        <v>1523.2</v>
      </c>
      <c r="W50" s="191">
        <v>0</v>
      </c>
      <c r="X50" s="191">
        <v>0</v>
      </c>
      <c r="Y50" s="191">
        <v>0</v>
      </c>
      <c r="Z50" s="191">
        <v>0</v>
      </c>
      <c r="AA50" s="191">
        <v>0</v>
      </c>
      <c r="AB50" s="191">
        <v>0</v>
      </c>
      <c r="AC50" s="191">
        <v>0</v>
      </c>
      <c r="AD50" s="191">
        <v>0</v>
      </c>
      <c r="AE50" s="191">
        <v>0</v>
      </c>
      <c r="AF50" s="191">
        <v>0</v>
      </c>
      <c r="AG50" s="191">
        <v>0</v>
      </c>
      <c r="AH50" s="191">
        <v>0</v>
      </c>
      <c r="AI50" s="191">
        <v>528</v>
      </c>
      <c r="AJ50" s="191">
        <v>0</v>
      </c>
      <c r="AK50" s="191">
        <v>0</v>
      </c>
      <c r="AL50" s="191">
        <v>0</v>
      </c>
      <c r="AM50" s="191">
        <v>160</v>
      </c>
      <c r="AN50" s="191">
        <v>0</v>
      </c>
    </row>
    <row r="51" spans="3:40" x14ac:dyDescent="0.3">
      <c r="C51" s="191">
        <v>39</v>
      </c>
      <c r="D51" s="191">
        <v>5</v>
      </c>
      <c r="E51" s="191">
        <v>3</v>
      </c>
      <c r="F51" s="191">
        <v>0</v>
      </c>
      <c r="G51" s="191">
        <v>0</v>
      </c>
      <c r="H51" s="191">
        <v>0</v>
      </c>
      <c r="I51" s="191">
        <v>0</v>
      </c>
      <c r="J51" s="191">
        <v>0</v>
      </c>
      <c r="K51" s="191">
        <v>0</v>
      </c>
      <c r="L51" s="191">
        <v>0</v>
      </c>
      <c r="M51" s="191">
        <v>0</v>
      </c>
      <c r="N51" s="191">
        <v>0</v>
      </c>
      <c r="O51" s="191">
        <v>0</v>
      </c>
      <c r="P51" s="191">
        <v>0</v>
      </c>
      <c r="Q51" s="191">
        <v>0</v>
      </c>
      <c r="R51" s="191">
        <v>0</v>
      </c>
      <c r="S51" s="191">
        <v>0</v>
      </c>
      <c r="T51" s="191">
        <v>0</v>
      </c>
      <c r="U51" s="191">
        <v>0</v>
      </c>
      <c r="V51" s="191">
        <v>0</v>
      </c>
      <c r="W51" s="191">
        <v>0</v>
      </c>
      <c r="X51" s="191">
        <v>0</v>
      </c>
      <c r="Y51" s="191">
        <v>0</v>
      </c>
      <c r="Z51" s="191">
        <v>0</v>
      </c>
      <c r="AA51" s="191">
        <v>0</v>
      </c>
      <c r="AB51" s="191">
        <v>0</v>
      </c>
      <c r="AC51" s="191">
        <v>0</v>
      </c>
      <c r="AD51" s="191">
        <v>0</v>
      </c>
      <c r="AE51" s="191">
        <v>0</v>
      </c>
      <c r="AF51" s="191">
        <v>0</v>
      </c>
      <c r="AG51" s="191">
        <v>0</v>
      </c>
      <c r="AH51" s="191">
        <v>0</v>
      </c>
      <c r="AI51" s="191">
        <v>0</v>
      </c>
      <c r="AJ51" s="191">
        <v>0</v>
      </c>
      <c r="AK51" s="191">
        <v>0</v>
      </c>
      <c r="AL51" s="191">
        <v>0</v>
      </c>
      <c r="AM51" s="191">
        <v>0</v>
      </c>
      <c r="AN51" s="191">
        <v>0</v>
      </c>
    </row>
    <row r="52" spans="3:40" x14ac:dyDescent="0.3">
      <c r="C52" s="191">
        <v>39</v>
      </c>
      <c r="D52" s="191">
        <v>5</v>
      </c>
      <c r="E52" s="191">
        <v>4</v>
      </c>
      <c r="F52" s="191">
        <v>0</v>
      </c>
      <c r="G52" s="191">
        <v>0</v>
      </c>
      <c r="H52" s="191">
        <v>0</v>
      </c>
      <c r="I52" s="191">
        <v>0</v>
      </c>
      <c r="J52" s="191">
        <v>0</v>
      </c>
      <c r="K52" s="191">
        <v>0</v>
      </c>
      <c r="L52" s="191">
        <v>0</v>
      </c>
      <c r="M52" s="191">
        <v>0</v>
      </c>
      <c r="N52" s="191">
        <v>0</v>
      </c>
      <c r="O52" s="191">
        <v>0</v>
      </c>
      <c r="P52" s="191">
        <v>0</v>
      </c>
      <c r="Q52" s="191">
        <v>0</v>
      </c>
      <c r="R52" s="191">
        <v>0</v>
      </c>
      <c r="S52" s="191">
        <v>0</v>
      </c>
      <c r="T52" s="191">
        <v>0</v>
      </c>
      <c r="U52" s="191">
        <v>0</v>
      </c>
      <c r="V52" s="191">
        <v>0</v>
      </c>
      <c r="W52" s="191">
        <v>0</v>
      </c>
      <c r="X52" s="191">
        <v>0</v>
      </c>
      <c r="Y52" s="191">
        <v>0</v>
      </c>
      <c r="Z52" s="191">
        <v>0</v>
      </c>
      <c r="AA52" s="191">
        <v>0</v>
      </c>
      <c r="AB52" s="191">
        <v>0</v>
      </c>
      <c r="AC52" s="191">
        <v>0</v>
      </c>
      <c r="AD52" s="191">
        <v>0</v>
      </c>
      <c r="AE52" s="191">
        <v>0</v>
      </c>
      <c r="AF52" s="191">
        <v>0</v>
      </c>
      <c r="AG52" s="191">
        <v>0</v>
      </c>
      <c r="AH52" s="191">
        <v>0</v>
      </c>
      <c r="AI52" s="191">
        <v>0</v>
      </c>
      <c r="AJ52" s="191">
        <v>0</v>
      </c>
      <c r="AK52" s="191">
        <v>0</v>
      </c>
      <c r="AL52" s="191">
        <v>0</v>
      </c>
      <c r="AM52" s="191">
        <v>0</v>
      </c>
      <c r="AN52" s="191">
        <v>0</v>
      </c>
    </row>
    <row r="53" spans="3:40" x14ac:dyDescent="0.3">
      <c r="C53" s="191">
        <v>39</v>
      </c>
      <c r="D53" s="191">
        <v>5</v>
      </c>
      <c r="E53" s="191">
        <v>5</v>
      </c>
      <c r="F53" s="191">
        <v>0</v>
      </c>
      <c r="G53" s="191">
        <v>0</v>
      </c>
      <c r="H53" s="191">
        <v>0</v>
      </c>
      <c r="I53" s="191">
        <v>0</v>
      </c>
      <c r="J53" s="191">
        <v>0</v>
      </c>
      <c r="K53" s="191">
        <v>0</v>
      </c>
      <c r="L53" s="191">
        <v>0</v>
      </c>
      <c r="M53" s="191">
        <v>0</v>
      </c>
      <c r="N53" s="191">
        <v>0</v>
      </c>
      <c r="O53" s="191">
        <v>0</v>
      </c>
      <c r="P53" s="191">
        <v>0</v>
      </c>
      <c r="Q53" s="191">
        <v>0</v>
      </c>
      <c r="R53" s="191">
        <v>0</v>
      </c>
      <c r="S53" s="191">
        <v>0</v>
      </c>
      <c r="T53" s="191">
        <v>0</v>
      </c>
      <c r="U53" s="191">
        <v>0</v>
      </c>
      <c r="V53" s="191">
        <v>0</v>
      </c>
      <c r="W53" s="191">
        <v>0</v>
      </c>
      <c r="X53" s="191">
        <v>0</v>
      </c>
      <c r="Y53" s="191">
        <v>0</v>
      </c>
      <c r="Z53" s="191">
        <v>0</v>
      </c>
      <c r="AA53" s="191">
        <v>0</v>
      </c>
      <c r="AB53" s="191">
        <v>0</v>
      </c>
      <c r="AC53" s="191">
        <v>0</v>
      </c>
      <c r="AD53" s="191">
        <v>0</v>
      </c>
      <c r="AE53" s="191">
        <v>0</v>
      </c>
      <c r="AF53" s="191">
        <v>0</v>
      </c>
      <c r="AG53" s="191">
        <v>0</v>
      </c>
      <c r="AH53" s="191">
        <v>0</v>
      </c>
      <c r="AI53" s="191">
        <v>0</v>
      </c>
      <c r="AJ53" s="191">
        <v>0</v>
      </c>
      <c r="AK53" s="191">
        <v>0</v>
      </c>
      <c r="AL53" s="191">
        <v>0</v>
      </c>
      <c r="AM53" s="191">
        <v>0</v>
      </c>
      <c r="AN53" s="191">
        <v>0</v>
      </c>
    </row>
    <row r="54" spans="3:40" x14ac:dyDescent="0.3">
      <c r="C54" s="191">
        <v>39</v>
      </c>
      <c r="D54" s="191">
        <v>5</v>
      </c>
      <c r="E54" s="191">
        <v>6</v>
      </c>
      <c r="F54" s="191">
        <v>385618</v>
      </c>
      <c r="G54" s="191">
        <v>0</v>
      </c>
      <c r="H54" s="191">
        <v>0</v>
      </c>
      <c r="I54" s="191">
        <v>0</v>
      </c>
      <c r="J54" s="191">
        <v>0</v>
      </c>
      <c r="K54" s="191">
        <v>0</v>
      </c>
      <c r="L54" s="191">
        <v>0</v>
      </c>
      <c r="M54" s="191">
        <v>0</v>
      </c>
      <c r="N54" s="191">
        <v>0</v>
      </c>
      <c r="O54" s="191">
        <v>0</v>
      </c>
      <c r="P54" s="191">
        <v>0</v>
      </c>
      <c r="Q54" s="191">
        <v>0</v>
      </c>
      <c r="R54" s="191">
        <v>0</v>
      </c>
      <c r="S54" s="191">
        <v>0</v>
      </c>
      <c r="T54" s="191">
        <v>0</v>
      </c>
      <c r="U54" s="191">
        <v>0</v>
      </c>
      <c r="V54" s="191">
        <v>289002</v>
      </c>
      <c r="W54" s="191">
        <v>0</v>
      </c>
      <c r="X54" s="191">
        <v>0</v>
      </c>
      <c r="Y54" s="191">
        <v>0</v>
      </c>
      <c r="Z54" s="191">
        <v>0</v>
      </c>
      <c r="AA54" s="191">
        <v>0</v>
      </c>
      <c r="AB54" s="191">
        <v>0</v>
      </c>
      <c r="AC54" s="191">
        <v>0</v>
      </c>
      <c r="AD54" s="191">
        <v>0</v>
      </c>
      <c r="AE54" s="191">
        <v>0</v>
      </c>
      <c r="AF54" s="191">
        <v>0</v>
      </c>
      <c r="AG54" s="191">
        <v>0</v>
      </c>
      <c r="AH54" s="191">
        <v>0</v>
      </c>
      <c r="AI54" s="191">
        <v>78500</v>
      </c>
      <c r="AJ54" s="191">
        <v>0</v>
      </c>
      <c r="AK54" s="191">
        <v>0</v>
      </c>
      <c r="AL54" s="191">
        <v>0</v>
      </c>
      <c r="AM54" s="191">
        <v>18116</v>
      </c>
      <c r="AN54" s="191">
        <v>0</v>
      </c>
    </row>
    <row r="55" spans="3:40" x14ac:dyDescent="0.3">
      <c r="C55" s="191">
        <v>39</v>
      </c>
      <c r="D55" s="191">
        <v>5</v>
      </c>
      <c r="E55" s="191">
        <v>7</v>
      </c>
      <c r="F55" s="191">
        <v>0</v>
      </c>
      <c r="G55" s="191">
        <v>0</v>
      </c>
      <c r="H55" s="191">
        <v>0</v>
      </c>
      <c r="I55" s="191">
        <v>0</v>
      </c>
      <c r="J55" s="191">
        <v>0</v>
      </c>
      <c r="K55" s="191">
        <v>0</v>
      </c>
      <c r="L55" s="191">
        <v>0</v>
      </c>
      <c r="M55" s="191">
        <v>0</v>
      </c>
      <c r="N55" s="191">
        <v>0</v>
      </c>
      <c r="O55" s="191">
        <v>0</v>
      </c>
      <c r="P55" s="191">
        <v>0</v>
      </c>
      <c r="Q55" s="191">
        <v>0</v>
      </c>
      <c r="R55" s="191">
        <v>0</v>
      </c>
      <c r="S55" s="191">
        <v>0</v>
      </c>
      <c r="T55" s="191">
        <v>0</v>
      </c>
      <c r="U55" s="191">
        <v>0</v>
      </c>
      <c r="V55" s="191">
        <v>0</v>
      </c>
      <c r="W55" s="191">
        <v>0</v>
      </c>
      <c r="X55" s="191">
        <v>0</v>
      </c>
      <c r="Y55" s="191">
        <v>0</v>
      </c>
      <c r="Z55" s="191">
        <v>0</v>
      </c>
      <c r="AA55" s="191">
        <v>0</v>
      </c>
      <c r="AB55" s="191">
        <v>0</v>
      </c>
      <c r="AC55" s="191">
        <v>0</v>
      </c>
      <c r="AD55" s="191">
        <v>0</v>
      </c>
      <c r="AE55" s="191">
        <v>0</v>
      </c>
      <c r="AF55" s="191">
        <v>0</v>
      </c>
      <c r="AG55" s="191">
        <v>0</v>
      </c>
      <c r="AH55" s="191">
        <v>0</v>
      </c>
      <c r="AI55" s="191">
        <v>0</v>
      </c>
      <c r="AJ55" s="191">
        <v>0</v>
      </c>
      <c r="AK55" s="191">
        <v>0</v>
      </c>
      <c r="AL55" s="191">
        <v>0</v>
      </c>
      <c r="AM55" s="191">
        <v>0</v>
      </c>
      <c r="AN55" s="191">
        <v>0</v>
      </c>
    </row>
    <row r="56" spans="3:40" x14ac:dyDescent="0.3">
      <c r="C56" s="191">
        <v>39</v>
      </c>
      <c r="D56" s="191">
        <v>5</v>
      </c>
      <c r="E56" s="191">
        <v>8</v>
      </c>
      <c r="F56" s="191">
        <v>0</v>
      </c>
      <c r="G56" s="191">
        <v>0</v>
      </c>
      <c r="H56" s="191">
        <v>0</v>
      </c>
      <c r="I56" s="191">
        <v>0</v>
      </c>
      <c r="J56" s="191">
        <v>0</v>
      </c>
      <c r="K56" s="191">
        <v>0</v>
      </c>
      <c r="L56" s="191">
        <v>0</v>
      </c>
      <c r="M56" s="191">
        <v>0</v>
      </c>
      <c r="N56" s="191">
        <v>0</v>
      </c>
      <c r="O56" s="191">
        <v>0</v>
      </c>
      <c r="P56" s="191">
        <v>0</v>
      </c>
      <c r="Q56" s="191">
        <v>0</v>
      </c>
      <c r="R56" s="191">
        <v>0</v>
      </c>
      <c r="S56" s="191">
        <v>0</v>
      </c>
      <c r="T56" s="191">
        <v>0</v>
      </c>
      <c r="U56" s="191">
        <v>0</v>
      </c>
      <c r="V56" s="191">
        <v>0</v>
      </c>
      <c r="W56" s="191">
        <v>0</v>
      </c>
      <c r="X56" s="191">
        <v>0</v>
      </c>
      <c r="Y56" s="191">
        <v>0</v>
      </c>
      <c r="Z56" s="191">
        <v>0</v>
      </c>
      <c r="AA56" s="191">
        <v>0</v>
      </c>
      <c r="AB56" s="191">
        <v>0</v>
      </c>
      <c r="AC56" s="191">
        <v>0</v>
      </c>
      <c r="AD56" s="191">
        <v>0</v>
      </c>
      <c r="AE56" s="191">
        <v>0</v>
      </c>
      <c r="AF56" s="191">
        <v>0</v>
      </c>
      <c r="AG56" s="191">
        <v>0</v>
      </c>
      <c r="AH56" s="191">
        <v>0</v>
      </c>
      <c r="AI56" s="191">
        <v>0</v>
      </c>
      <c r="AJ56" s="191">
        <v>0</v>
      </c>
      <c r="AK56" s="191">
        <v>0</v>
      </c>
      <c r="AL56" s="191">
        <v>0</v>
      </c>
      <c r="AM56" s="191">
        <v>0</v>
      </c>
      <c r="AN56" s="191">
        <v>0</v>
      </c>
    </row>
    <row r="57" spans="3:40" x14ac:dyDescent="0.3">
      <c r="C57" s="191">
        <v>39</v>
      </c>
      <c r="D57" s="191">
        <v>5</v>
      </c>
      <c r="E57" s="191">
        <v>9</v>
      </c>
      <c r="F57" s="191">
        <v>0</v>
      </c>
      <c r="G57" s="191">
        <v>0</v>
      </c>
      <c r="H57" s="191">
        <v>0</v>
      </c>
      <c r="I57" s="191">
        <v>0</v>
      </c>
      <c r="J57" s="191">
        <v>0</v>
      </c>
      <c r="K57" s="191">
        <v>0</v>
      </c>
      <c r="L57" s="191">
        <v>0</v>
      </c>
      <c r="M57" s="191">
        <v>0</v>
      </c>
      <c r="N57" s="191">
        <v>0</v>
      </c>
      <c r="O57" s="191">
        <v>0</v>
      </c>
      <c r="P57" s="191">
        <v>0</v>
      </c>
      <c r="Q57" s="191">
        <v>0</v>
      </c>
      <c r="R57" s="191">
        <v>0</v>
      </c>
      <c r="S57" s="191">
        <v>0</v>
      </c>
      <c r="T57" s="191">
        <v>0</v>
      </c>
      <c r="U57" s="191">
        <v>0</v>
      </c>
      <c r="V57" s="191">
        <v>0</v>
      </c>
      <c r="W57" s="191">
        <v>0</v>
      </c>
      <c r="X57" s="191">
        <v>0</v>
      </c>
      <c r="Y57" s="191">
        <v>0</v>
      </c>
      <c r="Z57" s="191">
        <v>0</v>
      </c>
      <c r="AA57" s="191">
        <v>0</v>
      </c>
      <c r="AB57" s="191">
        <v>0</v>
      </c>
      <c r="AC57" s="191">
        <v>0</v>
      </c>
      <c r="AD57" s="191">
        <v>0</v>
      </c>
      <c r="AE57" s="191">
        <v>0</v>
      </c>
      <c r="AF57" s="191">
        <v>0</v>
      </c>
      <c r="AG57" s="191">
        <v>0</v>
      </c>
      <c r="AH57" s="191">
        <v>0</v>
      </c>
      <c r="AI57" s="191">
        <v>0</v>
      </c>
      <c r="AJ57" s="191">
        <v>0</v>
      </c>
      <c r="AK57" s="191">
        <v>0</v>
      </c>
      <c r="AL57" s="191">
        <v>0</v>
      </c>
      <c r="AM57" s="191">
        <v>0</v>
      </c>
      <c r="AN57" s="191">
        <v>0</v>
      </c>
    </row>
    <row r="58" spans="3:40" x14ac:dyDescent="0.3">
      <c r="C58" s="191">
        <v>39</v>
      </c>
      <c r="D58" s="191">
        <v>5</v>
      </c>
      <c r="E58" s="191">
        <v>10</v>
      </c>
      <c r="F58" s="191">
        <v>0</v>
      </c>
      <c r="G58" s="191">
        <v>0</v>
      </c>
      <c r="H58" s="191">
        <v>0</v>
      </c>
      <c r="I58" s="191">
        <v>0</v>
      </c>
      <c r="J58" s="191">
        <v>0</v>
      </c>
      <c r="K58" s="191">
        <v>0</v>
      </c>
      <c r="L58" s="191">
        <v>0</v>
      </c>
      <c r="M58" s="191">
        <v>0</v>
      </c>
      <c r="N58" s="191">
        <v>0</v>
      </c>
      <c r="O58" s="191">
        <v>0</v>
      </c>
      <c r="P58" s="191">
        <v>0</v>
      </c>
      <c r="Q58" s="191">
        <v>0</v>
      </c>
      <c r="R58" s="191">
        <v>0</v>
      </c>
      <c r="S58" s="191">
        <v>0</v>
      </c>
      <c r="T58" s="191">
        <v>0</v>
      </c>
      <c r="U58" s="191">
        <v>0</v>
      </c>
      <c r="V58" s="191">
        <v>0</v>
      </c>
      <c r="W58" s="191">
        <v>0</v>
      </c>
      <c r="X58" s="191">
        <v>0</v>
      </c>
      <c r="Y58" s="191">
        <v>0</v>
      </c>
      <c r="Z58" s="191">
        <v>0</v>
      </c>
      <c r="AA58" s="191">
        <v>0</v>
      </c>
      <c r="AB58" s="191">
        <v>0</v>
      </c>
      <c r="AC58" s="191">
        <v>0</v>
      </c>
      <c r="AD58" s="191">
        <v>0</v>
      </c>
      <c r="AE58" s="191">
        <v>0</v>
      </c>
      <c r="AF58" s="191">
        <v>0</v>
      </c>
      <c r="AG58" s="191">
        <v>0</v>
      </c>
      <c r="AH58" s="191">
        <v>0</v>
      </c>
      <c r="AI58" s="191">
        <v>0</v>
      </c>
      <c r="AJ58" s="191">
        <v>0</v>
      </c>
      <c r="AK58" s="191">
        <v>0</v>
      </c>
      <c r="AL58" s="191">
        <v>0</v>
      </c>
      <c r="AM58" s="191">
        <v>0</v>
      </c>
      <c r="AN58" s="191">
        <v>0</v>
      </c>
    </row>
    <row r="59" spans="3:40" x14ac:dyDescent="0.3">
      <c r="C59" s="191">
        <v>39</v>
      </c>
      <c r="D59" s="191">
        <v>5</v>
      </c>
      <c r="E59" s="191">
        <v>11</v>
      </c>
      <c r="F59" s="191">
        <v>1166.6666666666667</v>
      </c>
      <c r="G59" s="191">
        <v>0</v>
      </c>
      <c r="H59" s="191">
        <v>0</v>
      </c>
      <c r="I59" s="191">
        <v>0</v>
      </c>
      <c r="J59" s="191">
        <v>0</v>
      </c>
      <c r="K59" s="191">
        <v>1166.6666666666667</v>
      </c>
      <c r="L59" s="191">
        <v>0</v>
      </c>
      <c r="M59" s="191">
        <v>0</v>
      </c>
      <c r="N59" s="191">
        <v>0</v>
      </c>
      <c r="O59" s="191">
        <v>0</v>
      </c>
      <c r="P59" s="191">
        <v>0</v>
      </c>
      <c r="Q59" s="191">
        <v>0</v>
      </c>
      <c r="R59" s="191">
        <v>0</v>
      </c>
      <c r="S59" s="191">
        <v>0</v>
      </c>
      <c r="T59" s="191">
        <v>0</v>
      </c>
      <c r="U59" s="191">
        <v>0</v>
      </c>
      <c r="V59" s="191">
        <v>0</v>
      </c>
      <c r="W59" s="191">
        <v>0</v>
      </c>
      <c r="X59" s="191">
        <v>0</v>
      </c>
      <c r="Y59" s="191">
        <v>0</v>
      </c>
      <c r="Z59" s="191">
        <v>0</v>
      </c>
      <c r="AA59" s="191">
        <v>0</v>
      </c>
      <c r="AB59" s="191">
        <v>0</v>
      </c>
      <c r="AC59" s="191">
        <v>0</v>
      </c>
      <c r="AD59" s="191">
        <v>0</v>
      </c>
      <c r="AE59" s="191">
        <v>0</v>
      </c>
      <c r="AF59" s="191">
        <v>0</v>
      </c>
      <c r="AG59" s="191">
        <v>0</v>
      </c>
      <c r="AH59" s="191">
        <v>0</v>
      </c>
      <c r="AI59" s="191">
        <v>0</v>
      </c>
      <c r="AJ59" s="191">
        <v>0</v>
      </c>
      <c r="AK59" s="191">
        <v>0</v>
      </c>
      <c r="AL59" s="191">
        <v>0</v>
      </c>
      <c r="AM59" s="191">
        <v>0</v>
      </c>
      <c r="AN59" s="191">
        <v>0</v>
      </c>
    </row>
    <row r="60" spans="3:40" x14ac:dyDescent="0.3">
      <c r="C60" s="191">
        <v>39</v>
      </c>
      <c r="D60" s="191">
        <v>6</v>
      </c>
      <c r="E60" s="191">
        <v>1</v>
      </c>
      <c r="F60" s="191">
        <v>13.2</v>
      </c>
      <c r="G60" s="191">
        <v>0</v>
      </c>
      <c r="H60" s="191">
        <v>0</v>
      </c>
      <c r="I60" s="191">
        <v>0</v>
      </c>
      <c r="J60" s="191">
        <v>0</v>
      </c>
      <c r="K60" s="191">
        <v>0</v>
      </c>
      <c r="L60" s="191">
        <v>0</v>
      </c>
      <c r="M60" s="191">
        <v>0</v>
      </c>
      <c r="N60" s="191">
        <v>0</v>
      </c>
      <c r="O60" s="191">
        <v>0</v>
      </c>
      <c r="P60" s="191">
        <v>0</v>
      </c>
      <c r="Q60" s="191">
        <v>0</v>
      </c>
      <c r="R60" s="191">
        <v>0</v>
      </c>
      <c r="S60" s="191">
        <v>0</v>
      </c>
      <c r="T60" s="191">
        <v>0</v>
      </c>
      <c r="U60" s="191">
        <v>0</v>
      </c>
      <c r="V60" s="191">
        <v>9.1999999999999993</v>
      </c>
      <c r="W60" s="191">
        <v>0</v>
      </c>
      <c r="X60" s="191">
        <v>0</v>
      </c>
      <c r="Y60" s="191">
        <v>0</v>
      </c>
      <c r="Z60" s="191">
        <v>0</v>
      </c>
      <c r="AA60" s="191">
        <v>0</v>
      </c>
      <c r="AB60" s="191">
        <v>0</v>
      </c>
      <c r="AC60" s="191">
        <v>0</v>
      </c>
      <c r="AD60" s="191">
        <v>0</v>
      </c>
      <c r="AE60" s="191">
        <v>0</v>
      </c>
      <c r="AF60" s="191">
        <v>0</v>
      </c>
      <c r="AG60" s="191">
        <v>0</v>
      </c>
      <c r="AH60" s="191">
        <v>0</v>
      </c>
      <c r="AI60" s="191">
        <v>3</v>
      </c>
      <c r="AJ60" s="191">
        <v>0</v>
      </c>
      <c r="AK60" s="191">
        <v>0</v>
      </c>
      <c r="AL60" s="191">
        <v>0</v>
      </c>
      <c r="AM60" s="191">
        <v>1</v>
      </c>
      <c r="AN60" s="191">
        <v>0</v>
      </c>
    </row>
    <row r="61" spans="3:40" x14ac:dyDescent="0.3">
      <c r="C61" s="191">
        <v>39</v>
      </c>
      <c r="D61" s="191">
        <v>6</v>
      </c>
      <c r="E61" s="191">
        <v>2</v>
      </c>
      <c r="F61" s="191">
        <v>1981.6</v>
      </c>
      <c r="G61" s="191">
        <v>0</v>
      </c>
      <c r="H61" s="191">
        <v>0</v>
      </c>
      <c r="I61" s="191">
        <v>0</v>
      </c>
      <c r="J61" s="191">
        <v>0</v>
      </c>
      <c r="K61" s="191">
        <v>0</v>
      </c>
      <c r="L61" s="191">
        <v>0</v>
      </c>
      <c r="M61" s="191">
        <v>0</v>
      </c>
      <c r="N61" s="191">
        <v>0</v>
      </c>
      <c r="O61" s="191">
        <v>0</v>
      </c>
      <c r="P61" s="191">
        <v>0</v>
      </c>
      <c r="Q61" s="191">
        <v>0</v>
      </c>
      <c r="R61" s="191">
        <v>0</v>
      </c>
      <c r="S61" s="191">
        <v>0</v>
      </c>
      <c r="T61" s="191">
        <v>0</v>
      </c>
      <c r="U61" s="191">
        <v>0</v>
      </c>
      <c r="V61" s="191">
        <v>1337.6</v>
      </c>
      <c r="W61" s="191">
        <v>0</v>
      </c>
      <c r="X61" s="191">
        <v>0</v>
      </c>
      <c r="Y61" s="191">
        <v>0</v>
      </c>
      <c r="Z61" s="191">
        <v>0</v>
      </c>
      <c r="AA61" s="191">
        <v>0</v>
      </c>
      <c r="AB61" s="191">
        <v>0</v>
      </c>
      <c r="AC61" s="191">
        <v>0</v>
      </c>
      <c r="AD61" s="191">
        <v>0</v>
      </c>
      <c r="AE61" s="191">
        <v>0</v>
      </c>
      <c r="AF61" s="191">
        <v>0</v>
      </c>
      <c r="AG61" s="191">
        <v>0</v>
      </c>
      <c r="AH61" s="191">
        <v>0</v>
      </c>
      <c r="AI61" s="191">
        <v>476</v>
      </c>
      <c r="AJ61" s="191">
        <v>0</v>
      </c>
      <c r="AK61" s="191">
        <v>0</v>
      </c>
      <c r="AL61" s="191">
        <v>0</v>
      </c>
      <c r="AM61" s="191">
        <v>168</v>
      </c>
      <c r="AN61" s="191">
        <v>0</v>
      </c>
    </row>
    <row r="62" spans="3:40" x14ac:dyDescent="0.3">
      <c r="C62" s="191">
        <v>39</v>
      </c>
      <c r="D62" s="191">
        <v>6</v>
      </c>
      <c r="E62" s="191">
        <v>3</v>
      </c>
      <c r="F62" s="191">
        <v>0</v>
      </c>
      <c r="G62" s="191">
        <v>0</v>
      </c>
      <c r="H62" s="191">
        <v>0</v>
      </c>
      <c r="I62" s="191">
        <v>0</v>
      </c>
      <c r="J62" s="191">
        <v>0</v>
      </c>
      <c r="K62" s="191">
        <v>0</v>
      </c>
      <c r="L62" s="191">
        <v>0</v>
      </c>
      <c r="M62" s="191">
        <v>0</v>
      </c>
      <c r="N62" s="191">
        <v>0</v>
      </c>
      <c r="O62" s="191">
        <v>0</v>
      </c>
      <c r="P62" s="191">
        <v>0</v>
      </c>
      <c r="Q62" s="191">
        <v>0</v>
      </c>
      <c r="R62" s="191">
        <v>0</v>
      </c>
      <c r="S62" s="191">
        <v>0</v>
      </c>
      <c r="T62" s="191">
        <v>0</v>
      </c>
      <c r="U62" s="191">
        <v>0</v>
      </c>
      <c r="V62" s="191">
        <v>0</v>
      </c>
      <c r="W62" s="191">
        <v>0</v>
      </c>
      <c r="X62" s="191">
        <v>0</v>
      </c>
      <c r="Y62" s="191">
        <v>0</v>
      </c>
      <c r="Z62" s="191">
        <v>0</v>
      </c>
      <c r="AA62" s="191">
        <v>0</v>
      </c>
      <c r="AB62" s="191">
        <v>0</v>
      </c>
      <c r="AC62" s="191">
        <v>0</v>
      </c>
      <c r="AD62" s="191">
        <v>0</v>
      </c>
      <c r="AE62" s="191">
        <v>0</v>
      </c>
      <c r="AF62" s="191">
        <v>0</v>
      </c>
      <c r="AG62" s="191">
        <v>0</v>
      </c>
      <c r="AH62" s="191">
        <v>0</v>
      </c>
      <c r="AI62" s="191">
        <v>0</v>
      </c>
      <c r="AJ62" s="191">
        <v>0</v>
      </c>
      <c r="AK62" s="191">
        <v>0</v>
      </c>
      <c r="AL62" s="191">
        <v>0</v>
      </c>
      <c r="AM62" s="191">
        <v>0</v>
      </c>
      <c r="AN62" s="191">
        <v>0</v>
      </c>
    </row>
    <row r="63" spans="3:40" x14ac:dyDescent="0.3">
      <c r="C63" s="191">
        <v>39</v>
      </c>
      <c r="D63" s="191">
        <v>6</v>
      </c>
      <c r="E63" s="191">
        <v>4</v>
      </c>
      <c r="F63" s="191">
        <v>0</v>
      </c>
      <c r="G63" s="191">
        <v>0</v>
      </c>
      <c r="H63" s="191">
        <v>0</v>
      </c>
      <c r="I63" s="191">
        <v>0</v>
      </c>
      <c r="J63" s="191">
        <v>0</v>
      </c>
      <c r="K63" s="191">
        <v>0</v>
      </c>
      <c r="L63" s="191">
        <v>0</v>
      </c>
      <c r="M63" s="191">
        <v>0</v>
      </c>
      <c r="N63" s="191">
        <v>0</v>
      </c>
      <c r="O63" s="191">
        <v>0</v>
      </c>
      <c r="P63" s="191">
        <v>0</v>
      </c>
      <c r="Q63" s="191">
        <v>0</v>
      </c>
      <c r="R63" s="191">
        <v>0</v>
      </c>
      <c r="S63" s="191">
        <v>0</v>
      </c>
      <c r="T63" s="191">
        <v>0</v>
      </c>
      <c r="U63" s="191">
        <v>0</v>
      </c>
      <c r="V63" s="191">
        <v>0</v>
      </c>
      <c r="W63" s="191">
        <v>0</v>
      </c>
      <c r="X63" s="191">
        <v>0</v>
      </c>
      <c r="Y63" s="191">
        <v>0</v>
      </c>
      <c r="Z63" s="191">
        <v>0</v>
      </c>
      <c r="AA63" s="191">
        <v>0</v>
      </c>
      <c r="AB63" s="191">
        <v>0</v>
      </c>
      <c r="AC63" s="191">
        <v>0</v>
      </c>
      <c r="AD63" s="191">
        <v>0</v>
      </c>
      <c r="AE63" s="191">
        <v>0</v>
      </c>
      <c r="AF63" s="191">
        <v>0</v>
      </c>
      <c r="AG63" s="191">
        <v>0</v>
      </c>
      <c r="AH63" s="191">
        <v>0</v>
      </c>
      <c r="AI63" s="191">
        <v>0</v>
      </c>
      <c r="AJ63" s="191">
        <v>0</v>
      </c>
      <c r="AK63" s="191">
        <v>0</v>
      </c>
      <c r="AL63" s="191">
        <v>0</v>
      </c>
      <c r="AM63" s="191">
        <v>0</v>
      </c>
      <c r="AN63" s="191">
        <v>0</v>
      </c>
    </row>
    <row r="64" spans="3:40" x14ac:dyDescent="0.3">
      <c r="C64" s="191">
        <v>39</v>
      </c>
      <c r="D64" s="191">
        <v>6</v>
      </c>
      <c r="E64" s="191">
        <v>5</v>
      </c>
      <c r="F64" s="191">
        <v>0</v>
      </c>
      <c r="G64" s="191">
        <v>0</v>
      </c>
      <c r="H64" s="191">
        <v>0</v>
      </c>
      <c r="I64" s="191">
        <v>0</v>
      </c>
      <c r="J64" s="191">
        <v>0</v>
      </c>
      <c r="K64" s="191">
        <v>0</v>
      </c>
      <c r="L64" s="191">
        <v>0</v>
      </c>
      <c r="M64" s="191">
        <v>0</v>
      </c>
      <c r="N64" s="191">
        <v>0</v>
      </c>
      <c r="O64" s="191">
        <v>0</v>
      </c>
      <c r="P64" s="191">
        <v>0</v>
      </c>
      <c r="Q64" s="191">
        <v>0</v>
      </c>
      <c r="R64" s="191">
        <v>0</v>
      </c>
      <c r="S64" s="191">
        <v>0</v>
      </c>
      <c r="T64" s="191">
        <v>0</v>
      </c>
      <c r="U64" s="191">
        <v>0</v>
      </c>
      <c r="V64" s="191">
        <v>0</v>
      </c>
      <c r="W64" s="191">
        <v>0</v>
      </c>
      <c r="X64" s="191">
        <v>0</v>
      </c>
      <c r="Y64" s="191">
        <v>0</v>
      </c>
      <c r="Z64" s="191">
        <v>0</v>
      </c>
      <c r="AA64" s="191">
        <v>0</v>
      </c>
      <c r="AB64" s="191">
        <v>0</v>
      </c>
      <c r="AC64" s="191">
        <v>0</v>
      </c>
      <c r="AD64" s="191">
        <v>0</v>
      </c>
      <c r="AE64" s="191">
        <v>0</v>
      </c>
      <c r="AF64" s="191">
        <v>0</v>
      </c>
      <c r="AG64" s="191">
        <v>0</v>
      </c>
      <c r="AH64" s="191">
        <v>0</v>
      </c>
      <c r="AI64" s="191">
        <v>0</v>
      </c>
      <c r="AJ64" s="191">
        <v>0</v>
      </c>
      <c r="AK64" s="191">
        <v>0</v>
      </c>
      <c r="AL64" s="191">
        <v>0</v>
      </c>
      <c r="AM64" s="191">
        <v>0</v>
      </c>
      <c r="AN64" s="191">
        <v>0</v>
      </c>
    </row>
    <row r="65" spans="3:40" x14ac:dyDescent="0.3">
      <c r="C65" s="191">
        <v>39</v>
      </c>
      <c r="D65" s="191">
        <v>6</v>
      </c>
      <c r="E65" s="191">
        <v>6</v>
      </c>
      <c r="F65" s="191">
        <v>399585</v>
      </c>
      <c r="G65" s="191">
        <v>0</v>
      </c>
      <c r="H65" s="191">
        <v>0</v>
      </c>
      <c r="I65" s="191">
        <v>0</v>
      </c>
      <c r="J65" s="191">
        <v>0</v>
      </c>
      <c r="K65" s="191">
        <v>0</v>
      </c>
      <c r="L65" s="191">
        <v>0</v>
      </c>
      <c r="M65" s="191">
        <v>0</v>
      </c>
      <c r="N65" s="191">
        <v>0</v>
      </c>
      <c r="O65" s="191">
        <v>0</v>
      </c>
      <c r="P65" s="191">
        <v>0</v>
      </c>
      <c r="Q65" s="191">
        <v>0</v>
      </c>
      <c r="R65" s="191">
        <v>0</v>
      </c>
      <c r="S65" s="191">
        <v>0</v>
      </c>
      <c r="T65" s="191">
        <v>0</v>
      </c>
      <c r="U65" s="191">
        <v>0</v>
      </c>
      <c r="V65" s="191">
        <v>302156</v>
      </c>
      <c r="W65" s="191">
        <v>0</v>
      </c>
      <c r="X65" s="191">
        <v>0</v>
      </c>
      <c r="Y65" s="191">
        <v>0</v>
      </c>
      <c r="Z65" s="191">
        <v>0</v>
      </c>
      <c r="AA65" s="191">
        <v>0</v>
      </c>
      <c r="AB65" s="191">
        <v>0</v>
      </c>
      <c r="AC65" s="191">
        <v>0</v>
      </c>
      <c r="AD65" s="191">
        <v>0</v>
      </c>
      <c r="AE65" s="191">
        <v>0</v>
      </c>
      <c r="AF65" s="191">
        <v>0</v>
      </c>
      <c r="AG65" s="191">
        <v>0</v>
      </c>
      <c r="AH65" s="191">
        <v>0</v>
      </c>
      <c r="AI65" s="191">
        <v>79429</v>
      </c>
      <c r="AJ65" s="191">
        <v>0</v>
      </c>
      <c r="AK65" s="191">
        <v>0</v>
      </c>
      <c r="AL65" s="191">
        <v>0</v>
      </c>
      <c r="AM65" s="191">
        <v>18000</v>
      </c>
      <c r="AN65" s="191">
        <v>0</v>
      </c>
    </row>
    <row r="66" spans="3:40" x14ac:dyDescent="0.3">
      <c r="C66" s="191">
        <v>39</v>
      </c>
      <c r="D66" s="191">
        <v>6</v>
      </c>
      <c r="E66" s="191">
        <v>7</v>
      </c>
      <c r="F66" s="191">
        <v>0</v>
      </c>
      <c r="G66" s="191">
        <v>0</v>
      </c>
      <c r="H66" s="191">
        <v>0</v>
      </c>
      <c r="I66" s="191">
        <v>0</v>
      </c>
      <c r="J66" s="191">
        <v>0</v>
      </c>
      <c r="K66" s="191">
        <v>0</v>
      </c>
      <c r="L66" s="191">
        <v>0</v>
      </c>
      <c r="M66" s="191">
        <v>0</v>
      </c>
      <c r="N66" s="191">
        <v>0</v>
      </c>
      <c r="O66" s="191">
        <v>0</v>
      </c>
      <c r="P66" s="191">
        <v>0</v>
      </c>
      <c r="Q66" s="191">
        <v>0</v>
      </c>
      <c r="R66" s="191">
        <v>0</v>
      </c>
      <c r="S66" s="191">
        <v>0</v>
      </c>
      <c r="T66" s="191">
        <v>0</v>
      </c>
      <c r="U66" s="191">
        <v>0</v>
      </c>
      <c r="V66" s="191">
        <v>0</v>
      </c>
      <c r="W66" s="191">
        <v>0</v>
      </c>
      <c r="X66" s="191">
        <v>0</v>
      </c>
      <c r="Y66" s="191">
        <v>0</v>
      </c>
      <c r="Z66" s="191">
        <v>0</v>
      </c>
      <c r="AA66" s="191">
        <v>0</v>
      </c>
      <c r="AB66" s="191">
        <v>0</v>
      </c>
      <c r="AC66" s="191">
        <v>0</v>
      </c>
      <c r="AD66" s="191">
        <v>0</v>
      </c>
      <c r="AE66" s="191">
        <v>0</v>
      </c>
      <c r="AF66" s="191">
        <v>0</v>
      </c>
      <c r="AG66" s="191">
        <v>0</v>
      </c>
      <c r="AH66" s="191">
        <v>0</v>
      </c>
      <c r="AI66" s="191">
        <v>0</v>
      </c>
      <c r="AJ66" s="191">
        <v>0</v>
      </c>
      <c r="AK66" s="191">
        <v>0</v>
      </c>
      <c r="AL66" s="191">
        <v>0</v>
      </c>
      <c r="AM66" s="191">
        <v>0</v>
      </c>
      <c r="AN66" s="191">
        <v>0</v>
      </c>
    </row>
    <row r="67" spans="3:40" x14ac:dyDescent="0.3">
      <c r="C67" s="191">
        <v>39</v>
      </c>
      <c r="D67" s="191">
        <v>6</v>
      </c>
      <c r="E67" s="191">
        <v>8</v>
      </c>
      <c r="F67" s="191">
        <v>0</v>
      </c>
      <c r="G67" s="191">
        <v>0</v>
      </c>
      <c r="H67" s="191">
        <v>0</v>
      </c>
      <c r="I67" s="191">
        <v>0</v>
      </c>
      <c r="J67" s="191">
        <v>0</v>
      </c>
      <c r="K67" s="191">
        <v>0</v>
      </c>
      <c r="L67" s="191">
        <v>0</v>
      </c>
      <c r="M67" s="191">
        <v>0</v>
      </c>
      <c r="N67" s="191">
        <v>0</v>
      </c>
      <c r="O67" s="191">
        <v>0</v>
      </c>
      <c r="P67" s="191">
        <v>0</v>
      </c>
      <c r="Q67" s="191">
        <v>0</v>
      </c>
      <c r="R67" s="191">
        <v>0</v>
      </c>
      <c r="S67" s="191">
        <v>0</v>
      </c>
      <c r="T67" s="191">
        <v>0</v>
      </c>
      <c r="U67" s="191">
        <v>0</v>
      </c>
      <c r="V67" s="191">
        <v>0</v>
      </c>
      <c r="W67" s="191">
        <v>0</v>
      </c>
      <c r="X67" s="191">
        <v>0</v>
      </c>
      <c r="Y67" s="191">
        <v>0</v>
      </c>
      <c r="Z67" s="191">
        <v>0</v>
      </c>
      <c r="AA67" s="191">
        <v>0</v>
      </c>
      <c r="AB67" s="191">
        <v>0</v>
      </c>
      <c r="AC67" s="191">
        <v>0</v>
      </c>
      <c r="AD67" s="191">
        <v>0</v>
      </c>
      <c r="AE67" s="191">
        <v>0</v>
      </c>
      <c r="AF67" s="191">
        <v>0</v>
      </c>
      <c r="AG67" s="191">
        <v>0</v>
      </c>
      <c r="AH67" s="191">
        <v>0</v>
      </c>
      <c r="AI67" s="191">
        <v>0</v>
      </c>
      <c r="AJ67" s="191">
        <v>0</v>
      </c>
      <c r="AK67" s="191">
        <v>0</v>
      </c>
      <c r="AL67" s="191">
        <v>0</v>
      </c>
      <c r="AM67" s="191">
        <v>0</v>
      </c>
      <c r="AN67" s="191">
        <v>0</v>
      </c>
    </row>
    <row r="68" spans="3:40" x14ac:dyDescent="0.3">
      <c r="C68" s="191">
        <v>39</v>
      </c>
      <c r="D68" s="191">
        <v>6</v>
      </c>
      <c r="E68" s="191">
        <v>9</v>
      </c>
      <c r="F68" s="191">
        <v>20000</v>
      </c>
      <c r="G68" s="191">
        <v>0</v>
      </c>
      <c r="H68" s="191">
        <v>0</v>
      </c>
      <c r="I68" s="191">
        <v>0</v>
      </c>
      <c r="J68" s="191">
        <v>0</v>
      </c>
      <c r="K68" s="191">
        <v>0</v>
      </c>
      <c r="L68" s="191">
        <v>0</v>
      </c>
      <c r="M68" s="191">
        <v>0</v>
      </c>
      <c r="N68" s="191">
        <v>0</v>
      </c>
      <c r="O68" s="191">
        <v>0</v>
      </c>
      <c r="P68" s="191">
        <v>0</v>
      </c>
      <c r="Q68" s="191">
        <v>0</v>
      </c>
      <c r="R68" s="191">
        <v>0</v>
      </c>
      <c r="S68" s="191">
        <v>0</v>
      </c>
      <c r="T68" s="191">
        <v>0</v>
      </c>
      <c r="U68" s="191">
        <v>0</v>
      </c>
      <c r="V68" s="191">
        <v>20000</v>
      </c>
      <c r="W68" s="191">
        <v>0</v>
      </c>
      <c r="X68" s="191">
        <v>0</v>
      </c>
      <c r="Y68" s="191">
        <v>0</v>
      </c>
      <c r="Z68" s="191">
        <v>0</v>
      </c>
      <c r="AA68" s="191">
        <v>0</v>
      </c>
      <c r="AB68" s="191">
        <v>0</v>
      </c>
      <c r="AC68" s="191">
        <v>0</v>
      </c>
      <c r="AD68" s="191">
        <v>0</v>
      </c>
      <c r="AE68" s="191">
        <v>0</v>
      </c>
      <c r="AF68" s="191">
        <v>0</v>
      </c>
      <c r="AG68" s="191">
        <v>0</v>
      </c>
      <c r="AH68" s="191">
        <v>0</v>
      </c>
      <c r="AI68" s="191">
        <v>0</v>
      </c>
      <c r="AJ68" s="191">
        <v>0</v>
      </c>
      <c r="AK68" s="191">
        <v>0</v>
      </c>
      <c r="AL68" s="191">
        <v>0</v>
      </c>
      <c r="AM68" s="191">
        <v>0</v>
      </c>
      <c r="AN68" s="191">
        <v>0</v>
      </c>
    </row>
    <row r="69" spans="3:40" x14ac:dyDescent="0.3">
      <c r="C69" s="191">
        <v>39</v>
      </c>
      <c r="D69" s="191">
        <v>6</v>
      </c>
      <c r="E69" s="191">
        <v>10</v>
      </c>
      <c r="F69" s="191">
        <v>1000</v>
      </c>
      <c r="G69" s="191">
        <v>0</v>
      </c>
      <c r="H69" s="191">
        <v>0</v>
      </c>
      <c r="I69" s="191">
        <v>0</v>
      </c>
      <c r="J69" s="191">
        <v>0</v>
      </c>
      <c r="K69" s="191">
        <v>1000</v>
      </c>
      <c r="L69" s="191">
        <v>0</v>
      </c>
      <c r="M69" s="191">
        <v>0</v>
      </c>
      <c r="N69" s="191">
        <v>0</v>
      </c>
      <c r="O69" s="191">
        <v>0</v>
      </c>
      <c r="P69" s="191">
        <v>0</v>
      </c>
      <c r="Q69" s="191">
        <v>0</v>
      </c>
      <c r="R69" s="191">
        <v>0</v>
      </c>
      <c r="S69" s="191">
        <v>0</v>
      </c>
      <c r="T69" s="191">
        <v>0</v>
      </c>
      <c r="U69" s="191">
        <v>0</v>
      </c>
      <c r="V69" s="191">
        <v>0</v>
      </c>
      <c r="W69" s="191">
        <v>0</v>
      </c>
      <c r="X69" s="191">
        <v>0</v>
      </c>
      <c r="Y69" s="191">
        <v>0</v>
      </c>
      <c r="Z69" s="191">
        <v>0</v>
      </c>
      <c r="AA69" s="191">
        <v>0</v>
      </c>
      <c r="AB69" s="191">
        <v>0</v>
      </c>
      <c r="AC69" s="191">
        <v>0</v>
      </c>
      <c r="AD69" s="191">
        <v>0</v>
      </c>
      <c r="AE69" s="191">
        <v>0</v>
      </c>
      <c r="AF69" s="191">
        <v>0</v>
      </c>
      <c r="AG69" s="191">
        <v>0</v>
      </c>
      <c r="AH69" s="191">
        <v>0</v>
      </c>
      <c r="AI69" s="191">
        <v>0</v>
      </c>
      <c r="AJ69" s="191">
        <v>0</v>
      </c>
      <c r="AK69" s="191">
        <v>0</v>
      </c>
      <c r="AL69" s="191">
        <v>0</v>
      </c>
      <c r="AM69" s="191">
        <v>0</v>
      </c>
      <c r="AN69" s="191">
        <v>0</v>
      </c>
    </row>
    <row r="70" spans="3:40" x14ac:dyDescent="0.3">
      <c r="C70" s="191">
        <v>39</v>
      </c>
      <c r="D70" s="191">
        <v>6</v>
      </c>
      <c r="E70" s="191">
        <v>11</v>
      </c>
      <c r="F70" s="191">
        <v>1166.6666666666667</v>
      </c>
      <c r="G70" s="191">
        <v>0</v>
      </c>
      <c r="H70" s="191">
        <v>0</v>
      </c>
      <c r="I70" s="191">
        <v>0</v>
      </c>
      <c r="J70" s="191">
        <v>0</v>
      </c>
      <c r="K70" s="191">
        <v>1166.6666666666667</v>
      </c>
      <c r="L70" s="191">
        <v>0</v>
      </c>
      <c r="M70" s="191">
        <v>0</v>
      </c>
      <c r="N70" s="191">
        <v>0</v>
      </c>
      <c r="O70" s="191">
        <v>0</v>
      </c>
      <c r="P70" s="191">
        <v>0</v>
      </c>
      <c r="Q70" s="191">
        <v>0</v>
      </c>
      <c r="R70" s="191">
        <v>0</v>
      </c>
      <c r="S70" s="191">
        <v>0</v>
      </c>
      <c r="T70" s="191">
        <v>0</v>
      </c>
      <c r="U70" s="191">
        <v>0</v>
      </c>
      <c r="V70" s="191">
        <v>0</v>
      </c>
      <c r="W70" s="191">
        <v>0</v>
      </c>
      <c r="X70" s="191">
        <v>0</v>
      </c>
      <c r="Y70" s="191">
        <v>0</v>
      </c>
      <c r="Z70" s="191">
        <v>0</v>
      </c>
      <c r="AA70" s="191">
        <v>0</v>
      </c>
      <c r="AB70" s="191">
        <v>0</v>
      </c>
      <c r="AC70" s="191">
        <v>0</v>
      </c>
      <c r="AD70" s="191">
        <v>0</v>
      </c>
      <c r="AE70" s="191">
        <v>0</v>
      </c>
      <c r="AF70" s="191">
        <v>0</v>
      </c>
      <c r="AG70" s="191">
        <v>0</v>
      </c>
      <c r="AH70" s="191">
        <v>0</v>
      </c>
      <c r="AI70" s="191">
        <v>0</v>
      </c>
      <c r="AJ70" s="191">
        <v>0</v>
      </c>
      <c r="AK70" s="191">
        <v>0</v>
      </c>
      <c r="AL70" s="191">
        <v>0</v>
      </c>
      <c r="AM70" s="191">
        <v>0</v>
      </c>
      <c r="AN70" s="191">
        <v>0</v>
      </c>
    </row>
    <row r="71" spans="3:40" x14ac:dyDescent="0.3">
      <c r="C71" s="191">
        <v>39</v>
      </c>
      <c r="D71" s="191">
        <v>7</v>
      </c>
      <c r="E71" s="191">
        <v>1</v>
      </c>
      <c r="F71" s="191">
        <v>13.2</v>
      </c>
      <c r="G71" s="191">
        <v>0</v>
      </c>
      <c r="H71" s="191">
        <v>0</v>
      </c>
      <c r="I71" s="191">
        <v>0</v>
      </c>
      <c r="J71" s="191">
        <v>0</v>
      </c>
      <c r="K71" s="191">
        <v>0</v>
      </c>
      <c r="L71" s="191">
        <v>0</v>
      </c>
      <c r="M71" s="191">
        <v>0</v>
      </c>
      <c r="N71" s="191">
        <v>0</v>
      </c>
      <c r="O71" s="191">
        <v>0</v>
      </c>
      <c r="P71" s="191">
        <v>0</v>
      </c>
      <c r="Q71" s="191">
        <v>0</v>
      </c>
      <c r="R71" s="191">
        <v>0</v>
      </c>
      <c r="S71" s="191">
        <v>0</v>
      </c>
      <c r="T71" s="191">
        <v>0</v>
      </c>
      <c r="U71" s="191">
        <v>0</v>
      </c>
      <c r="V71" s="191">
        <v>9.1999999999999993</v>
      </c>
      <c r="W71" s="191">
        <v>0</v>
      </c>
      <c r="X71" s="191">
        <v>0</v>
      </c>
      <c r="Y71" s="191">
        <v>0</v>
      </c>
      <c r="Z71" s="191">
        <v>0</v>
      </c>
      <c r="AA71" s="191">
        <v>0</v>
      </c>
      <c r="AB71" s="191">
        <v>0</v>
      </c>
      <c r="AC71" s="191">
        <v>0</v>
      </c>
      <c r="AD71" s="191">
        <v>0</v>
      </c>
      <c r="AE71" s="191">
        <v>0</v>
      </c>
      <c r="AF71" s="191">
        <v>0</v>
      </c>
      <c r="AG71" s="191">
        <v>0</v>
      </c>
      <c r="AH71" s="191">
        <v>0</v>
      </c>
      <c r="AI71" s="191">
        <v>3</v>
      </c>
      <c r="AJ71" s="191">
        <v>0</v>
      </c>
      <c r="AK71" s="191">
        <v>0</v>
      </c>
      <c r="AL71" s="191">
        <v>0</v>
      </c>
      <c r="AM71" s="191">
        <v>1</v>
      </c>
      <c r="AN71" s="191">
        <v>0</v>
      </c>
    </row>
    <row r="72" spans="3:40" x14ac:dyDescent="0.3">
      <c r="C72" s="191">
        <v>39</v>
      </c>
      <c r="D72" s="191">
        <v>7</v>
      </c>
      <c r="E72" s="191">
        <v>2</v>
      </c>
      <c r="F72" s="191">
        <v>1820</v>
      </c>
      <c r="G72" s="191">
        <v>0</v>
      </c>
      <c r="H72" s="191">
        <v>0</v>
      </c>
      <c r="I72" s="191">
        <v>0</v>
      </c>
      <c r="J72" s="191">
        <v>0</v>
      </c>
      <c r="K72" s="191">
        <v>0</v>
      </c>
      <c r="L72" s="191">
        <v>0</v>
      </c>
      <c r="M72" s="191">
        <v>0</v>
      </c>
      <c r="N72" s="191">
        <v>0</v>
      </c>
      <c r="O72" s="191">
        <v>0</v>
      </c>
      <c r="P72" s="191">
        <v>0</v>
      </c>
      <c r="Q72" s="191">
        <v>0</v>
      </c>
      <c r="R72" s="191">
        <v>0</v>
      </c>
      <c r="S72" s="191">
        <v>0</v>
      </c>
      <c r="T72" s="191">
        <v>0</v>
      </c>
      <c r="U72" s="191">
        <v>0</v>
      </c>
      <c r="V72" s="191">
        <v>1204</v>
      </c>
      <c r="W72" s="191">
        <v>0</v>
      </c>
      <c r="X72" s="191">
        <v>0</v>
      </c>
      <c r="Y72" s="191">
        <v>0</v>
      </c>
      <c r="Z72" s="191">
        <v>0</v>
      </c>
      <c r="AA72" s="191">
        <v>0</v>
      </c>
      <c r="AB72" s="191">
        <v>0</v>
      </c>
      <c r="AC72" s="191">
        <v>0</v>
      </c>
      <c r="AD72" s="191">
        <v>0</v>
      </c>
      <c r="AE72" s="191">
        <v>0</v>
      </c>
      <c r="AF72" s="191">
        <v>0</v>
      </c>
      <c r="AG72" s="191">
        <v>0</v>
      </c>
      <c r="AH72" s="191">
        <v>0</v>
      </c>
      <c r="AI72" s="191">
        <v>432</v>
      </c>
      <c r="AJ72" s="191">
        <v>0</v>
      </c>
      <c r="AK72" s="191">
        <v>0</v>
      </c>
      <c r="AL72" s="191">
        <v>0</v>
      </c>
      <c r="AM72" s="191">
        <v>184</v>
      </c>
      <c r="AN72" s="191">
        <v>0</v>
      </c>
    </row>
    <row r="73" spans="3:40" x14ac:dyDescent="0.3">
      <c r="C73" s="191">
        <v>39</v>
      </c>
      <c r="D73" s="191">
        <v>7</v>
      </c>
      <c r="E73" s="191">
        <v>3</v>
      </c>
      <c r="F73" s="191">
        <v>0</v>
      </c>
      <c r="G73" s="191">
        <v>0</v>
      </c>
      <c r="H73" s="191">
        <v>0</v>
      </c>
      <c r="I73" s="191">
        <v>0</v>
      </c>
      <c r="J73" s="191">
        <v>0</v>
      </c>
      <c r="K73" s="191">
        <v>0</v>
      </c>
      <c r="L73" s="191">
        <v>0</v>
      </c>
      <c r="M73" s="191">
        <v>0</v>
      </c>
      <c r="N73" s="191">
        <v>0</v>
      </c>
      <c r="O73" s="191">
        <v>0</v>
      </c>
      <c r="P73" s="191">
        <v>0</v>
      </c>
      <c r="Q73" s="191">
        <v>0</v>
      </c>
      <c r="R73" s="191">
        <v>0</v>
      </c>
      <c r="S73" s="191">
        <v>0</v>
      </c>
      <c r="T73" s="191">
        <v>0</v>
      </c>
      <c r="U73" s="191">
        <v>0</v>
      </c>
      <c r="V73" s="191">
        <v>0</v>
      </c>
      <c r="W73" s="191">
        <v>0</v>
      </c>
      <c r="X73" s="191">
        <v>0</v>
      </c>
      <c r="Y73" s="191">
        <v>0</v>
      </c>
      <c r="Z73" s="191">
        <v>0</v>
      </c>
      <c r="AA73" s="191">
        <v>0</v>
      </c>
      <c r="AB73" s="191">
        <v>0</v>
      </c>
      <c r="AC73" s="191">
        <v>0</v>
      </c>
      <c r="AD73" s="191">
        <v>0</v>
      </c>
      <c r="AE73" s="191">
        <v>0</v>
      </c>
      <c r="AF73" s="191">
        <v>0</v>
      </c>
      <c r="AG73" s="191">
        <v>0</v>
      </c>
      <c r="AH73" s="191">
        <v>0</v>
      </c>
      <c r="AI73" s="191">
        <v>0</v>
      </c>
      <c r="AJ73" s="191">
        <v>0</v>
      </c>
      <c r="AK73" s="191">
        <v>0</v>
      </c>
      <c r="AL73" s="191">
        <v>0</v>
      </c>
      <c r="AM73" s="191">
        <v>0</v>
      </c>
      <c r="AN73" s="191">
        <v>0</v>
      </c>
    </row>
    <row r="74" spans="3:40" x14ac:dyDescent="0.3">
      <c r="C74" s="191">
        <v>39</v>
      </c>
      <c r="D74" s="191">
        <v>7</v>
      </c>
      <c r="E74" s="191">
        <v>4</v>
      </c>
      <c r="F74" s="191">
        <v>0</v>
      </c>
      <c r="G74" s="191">
        <v>0</v>
      </c>
      <c r="H74" s="191">
        <v>0</v>
      </c>
      <c r="I74" s="191">
        <v>0</v>
      </c>
      <c r="J74" s="191">
        <v>0</v>
      </c>
      <c r="K74" s="191">
        <v>0</v>
      </c>
      <c r="L74" s="191">
        <v>0</v>
      </c>
      <c r="M74" s="191">
        <v>0</v>
      </c>
      <c r="N74" s="191">
        <v>0</v>
      </c>
      <c r="O74" s="191">
        <v>0</v>
      </c>
      <c r="P74" s="191">
        <v>0</v>
      </c>
      <c r="Q74" s="191">
        <v>0</v>
      </c>
      <c r="R74" s="191">
        <v>0</v>
      </c>
      <c r="S74" s="191">
        <v>0</v>
      </c>
      <c r="T74" s="191">
        <v>0</v>
      </c>
      <c r="U74" s="191">
        <v>0</v>
      </c>
      <c r="V74" s="191">
        <v>0</v>
      </c>
      <c r="W74" s="191">
        <v>0</v>
      </c>
      <c r="X74" s="191">
        <v>0</v>
      </c>
      <c r="Y74" s="191">
        <v>0</v>
      </c>
      <c r="Z74" s="191">
        <v>0</v>
      </c>
      <c r="AA74" s="191">
        <v>0</v>
      </c>
      <c r="AB74" s="191">
        <v>0</v>
      </c>
      <c r="AC74" s="191">
        <v>0</v>
      </c>
      <c r="AD74" s="191">
        <v>0</v>
      </c>
      <c r="AE74" s="191">
        <v>0</v>
      </c>
      <c r="AF74" s="191">
        <v>0</v>
      </c>
      <c r="AG74" s="191">
        <v>0</v>
      </c>
      <c r="AH74" s="191">
        <v>0</v>
      </c>
      <c r="AI74" s="191">
        <v>0</v>
      </c>
      <c r="AJ74" s="191">
        <v>0</v>
      </c>
      <c r="AK74" s="191">
        <v>0</v>
      </c>
      <c r="AL74" s="191">
        <v>0</v>
      </c>
      <c r="AM74" s="191">
        <v>0</v>
      </c>
      <c r="AN74" s="191">
        <v>0</v>
      </c>
    </row>
    <row r="75" spans="3:40" x14ac:dyDescent="0.3">
      <c r="C75" s="191">
        <v>39</v>
      </c>
      <c r="D75" s="191">
        <v>7</v>
      </c>
      <c r="E75" s="191">
        <v>5</v>
      </c>
      <c r="F75" s="191">
        <v>0</v>
      </c>
      <c r="G75" s="191">
        <v>0</v>
      </c>
      <c r="H75" s="191">
        <v>0</v>
      </c>
      <c r="I75" s="191">
        <v>0</v>
      </c>
      <c r="J75" s="191">
        <v>0</v>
      </c>
      <c r="K75" s="191">
        <v>0</v>
      </c>
      <c r="L75" s="191">
        <v>0</v>
      </c>
      <c r="M75" s="191">
        <v>0</v>
      </c>
      <c r="N75" s="191">
        <v>0</v>
      </c>
      <c r="O75" s="191">
        <v>0</v>
      </c>
      <c r="P75" s="191">
        <v>0</v>
      </c>
      <c r="Q75" s="191">
        <v>0</v>
      </c>
      <c r="R75" s="191">
        <v>0</v>
      </c>
      <c r="S75" s="191">
        <v>0</v>
      </c>
      <c r="T75" s="191">
        <v>0</v>
      </c>
      <c r="U75" s="191">
        <v>0</v>
      </c>
      <c r="V75" s="191">
        <v>0</v>
      </c>
      <c r="W75" s="191">
        <v>0</v>
      </c>
      <c r="X75" s="191">
        <v>0</v>
      </c>
      <c r="Y75" s="191">
        <v>0</v>
      </c>
      <c r="Z75" s="191">
        <v>0</v>
      </c>
      <c r="AA75" s="191">
        <v>0</v>
      </c>
      <c r="AB75" s="191">
        <v>0</v>
      </c>
      <c r="AC75" s="191">
        <v>0</v>
      </c>
      <c r="AD75" s="191">
        <v>0</v>
      </c>
      <c r="AE75" s="191">
        <v>0</v>
      </c>
      <c r="AF75" s="191">
        <v>0</v>
      </c>
      <c r="AG75" s="191">
        <v>0</v>
      </c>
      <c r="AH75" s="191">
        <v>0</v>
      </c>
      <c r="AI75" s="191">
        <v>0</v>
      </c>
      <c r="AJ75" s="191">
        <v>0</v>
      </c>
      <c r="AK75" s="191">
        <v>0</v>
      </c>
      <c r="AL75" s="191">
        <v>0</v>
      </c>
      <c r="AM75" s="191">
        <v>0</v>
      </c>
      <c r="AN75" s="191">
        <v>0</v>
      </c>
    </row>
    <row r="76" spans="3:40" x14ac:dyDescent="0.3">
      <c r="C76" s="191">
        <v>39</v>
      </c>
      <c r="D76" s="191">
        <v>7</v>
      </c>
      <c r="E76" s="191">
        <v>6</v>
      </c>
      <c r="F76" s="191">
        <v>556536</v>
      </c>
      <c r="G76" s="191">
        <v>0</v>
      </c>
      <c r="H76" s="191">
        <v>0</v>
      </c>
      <c r="I76" s="191">
        <v>0</v>
      </c>
      <c r="J76" s="191">
        <v>0</v>
      </c>
      <c r="K76" s="191">
        <v>0</v>
      </c>
      <c r="L76" s="191">
        <v>0</v>
      </c>
      <c r="M76" s="191">
        <v>0</v>
      </c>
      <c r="N76" s="191">
        <v>0</v>
      </c>
      <c r="O76" s="191">
        <v>0</v>
      </c>
      <c r="P76" s="191">
        <v>0</v>
      </c>
      <c r="Q76" s="191">
        <v>0</v>
      </c>
      <c r="R76" s="191">
        <v>0</v>
      </c>
      <c r="S76" s="191">
        <v>0</v>
      </c>
      <c r="T76" s="191">
        <v>0</v>
      </c>
      <c r="U76" s="191">
        <v>0</v>
      </c>
      <c r="V76" s="191">
        <v>415150</v>
      </c>
      <c r="W76" s="191">
        <v>0</v>
      </c>
      <c r="X76" s="191">
        <v>0</v>
      </c>
      <c r="Y76" s="191">
        <v>0</v>
      </c>
      <c r="Z76" s="191">
        <v>0</v>
      </c>
      <c r="AA76" s="191">
        <v>0</v>
      </c>
      <c r="AB76" s="191">
        <v>0</v>
      </c>
      <c r="AC76" s="191">
        <v>0</v>
      </c>
      <c r="AD76" s="191">
        <v>0</v>
      </c>
      <c r="AE76" s="191">
        <v>0</v>
      </c>
      <c r="AF76" s="191">
        <v>0</v>
      </c>
      <c r="AG76" s="191">
        <v>0</v>
      </c>
      <c r="AH76" s="191">
        <v>0</v>
      </c>
      <c r="AI76" s="191">
        <v>114186</v>
      </c>
      <c r="AJ76" s="191">
        <v>0</v>
      </c>
      <c r="AK76" s="191">
        <v>0</v>
      </c>
      <c r="AL76" s="191">
        <v>0</v>
      </c>
      <c r="AM76" s="191">
        <v>27200</v>
      </c>
      <c r="AN76" s="191">
        <v>0</v>
      </c>
    </row>
    <row r="77" spans="3:40" x14ac:dyDescent="0.3">
      <c r="C77" s="191">
        <v>39</v>
      </c>
      <c r="D77" s="191">
        <v>7</v>
      </c>
      <c r="E77" s="191">
        <v>7</v>
      </c>
      <c r="F77" s="191">
        <v>0</v>
      </c>
      <c r="G77" s="191">
        <v>0</v>
      </c>
      <c r="H77" s="191">
        <v>0</v>
      </c>
      <c r="I77" s="191">
        <v>0</v>
      </c>
      <c r="J77" s="191">
        <v>0</v>
      </c>
      <c r="K77" s="191">
        <v>0</v>
      </c>
      <c r="L77" s="191">
        <v>0</v>
      </c>
      <c r="M77" s="191">
        <v>0</v>
      </c>
      <c r="N77" s="191">
        <v>0</v>
      </c>
      <c r="O77" s="191">
        <v>0</v>
      </c>
      <c r="P77" s="191">
        <v>0</v>
      </c>
      <c r="Q77" s="191">
        <v>0</v>
      </c>
      <c r="R77" s="191">
        <v>0</v>
      </c>
      <c r="S77" s="191">
        <v>0</v>
      </c>
      <c r="T77" s="191">
        <v>0</v>
      </c>
      <c r="U77" s="191">
        <v>0</v>
      </c>
      <c r="V77" s="191">
        <v>0</v>
      </c>
      <c r="W77" s="191">
        <v>0</v>
      </c>
      <c r="X77" s="191">
        <v>0</v>
      </c>
      <c r="Y77" s="191">
        <v>0</v>
      </c>
      <c r="Z77" s="191">
        <v>0</v>
      </c>
      <c r="AA77" s="191">
        <v>0</v>
      </c>
      <c r="AB77" s="191">
        <v>0</v>
      </c>
      <c r="AC77" s="191">
        <v>0</v>
      </c>
      <c r="AD77" s="191">
        <v>0</v>
      </c>
      <c r="AE77" s="191">
        <v>0</v>
      </c>
      <c r="AF77" s="191">
        <v>0</v>
      </c>
      <c r="AG77" s="191">
        <v>0</v>
      </c>
      <c r="AH77" s="191">
        <v>0</v>
      </c>
      <c r="AI77" s="191">
        <v>0</v>
      </c>
      <c r="AJ77" s="191">
        <v>0</v>
      </c>
      <c r="AK77" s="191">
        <v>0</v>
      </c>
      <c r="AL77" s="191">
        <v>0</v>
      </c>
      <c r="AM77" s="191">
        <v>0</v>
      </c>
      <c r="AN77" s="191">
        <v>0</v>
      </c>
    </row>
    <row r="78" spans="3:40" x14ac:dyDescent="0.3">
      <c r="C78" s="191">
        <v>39</v>
      </c>
      <c r="D78" s="191">
        <v>7</v>
      </c>
      <c r="E78" s="191">
        <v>8</v>
      </c>
      <c r="F78" s="191">
        <v>0</v>
      </c>
      <c r="G78" s="191">
        <v>0</v>
      </c>
      <c r="H78" s="191">
        <v>0</v>
      </c>
      <c r="I78" s="191">
        <v>0</v>
      </c>
      <c r="J78" s="191">
        <v>0</v>
      </c>
      <c r="K78" s="191">
        <v>0</v>
      </c>
      <c r="L78" s="191">
        <v>0</v>
      </c>
      <c r="M78" s="191">
        <v>0</v>
      </c>
      <c r="N78" s="191">
        <v>0</v>
      </c>
      <c r="O78" s="191">
        <v>0</v>
      </c>
      <c r="P78" s="191">
        <v>0</v>
      </c>
      <c r="Q78" s="191">
        <v>0</v>
      </c>
      <c r="R78" s="191">
        <v>0</v>
      </c>
      <c r="S78" s="191">
        <v>0</v>
      </c>
      <c r="T78" s="191">
        <v>0</v>
      </c>
      <c r="U78" s="191">
        <v>0</v>
      </c>
      <c r="V78" s="191">
        <v>0</v>
      </c>
      <c r="W78" s="191">
        <v>0</v>
      </c>
      <c r="X78" s="191">
        <v>0</v>
      </c>
      <c r="Y78" s="191">
        <v>0</v>
      </c>
      <c r="Z78" s="191">
        <v>0</v>
      </c>
      <c r="AA78" s="191">
        <v>0</v>
      </c>
      <c r="AB78" s="191">
        <v>0</v>
      </c>
      <c r="AC78" s="191">
        <v>0</v>
      </c>
      <c r="AD78" s="191">
        <v>0</v>
      </c>
      <c r="AE78" s="191">
        <v>0</v>
      </c>
      <c r="AF78" s="191">
        <v>0</v>
      </c>
      <c r="AG78" s="191">
        <v>0</v>
      </c>
      <c r="AH78" s="191">
        <v>0</v>
      </c>
      <c r="AI78" s="191">
        <v>0</v>
      </c>
      <c r="AJ78" s="191">
        <v>0</v>
      </c>
      <c r="AK78" s="191">
        <v>0</v>
      </c>
      <c r="AL78" s="191">
        <v>0</v>
      </c>
      <c r="AM78" s="191">
        <v>0</v>
      </c>
      <c r="AN78" s="191">
        <v>0</v>
      </c>
    </row>
    <row r="79" spans="3:40" x14ac:dyDescent="0.3">
      <c r="C79" s="191">
        <v>39</v>
      </c>
      <c r="D79" s="191">
        <v>7</v>
      </c>
      <c r="E79" s="191">
        <v>9</v>
      </c>
      <c r="F79" s="191">
        <v>160372</v>
      </c>
      <c r="G79" s="191">
        <v>0</v>
      </c>
      <c r="H79" s="191">
        <v>0</v>
      </c>
      <c r="I79" s="191">
        <v>0</v>
      </c>
      <c r="J79" s="191">
        <v>0</v>
      </c>
      <c r="K79" s="191">
        <v>0</v>
      </c>
      <c r="L79" s="191">
        <v>0</v>
      </c>
      <c r="M79" s="191">
        <v>0</v>
      </c>
      <c r="N79" s="191">
        <v>0</v>
      </c>
      <c r="O79" s="191">
        <v>0</v>
      </c>
      <c r="P79" s="191">
        <v>0</v>
      </c>
      <c r="Q79" s="191">
        <v>0</v>
      </c>
      <c r="R79" s="191">
        <v>0</v>
      </c>
      <c r="S79" s="191">
        <v>0</v>
      </c>
      <c r="T79" s="191">
        <v>0</v>
      </c>
      <c r="U79" s="191">
        <v>0</v>
      </c>
      <c r="V79" s="191">
        <v>117362</v>
      </c>
      <c r="W79" s="191">
        <v>0</v>
      </c>
      <c r="X79" s="191">
        <v>0</v>
      </c>
      <c r="Y79" s="191">
        <v>0</v>
      </c>
      <c r="Z79" s="191">
        <v>0</v>
      </c>
      <c r="AA79" s="191">
        <v>0</v>
      </c>
      <c r="AB79" s="191">
        <v>0</v>
      </c>
      <c r="AC79" s="191">
        <v>0</v>
      </c>
      <c r="AD79" s="191">
        <v>0</v>
      </c>
      <c r="AE79" s="191">
        <v>0</v>
      </c>
      <c r="AF79" s="191">
        <v>0</v>
      </c>
      <c r="AG79" s="191">
        <v>0</v>
      </c>
      <c r="AH79" s="191">
        <v>0</v>
      </c>
      <c r="AI79" s="191">
        <v>33810</v>
      </c>
      <c r="AJ79" s="191">
        <v>0</v>
      </c>
      <c r="AK79" s="191">
        <v>0</v>
      </c>
      <c r="AL79" s="191">
        <v>0</v>
      </c>
      <c r="AM79" s="191">
        <v>9200</v>
      </c>
      <c r="AN79" s="191">
        <v>0</v>
      </c>
    </row>
    <row r="80" spans="3:40" x14ac:dyDescent="0.3">
      <c r="C80" s="191">
        <v>39</v>
      </c>
      <c r="D80" s="191">
        <v>7</v>
      </c>
      <c r="E80" s="191">
        <v>10</v>
      </c>
      <c r="F80" s="191">
        <v>1500</v>
      </c>
      <c r="G80" s="191">
        <v>0</v>
      </c>
      <c r="H80" s="191">
        <v>0</v>
      </c>
      <c r="I80" s="191">
        <v>0</v>
      </c>
      <c r="J80" s="191">
        <v>0</v>
      </c>
      <c r="K80" s="191">
        <v>1500</v>
      </c>
      <c r="L80" s="191">
        <v>0</v>
      </c>
      <c r="M80" s="191">
        <v>0</v>
      </c>
      <c r="N80" s="191">
        <v>0</v>
      </c>
      <c r="O80" s="191">
        <v>0</v>
      </c>
      <c r="P80" s="191">
        <v>0</v>
      </c>
      <c r="Q80" s="191">
        <v>0</v>
      </c>
      <c r="R80" s="191">
        <v>0</v>
      </c>
      <c r="S80" s="191">
        <v>0</v>
      </c>
      <c r="T80" s="191">
        <v>0</v>
      </c>
      <c r="U80" s="191">
        <v>0</v>
      </c>
      <c r="V80" s="191">
        <v>0</v>
      </c>
      <c r="W80" s="191">
        <v>0</v>
      </c>
      <c r="X80" s="191">
        <v>0</v>
      </c>
      <c r="Y80" s="191">
        <v>0</v>
      </c>
      <c r="Z80" s="191">
        <v>0</v>
      </c>
      <c r="AA80" s="191">
        <v>0</v>
      </c>
      <c r="AB80" s="191">
        <v>0</v>
      </c>
      <c r="AC80" s="191">
        <v>0</v>
      </c>
      <c r="AD80" s="191">
        <v>0</v>
      </c>
      <c r="AE80" s="191">
        <v>0</v>
      </c>
      <c r="AF80" s="191">
        <v>0</v>
      </c>
      <c r="AG80" s="191">
        <v>0</v>
      </c>
      <c r="AH80" s="191">
        <v>0</v>
      </c>
      <c r="AI80" s="191">
        <v>0</v>
      </c>
      <c r="AJ80" s="191">
        <v>0</v>
      </c>
      <c r="AK80" s="191">
        <v>0</v>
      </c>
      <c r="AL80" s="191">
        <v>0</v>
      </c>
      <c r="AM80" s="191">
        <v>0</v>
      </c>
      <c r="AN80" s="191">
        <v>0</v>
      </c>
    </row>
    <row r="81" spans="3:40" x14ac:dyDescent="0.3">
      <c r="C81" s="191">
        <v>39</v>
      </c>
      <c r="D81" s="191">
        <v>7</v>
      </c>
      <c r="E81" s="191">
        <v>11</v>
      </c>
      <c r="F81" s="191">
        <v>1166.6666666666667</v>
      </c>
      <c r="G81" s="191">
        <v>0</v>
      </c>
      <c r="H81" s="191">
        <v>0</v>
      </c>
      <c r="I81" s="191">
        <v>0</v>
      </c>
      <c r="J81" s="191">
        <v>0</v>
      </c>
      <c r="K81" s="191">
        <v>1166.6666666666667</v>
      </c>
      <c r="L81" s="191">
        <v>0</v>
      </c>
      <c r="M81" s="191">
        <v>0</v>
      </c>
      <c r="N81" s="191">
        <v>0</v>
      </c>
      <c r="O81" s="191">
        <v>0</v>
      </c>
      <c r="P81" s="191">
        <v>0</v>
      </c>
      <c r="Q81" s="191">
        <v>0</v>
      </c>
      <c r="R81" s="191">
        <v>0</v>
      </c>
      <c r="S81" s="191">
        <v>0</v>
      </c>
      <c r="T81" s="191">
        <v>0</v>
      </c>
      <c r="U81" s="191">
        <v>0</v>
      </c>
      <c r="V81" s="191">
        <v>0</v>
      </c>
      <c r="W81" s="191">
        <v>0</v>
      </c>
      <c r="X81" s="191">
        <v>0</v>
      </c>
      <c r="Y81" s="191">
        <v>0</v>
      </c>
      <c r="Z81" s="191">
        <v>0</v>
      </c>
      <c r="AA81" s="191">
        <v>0</v>
      </c>
      <c r="AB81" s="191">
        <v>0</v>
      </c>
      <c r="AC81" s="191">
        <v>0</v>
      </c>
      <c r="AD81" s="191">
        <v>0</v>
      </c>
      <c r="AE81" s="191">
        <v>0</v>
      </c>
      <c r="AF81" s="191">
        <v>0</v>
      </c>
      <c r="AG81" s="191">
        <v>0</v>
      </c>
      <c r="AH81" s="191">
        <v>0</v>
      </c>
      <c r="AI81" s="191">
        <v>0</v>
      </c>
      <c r="AJ81" s="191">
        <v>0</v>
      </c>
      <c r="AK81" s="191">
        <v>0</v>
      </c>
      <c r="AL81" s="191">
        <v>0</v>
      </c>
      <c r="AM81" s="191">
        <v>0</v>
      </c>
      <c r="AN81" s="191">
        <v>0</v>
      </c>
    </row>
    <row r="82" spans="3:40" x14ac:dyDescent="0.3">
      <c r="C82" s="191">
        <v>39</v>
      </c>
      <c r="D82" s="191">
        <v>8</v>
      </c>
      <c r="E82" s="191">
        <v>1</v>
      </c>
      <c r="F82" s="191">
        <v>13.2</v>
      </c>
      <c r="G82" s="191">
        <v>0</v>
      </c>
      <c r="H82" s="191">
        <v>0</v>
      </c>
      <c r="I82" s="191">
        <v>0</v>
      </c>
      <c r="J82" s="191">
        <v>0</v>
      </c>
      <c r="K82" s="191">
        <v>0</v>
      </c>
      <c r="L82" s="191">
        <v>0</v>
      </c>
      <c r="M82" s="191">
        <v>0</v>
      </c>
      <c r="N82" s="191">
        <v>0</v>
      </c>
      <c r="O82" s="191">
        <v>0</v>
      </c>
      <c r="P82" s="191">
        <v>0</v>
      </c>
      <c r="Q82" s="191">
        <v>0</v>
      </c>
      <c r="R82" s="191">
        <v>0</v>
      </c>
      <c r="S82" s="191">
        <v>0</v>
      </c>
      <c r="T82" s="191">
        <v>0</v>
      </c>
      <c r="U82" s="191">
        <v>0</v>
      </c>
      <c r="V82" s="191">
        <v>9.1999999999999993</v>
      </c>
      <c r="W82" s="191">
        <v>0</v>
      </c>
      <c r="X82" s="191">
        <v>0</v>
      </c>
      <c r="Y82" s="191">
        <v>0</v>
      </c>
      <c r="Z82" s="191">
        <v>0</v>
      </c>
      <c r="AA82" s="191">
        <v>0</v>
      </c>
      <c r="AB82" s="191">
        <v>0</v>
      </c>
      <c r="AC82" s="191">
        <v>0</v>
      </c>
      <c r="AD82" s="191">
        <v>0</v>
      </c>
      <c r="AE82" s="191">
        <v>0</v>
      </c>
      <c r="AF82" s="191">
        <v>0</v>
      </c>
      <c r="AG82" s="191">
        <v>0</v>
      </c>
      <c r="AH82" s="191">
        <v>0</v>
      </c>
      <c r="AI82" s="191">
        <v>3</v>
      </c>
      <c r="AJ82" s="191">
        <v>0</v>
      </c>
      <c r="AK82" s="191">
        <v>0</v>
      </c>
      <c r="AL82" s="191">
        <v>0</v>
      </c>
      <c r="AM82" s="191">
        <v>1</v>
      </c>
      <c r="AN82" s="191">
        <v>0</v>
      </c>
    </row>
    <row r="83" spans="3:40" x14ac:dyDescent="0.3">
      <c r="C83" s="191">
        <v>39</v>
      </c>
      <c r="D83" s="191">
        <v>8</v>
      </c>
      <c r="E83" s="191">
        <v>2</v>
      </c>
      <c r="F83" s="191">
        <v>1416</v>
      </c>
      <c r="G83" s="191">
        <v>0</v>
      </c>
      <c r="H83" s="191">
        <v>0</v>
      </c>
      <c r="I83" s="191">
        <v>0</v>
      </c>
      <c r="J83" s="191">
        <v>0</v>
      </c>
      <c r="K83" s="191">
        <v>0</v>
      </c>
      <c r="L83" s="191">
        <v>0</v>
      </c>
      <c r="M83" s="191">
        <v>0</v>
      </c>
      <c r="N83" s="191">
        <v>0</v>
      </c>
      <c r="O83" s="191">
        <v>0</v>
      </c>
      <c r="P83" s="191">
        <v>0</v>
      </c>
      <c r="Q83" s="191">
        <v>0</v>
      </c>
      <c r="R83" s="191">
        <v>0</v>
      </c>
      <c r="S83" s="191">
        <v>0</v>
      </c>
      <c r="T83" s="191">
        <v>0</v>
      </c>
      <c r="U83" s="191">
        <v>0</v>
      </c>
      <c r="V83" s="191">
        <v>1040</v>
      </c>
      <c r="W83" s="191">
        <v>0</v>
      </c>
      <c r="X83" s="191">
        <v>0</v>
      </c>
      <c r="Y83" s="191">
        <v>0</v>
      </c>
      <c r="Z83" s="191">
        <v>0</v>
      </c>
      <c r="AA83" s="191">
        <v>0</v>
      </c>
      <c r="AB83" s="191">
        <v>0</v>
      </c>
      <c r="AC83" s="191">
        <v>0</v>
      </c>
      <c r="AD83" s="191">
        <v>0</v>
      </c>
      <c r="AE83" s="191">
        <v>0</v>
      </c>
      <c r="AF83" s="191">
        <v>0</v>
      </c>
      <c r="AG83" s="191">
        <v>0</v>
      </c>
      <c r="AH83" s="191">
        <v>0</v>
      </c>
      <c r="AI83" s="191">
        <v>296</v>
      </c>
      <c r="AJ83" s="191">
        <v>0</v>
      </c>
      <c r="AK83" s="191">
        <v>0</v>
      </c>
      <c r="AL83" s="191">
        <v>0</v>
      </c>
      <c r="AM83" s="191">
        <v>80</v>
      </c>
      <c r="AN83" s="191">
        <v>0</v>
      </c>
    </row>
    <row r="84" spans="3:40" x14ac:dyDescent="0.3">
      <c r="C84" s="191">
        <v>39</v>
      </c>
      <c r="D84" s="191">
        <v>8</v>
      </c>
      <c r="E84" s="191">
        <v>3</v>
      </c>
      <c r="F84" s="191">
        <v>0</v>
      </c>
      <c r="G84" s="191">
        <v>0</v>
      </c>
      <c r="H84" s="191">
        <v>0</v>
      </c>
      <c r="I84" s="191">
        <v>0</v>
      </c>
      <c r="J84" s="191">
        <v>0</v>
      </c>
      <c r="K84" s="191">
        <v>0</v>
      </c>
      <c r="L84" s="191">
        <v>0</v>
      </c>
      <c r="M84" s="191">
        <v>0</v>
      </c>
      <c r="N84" s="191">
        <v>0</v>
      </c>
      <c r="O84" s="191">
        <v>0</v>
      </c>
      <c r="P84" s="191">
        <v>0</v>
      </c>
      <c r="Q84" s="191">
        <v>0</v>
      </c>
      <c r="R84" s="191">
        <v>0</v>
      </c>
      <c r="S84" s="191">
        <v>0</v>
      </c>
      <c r="T84" s="191">
        <v>0</v>
      </c>
      <c r="U84" s="191">
        <v>0</v>
      </c>
      <c r="V84" s="191">
        <v>0</v>
      </c>
      <c r="W84" s="191">
        <v>0</v>
      </c>
      <c r="X84" s="191">
        <v>0</v>
      </c>
      <c r="Y84" s="191">
        <v>0</v>
      </c>
      <c r="Z84" s="191">
        <v>0</v>
      </c>
      <c r="AA84" s="191">
        <v>0</v>
      </c>
      <c r="AB84" s="191">
        <v>0</v>
      </c>
      <c r="AC84" s="191">
        <v>0</v>
      </c>
      <c r="AD84" s="191">
        <v>0</v>
      </c>
      <c r="AE84" s="191">
        <v>0</v>
      </c>
      <c r="AF84" s="191">
        <v>0</v>
      </c>
      <c r="AG84" s="191">
        <v>0</v>
      </c>
      <c r="AH84" s="191">
        <v>0</v>
      </c>
      <c r="AI84" s="191">
        <v>0</v>
      </c>
      <c r="AJ84" s="191">
        <v>0</v>
      </c>
      <c r="AK84" s="191">
        <v>0</v>
      </c>
      <c r="AL84" s="191">
        <v>0</v>
      </c>
      <c r="AM84" s="191">
        <v>0</v>
      </c>
      <c r="AN84" s="191">
        <v>0</v>
      </c>
    </row>
    <row r="85" spans="3:40" x14ac:dyDescent="0.3">
      <c r="C85" s="191">
        <v>39</v>
      </c>
      <c r="D85" s="191">
        <v>8</v>
      </c>
      <c r="E85" s="191">
        <v>4</v>
      </c>
      <c r="F85" s="191">
        <v>0</v>
      </c>
      <c r="G85" s="191">
        <v>0</v>
      </c>
      <c r="H85" s="191">
        <v>0</v>
      </c>
      <c r="I85" s="191">
        <v>0</v>
      </c>
      <c r="J85" s="191">
        <v>0</v>
      </c>
      <c r="K85" s="191">
        <v>0</v>
      </c>
      <c r="L85" s="191">
        <v>0</v>
      </c>
      <c r="M85" s="191">
        <v>0</v>
      </c>
      <c r="N85" s="191">
        <v>0</v>
      </c>
      <c r="O85" s="191">
        <v>0</v>
      </c>
      <c r="P85" s="191">
        <v>0</v>
      </c>
      <c r="Q85" s="191">
        <v>0</v>
      </c>
      <c r="R85" s="191">
        <v>0</v>
      </c>
      <c r="S85" s="191">
        <v>0</v>
      </c>
      <c r="T85" s="191">
        <v>0</v>
      </c>
      <c r="U85" s="191">
        <v>0</v>
      </c>
      <c r="V85" s="191">
        <v>0</v>
      </c>
      <c r="W85" s="191">
        <v>0</v>
      </c>
      <c r="X85" s="191">
        <v>0</v>
      </c>
      <c r="Y85" s="191">
        <v>0</v>
      </c>
      <c r="Z85" s="191">
        <v>0</v>
      </c>
      <c r="AA85" s="191">
        <v>0</v>
      </c>
      <c r="AB85" s="191">
        <v>0</v>
      </c>
      <c r="AC85" s="191">
        <v>0</v>
      </c>
      <c r="AD85" s="191">
        <v>0</v>
      </c>
      <c r="AE85" s="191">
        <v>0</v>
      </c>
      <c r="AF85" s="191">
        <v>0</v>
      </c>
      <c r="AG85" s="191">
        <v>0</v>
      </c>
      <c r="AH85" s="191">
        <v>0</v>
      </c>
      <c r="AI85" s="191">
        <v>0</v>
      </c>
      <c r="AJ85" s="191">
        <v>0</v>
      </c>
      <c r="AK85" s="191">
        <v>0</v>
      </c>
      <c r="AL85" s="191">
        <v>0</v>
      </c>
      <c r="AM85" s="191">
        <v>0</v>
      </c>
      <c r="AN85" s="191">
        <v>0</v>
      </c>
    </row>
    <row r="86" spans="3:40" x14ac:dyDescent="0.3">
      <c r="C86" s="191">
        <v>39</v>
      </c>
      <c r="D86" s="191">
        <v>8</v>
      </c>
      <c r="E86" s="191">
        <v>5</v>
      </c>
      <c r="F86" s="191">
        <v>0</v>
      </c>
      <c r="G86" s="191">
        <v>0</v>
      </c>
      <c r="H86" s="191">
        <v>0</v>
      </c>
      <c r="I86" s="191">
        <v>0</v>
      </c>
      <c r="J86" s="191">
        <v>0</v>
      </c>
      <c r="K86" s="191">
        <v>0</v>
      </c>
      <c r="L86" s="191">
        <v>0</v>
      </c>
      <c r="M86" s="191">
        <v>0</v>
      </c>
      <c r="N86" s="191">
        <v>0</v>
      </c>
      <c r="O86" s="191">
        <v>0</v>
      </c>
      <c r="P86" s="191">
        <v>0</v>
      </c>
      <c r="Q86" s="191">
        <v>0</v>
      </c>
      <c r="R86" s="191">
        <v>0</v>
      </c>
      <c r="S86" s="191">
        <v>0</v>
      </c>
      <c r="T86" s="191">
        <v>0</v>
      </c>
      <c r="U86" s="191">
        <v>0</v>
      </c>
      <c r="V86" s="191">
        <v>0</v>
      </c>
      <c r="W86" s="191">
        <v>0</v>
      </c>
      <c r="X86" s="191">
        <v>0</v>
      </c>
      <c r="Y86" s="191">
        <v>0</v>
      </c>
      <c r="Z86" s="191">
        <v>0</v>
      </c>
      <c r="AA86" s="191">
        <v>0</v>
      </c>
      <c r="AB86" s="191">
        <v>0</v>
      </c>
      <c r="AC86" s="191">
        <v>0</v>
      </c>
      <c r="AD86" s="191">
        <v>0</v>
      </c>
      <c r="AE86" s="191">
        <v>0</v>
      </c>
      <c r="AF86" s="191">
        <v>0</v>
      </c>
      <c r="AG86" s="191">
        <v>0</v>
      </c>
      <c r="AH86" s="191">
        <v>0</v>
      </c>
      <c r="AI86" s="191">
        <v>0</v>
      </c>
      <c r="AJ86" s="191">
        <v>0</v>
      </c>
      <c r="AK86" s="191">
        <v>0</v>
      </c>
      <c r="AL86" s="191">
        <v>0</v>
      </c>
      <c r="AM86" s="191">
        <v>0</v>
      </c>
      <c r="AN86" s="191">
        <v>0</v>
      </c>
    </row>
    <row r="87" spans="3:40" x14ac:dyDescent="0.3">
      <c r="C87" s="191">
        <v>39</v>
      </c>
      <c r="D87" s="191">
        <v>8</v>
      </c>
      <c r="E87" s="191">
        <v>6</v>
      </c>
      <c r="F87" s="191">
        <v>381665</v>
      </c>
      <c r="G87" s="191">
        <v>0</v>
      </c>
      <c r="H87" s="191">
        <v>0</v>
      </c>
      <c r="I87" s="191">
        <v>0</v>
      </c>
      <c r="J87" s="191">
        <v>0</v>
      </c>
      <c r="K87" s="191">
        <v>0</v>
      </c>
      <c r="L87" s="191">
        <v>0</v>
      </c>
      <c r="M87" s="191">
        <v>0</v>
      </c>
      <c r="N87" s="191">
        <v>0</v>
      </c>
      <c r="O87" s="191">
        <v>0</v>
      </c>
      <c r="P87" s="191">
        <v>0</v>
      </c>
      <c r="Q87" s="191">
        <v>0</v>
      </c>
      <c r="R87" s="191">
        <v>0</v>
      </c>
      <c r="S87" s="191">
        <v>0</v>
      </c>
      <c r="T87" s="191">
        <v>0</v>
      </c>
      <c r="U87" s="191">
        <v>0</v>
      </c>
      <c r="V87" s="191">
        <v>285877</v>
      </c>
      <c r="W87" s="191">
        <v>0</v>
      </c>
      <c r="X87" s="191">
        <v>0</v>
      </c>
      <c r="Y87" s="191">
        <v>0</v>
      </c>
      <c r="Z87" s="191">
        <v>0</v>
      </c>
      <c r="AA87" s="191">
        <v>0</v>
      </c>
      <c r="AB87" s="191">
        <v>0</v>
      </c>
      <c r="AC87" s="191">
        <v>0</v>
      </c>
      <c r="AD87" s="191">
        <v>0</v>
      </c>
      <c r="AE87" s="191">
        <v>0</v>
      </c>
      <c r="AF87" s="191">
        <v>0</v>
      </c>
      <c r="AG87" s="191">
        <v>0</v>
      </c>
      <c r="AH87" s="191">
        <v>0</v>
      </c>
      <c r="AI87" s="191">
        <v>78066</v>
      </c>
      <c r="AJ87" s="191">
        <v>0</v>
      </c>
      <c r="AK87" s="191">
        <v>0</v>
      </c>
      <c r="AL87" s="191">
        <v>0</v>
      </c>
      <c r="AM87" s="191">
        <v>17722</v>
      </c>
      <c r="AN87" s="191">
        <v>0</v>
      </c>
    </row>
    <row r="88" spans="3:40" x14ac:dyDescent="0.3">
      <c r="C88" s="191">
        <v>39</v>
      </c>
      <c r="D88" s="191">
        <v>8</v>
      </c>
      <c r="E88" s="191">
        <v>7</v>
      </c>
      <c r="F88" s="191">
        <v>0</v>
      </c>
      <c r="G88" s="191">
        <v>0</v>
      </c>
      <c r="H88" s="191">
        <v>0</v>
      </c>
      <c r="I88" s="191">
        <v>0</v>
      </c>
      <c r="J88" s="191">
        <v>0</v>
      </c>
      <c r="K88" s="191">
        <v>0</v>
      </c>
      <c r="L88" s="191">
        <v>0</v>
      </c>
      <c r="M88" s="191">
        <v>0</v>
      </c>
      <c r="N88" s="191">
        <v>0</v>
      </c>
      <c r="O88" s="191">
        <v>0</v>
      </c>
      <c r="P88" s="191">
        <v>0</v>
      </c>
      <c r="Q88" s="191">
        <v>0</v>
      </c>
      <c r="R88" s="191">
        <v>0</v>
      </c>
      <c r="S88" s="191">
        <v>0</v>
      </c>
      <c r="T88" s="191">
        <v>0</v>
      </c>
      <c r="U88" s="191">
        <v>0</v>
      </c>
      <c r="V88" s="191">
        <v>0</v>
      </c>
      <c r="W88" s="191">
        <v>0</v>
      </c>
      <c r="X88" s="191">
        <v>0</v>
      </c>
      <c r="Y88" s="191">
        <v>0</v>
      </c>
      <c r="Z88" s="191">
        <v>0</v>
      </c>
      <c r="AA88" s="191">
        <v>0</v>
      </c>
      <c r="AB88" s="191">
        <v>0</v>
      </c>
      <c r="AC88" s="191">
        <v>0</v>
      </c>
      <c r="AD88" s="191">
        <v>0</v>
      </c>
      <c r="AE88" s="191">
        <v>0</v>
      </c>
      <c r="AF88" s="191">
        <v>0</v>
      </c>
      <c r="AG88" s="191">
        <v>0</v>
      </c>
      <c r="AH88" s="191">
        <v>0</v>
      </c>
      <c r="AI88" s="191">
        <v>0</v>
      </c>
      <c r="AJ88" s="191">
        <v>0</v>
      </c>
      <c r="AK88" s="191">
        <v>0</v>
      </c>
      <c r="AL88" s="191">
        <v>0</v>
      </c>
      <c r="AM88" s="191">
        <v>0</v>
      </c>
      <c r="AN88" s="191">
        <v>0</v>
      </c>
    </row>
    <row r="89" spans="3:40" x14ac:dyDescent="0.3">
      <c r="C89" s="191">
        <v>39</v>
      </c>
      <c r="D89" s="191">
        <v>8</v>
      </c>
      <c r="E89" s="191">
        <v>8</v>
      </c>
      <c r="F89" s="191">
        <v>0</v>
      </c>
      <c r="G89" s="191">
        <v>0</v>
      </c>
      <c r="H89" s="191">
        <v>0</v>
      </c>
      <c r="I89" s="191">
        <v>0</v>
      </c>
      <c r="J89" s="191">
        <v>0</v>
      </c>
      <c r="K89" s="191">
        <v>0</v>
      </c>
      <c r="L89" s="191">
        <v>0</v>
      </c>
      <c r="M89" s="191">
        <v>0</v>
      </c>
      <c r="N89" s="191">
        <v>0</v>
      </c>
      <c r="O89" s="191">
        <v>0</v>
      </c>
      <c r="P89" s="191">
        <v>0</v>
      </c>
      <c r="Q89" s="191">
        <v>0</v>
      </c>
      <c r="R89" s="191">
        <v>0</v>
      </c>
      <c r="S89" s="191">
        <v>0</v>
      </c>
      <c r="T89" s="191">
        <v>0</v>
      </c>
      <c r="U89" s="191">
        <v>0</v>
      </c>
      <c r="V89" s="191">
        <v>0</v>
      </c>
      <c r="W89" s="191">
        <v>0</v>
      </c>
      <c r="X89" s="191">
        <v>0</v>
      </c>
      <c r="Y89" s="191">
        <v>0</v>
      </c>
      <c r="Z89" s="191">
        <v>0</v>
      </c>
      <c r="AA89" s="191">
        <v>0</v>
      </c>
      <c r="AB89" s="191">
        <v>0</v>
      </c>
      <c r="AC89" s="191">
        <v>0</v>
      </c>
      <c r="AD89" s="191">
        <v>0</v>
      </c>
      <c r="AE89" s="191">
        <v>0</v>
      </c>
      <c r="AF89" s="191">
        <v>0</v>
      </c>
      <c r="AG89" s="191">
        <v>0</v>
      </c>
      <c r="AH89" s="191">
        <v>0</v>
      </c>
      <c r="AI89" s="191">
        <v>0</v>
      </c>
      <c r="AJ89" s="191">
        <v>0</v>
      </c>
      <c r="AK89" s="191">
        <v>0</v>
      </c>
      <c r="AL89" s="191">
        <v>0</v>
      </c>
      <c r="AM89" s="191">
        <v>0</v>
      </c>
      <c r="AN89" s="191">
        <v>0</v>
      </c>
    </row>
    <row r="90" spans="3:40" x14ac:dyDescent="0.3">
      <c r="C90" s="191">
        <v>39</v>
      </c>
      <c r="D90" s="191">
        <v>8</v>
      </c>
      <c r="E90" s="191">
        <v>9</v>
      </c>
      <c r="F90" s="191">
        <v>0</v>
      </c>
      <c r="G90" s="191">
        <v>0</v>
      </c>
      <c r="H90" s="191">
        <v>0</v>
      </c>
      <c r="I90" s="191">
        <v>0</v>
      </c>
      <c r="J90" s="191">
        <v>0</v>
      </c>
      <c r="K90" s="191">
        <v>0</v>
      </c>
      <c r="L90" s="191">
        <v>0</v>
      </c>
      <c r="M90" s="191">
        <v>0</v>
      </c>
      <c r="N90" s="191">
        <v>0</v>
      </c>
      <c r="O90" s="191">
        <v>0</v>
      </c>
      <c r="P90" s="191">
        <v>0</v>
      </c>
      <c r="Q90" s="191">
        <v>0</v>
      </c>
      <c r="R90" s="191">
        <v>0</v>
      </c>
      <c r="S90" s="191">
        <v>0</v>
      </c>
      <c r="T90" s="191">
        <v>0</v>
      </c>
      <c r="U90" s="191">
        <v>0</v>
      </c>
      <c r="V90" s="191">
        <v>0</v>
      </c>
      <c r="W90" s="191">
        <v>0</v>
      </c>
      <c r="X90" s="191">
        <v>0</v>
      </c>
      <c r="Y90" s="191">
        <v>0</v>
      </c>
      <c r="Z90" s="191">
        <v>0</v>
      </c>
      <c r="AA90" s="191">
        <v>0</v>
      </c>
      <c r="AB90" s="191">
        <v>0</v>
      </c>
      <c r="AC90" s="191">
        <v>0</v>
      </c>
      <c r="AD90" s="191">
        <v>0</v>
      </c>
      <c r="AE90" s="191">
        <v>0</v>
      </c>
      <c r="AF90" s="191">
        <v>0</v>
      </c>
      <c r="AG90" s="191">
        <v>0</v>
      </c>
      <c r="AH90" s="191">
        <v>0</v>
      </c>
      <c r="AI90" s="191">
        <v>0</v>
      </c>
      <c r="AJ90" s="191">
        <v>0</v>
      </c>
      <c r="AK90" s="191">
        <v>0</v>
      </c>
      <c r="AL90" s="191">
        <v>0</v>
      </c>
      <c r="AM90" s="191">
        <v>0</v>
      </c>
      <c r="AN90" s="191">
        <v>0</v>
      </c>
    </row>
    <row r="91" spans="3:40" x14ac:dyDescent="0.3">
      <c r="C91" s="191">
        <v>39</v>
      </c>
      <c r="D91" s="191">
        <v>8</v>
      </c>
      <c r="E91" s="191">
        <v>10</v>
      </c>
      <c r="F91" s="191">
        <v>0</v>
      </c>
      <c r="G91" s="191">
        <v>0</v>
      </c>
      <c r="H91" s="191">
        <v>0</v>
      </c>
      <c r="I91" s="191">
        <v>0</v>
      </c>
      <c r="J91" s="191">
        <v>0</v>
      </c>
      <c r="K91" s="191">
        <v>0</v>
      </c>
      <c r="L91" s="191">
        <v>0</v>
      </c>
      <c r="M91" s="191">
        <v>0</v>
      </c>
      <c r="N91" s="191">
        <v>0</v>
      </c>
      <c r="O91" s="191">
        <v>0</v>
      </c>
      <c r="P91" s="191">
        <v>0</v>
      </c>
      <c r="Q91" s="191">
        <v>0</v>
      </c>
      <c r="R91" s="191">
        <v>0</v>
      </c>
      <c r="S91" s="191">
        <v>0</v>
      </c>
      <c r="T91" s="191">
        <v>0</v>
      </c>
      <c r="U91" s="191">
        <v>0</v>
      </c>
      <c r="V91" s="191">
        <v>0</v>
      </c>
      <c r="W91" s="191">
        <v>0</v>
      </c>
      <c r="X91" s="191">
        <v>0</v>
      </c>
      <c r="Y91" s="191">
        <v>0</v>
      </c>
      <c r="Z91" s="191">
        <v>0</v>
      </c>
      <c r="AA91" s="191">
        <v>0</v>
      </c>
      <c r="AB91" s="191">
        <v>0</v>
      </c>
      <c r="AC91" s="191">
        <v>0</v>
      </c>
      <c r="AD91" s="191">
        <v>0</v>
      </c>
      <c r="AE91" s="191">
        <v>0</v>
      </c>
      <c r="AF91" s="191">
        <v>0</v>
      </c>
      <c r="AG91" s="191">
        <v>0</v>
      </c>
      <c r="AH91" s="191">
        <v>0</v>
      </c>
      <c r="AI91" s="191">
        <v>0</v>
      </c>
      <c r="AJ91" s="191">
        <v>0</v>
      </c>
      <c r="AK91" s="191">
        <v>0</v>
      </c>
      <c r="AL91" s="191">
        <v>0</v>
      </c>
      <c r="AM91" s="191">
        <v>0</v>
      </c>
      <c r="AN91" s="191">
        <v>0</v>
      </c>
    </row>
    <row r="92" spans="3:40" x14ac:dyDescent="0.3">
      <c r="C92" s="191">
        <v>39</v>
      </c>
      <c r="D92" s="191">
        <v>8</v>
      </c>
      <c r="E92" s="191">
        <v>11</v>
      </c>
      <c r="F92" s="191">
        <v>1166.6666666666667</v>
      </c>
      <c r="G92" s="191">
        <v>0</v>
      </c>
      <c r="H92" s="191">
        <v>0</v>
      </c>
      <c r="I92" s="191">
        <v>0</v>
      </c>
      <c r="J92" s="191">
        <v>0</v>
      </c>
      <c r="K92" s="191">
        <v>1166.6666666666667</v>
      </c>
      <c r="L92" s="191">
        <v>0</v>
      </c>
      <c r="M92" s="191">
        <v>0</v>
      </c>
      <c r="N92" s="191">
        <v>0</v>
      </c>
      <c r="O92" s="191">
        <v>0</v>
      </c>
      <c r="P92" s="191">
        <v>0</v>
      </c>
      <c r="Q92" s="191">
        <v>0</v>
      </c>
      <c r="R92" s="191">
        <v>0</v>
      </c>
      <c r="S92" s="191">
        <v>0</v>
      </c>
      <c r="T92" s="191">
        <v>0</v>
      </c>
      <c r="U92" s="191">
        <v>0</v>
      </c>
      <c r="V92" s="191">
        <v>0</v>
      </c>
      <c r="W92" s="191">
        <v>0</v>
      </c>
      <c r="X92" s="191">
        <v>0</v>
      </c>
      <c r="Y92" s="191">
        <v>0</v>
      </c>
      <c r="Z92" s="191">
        <v>0</v>
      </c>
      <c r="AA92" s="191">
        <v>0</v>
      </c>
      <c r="AB92" s="191">
        <v>0</v>
      </c>
      <c r="AC92" s="191">
        <v>0</v>
      </c>
      <c r="AD92" s="191">
        <v>0</v>
      </c>
      <c r="AE92" s="191">
        <v>0</v>
      </c>
      <c r="AF92" s="191">
        <v>0</v>
      </c>
      <c r="AG92" s="191">
        <v>0</v>
      </c>
      <c r="AH92" s="191">
        <v>0</v>
      </c>
      <c r="AI92" s="191">
        <v>0</v>
      </c>
      <c r="AJ92" s="191">
        <v>0</v>
      </c>
      <c r="AK92" s="191">
        <v>0</v>
      </c>
      <c r="AL92" s="191">
        <v>0</v>
      </c>
      <c r="AM92" s="191">
        <v>0</v>
      </c>
      <c r="AN92" s="191">
        <v>0</v>
      </c>
    </row>
    <row r="93" spans="3:40" x14ac:dyDescent="0.3">
      <c r="C93" s="191">
        <v>39</v>
      </c>
      <c r="D93" s="191">
        <v>9</v>
      </c>
      <c r="E93" s="191">
        <v>1</v>
      </c>
      <c r="F93" s="191">
        <v>13.8</v>
      </c>
      <c r="G93" s="191">
        <v>0</v>
      </c>
      <c r="H93" s="191">
        <v>0</v>
      </c>
      <c r="I93" s="191">
        <v>0</v>
      </c>
      <c r="J93" s="191">
        <v>0</v>
      </c>
      <c r="K93" s="191">
        <v>0</v>
      </c>
      <c r="L93" s="191">
        <v>0</v>
      </c>
      <c r="M93" s="191">
        <v>0</v>
      </c>
      <c r="N93" s="191">
        <v>0</v>
      </c>
      <c r="O93" s="191">
        <v>0</v>
      </c>
      <c r="P93" s="191">
        <v>0</v>
      </c>
      <c r="Q93" s="191">
        <v>0</v>
      </c>
      <c r="R93" s="191">
        <v>0</v>
      </c>
      <c r="S93" s="191">
        <v>0</v>
      </c>
      <c r="T93" s="191">
        <v>0</v>
      </c>
      <c r="U93" s="191">
        <v>0</v>
      </c>
      <c r="V93" s="191">
        <v>9.1999999999999993</v>
      </c>
      <c r="W93" s="191">
        <v>0</v>
      </c>
      <c r="X93" s="191">
        <v>0</v>
      </c>
      <c r="Y93" s="191">
        <v>0</v>
      </c>
      <c r="Z93" s="191">
        <v>0</v>
      </c>
      <c r="AA93" s="191">
        <v>0</v>
      </c>
      <c r="AB93" s="191">
        <v>0</v>
      </c>
      <c r="AC93" s="191">
        <v>0</v>
      </c>
      <c r="AD93" s="191">
        <v>0</v>
      </c>
      <c r="AE93" s="191">
        <v>0</v>
      </c>
      <c r="AF93" s="191">
        <v>0</v>
      </c>
      <c r="AG93" s="191">
        <v>0</v>
      </c>
      <c r="AH93" s="191">
        <v>0</v>
      </c>
      <c r="AI93" s="191">
        <v>3.6</v>
      </c>
      <c r="AJ93" s="191">
        <v>0</v>
      </c>
      <c r="AK93" s="191">
        <v>0</v>
      </c>
      <c r="AL93" s="191">
        <v>0</v>
      </c>
      <c r="AM93" s="191">
        <v>1</v>
      </c>
      <c r="AN93" s="191">
        <v>0</v>
      </c>
    </row>
    <row r="94" spans="3:40" x14ac:dyDescent="0.3">
      <c r="C94" s="191">
        <v>39</v>
      </c>
      <c r="D94" s="191">
        <v>9</v>
      </c>
      <c r="E94" s="191">
        <v>2</v>
      </c>
      <c r="F94" s="191">
        <v>2228.8000000000002</v>
      </c>
      <c r="G94" s="191">
        <v>0</v>
      </c>
      <c r="H94" s="191">
        <v>0</v>
      </c>
      <c r="I94" s="191">
        <v>0</v>
      </c>
      <c r="J94" s="191">
        <v>0</v>
      </c>
      <c r="K94" s="191">
        <v>0</v>
      </c>
      <c r="L94" s="191">
        <v>0</v>
      </c>
      <c r="M94" s="191">
        <v>0</v>
      </c>
      <c r="N94" s="191">
        <v>0</v>
      </c>
      <c r="O94" s="191">
        <v>0</v>
      </c>
      <c r="P94" s="191">
        <v>0</v>
      </c>
      <c r="Q94" s="191">
        <v>0</v>
      </c>
      <c r="R94" s="191">
        <v>0</v>
      </c>
      <c r="S94" s="191">
        <v>0</v>
      </c>
      <c r="T94" s="191">
        <v>0</v>
      </c>
      <c r="U94" s="191">
        <v>0</v>
      </c>
      <c r="V94" s="191">
        <v>1451.2</v>
      </c>
      <c r="W94" s="191">
        <v>0</v>
      </c>
      <c r="X94" s="191">
        <v>0</v>
      </c>
      <c r="Y94" s="191">
        <v>0</v>
      </c>
      <c r="Z94" s="191">
        <v>0</v>
      </c>
      <c r="AA94" s="191">
        <v>0</v>
      </c>
      <c r="AB94" s="191">
        <v>0</v>
      </c>
      <c r="AC94" s="191">
        <v>0</v>
      </c>
      <c r="AD94" s="191">
        <v>0</v>
      </c>
      <c r="AE94" s="191">
        <v>0</v>
      </c>
      <c r="AF94" s="191">
        <v>0</v>
      </c>
      <c r="AG94" s="191">
        <v>0</v>
      </c>
      <c r="AH94" s="191">
        <v>0</v>
      </c>
      <c r="AI94" s="191">
        <v>609.6</v>
      </c>
      <c r="AJ94" s="191">
        <v>0</v>
      </c>
      <c r="AK94" s="191">
        <v>0</v>
      </c>
      <c r="AL94" s="191">
        <v>0</v>
      </c>
      <c r="AM94" s="191">
        <v>168</v>
      </c>
      <c r="AN94" s="191">
        <v>0</v>
      </c>
    </row>
    <row r="95" spans="3:40" x14ac:dyDescent="0.3">
      <c r="C95" s="191">
        <v>39</v>
      </c>
      <c r="D95" s="191">
        <v>9</v>
      </c>
      <c r="E95" s="191">
        <v>3</v>
      </c>
      <c r="F95" s="191">
        <v>0</v>
      </c>
      <c r="G95" s="191">
        <v>0</v>
      </c>
      <c r="H95" s="191">
        <v>0</v>
      </c>
      <c r="I95" s="191">
        <v>0</v>
      </c>
      <c r="J95" s="191">
        <v>0</v>
      </c>
      <c r="K95" s="191">
        <v>0</v>
      </c>
      <c r="L95" s="191">
        <v>0</v>
      </c>
      <c r="M95" s="191">
        <v>0</v>
      </c>
      <c r="N95" s="191">
        <v>0</v>
      </c>
      <c r="O95" s="191">
        <v>0</v>
      </c>
      <c r="P95" s="191">
        <v>0</v>
      </c>
      <c r="Q95" s="191">
        <v>0</v>
      </c>
      <c r="R95" s="191">
        <v>0</v>
      </c>
      <c r="S95" s="191">
        <v>0</v>
      </c>
      <c r="T95" s="191">
        <v>0</v>
      </c>
      <c r="U95" s="191">
        <v>0</v>
      </c>
      <c r="V95" s="191">
        <v>0</v>
      </c>
      <c r="W95" s="191">
        <v>0</v>
      </c>
      <c r="X95" s="191">
        <v>0</v>
      </c>
      <c r="Y95" s="191">
        <v>0</v>
      </c>
      <c r="Z95" s="191">
        <v>0</v>
      </c>
      <c r="AA95" s="191">
        <v>0</v>
      </c>
      <c r="AB95" s="191">
        <v>0</v>
      </c>
      <c r="AC95" s="191">
        <v>0</v>
      </c>
      <c r="AD95" s="191">
        <v>0</v>
      </c>
      <c r="AE95" s="191">
        <v>0</v>
      </c>
      <c r="AF95" s="191">
        <v>0</v>
      </c>
      <c r="AG95" s="191">
        <v>0</v>
      </c>
      <c r="AH95" s="191">
        <v>0</v>
      </c>
      <c r="AI95" s="191">
        <v>0</v>
      </c>
      <c r="AJ95" s="191">
        <v>0</v>
      </c>
      <c r="AK95" s="191">
        <v>0</v>
      </c>
      <c r="AL95" s="191">
        <v>0</v>
      </c>
      <c r="AM95" s="191">
        <v>0</v>
      </c>
      <c r="AN95" s="191">
        <v>0</v>
      </c>
    </row>
    <row r="96" spans="3:40" x14ac:dyDescent="0.3">
      <c r="C96" s="191">
        <v>39</v>
      </c>
      <c r="D96" s="191">
        <v>9</v>
      </c>
      <c r="E96" s="191">
        <v>4</v>
      </c>
      <c r="F96" s="191">
        <v>0</v>
      </c>
      <c r="G96" s="191">
        <v>0</v>
      </c>
      <c r="H96" s="191">
        <v>0</v>
      </c>
      <c r="I96" s="191">
        <v>0</v>
      </c>
      <c r="J96" s="191">
        <v>0</v>
      </c>
      <c r="K96" s="191">
        <v>0</v>
      </c>
      <c r="L96" s="191">
        <v>0</v>
      </c>
      <c r="M96" s="191">
        <v>0</v>
      </c>
      <c r="N96" s="191">
        <v>0</v>
      </c>
      <c r="O96" s="191">
        <v>0</v>
      </c>
      <c r="P96" s="191">
        <v>0</v>
      </c>
      <c r="Q96" s="191">
        <v>0</v>
      </c>
      <c r="R96" s="191">
        <v>0</v>
      </c>
      <c r="S96" s="191">
        <v>0</v>
      </c>
      <c r="T96" s="191">
        <v>0</v>
      </c>
      <c r="U96" s="191">
        <v>0</v>
      </c>
      <c r="V96" s="191">
        <v>0</v>
      </c>
      <c r="W96" s="191">
        <v>0</v>
      </c>
      <c r="X96" s="191">
        <v>0</v>
      </c>
      <c r="Y96" s="191">
        <v>0</v>
      </c>
      <c r="Z96" s="191">
        <v>0</v>
      </c>
      <c r="AA96" s="191">
        <v>0</v>
      </c>
      <c r="AB96" s="191">
        <v>0</v>
      </c>
      <c r="AC96" s="191">
        <v>0</v>
      </c>
      <c r="AD96" s="191">
        <v>0</v>
      </c>
      <c r="AE96" s="191">
        <v>0</v>
      </c>
      <c r="AF96" s="191">
        <v>0</v>
      </c>
      <c r="AG96" s="191">
        <v>0</v>
      </c>
      <c r="AH96" s="191">
        <v>0</v>
      </c>
      <c r="AI96" s="191">
        <v>0</v>
      </c>
      <c r="AJ96" s="191">
        <v>0</v>
      </c>
      <c r="AK96" s="191">
        <v>0</v>
      </c>
      <c r="AL96" s="191">
        <v>0</v>
      </c>
      <c r="AM96" s="191">
        <v>0</v>
      </c>
      <c r="AN96" s="191">
        <v>0</v>
      </c>
    </row>
    <row r="97" spans="3:40" x14ac:dyDescent="0.3">
      <c r="C97" s="191">
        <v>39</v>
      </c>
      <c r="D97" s="191">
        <v>9</v>
      </c>
      <c r="E97" s="191">
        <v>5</v>
      </c>
      <c r="F97" s="191">
        <v>0</v>
      </c>
      <c r="G97" s="191">
        <v>0</v>
      </c>
      <c r="H97" s="191">
        <v>0</v>
      </c>
      <c r="I97" s="191">
        <v>0</v>
      </c>
      <c r="J97" s="191">
        <v>0</v>
      </c>
      <c r="K97" s="191">
        <v>0</v>
      </c>
      <c r="L97" s="191">
        <v>0</v>
      </c>
      <c r="M97" s="191">
        <v>0</v>
      </c>
      <c r="N97" s="191">
        <v>0</v>
      </c>
      <c r="O97" s="191">
        <v>0</v>
      </c>
      <c r="P97" s="191">
        <v>0</v>
      </c>
      <c r="Q97" s="191">
        <v>0</v>
      </c>
      <c r="R97" s="191">
        <v>0</v>
      </c>
      <c r="S97" s="191">
        <v>0</v>
      </c>
      <c r="T97" s="191">
        <v>0</v>
      </c>
      <c r="U97" s="191">
        <v>0</v>
      </c>
      <c r="V97" s="191">
        <v>0</v>
      </c>
      <c r="W97" s="191">
        <v>0</v>
      </c>
      <c r="X97" s="191">
        <v>0</v>
      </c>
      <c r="Y97" s="191">
        <v>0</v>
      </c>
      <c r="Z97" s="191">
        <v>0</v>
      </c>
      <c r="AA97" s="191">
        <v>0</v>
      </c>
      <c r="AB97" s="191">
        <v>0</v>
      </c>
      <c r="AC97" s="191">
        <v>0</v>
      </c>
      <c r="AD97" s="191">
        <v>0</v>
      </c>
      <c r="AE97" s="191">
        <v>0</v>
      </c>
      <c r="AF97" s="191">
        <v>0</v>
      </c>
      <c r="AG97" s="191">
        <v>0</v>
      </c>
      <c r="AH97" s="191">
        <v>0</v>
      </c>
      <c r="AI97" s="191">
        <v>0</v>
      </c>
      <c r="AJ97" s="191">
        <v>0</v>
      </c>
      <c r="AK97" s="191">
        <v>0</v>
      </c>
      <c r="AL97" s="191">
        <v>0</v>
      </c>
      <c r="AM97" s="191">
        <v>0</v>
      </c>
      <c r="AN97" s="191">
        <v>0</v>
      </c>
    </row>
    <row r="98" spans="3:40" x14ac:dyDescent="0.3">
      <c r="C98" s="191">
        <v>39</v>
      </c>
      <c r="D98" s="191">
        <v>9</v>
      </c>
      <c r="E98" s="191">
        <v>6</v>
      </c>
      <c r="F98" s="191">
        <v>399953</v>
      </c>
      <c r="G98" s="191">
        <v>0</v>
      </c>
      <c r="H98" s="191">
        <v>0</v>
      </c>
      <c r="I98" s="191">
        <v>0</v>
      </c>
      <c r="J98" s="191">
        <v>0</v>
      </c>
      <c r="K98" s="191">
        <v>0</v>
      </c>
      <c r="L98" s="191">
        <v>0</v>
      </c>
      <c r="M98" s="191">
        <v>0</v>
      </c>
      <c r="N98" s="191">
        <v>0</v>
      </c>
      <c r="O98" s="191">
        <v>0</v>
      </c>
      <c r="P98" s="191">
        <v>0</v>
      </c>
      <c r="Q98" s="191">
        <v>0</v>
      </c>
      <c r="R98" s="191">
        <v>0</v>
      </c>
      <c r="S98" s="191">
        <v>0</v>
      </c>
      <c r="T98" s="191">
        <v>0</v>
      </c>
      <c r="U98" s="191">
        <v>0</v>
      </c>
      <c r="V98" s="191">
        <v>291259</v>
      </c>
      <c r="W98" s="191">
        <v>0</v>
      </c>
      <c r="X98" s="191">
        <v>0</v>
      </c>
      <c r="Y98" s="191">
        <v>0</v>
      </c>
      <c r="Z98" s="191">
        <v>0</v>
      </c>
      <c r="AA98" s="191">
        <v>0</v>
      </c>
      <c r="AB98" s="191">
        <v>0</v>
      </c>
      <c r="AC98" s="191">
        <v>0</v>
      </c>
      <c r="AD98" s="191">
        <v>0</v>
      </c>
      <c r="AE98" s="191">
        <v>0</v>
      </c>
      <c r="AF98" s="191">
        <v>0</v>
      </c>
      <c r="AG98" s="191">
        <v>0</v>
      </c>
      <c r="AH98" s="191">
        <v>0</v>
      </c>
      <c r="AI98" s="191">
        <v>90680</v>
      </c>
      <c r="AJ98" s="191">
        <v>0</v>
      </c>
      <c r="AK98" s="191">
        <v>0</v>
      </c>
      <c r="AL98" s="191">
        <v>0</v>
      </c>
      <c r="AM98" s="191">
        <v>18014</v>
      </c>
      <c r="AN98" s="191">
        <v>0</v>
      </c>
    </row>
    <row r="99" spans="3:40" x14ac:dyDescent="0.3">
      <c r="C99" s="191">
        <v>39</v>
      </c>
      <c r="D99" s="191">
        <v>9</v>
      </c>
      <c r="E99" s="191">
        <v>7</v>
      </c>
      <c r="F99" s="191">
        <v>0</v>
      </c>
      <c r="G99" s="191">
        <v>0</v>
      </c>
      <c r="H99" s="191">
        <v>0</v>
      </c>
      <c r="I99" s="191">
        <v>0</v>
      </c>
      <c r="J99" s="191">
        <v>0</v>
      </c>
      <c r="K99" s="191">
        <v>0</v>
      </c>
      <c r="L99" s="191">
        <v>0</v>
      </c>
      <c r="M99" s="191">
        <v>0</v>
      </c>
      <c r="N99" s="191">
        <v>0</v>
      </c>
      <c r="O99" s="191">
        <v>0</v>
      </c>
      <c r="P99" s="191">
        <v>0</v>
      </c>
      <c r="Q99" s="191">
        <v>0</v>
      </c>
      <c r="R99" s="191">
        <v>0</v>
      </c>
      <c r="S99" s="191">
        <v>0</v>
      </c>
      <c r="T99" s="191">
        <v>0</v>
      </c>
      <c r="U99" s="191">
        <v>0</v>
      </c>
      <c r="V99" s="191">
        <v>0</v>
      </c>
      <c r="W99" s="191">
        <v>0</v>
      </c>
      <c r="X99" s="191">
        <v>0</v>
      </c>
      <c r="Y99" s="191">
        <v>0</v>
      </c>
      <c r="Z99" s="191">
        <v>0</v>
      </c>
      <c r="AA99" s="191">
        <v>0</v>
      </c>
      <c r="AB99" s="191">
        <v>0</v>
      </c>
      <c r="AC99" s="191">
        <v>0</v>
      </c>
      <c r="AD99" s="191">
        <v>0</v>
      </c>
      <c r="AE99" s="191">
        <v>0</v>
      </c>
      <c r="AF99" s="191">
        <v>0</v>
      </c>
      <c r="AG99" s="191">
        <v>0</v>
      </c>
      <c r="AH99" s="191">
        <v>0</v>
      </c>
      <c r="AI99" s="191">
        <v>0</v>
      </c>
      <c r="AJ99" s="191">
        <v>0</v>
      </c>
      <c r="AK99" s="191">
        <v>0</v>
      </c>
      <c r="AL99" s="191">
        <v>0</v>
      </c>
      <c r="AM99" s="191">
        <v>0</v>
      </c>
      <c r="AN99" s="191">
        <v>0</v>
      </c>
    </row>
    <row r="100" spans="3:40" x14ac:dyDescent="0.3">
      <c r="C100" s="191">
        <v>39</v>
      </c>
      <c r="D100" s="191">
        <v>9</v>
      </c>
      <c r="E100" s="191">
        <v>8</v>
      </c>
      <c r="F100" s="191">
        <v>0</v>
      </c>
      <c r="G100" s="191">
        <v>0</v>
      </c>
      <c r="H100" s="191">
        <v>0</v>
      </c>
      <c r="I100" s="191">
        <v>0</v>
      </c>
      <c r="J100" s="191">
        <v>0</v>
      </c>
      <c r="K100" s="191">
        <v>0</v>
      </c>
      <c r="L100" s="191">
        <v>0</v>
      </c>
      <c r="M100" s="191">
        <v>0</v>
      </c>
      <c r="N100" s="191">
        <v>0</v>
      </c>
      <c r="O100" s="191">
        <v>0</v>
      </c>
      <c r="P100" s="191">
        <v>0</v>
      </c>
      <c r="Q100" s="191">
        <v>0</v>
      </c>
      <c r="R100" s="191">
        <v>0</v>
      </c>
      <c r="S100" s="191">
        <v>0</v>
      </c>
      <c r="T100" s="191">
        <v>0</v>
      </c>
      <c r="U100" s="191">
        <v>0</v>
      </c>
      <c r="V100" s="191">
        <v>0</v>
      </c>
      <c r="W100" s="191">
        <v>0</v>
      </c>
      <c r="X100" s="191">
        <v>0</v>
      </c>
      <c r="Y100" s="191">
        <v>0</v>
      </c>
      <c r="Z100" s="191">
        <v>0</v>
      </c>
      <c r="AA100" s="191">
        <v>0</v>
      </c>
      <c r="AB100" s="191">
        <v>0</v>
      </c>
      <c r="AC100" s="191">
        <v>0</v>
      </c>
      <c r="AD100" s="191">
        <v>0</v>
      </c>
      <c r="AE100" s="191">
        <v>0</v>
      </c>
      <c r="AF100" s="191">
        <v>0</v>
      </c>
      <c r="AG100" s="191">
        <v>0</v>
      </c>
      <c r="AH100" s="191">
        <v>0</v>
      </c>
      <c r="AI100" s="191">
        <v>0</v>
      </c>
      <c r="AJ100" s="191">
        <v>0</v>
      </c>
      <c r="AK100" s="191">
        <v>0</v>
      </c>
      <c r="AL100" s="191">
        <v>0</v>
      </c>
      <c r="AM100" s="191">
        <v>0</v>
      </c>
      <c r="AN100" s="191">
        <v>0</v>
      </c>
    </row>
    <row r="101" spans="3:40" x14ac:dyDescent="0.3">
      <c r="C101" s="191">
        <v>39</v>
      </c>
      <c r="D101" s="191">
        <v>9</v>
      </c>
      <c r="E101" s="191">
        <v>9</v>
      </c>
      <c r="F101" s="191">
        <v>0</v>
      </c>
      <c r="G101" s="191">
        <v>0</v>
      </c>
      <c r="H101" s="191">
        <v>0</v>
      </c>
      <c r="I101" s="191">
        <v>0</v>
      </c>
      <c r="J101" s="191">
        <v>0</v>
      </c>
      <c r="K101" s="191">
        <v>0</v>
      </c>
      <c r="L101" s="191">
        <v>0</v>
      </c>
      <c r="M101" s="191">
        <v>0</v>
      </c>
      <c r="N101" s="191">
        <v>0</v>
      </c>
      <c r="O101" s="191">
        <v>0</v>
      </c>
      <c r="P101" s="191">
        <v>0</v>
      </c>
      <c r="Q101" s="191">
        <v>0</v>
      </c>
      <c r="R101" s="191">
        <v>0</v>
      </c>
      <c r="S101" s="191">
        <v>0</v>
      </c>
      <c r="T101" s="191">
        <v>0</v>
      </c>
      <c r="U101" s="191">
        <v>0</v>
      </c>
      <c r="V101" s="191">
        <v>0</v>
      </c>
      <c r="W101" s="191">
        <v>0</v>
      </c>
      <c r="X101" s="191">
        <v>0</v>
      </c>
      <c r="Y101" s="191">
        <v>0</v>
      </c>
      <c r="Z101" s="191">
        <v>0</v>
      </c>
      <c r="AA101" s="191">
        <v>0</v>
      </c>
      <c r="AB101" s="191">
        <v>0</v>
      </c>
      <c r="AC101" s="191">
        <v>0</v>
      </c>
      <c r="AD101" s="191">
        <v>0</v>
      </c>
      <c r="AE101" s="191">
        <v>0</v>
      </c>
      <c r="AF101" s="191">
        <v>0</v>
      </c>
      <c r="AG101" s="191">
        <v>0</v>
      </c>
      <c r="AH101" s="191">
        <v>0</v>
      </c>
      <c r="AI101" s="191">
        <v>0</v>
      </c>
      <c r="AJ101" s="191">
        <v>0</v>
      </c>
      <c r="AK101" s="191">
        <v>0</v>
      </c>
      <c r="AL101" s="191">
        <v>0</v>
      </c>
      <c r="AM101" s="191">
        <v>0</v>
      </c>
      <c r="AN101" s="191">
        <v>0</v>
      </c>
    </row>
    <row r="102" spans="3:40" x14ac:dyDescent="0.3">
      <c r="C102" s="191">
        <v>39</v>
      </c>
      <c r="D102" s="191">
        <v>9</v>
      </c>
      <c r="E102" s="191">
        <v>10</v>
      </c>
      <c r="F102" s="191">
        <v>0</v>
      </c>
      <c r="G102" s="191">
        <v>0</v>
      </c>
      <c r="H102" s="191">
        <v>0</v>
      </c>
      <c r="I102" s="191">
        <v>0</v>
      </c>
      <c r="J102" s="191">
        <v>0</v>
      </c>
      <c r="K102" s="191">
        <v>0</v>
      </c>
      <c r="L102" s="191">
        <v>0</v>
      </c>
      <c r="M102" s="191">
        <v>0</v>
      </c>
      <c r="N102" s="191">
        <v>0</v>
      </c>
      <c r="O102" s="191">
        <v>0</v>
      </c>
      <c r="P102" s="191">
        <v>0</v>
      </c>
      <c r="Q102" s="191">
        <v>0</v>
      </c>
      <c r="R102" s="191">
        <v>0</v>
      </c>
      <c r="S102" s="191">
        <v>0</v>
      </c>
      <c r="T102" s="191">
        <v>0</v>
      </c>
      <c r="U102" s="191">
        <v>0</v>
      </c>
      <c r="V102" s="191">
        <v>0</v>
      </c>
      <c r="W102" s="191">
        <v>0</v>
      </c>
      <c r="X102" s="191">
        <v>0</v>
      </c>
      <c r="Y102" s="191">
        <v>0</v>
      </c>
      <c r="Z102" s="191">
        <v>0</v>
      </c>
      <c r="AA102" s="191">
        <v>0</v>
      </c>
      <c r="AB102" s="191">
        <v>0</v>
      </c>
      <c r="AC102" s="191">
        <v>0</v>
      </c>
      <c r="AD102" s="191">
        <v>0</v>
      </c>
      <c r="AE102" s="191">
        <v>0</v>
      </c>
      <c r="AF102" s="191">
        <v>0</v>
      </c>
      <c r="AG102" s="191">
        <v>0</v>
      </c>
      <c r="AH102" s="191">
        <v>0</v>
      </c>
      <c r="AI102" s="191">
        <v>0</v>
      </c>
      <c r="AJ102" s="191">
        <v>0</v>
      </c>
      <c r="AK102" s="191">
        <v>0</v>
      </c>
      <c r="AL102" s="191">
        <v>0</v>
      </c>
      <c r="AM102" s="191">
        <v>0</v>
      </c>
      <c r="AN102" s="191">
        <v>0</v>
      </c>
    </row>
    <row r="103" spans="3:40" x14ac:dyDescent="0.3">
      <c r="C103" s="191">
        <v>39</v>
      </c>
      <c r="D103" s="191">
        <v>9</v>
      </c>
      <c r="E103" s="191">
        <v>11</v>
      </c>
      <c r="F103" s="191">
        <v>1166.6666666666667</v>
      </c>
      <c r="G103" s="191">
        <v>0</v>
      </c>
      <c r="H103" s="191">
        <v>0</v>
      </c>
      <c r="I103" s="191">
        <v>0</v>
      </c>
      <c r="J103" s="191">
        <v>0</v>
      </c>
      <c r="K103" s="191">
        <v>1166.6666666666667</v>
      </c>
      <c r="L103" s="191">
        <v>0</v>
      </c>
      <c r="M103" s="191">
        <v>0</v>
      </c>
      <c r="N103" s="191">
        <v>0</v>
      </c>
      <c r="O103" s="191">
        <v>0</v>
      </c>
      <c r="P103" s="191">
        <v>0</v>
      </c>
      <c r="Q103" s="191">
        <v>0</v>
      </c>
      <c r="R103" s="191">
        <v>0</v>
      </c>
      <c r="S103" s="191">
        <v>0</v>
      </c>
      <c r="T103" s="191">
        <v>0</v>
      </c>
      <c r="U103" s="191">
        <v>0</v>
      </c>
      <c r="V103" s="191">
        <v>0</v>
      </c>
      <c r="W103" s="191">
        <v>0</v>
      </c>
      <c r="X103" s="191">
        <v>0</v>
      </c>
      <c r="Y103" s="191">
        <v>0</v>
      </c>
      <c r="Z103" s="191">
        <v>0</v>
      </c>
      <c r="AA103" s="191">
        <v>0</v>
      </c>
      <c r="AB103" s="191">
        <v>0</v>
      </c>
      <c r="AC103" s="191">
        <v>0</v>
      </c>
      <c r="AD103" s="191">
        <v>0</v>
      </c>
      <c r="AE103" s="191">
        <v>0</v>
      </c>
      <c r="AF103" s="191">
        <v>0</v>
      </c>
      <c r="AG103" s="191">
        <v>0</v>
      </c>
      <c r="AH103" s="191">
        <v>0</v>
      </c>
      <c r="AI103" s="191">
        <v>0</v>
      </c>
      <c r="AJ103" s="191">
        <v>0</v>
      </c>
      <c r="AK103" s="191">
        <v>0</v>
      </c>
      <c r="AL103" s="191">
        <v>0</v>
      </c>
      <c r="AM103" s="191">
        <v>0</v>
      </c>
      <c r="AN103" s="191">
        <v>0</v>
      </c>
    </row>
    <row r="104" spans="3:40" x14ac:dyDescent="0.3">
      <c r="C104" s="191">
        <v>39</v>
      </c>
      <c r="D104" s="191">
        <v>10</v>
      </c>
      <c r="E104" s="191">
        <v>1</v>
      </c>
      <c r="F104" s="191">
        <v>13.8</v>
      </c>
      <c r="G104" s="191">
        <v>0</v>
      </c>
      <c r="H104" s="191">
        <v>0</v>
      </c>
      <c r="I104" s="191">
        <v>0</v>
      </c>
      <c r="J104" s="191">
        <v>0</v>
      </c>
      <c r="K104" s="191">
        <v>0</v>
      </c>
      <c r="L104" s="191">
        <v>0</v>
      </c>
      <c r="M104" s="191">
        <v>0</v>
      </c>
      <c r="N104" s="191">
        <v>0</v>
      </c>
      <c r="O104" s="191">
        <v>0</v>
      </c>
      <c r="P104" s="191">
        <v>0</v>
      </c>
      <c r="Q104" s="191">
        <v>0</v>
      </c>
      <c r="R104" s="191">
        <v>0</v>
      </c>
      <c r="S104" s="191">
        <v>0</v>
      </c>
      <c r="T104" s="191">
        <v>0</v>
      </c>
      <c r="U104" s="191">
        <v>0</v>
      </c>
      <c r="V104" s="191">
        <v>9.1999999999999993</v>
      </c>
      <c r="W104" s="191">
        <v>0</v>
      </c>
      <c r="X104" s="191">
        <v>0</v>
      </c>
      <c r="Y104" s="191">
        <v>0</v>
      </c>
      <c r="Z104" s="191">
        <v>0</v>
      </c>
      <c r="AA104" s="191">
        <v>0</v>
      </c>
      <c r="AB104" s="191">
        <v>0</v>
      </c>
      <c r="AC104" s="191">
        <v>0</v>
      </c>
      <c r="AD104" s="191">
        <v>0</v>
      </c>
      <c r="AE104" s="191">
        <v>0</v>
      </c>
      <c r="AF104" s="191">
        <v>0</v>
      </c>
      <c r="AG104" s="191">
        <v>0</v>
      </c>
      <c r="AH104" s="191">
        <v>0</v>
      </c>
      <c r="AI104" s="191">
        <v>3.6</v>
      </c>
      <c r="AJ104" s="191">
        <v>0</v>
      </c>
      <c r="AK104" s="191">
        <v>0</v>
      </c>
      <c r="AL104" s="191">
        <v>0</v>
      </c>
      <c r="AM104" s="191">
        <v>1</v>
      </c>
      <c r="AN104" s="191">
        <v>0</v>
      </c>
    </row>
    <row r="105" spans="3:40" x14ac:dyDescent="0.3">
      <c r="C105" s="191">
        <v>39</v>
      </c>
      <c r="D105" s="191">
        <v>10</v>
      </c>
      <c r="E105" s="191">
        <v>2</v>
      </c>
      <c r="F105" s="191">
        <v>2323.1999999999998</v>
      </c>
      <c r="G105" s="191">
        <v>0</v>
      </c>
      <c r="H105" s="191">
        <v>0</v>
      </c>
      <c r="I105" s="191">
        <v>0</v>
      </c>
      <c r="J105" s="191">
        <v>0</v>
      </c>
      <c r="K105" s="191">
        <v>0</v>
      </c>
      <c r="L105" s="191">
        <v>0</v>
      </c>
      <c r="M105" s="191">
        <v>0</v>
      </c>
      <c r="N105" s="191">
        <v>0</v>
      </c>
      <c r="O105" s="191">
        <v>0</v>
      </c>
      <c r="P105" s="191">
        <v>0</v>
      </c>
      <c r="Q105" s="191">
        <v>0</v>
      </c>
      <c r="R105" s="191">
        <v>0</v>
      </c>
      <c r="S105" s="191">
        <v>0</v>
      </c>
      <c r="T105" s="191">
        <v>0</v>
      </c>
      <c r="U105" s="191">
        <v>0</v>
      </c>
      <c r="V105" s="191">
        <v>1564.8</v>
      </c>
      <c r="W105" s="191">
        <v>0</v>
      </c>
      <c r="X105" s="191">
        <v>0</v>
      </c>
      <c r="Y105" s="191">
        <v>0</v>
      </c>
      <c r="Z105" s="191">
        <v>0</v>
      </c>
      <c r="AA105" s="191">
        <v>0</v>
      </c>
      <c r="AB105" s="191">
        <v>0</v>
      </c>
      <c r="AC105" s="191">
        <v>0</v>
      </c>
      <c r="AD105" s="191">
        <v>0</v>
      </c>
      <c r="AE105" s="191">
        <v>0</v>
      </c>
      <c r="AF105" s="191">
        <v>0</v>
      </c>
      <c r="AG105" s="191">
        <v>0</v>
      </c>
      <c r="AH105" s="191">
        <v>0</v>
      </c>
      <c r="AI105" s="191">
        <v>590.4</v>
      </c>
      <c r="AJ105" s="191">
        <v>0</v>
      </c>
      <c r="AK105" s="191">
        <v>0</v>
      </c>
      <c r="AL105" s="191">
        <v>0</v>
      </c>
      <c r="AM105" s="191">
        <v>168</v>
      </c>
      <c r="AN105" s="191">
        <v>0</v>
      </c>
    </row>
    <row r="106" spans="3:40" x14ac:dyDescent="0.3">
      <c r="C106" s="191">
        <v>39</v>
      </c>
      <c r="D106" s="191">
        <v>10</v>
      </c>
      <c r="E106" s="191">
        <v>3</v>
      </c>
      <c r="F106" s="191">
        <v>0</v>
      </c>
      <c r="G106" s="191">
        <v>0</v>
      </c>
      <c r="H106" s="191">
        <v>0</v>
      </c>
      <c r="I106" s="191">
        <v>0</v>
      </c>
      <c r="J106" s="191">
        <v>0</v>
      </c>
      <c r="K106" s="191">
        <v>0</v>
      </c>
      <c r="L106" s="191">
        <v>0</v>
      </c>
      <c r="M106" s="191">
        <v>0</v>
      </c>
      <c r="N106" s="191">
        <v>0</v>
      </c>
      <c r="O106" s="191">
        <v>0</v>
      </c>
      <c r="P106" s="191">
        <v>0</v>
      </c>
      <c r="Q106" s="191">
        <v>0</v>
      </c>
      <c r="R106" s="191">
        <v>0</v>
      </c>
      <c r="S106" s="191">
        <v>0</v>
      </c>
      <c r="T106" s="191">
        <v>0</v>
      </c>
      <c r="U106" s="191">
        <v>0</v>
      </c>
      <c r="V106" s="191">
        <v>0</v>
      </c>
      <c r="W106" s="191">
        <v>0</v>
      </c>
      <c r="X106" s="191">
        <v>0</v>
      </c>
      <c r="Y106" s="191">
        <v>0</v>
      </c>
      <c r="Z106" s="191">
        <v>0</v>
      </c>
      <c r="AA106" s="191">
        <v>0</v>
      </c>
      <c r="AB106" s="191">
        <v>0</v>
      </c>
      <c r="AC106" s="191">
        <v>0</v>
      </c>
      <c r="AD106" s="191">
        <v>0</v>
      </c>
      <c r="AE106" s="191">
        <v>0</v>
      </c>
      <c r="AF106" s="191">
        <v>0</v>
      </c>
      <c r="AG106" s="191">
        <v>0</v>
      </c>
      <c r="AH106" s="191">
        <v>0</v>
      </c>
      <c r="AI106" s="191">
        <v>0</v>
      </c>
      <c r="AJ106" s="191">
        <v>0</v>
      </c>
      <c r="AK106" s="191">
        <v>0</v>
      </c>
      <c r="AL106" s="191">
        <v>0</v>
      </c>
      <c r="AM106" s="191">
        <v>0</v>
      </c>
      <c r="AN106" s="191">
        <v>0</v>
      </c>
    </row>
    <row r="107" spans="3:40" x14ac:dyDescent="0.3">
      <c r="C107" s="191">
        <v>39</v>
      </c>
      <c r="D107" s="191">
        <v>10</v>
      </c>
      <c r="E107" s="191">
        <v>4</v>
      </c>
      <c r="F107" s="191">
        <v>0</v>
      </c>
      <c r="G107" s="191">
        <v>0</v>
      </c>
      <c r="H107" s="191">
        <v>0</v>
      </c>
      <c r="I107" s="191">
        <v>0</v>
      </c>
      <c r="J107" s="191">
        <v>0</v>
      </c>
      <c r="K107" s="191">
        <v>0</v>
      </c>
      <c r="L107" s="191">
        <v>0</v>
      </c>
      <c r="M107" s="191">
        <v>0</v>
      </c>
      <c r="N107" s="191">
        <v>0</v>
      </c>
      <c r="O107" s="191">
        <v>0</v>
      </c>
      <c r="P107" s="191">
        <v>0</v>
      </c>
      <c r="Q107" s="191">
        <v>0</v>
      </c>
      <c r="R107" s="191">
        <v>0</v>
      </c>
      <c r="S107" s="191">
        <v>0</v>
      </c>
      <c r="T107" s="191">
        <v>0</v>
      </c>
      <c r="U107" s="191">
        <v>0</v>
      </c>
      <c r="V107" s="191">
        <v>0</v>
      </c>
      <c r="W107" s="191">
        <v>0</v>
      </c>
      <c r="X107" s="191">
        <v>0</v>
      </c>
      <c r="Y107" s="191">
        <v>0</v>
      </c>
      <c r="Z107" s="191">
        <v>0</v>
      </c>
      <c r="AA107" s="191">
        <v>0</v>
      </c>
      <c r="AB107" s="191">
        <v>0</v>
      </c>
      <c r="AC107" s="191">
        <v>0</v>
      </c>
      <c r="AD107" s="191">
        <v>0</v>
      </c>
      <c r="AE107" s="191">
        <v>0</v>
      </c>
      <c r="AF107" s="191">
        <v>0</v>
      </c>
      <c r="AG107" s="191">
        <v>0</v>
      </c>
      <c r="AH107" s="191">
        <v>0</v>
      </c>
      <c r="AI107" s="191">
        <v>0</v>
      </c>
      <c r="AJ107" s="191">
        <v>0</v>
      </c>
      <c r="AK107" s="191">
        <v>0</v>
      </c>
      <c r="AL107" s="191">
        <v>0</v>
      </c>
      <c r="AM107" s="191">
        <v>0</v>
      </c>
      <c r="AN107" s="191">
        <v>0</v>
      </c>
    </row>
    <row r="108" spans="3:40" x14ac:dyDescent="0.3">
      <c r="C108" s="191">
        <v>39</v>
      </c>
      <c r="D108" s="191">
        <v>10</v>
      </c>
      <c r="E108" s="191">
        <v>5</v>
      </c>
      <c r="F108" s="191">
        <v>0</v>
      </c>
      <c r="G108" s="191">
        <v>0</v>
      </c>
      <c r="H108" s="191">
        <v>0</v>
      </c>
      <c r="I108" s="191">
        <v>0</v>
      </c>
      <c r="J108" s="191">
        <v>0</v>
      </c>
      <c r="K108" s="191">
        <v>0</v>
      </c>
      <c r="L108" s="191">
        <v>0</v>
      </c>
      <c r="M108" s="191">
        <v>0</v>
      </c>
      <c r="N108" s="191">
        <v>0</v>
      </c>
      <c r="O108" s="191">
        <v>0</v>
      </c>
      <c r="P108" s="191">
        <v>0</v>
      </c>
      <c r="Q108" s="191">
        <v>0</v>
      </c>
      <c r="R108" s="191">
        <v>0</v>
      </c>
      <c r="S108" s="191">
        <v>0</v>
      </c>
      <c r="T108" s="191">
        <v>0</v>
      </c>
      <c r="U108" s="191">
        <v>0</v>
      </c>
      <c r="V108" s="191">
        <v>0</v>
      </c>
      <c r="W108" s="191">
        <v>0</v>
      </c>
      <c r="X108" s="191">
        <v>0</v>
      </c>
      <c r="Y108" s="191">
        <v>0</v>
      </c>
      <c r="Z108" s="191">
        <v>0</v>
      </c>
      <c r="AA108" s="191">
        <v>0</v>
      </c>
      <c r="AB108" s="191">
        <v>0</v>
      </c>
      <c r="AC108" s="191">
        <v>0</v>
      </c>
      <c r="AD108" s="191">
        <v>0</v>
      </c>
      <c r="AE108" s="191">
        <v>0</v>
      </c>
      <c r="AF108" s="191">
        <v>0</v>
      </c>
      <c r="AG108" s="191">
        <v>0</v>
      </c>
      <c r="AH108" s="191">
        <v>0</v>
      </c>
      <c r="AI108" s="191">
        <v>0</v>
      </c>
      <c r="AJ108" s="191">
        <v>0</v>
      </c>
      <c r="AK108" s="191">
        <v>0</v>
      </c>
      <c r="AL108" s="191">
        <v>0</v>
      </c>
      <c r="AM108" s="191">
        <v>0</v>
      </c>
      <c r="AN108" s="191">
        <v>0</v>
      </c>
    </row>
    <row r="109" spans="3:40" x14ac:dyDescent="0.3">
      <c r="C109" s="191">
        <v>39</v>
      </c>
      <c r="D109" s="191">
        <v>10</v>
      </c>
      <c r="E109" s="191">
        <v>6</v>
      </c>
      <c r="F109" s="191">
        <v>391913</v>
      </c>
      <c r="G109" s="191">
        <v>0</v>
      </c>
      <c r="H109" s="191">
        <v>0</v>
      </c>
      <c r="I109" s="191">
        <v>0</v>
      </c>
      <c r="J109" s="191">
        <v>0</v>
      </c>
      <c r="K109" s="191">
        <v>0</v>
      </c>
      <c r="L109" s="191">
        <v>0</v>
      </c>
      <c r="M109" s="191">
        <v>0</v>
      </c>
      <c r="N109" s="191">
        <v>0</v>
      </c>
      <c r="O109" s="191">
        <v>0</v>
      </c>
      <c r="P109" s="191">
        <v>0</v>
      </c>
      <c r="Q109" s="191">
        <v>0</v>
      </c>
      <c r="R109" s="191">
        <v>0</v>
      </c>
      <c r="S109" s="191">
        <v>0</v>
      </c>
      <c r="T109" s="191">
        <v>0</v>
      </c>
      <c r="U109" s="191">
        <v>0</v>
      </c>
      <c r="V109" s="191">
        <v>281849</v>
      </c>
      <c r="W109" s="191">
        <v>0</v>
      </c>
      <c r="X109" s="191">
        <v>0</v>
      </c>
      <c r="Y109" s="191">
        <v>0</v>
      </c>
      <c r="Z109" s="191">
        <v>0</v>
      </c>
      <c r="AA109" s="191">
        <v>0</v>
      </c>
      <c r="AB109" s="191">
        <v>0</v>
      </c>
      <c r="AC109" s="191">
        <v>0</v>
      </c>
      <c r="AD109" s="191">
        <v>0</v>
      </c>
      <c r="AE109" s="191">
        <v>0</v>
      </c>
      <c r="AF109" s="191">
        <v>0</v>
      </c>
      <c r="AG109" s="191">
        <v>0</v>
      </c>
      <c r="AH109" s="191">
        <v>0</v>
      </c>
      <c r="AI109" s="191">
        <v>91869</v>
      </c>
      <c r="AJ109" s="191">
        <v>0</v>
      </c>
      <c r="AK109" s="191">
        <v>0</v>
      </c>
      <c r="AL109" s="191">
        <v>0</v>
      </c>
      <c r="AM109" s="191">
        <v>18195</v>
      </c>
      <c r="AN109" s="191">
        <v>0</v>
      </c>
    </row>
    <row r="110" spans="3:40" x14ac:dyDescent="0.3">
      <c r="C110" s="191">
        <v>39</v>
      </c>
      <c r="D110" s="191">
        <v>10</v>
      </c>
      <c r="E110" s="191">
        <v>7</v>
      </c>
      <c r="F110" s="191">
        <v>0</v>
      </c>
      <c r="G110" s="191">
        <v>0</v>
      </c>
      <c r="H110" s="191">
        <v>0</v>
      </c>
      <c r="I110" s="191">
        <v>0</v>
      </c>
      <c r="J110" s="191">
        <v>0</v>
      </c>
      <c r="K110" s="191">
        <v>0</v>
      </c>
      <c r="L110" s="191">
        <v>0</v>
      </c>
      <c r="M110" s="191">
        <v>0</v>
      </c>
      <c r="N110" s="191">
        <v>0</v>
      </c>
      <c r="O110" s="191">
        <v>0</v>
      </c>
      <c r="P110" s="191">
        <v>0</v>
      </c>
      <c r="Q110" s="191">
        <v>0</v>
      </c>
      <c r="R110" s="191">
        <v>0</v>
      </c>
      <c r="S110" s="191">
        <v>0</v>
      </c>
      <c r="T110" s="191">
        <v>0</v>
      </c>
      <c r="U110" s="191">
        <v>0</v>
      </c>
      <c r="V110" s="191">
        <v>0</v>
      </c>
      <c r="W110" s="191">
        <v>0</v>
      </c>
      <c r="X110" s="191">
        <v>0</v>
      </c>
      <c r="Y110" s="191">
        <v>0</v>
      </c>
      <c r="Z110" s="191">
        <v>0</v>
      </c>
      <c r="AA110" s="191">
        <v>0</v>
      </c>
      <c r="AB110" s="191">
        <v>0</v>
      </c>
      <c r="AC110" s="191">
        <v>0</v>
      </c>
      <c r="AD110" s="191">
        <v>0</v>
      </c>
      <c r="AE110" s="191">
        <v>0</v>
      </c>
      <c r="AF110" s="191">
        <v>0</v>
      </c>
      <c r="AG110" s="191">
        <v>0</v>
      </c>
      <c r="AH110" s="191">
        <v>0</v>
      </c>
      <c r="AI110" s="191">
        <v>0</v>
      </c>
      <c r="AJ110" s="191">
        <v>0</v>
      </c>
      <c r="AK110" s="191">
        <v>0</v>
      </c>
      <c r="AL110" s="191">
        <v>0</v>
      </c>
      <c r="AM110" s="191">
        <v>0</v>
      </c>
      <c r="AN110" s="191">
        <v>0</v>
      </c>
    </row>
    <row r="111" spans="3:40" x14ac:dyDescent="0.3">
      <c r="C111" s="191">
        <v>39</v>
      </c>
      <c r="D111" s="191">
        <v>10</v>
      </c>
      <c r="E111" s="191">
        <v>8</v>
      </c>
      <c r="F111" s="191">
        <v>0</v>
      </c>
      <c r="G111" s="191">
        <v>0</v>
      </c>
      <c r="H111" s="191">
        <v>0</v>
      </c>
      <c r="I111" s="191">
        <v>0</v>
      </c>
      <c r="J111" s="191">
        <v>0</v>
      </c>
      <c r="K111" s="191">
        <v>0</v>
      </c>
      <c r="L111" s="191">
        <v>0</v>
      </c>
      <c r="M111" s="191">
        <v>0</v>
      </c>
      <c r="N111" s="191">
        <v>0</v>
      </c>
      <c r="O111" s="191">
        <v>0</v>
      </c>
      <c r="P111" s="191">
        <v>0</v>
      </c>
      <c r="Q111" s="191">
        <v>0</v>
      </c>
      <c r="R111" s="191">
        <v>0</v>
      </c>
      <c r="S111" s="191">
        <v>0</v>
      </c>
      <c r="T111" s="191">
        <v>0</v>
      </c>
      <c r="U111" s="191">
        <v>0</v>
      </c>
      <c r="V111" s="191">
        <v>0</v>
      </c>
      <c r="W111" s="191">
        <v>0</v>
      </c>
      <c r="X111" s="191">
        <v>0</v>
      </c>
      <c r="Y111" s="191">
        <v>0</v>
      </c>
      <c r="Z111" s="191">
        <v>0</v>
      </c>
      <c r="AA111" s="191">
        <v>0</v>
      </c>
      <c r="AB111" s="191">
        <v>0</v>
      </c>
      <c r="AC111" s="191">
        <v>0</v>
      </c>
      <c r="AD111" s="191">
        <v>0</v>
      </c>
      <c r="AE111" s="191">
        <v>0</v>
      </c>
      <c r="AF111" s="191">
        <v>0</v>
      </c>
      <c r="AG111" s="191">
        <v>0</v>
      </c>
      <c r="AH111" s="191">
        <v>0</v>
      </c>
      <c r="AI111" s="191">
        <v>0</v>
      </c>
      <c r="AJ111" s="191">
        <v>0</v>
      </c>
      <c r="AK111" s="191">
        <v>0</v>
      </c>
      <c r="AL111" s="191">
        <v>0</v>
      </c>
      <c r="AM111" s="191">
        <v>0</v>
      </c>
      <c r="AN111" s="191">
        <v>0</v>
      </c>
    </row>
    <row r="112" spans="3:40" x14ac:dyDescent="0.3">
      <c r="C112" s="191">
        <v>39</v>
      </c>
      <c r="D112" s="191">
        <v>10</v>
      </c>
      <c r="E112" s="191">
        <v>9</v>
      </c>
      <c r="F112" s="191">
        <v>0</v>
      </c>
      <c r="G112" s="191">
        <v>0</v>
      </c>
      <c r="H112" s="191">
        <v>0</v>
      </c>
      <c r="I112" s="191">
        <v>0</v>
      </c>
      <c r="J112" s="191">
        <v>0</v>
      </c>
      <c r="K112" s="191">
        <v>0</v>
      </c>
      <c r="L112" s="191">
        <v>0</v>
      </c>
      <c r="M112" s="191">
        <v>0</v>
      </c>
      <c r="N112" s="191">
        <v>0</v>
      </c>
      <c r="O112" s="191">
        <v>0</v>
      </c>
      <c r="P112" s="191">
        <v>0</v>
      </c>
      <c r="Q112" s="191">
        <v>0</v>
      </c>
      <c r="R112" s="191">
        <v>0</v>
      </c>
      <c r="S112" s="191">
        <v>0</v>
      </c>
      <c r="T112" s="191">
        <v>0</v>
      </c>
      <c r="U112" s="191">
        <v>0</v>
      </c>
      <c r="V112" s="191">
        <v>0</v>
      </c>
      <c r="W112" s="191">
        <v>0</v>
      </c>
      <c r="X112" s="191">
        <v>0</v>
      </c>
      <c r="Y112" s="191">
        <v>0</v>
      </c>
      <c r="Z112" s="191">
        <v>0</v>
      </c>
      <c r="AA112" s="191">
        <v>0</v>
      </c>
      <c r="AB112" s="191">
        <v>0</v>
      </c>
      <c r="AC112" s="191">
        <v>0</v>
      </c>
      <c r="AD112" s="191">
        <v>0</v>
      </c>
      <c r="AE112" s="191">
        <v>0</v>
      </c>
      <c r="AF112" s="191">
        <v>0</v>
      </c>
      <c r="AG112" s="191">
        <v>0</v>
      </c>
      <c r="AH112" s="191">
        <v>0</v>
      </c>
      <c r="AI112" s="191">
        <v>0</v>
      </c>
      <c r="AJ112" s="191">
        <v>0</v>
      </c>
      <c r="AK112" s="191">
        <v>0</v>
      </c>
      <c r="AL112" s="191">
        <v>0</v>
      </c>
      <c r="AM112" s="191">
        <v>0</v>
      </c>
      <c r="AN112" s="191">
        <v>0</v>
      </c>
    </row>
    <row r="113" spans="3:40" x14ac:dyDescent="0.3">
      <c r="C113" s="191">
        <v>39</v>
      </c>
      <c r="D113" s="191">
        <v>10</v>
      </c>
      <c r="E113" s="191">
        <v>10</v>
      </c>
      <c r="F113" s="191">
        <v>1100</v>
      </c>
      <c r="G113" s="191">
        <v>0</v>
      </c>
      <c r="H113" s="191">
        <v>0</v>
      </c>
      <c r="I113" s="191">
        <v>0</v>
      </c>
      <c r="J113" s="191">
        <v>0</v>
      </c>
      <c r="K113" s="191">
        <v>1100</v>
      </c>
      <c r="L113" s="191">
        <v>0</v>
      </c>
      <c r="M113" s="191">
        <v>0</v>
      </c>
      <c r="N113" s="191">
        <v>0</v>
      </c>
      <c r="O113" s="191">
        <v>0</v>
      </c>
      <c r="P113" s="191">
        <v>0</v>
      </c>
      <c r="Q113" s="191">
        <v>0</v>
      </c>
      <c r="R113" s="191">
        <v>0</v>
      </c>
      <c r="S113" s="191">
        <v>0</v>
      </c>
      <c r="T113" s="191">
        <v>0</v>
      </c>
      <c r="U113" s="191">
        <v>0</v>
      </c>
      <c r="V113" s="191">
        <v>0</v>
      </c>
      <c r="W113" s="191">
        <v>0</v>
      </c>
      <c r="X113" s="191">
        <v>0</v>
      </c>
      <c r="Y113" s="191">
        <v>0</v>
      </c>
      <c r="Z113" s="191">
        <v>0</v>
      </c>
      <c r="AA113" s="191">
        <v>0</v>
      </c>
      <c r="AB113" s="191">
        <v>0</v>
      </c>
      <c r="AC113" s="191">
        <v>0</v>
      </c>
      <c r="AD113" s="191">
        <v>0</v>
      </c>
      <c r="AE113" s="191">
        <v>0</v>
      </c>
      <c r="AF113" s="191">
        <v>0</v>
      </c>
      <c r="AG113" s="191">
        <v>0</v>
      </c>
      <c r="AH113" s="191">
        <v>0</v>
      </c>
      <c r="AI113" s="191">
        <v>0</v>
      </c>
      <c r="AJ113" s="191">
        <v>0</v>
      </c>
      <c r="AK113" s="191">
        <v>0</v>
      </c>
      <c r="AL113" s="191">
        <v>0</v>
      </c>
      <c r="AM113" s="191">
        <v>0</v>
      </c>
      <c r="AN113" s="191">
        <v>0</v>
      </c>
    </row>
    <row r="114" spans="3:40" x14ac:dyDescent="0.3">
      <c r="C114" s="191">
        <v>39</v>
      </c>
      <c r="D114" s="191">
        <v>10</v>
      </c>
      <c r="E114" s="191">
        <v>11</v>
      </c>
      <c r="F114" s="191">
        <v>1166.6666666666667</v>
      </c>
      <c r="G114" s="191">
        <v>0</v>
      </c>
      <c r="H114" s="191">
        <v>0</v>
      </c>
      <c r="I114" s="191">
        <v>0</v>
      </c>
      <c r="J114" s="191">
        <v>0</v>
      </c>
      <c r="K114" s="191">
        <v>1166.6666666666667</v>
      </c>
      <c r="L114" s="191">
        <v>0</v>
      </c>
      <c r="M114" s="191">
        <v>0</v>
      </c>
      <c r="N114" s="191">
        <v>0</v>
      </c>
      <c r="O114" s="191">
        <v>0</v>
      </c>
      <c r="P114" s="191">
        <v>0</v>
      </c>
      <c r="Q114" s="191">
        <v>0</v>
      </c>
      <c r="R114" s="191">
        <v>0</v>
      </c>
      <c r="S114" s="191">
        <v>0</v>
      </c>
      <c r="T114" s="191">
        <v>0</v>
      </c>
      <c r="U114" s="191">
        <v>0</v>
      </c>
      <c r="V114" s="191">
        <v>0</v>
      </c>
      <c r="W114" s="191">
        <v>0</v>
      </c>
      <c r="X114" s="191">
        <v>0</v>
      </c>
      <c r="Y114" s="191">
        <v>0</v>
      </c>
      <c r="Z114" s="191">
        <v>0</v>
      </c>
      <c r="AA114" s="191">
        <v>0</v>
      </c>
      <c r="AB114" s="191">
        <v>0</v>
      </c>
      <c r="AC114" s="191">
        <v>0</v>
      </c>
      <c r="AD114" s="191">
        <v>0</v>
      </c>
      <c r="AE114" s="191">
        <v>0</v>
      </c>
      <c r="AF114" s="191">
        <v>0</v>
      </c>
      <c r="AG114" s="191">
        <v>0</v>
      </c>
      <c r="AH114" s="191">
        <v>0</v>
      </c>
      <c r="AI114" s="191">
        <v>0</v>
      </c>
      <c r="AJ114" s="191">
        <v>0</v>
      </c>
      <c r="AK114" s="191">
        <v>0</v>
      </c>
      <c r="AL114" s="191">
        <v>0</v>
      </c>
      <c r="AM114" s="191">
        <v>0</v>
      </c>
      <c r="AN114" s="191">
        <v>0</v>
      </c>
    </row>
    <row r="115" spans="3:40" x14ac:dyDescent="0.3">
      <c r="C115" s="191">
        <v>39</v>
      </c>
      <c r="D115" s="191">
        <v>11</v>
      </c>
      <c r="E115" s="191">
        <v>1</v>
      </c>
      <c r="F115" s="191">
        <v>13.8</v>
      </c>
      <c r="G115" s="191">
        <v>0</v>
      </c>
      <c r="H115" s="191">
        <v>0</v>
      </c>
      <c r="I115" s="191">
        <v>0</v>
      </c>
      <c r="J115" s="191">
        <v>0</v>
      </c>
      <c r="K115" s="191">
        <v>0</v>
      </c>
      <c r="L115" s="191">
        <v>0</v>
      </c>
      <c r="M115" s="191">
        <v>0</v>
      </c>
      <c r="N115" s="191">
        <v>0</v>
      </c>
      <c r="O115" s="191">
        <v>0</v>
      </c>
      <c r="P115" s="191">
        <v>0</v>
      </c>
      <c r="Q115" s="191">
        <v>0</v>
      </c>
      <c r="R115" s="191">
        <v>0</v>
      </c>
      <c r="S115" s="191">
        <v>0</v>
      </c>
      <c r="T115" s="191">
        <v>0</v>
      </c>
      <c r="U115" s="191">
        <v>0</v>
      </c>
      <c r="V115" s="191">
        <v>9.1999999999999993</v>
      </c>
      <c r="W115" s="191">
        <v>0</v>
      </c>
      <c r="X115" s="191">
        <v>0</v>
      </c>
      <c r="Y115" s="191">
        <v>0</v>
      </c>
      <c r="Z115" s="191">
        <v>0</v>
      </c>
      <c r="AA115" s="191">
        <v>0</v>
      </c>
      <c r="AB115" s="191">
        <v>0</v>
      </c>
      <c r="AC115" s="191">
        <v>0</v>
      </c>
      <c r="AD115" s="191">
        <v>0</v>
      </c>
      <c r="AE115" s="191">
        <v>0</v>
      </c>
      <c r="AF115" s="191">
        <v>0</v>
      </c>
      <c r="AG115" s="191">
        <v>0</v>
      </c>
      <c r="AH115" s="191">
        <v>0</v>
      </c>
      <c r="AI115" s="191">
        <v>3.6</v>
      </c>
      <c r="AJ115" s="191">
        <v>0</v>
      </c>
      <c r="AK115" s="191">
        <v>0</v>
      </c>
      <c r="AL115" s="191">
        <v>0</v>
      </c>
      <c r="AM115" s="191">
        <v>1</v>
      </c>
      <c r="AN115" s="191">
        <v>0</v>
      </c>
    </row>
    <row r="116" spans="3:40" x14ac:dyDescent="0.3">
      <c r="C116" s="191">
        <v>39</v>
      </c>
      <c r="D116" s="191">
        <v>11</v>
      </c>
      <c r="E116" s="191">
        <v>2</v>
      </c>
      <c r="F116" s="191">
        <v>2052</v>
      </c>
      <c r="G116" s="191">
        <v>0</v>
      </c>
      <c r="H116" s="191">
        <v>0</v>
      </c>
      <c r="I116" s="191">
        <v>0</v>
      </c>
      <c r="J116" s="191">
        <v>0</v>
      </c>
      <c r="K116" s="191">
        <v>0</v>
      </c>
      <c r="L116" s="191">
        <v>0</v>
      </c>
      <c r="M116" s="191">
        <v>0</v>
      </c>
      <c r="N116" s="191">
        <v>0</v>
      </c>
      <c r="O116" s="191">
        <v>0</v>
      </c>
      <c r="P116" s="191">
        <v>0</v>
      </c>
      <c r="Q116" s="191">
        <v>0</v>
      </c>
      <c r="R116" s="191">
        <v>0</v>
      </c>
      <c r="S116" s="191">
        <v>0</v>
      </c>
      <c r="T116" s="191">
        <v>0</v>
      </c>
      <c r="U116" s="191">
        <v>0</v>
      </c>
      <c r="V116" s="191">
        <v>1316</v>
      </c>
      <c r="W116" s="191">
        <v>0</v>
      </c>
      <c r="X116" s="191">
        <v>0</v>
      </c>
      <c r="Y116" s="191">
        <v>0</v>
      </c>
      <c r="Z116" s="191">
        <v>0</v>
      </c>
      <c r="AA116" s="191">
        <v>0</v>
      </c>
      <c r="AB116" s="191">
        <v>0</v>
      </c>
      <c r="AC116" s="191">
        <v>0</v>
      </c>
      <c r="AD116" s="191">
        <v>0</v>
      </c>
      <c r="AE116" s="191">
        <v>0</v>
      </c>
      <c r="AF116" s="191">
        <v>0</v>
      </c>
      <c r="AG116" s="191">
        <v>0</v>
      </c>
      <c r="AH116" s="191">
        <v>0</v>
      </c>
      <c r="AI116" s="191">
        <v>576</v>
      </c>
      <c r="AJ116" s="191">
        <v>0</v>
      </c>
      <c r="AK116" s="191">
        <v>0</v>
      </c>
      <c r="AL116" s="191">
        <v>0</v>
      </c>
      <c r="AM116" s="191">
        <v>160</v>
      </c>
      <c r="AN116" s="191">
        <v>0</v>
      </c>
    </row>
    <row r="117" spans="3:40" x14ac:dyDescent="0.3">
      <c r="C117" s="191">
        <v>39</v>
      </c>
      <c r="D117" s="191">
        <v>11</v>
      </c>
      <c r="E117" s="191">
        <v>3</v>
      </c>
      <c r="F117" s="191">
        <v>0</v>
      </c>
      <c r="G117" s="191">
        <v>0</v>
      </c>
      <c r="H117" s="191">
        <v>0</v>
      </c>
      <c r="I117" s="191">
        <v>0</v>
      </c>
      <c r="J117" s="191">
        <v>0</v>
      </c>
      <c r="K117" s="191">
        <v>0</v>
      </c>
      <c r="L117" s="191">
        <v>0</v>
      </c>
      <c r="M117" s="191">
        <v>0</v>
      </c>
      <c r="N117" s="191">
        <v>0</v>
      </c>
      <c r="O117" s="191">
        <v>0</v>
      </c>
      <c r="P117" s="191">
        <v>0</v>
      </c>
      <c r="Q117" s="191">
        <v>0</v>
      </c>
      <c r="R117" s="191">
        <v>0</v>
      </c>
      <c r="S117" s="191">
        <v>0</v>
      </c>
      <c r="T117" s="191">
        <v>0</v>
      </c>
      <c r="U117" s="191">
        <v>0</v>
      </c>
      <c r="V117" s="191">
        <v>0</v>
      </c>
      <c r="W117" s="191">
        <v>0</v>
      </c>
      <c r="X117" s="191">
        <v>0</v>
      </c>
      <c r="Y117" s="191">
        <v>0</v>
      </c>
      <c r="Z117" s="191">
        <v>0</v>
      </c>
      <c r="AA117" s="191">
        <v>0</v>
      </c>
      <c r="AB117" s="191">
        <v>0</v>
      </c>
      <c r="AC117" s="191">
        <v>0</v>
      </c>
      <c r="AD117" s="191">
        <v>0</v>
      </c>
      <c r="AE117" s="191">
        <v>0</v>
      </c>
      <c r="AF117" s="191">
        <v>0</v>
      </c>
      <c r="AG117" s="191">
        <v>0</v>
      </c>
      <c r="AH117" s="191">
        <v>0</v>
      </c>
      <c r="AI117" s="191">
        <v>0</v>
      </c>
      <c r="AJ117" s="191">
        <v>0</v>
      </c>
      <c r="AK117" s="191">
        <v>0</v>
      </c>
      <c r="AL117" s="191">
        <v>0</v>
      </c>
      <c r="AM117" s="191">
        <v>0</v>
      </c>
      <c r="AN117" s="191">
        <v>0</v>
      </c>
    </row>
    <row r="118" spans="3:40" x14ac:dyDescent="0.3">
      <c r="C118" s="191">
        <v>39</v>
      </c>
      <c r="D118" s="191">
        <v>11</v>
      </c>
      <c r="E118" s="191">
        <v>4</v>
      </c>
      <c r="F118" s="191">
        <v>0</v>
      </c>
      <c r="G118" s="191">
        <v>0</v>
      </c>
      <c r="H118" s="191">
        <v>0</v>
      </c>
      <c r="I118" s="191">
        <v>0</v>
      </c>
      <c r="J118" s="191">
        <v>0</v>
      </c>
      <c r="K118" s="191">
        <v>0</v>
      </c>
      <c r="L118" s="191">
        <v>0</v>
      </c>
      <c r="M118" s="191">
        <v>0</v>
      </c>
      <c r="N118" s="191">
        <v>0</v>
      </c>
      <c r="O118" s="191">
        <v>0</v>
      </c>
      <c r="P118" s="191">
        <v>0</v>
      </c>
      <c r="Q118" s="191">
        <v>0</v>
      </c>
      <c r="R118" s="191">
        <v>0</v>
      </c>
      <c r="S118" s="191">
        <v>0</v>
      </c>
      <c r="T118" s="191">
        <v>0</v>
      </c>
      <c r="U118" s="191">
        <v>0</v>
      </c>
      <c r="V118" s="191">
        <v>0</v>
      </c>
      <c r="W118" s="191">
        <v>0</v>
      </c>
      <c r="X118" s="191">
        <v>0</v>
      </c>
      <c r="Y118" s="191">
        <v>0</v>
      </c>
      <c r="Z118" s="191">
        <v>0</v>
      </c>
      <c r="AA118" s="191">
        <v>0</v>
      </c>
      <c r="AB118" s="191">
        <v>0</v>
      </c>
      <c r="AC118" s="191">
        <v>0</v>
      </c>
      <c r="AD118" s="191">
        <v>0</v>
      </c>
      <c r="AE118" s="191">
        <v>0</v>
      </c>
      <c r="AF118" s="191">
        <v>0</v>
      </c>
      <c r="AG118" s="191">
        <v>0</v>
      </c>
      <c r="AH118" s="191">
        <v>0</v>
      </c>
      <c r="AI118" s="191">
        <v>0</v>
      </c>
      <c r="AJ118" s="191">
        <v>0</v>
      </c>
      <c r="AK118" s="191">
        <v>0</v>
      </c>
      <c r="AL118" s="191">
        <v>0</v>
      </c>
      <c r="AM118" s="191">
        <v>0</v>
      </c>
      <c r="AN118" s="191">
        <v>0</v>
      </c>
    </row>
    <row r="119" spans="3:40" x14ac:dyDescent="0.3">
      <c r="C119" s="191">
        <v>39</v>
      </c>
      <c r="D119" s="191">
        <v>11</v>
      </c>
      <c r="E119" s="191">
        <v>5</v>
      </c>
      <c r="F119" s="191">
        <v>0</v>
      </c>
      <c r="G119" s="191">
        <v>0</v>
      </c>
      <c r="H119" s="191">
        <v>0</v>
      </c>
      <c r="I119" s="191">
        <v>0</v>
      </c>
      <c r="J119" s="191">
        <v>0</v>
      </c>
      <c r="K119" s="191">
        <v>0</v>
      </c>
      <c r="L119" s="191">
        <v>0</v>
      </c>
      <c r="M119" s="191">
        <v>0</v>
      </c>
      <c r="N119" s="191">
        <v>0</v>
      </c>
      <c r="O119" s="191">
        <v>0</v>
      </c>
      <c r="P119" s="191">
        <v>0</v>
      </c>
      <c r="Q119" s="191">
        <v>0</v>
      </c>
      <c r="R119" s="191">
        <v>0</v>
      </c>
      <c r="S119" s="191">
        <v>0</v>
      </c>
      <c r="T119" s="191">
        <v>0</v>
      </c>
      <c r="U119" s="191">
        <v>0</v>
      </c>
      <c r="V119" s="191">
        <v>0</v>
      </c>
      <c r="W119" s="191">
        <v>0</v>
      </c>
      <c r="X119" s="191">
        <v>0</v>
      </c>
      <c r="Y119" s="191">
        <v>0</v>
      </c>
      <c r="Z119" s="191">
        <v>0</v>
      </c>
      <c r="AA119" s="191">
        <v>0</v>
      </c>
      <c r="AB119" s="191">
        <v>0</v>
      </c>
      <c r="AC119" s="191">
        <v>0</v>
      </c>
      <c r="AD119" s="191">
        <v>0</v>
      </c>
      <c r="AE119" s="191">
        <v>0</v>
      </c>
      <c r="AF119" s="191">
        <v>0</v>
      </c>
      <c r="AG119" s="191">
        <v>0</v>
      </c>
      <c r="AH119" s="191">
        <v>0</v>
      </c>
      <c r="AI119" s="191">
        <v>0</v>
      </c>
      <c r="AJ119" s="191">
        <v>0</v>
      </c>
      <c r="AK119" s="191">
        <v>0</v>
      </c>
      <c r="AL119" s="191">
        <v>0</v>
      </c>
      <c r="AM119" s="191">
        <v>0</v>
      </c>
      <c r="AN119" s="191">
        <v>0</v>
      </c>
    </row>
    <row r="120" spans="3:40" x14ac:dyDescent="0.3">
      <c r="C120" s="191">
        <v>39</v>
      </c>
      <c r="D120" s="191">
        <v>11</v>
      </c>
      <c r="E120" s="191">
        <v>6</v>
      </c>
      <c r="F120" s="191">
        <v>581863</v>
      </c>
      <c r="G120" s="191">
        <v>0</v>
      </c>
      <c r="H120" s="191">
        <v>0</v>
      </c>
      <c r="I120" s="191">
        <v>0</v>
      </c>
      <c r="J120" s="191">
        <v>0</v>
      </c>
      <c r="K120" s="191">
        <v>0</v>
      </c>
      <c r="L120" s="191">
        <v>0</v>
      </c>
      <c r="M120" s="191">
        <v>0</v>
      </c>
      <c r="N120" s="191">
        <v>0</v>
      </c>
      <c r="O120" s="191">
        <v>0</v>
      </c>
      <c r="P120" s="191">
        <v>0</v>
      </c>
      <c r="Q120" s="191">
        <v>0</v>
      </c>
      <c r="R120" s="191">
        <v>0</v>
      </c>
      <c r="S120" s="191">
        <v>0</v>
      </c>
      <c r="T120" s="191">
        <v>0</v>
      </c>
      <c r="U120" s="191">
        <v>0</v>
      </c>
      <c r="V120" s="191">
        <v>420640</v>
      </c>
      <c r="W120" s="191">
        <v>0</v>
      </c>
      <c r="X120" s="191">
        <v>0</v>
      </c>
      <c r="Y120" s="191">
        <v>0</v>
      </c>
      <c r="Z120" s="191">
        <v>0</v>
      </c>
      <c r="AA120" s="191">
        <v>0</v>
      </c>
      <c r="AB120" s="191">
        <v>0</v>
      </c>
      <c r="AC120" s="191">
        <v>0</v>
      </c>
      <c r="AD120" s="191">
        <v>0</v>
      </c>
      <c r="AE120" s="191">
        <v>0</v>
      </c>
      <c r="AF120" s="191">
        <v>0</v>
      </c>
      <c r="AG120" s="191">
        <v>0</v>
      </c>
      <c r="AH120" s="191">
        <v>0</v>
      </c>
      <c r="AI120" s="191">
        <v>133972</v>
      </c>
      <c r="AJ120" s="191">
        <v>0</v>
      </c>
      <c r="AK120" s="191">
        <v>0</v>
      </c>
      <c r="AL120" s="191">
        <v>0</v>
      </c>
      <c r="AM120" s="191">
        <v>27251</v>
      </c>
      <c r="AN120" s="191">
        <v>0</v>
      </c>
    </row>
    <row r="121" spans="3:40" x14ac:dyDescent="0.3">
      <c r="C121" s="191">
        <v>39</v>
      </c>
      <c r="D121" s="191">
        <v>11</v>
      </c>
      <c r="E121" s="191">
        <v>7</v>
      </c>
      <c r="F121" s="191">
        <v>0</v>
      </c>
      <c r="G121" s="191">
        <v>0</v>
      </c>
      <c r="H121" s="191">
        <v>0</v>
      </c>
      <c r="I121" s="191">
        <v>0</v>
      </c>
      <c r="J121" s="191">
        <v>0</v>
      </c>
      <c r="K121" s="191">
        <v>0</v>
      </c>
      <c r="L121" s="191">
        <v>0</v>
      </c>
      <c r="M121" s="191">
        <v>0</v>
      </c>
      <c r="N121" s="191">
        <v>0</v>
      </c>
      <c r="O121" s="191">
        <v>0</v>
      </c>
      <c r="P121" s="191">
        <v>0</v>
      </c>
      <c r="Q121" s="191">
        <v>0</v>
      </c>
      <c r="R121" s="191">
        <v>0</v>
      </c>
      <c r="S121" s="191">
        <v>0</v>
      </c>
      <c r="T121" s="191">
        <v>0</v>
      </c>
      <c r="U121" s="191">
        <v>0</v>
      </c>
      <c r="V121" s="191">
        <v>0</v>
      </c>
      <c r="W121" s="191">
        <v>0</v>
      </c>
      <c r="X121" s="191">
        <v>0</v>
      </c>
      <c r="Y121" s="191">
        <v>0</v>
      </c>
      <c r="Z121" s="191">
        <v>0</v>
      </c>
      <c r="AA121" s="191">
        <v>0</v>
      </c>
      <c r="AB121" s="191">
        <v>0</v>
      </c>
      <c r="AC121" s="191">
        <v>0</v>
      </c>
      <c r="AD121" s="191">
        <v>0</v>
      </c>
      <c r="AE121" s="191">
        <v>0</v>
      </c>
      <c r="AF121" s="191">
        <v>0</v>
      </c>
      <c r="AG121" s="191">
        <v>0</v>
      </c>
      <c r="AH121" s="191">
        <v>0</v>
      </c>
      <c r="AI121" s="191">
        <v>0</v>
      </c>
      <c r="AJ121" s="191">
        <v>0</v>
      </c>
      <c r="AK121" s="191">
        <v>0</v>
      </c>
      <c r="AL121" s="191">
        <v>0</v>
      </c>
      <c r="AM121" s="191">
        <v>0</v>
      </c>
      <c r="AN121" s="191">
        <v>0</v>
      </c>
    </row>
    <row r="122" spans="3:40" x14ac:dyDescent="0.3">
      <c r="C122" s="191">
        <v>39</v>
      </c>
      <c r="D122" s="191">
        <v>11</v>
      </c>
      <c r="E122" s="191">
        <v>8</v>
      </c>
      <c r="F122" s="191">
        <v>0</v>
      </c>
      <c r="G122" s="191">
        <v>0</v>
      </c>
      <c r="H122" s="191">
        <v>0</v>
      </c>
      <c r="I122" s="191">
        <v>0</v>
      </c>
      <c r="J122" s="191">
        <v>0</v>
      </c>
      <c r="K122" s="191">
        <v>0</v>
      </c>
      <c r="L122" s="191">
        <v>0</v>
      </c>
      <c r="M122" s="191">
        <v>0</v>
      </c>
      <c r="N122" s="191">
        <v>0</v>
      </c>
      <c r="O122" s="191">
        <v>0</v>
      </c>
      <c r="P122" s="191">
        <v>0</v>
      </c>
      <c r="Q122" s="191">
        <v>0</v>
      </c>
      <c r="R122" s="191">
        <v>0</v>
      </c>
      <c r="S122" s="191">
        <v>0</v>
      </c>
      <c r="T122" s="191">
        <v>0</v>
      </c>
      <c r="U122" s="191">
        <v>0</v>
      </c>
      <c r="V122" s="191">
        <v>0</v>
      </c>
      <c r="W122" s="191">
        <v>0</v>
      </c>
      <c r="X122" s="191">
        <v>0</v>
      </c>
      <c r="Y122" s="191">
        <v>0</v>
      </c>
      <c r="Z122" s="191">
        <v>0</v>
      </c>
      <c r="AA122" s="191">
        <v>0</v>
      </c>
      <c r="AB122" s="191">
        <v>0</v>
      </c>
      <c r="AC122" s="191">
        <v>0</v>
      </c>
      <c r="AD122" s="191">
        <v>0</v>
      </c>
      <c r="AE122" s="191">
        <v>0</v>
      </c>
      <c r="AF122" s="191">
        <v>0</v>
      </c>
      <c r="AG122" s="191">
        <v>0</v>
      </c>
      <c r="AH122" s="191">
        <v>0</v>
      </c>
      <c r="AI122" s="191">
        <v>0</v>
      </c>
      <c r="AJ122" s="191">
        <v>0</v>
      </c>
      <c r="AK122" s="191">
        <v>0</v>
      </c>
      <c r="AL122" s="191">
        <v>0</v>
      </c>
      <c r="AM122" s="191">
        <v>0</v>
      </c>
      <c r="AN122" s="191">
        <v>0</v>
      </c>
    </row>
    <row r="123" spans="3:40" x14ac:dyDescent="0.3">
      <c r="C123" s="191">
        <v>39</v>
      </c>
      <c r="D123" s="191">
        <v>11</v>
      </c>
      <c r="E123" s="191">
        <v>9</v>
      </c>
      <c r="F123" s="191">
        <v>191799</v>
      </c>
      <c r="G123" s="191">
        <v>0</v>
      </c>
      <c r="H123" s="191">
        <v>0</v>
      </c>
      <c r="I123" s="191">
        <v>0</v>
      </c>
      <c r="J123" s="191">
        <v>0</v>
      </c>
      <c r="K123" s="191">
        <v>0</v>
      </c>
      <c r="L123" s="191">
        <v>0</v>
      </c>
      <c r="M123" s="191">
        <v>0</v>
      </c>
      <c r="N123" s="191">
        <v>0</v>
      </c>
      <c r="O123" s="191">
        <v>0</v>
      </c>
      <c r="P123" s="191">
        <v>0</v>
      </c>
      <c r="Q123" s="191">
        <v>0</v>
      </c>
      <c r="R123" s="191">
        <v>0</v>
      </c>
      <c r="S123" s="191">
        <v>0</v>
      </c>
      <c r="T123" s="191">
        <v>0</v>
      </c>
      <c r="U123" s="191">
        <v>0</v>
      </c>
      <c r="V123" s="191">
        <v>139240</v>
      </c>
      <c r="W123" s="191">
        <v>0</v>
      </c>
      <c r="X123" s="191">
        <v>0</v>
      </c>
      <c r="Y123" s="191">
        <v>0</v>
      </c>
      <c r="Z123" s="191">
        <v>0</v>
      </c>
      <c r="AA123" s="191">
        <v>0</v>
      </c>
      <c r="AB123" s="191">
        <v>0</v>
      </c>
      <c r="AC123" s="191">
        <v>0</v>
      </c>
      <c r="AD123" s="191">
        <v>0</v>
      </c>
      <c r="AE123" s="191">
        <v>0</v>
      </c>
      <c r="AF123" s="191">
        <v>0</v>
      </c>
      <c r="AG123" s="191">
        <v>0</v>
      </c>
      <c r="AH123" s="191">
        <v>0</v>
      </c>
      <c r="AI123" s="191">
        <v>43308</v>
      </c>
      <c r="AJ123" s="191">
        <v>0</v>
      </c>
      <c r="AK123" s="191">
        <v>0</v>
      </c>
      <c r="AL123" s="191">
        <v>0</v>
      </c>
      <c r="AM123" s="191">
        <v>9251</v>
      </c>
      <c r="AN123" s="191">
        <v>0</v>
      </c>
    </row>
    <row r="124" spans="3:40" x14ac:dyDescent="0.3">
      <c r="C124" s="191">
        <v>39</v>
      </c>
      <c r="D124" s="191">
        <v>11</v>
      </c>
      <c r="E124" s="191">
        <v>10</v>
      </c>
      <c r="F124" s="191">
        <v>1800</v>
      </c>
      <c r="G124" s="191">
        <v>0</v>
      </c>
      <c r="H124" s="191">
        <v>0</v>
      </c>
      <c r="I124" s="191">
        <v>0</v>
      </c>
      <c r="J124" s="191">
        <v>0</v>
      </c>
      <c r="K124" s="191">
        <v>1800</v>
      </c>
      <c r="L124" s="191">
        <v>0</v>
      </c>
      <c r="M124" s="191">
        <v>0</v>
      </c>
      <c r="N124" s="191">
        <v>0</v>
      </c>
      <c r="O124" s="191">
        <v>0</v>
      </c>
      <c r="P124" s="191">
        <v>0</v>
      </c>
      <c r="Q124" s="191">
        <v>0</v>
      </c>
      <c r="R124" s="191">
        <v>0</v>
      </c>
      <c r="S124" s="191">
        <v>0</v>
      </c>
      <c r="T124" s="191">
        <v>0</v>
      </c>
      <c r="U124" s="191">
        <v>0</v>
      </c>
      <c r="V124" s="191">
        <v>0</v>
      </c>
      <c r="W124" s="191">
        <v>0</v>
      </c>
      <c r="X124" s="191">
        <v>0</v>
      </c>
      <c r="Y124" s="191">
        <v>0</v>
      </c>
      <c r="Z124" s="191">
        <v>0</v>
      </c>
      <c r="AA124" s="191">
        <v>0</v>
      </c>
      <c r="AB124" s="191">
        <v>0</v>
      </c>
      <c r="AC124" s="191">
        <v>0</v>
      </c>
      <c r="AD124" s="191">
        <v>0</v>
      </c>
      <c r="AE124" s="191">
        <v>0</v>
      </c>
      <c r="AF124" s="191">
        <v>0</v>
      </c>
      <c r="AG124" s="191">
        <v>0</v>
      </c>
      <c r="AH124" s="191">
        <v>0</v>
      </c>
      <c r="AI124" s="191">
        <v>0</v>
      </c>
      <c r="AJ124" s="191">
        <v>0</v>
      </c>
      <c r="AK124" s="191">
        <v>0</v>
      </c>
      <c r="AL124" s="191">
        <v>0</v>
      </c>
      <c r="AM124" s="191">
        <v>0</v>
      </c>
      <c r="AN124" s="191">
        <v>0</v>
      </c>
    </row>
    <row r="125" spans="3:40" x14ac:dyDescent="0.3">
      <c r="C125" s="191">
        <v>39</v>
      </c>
      <c r="D125" s="191">
        <v>11</v>
      </c>
      <c r="E125" s="191">
        <v>11</v>
      </c>
      <c r="F125" s="191">
        <v>1166.6666666666667</v>
      </c>
      <c r="G125" s="191">
        <v>0</v>
      </c>
      <c r="H125" s="191">
        <v>0</v>
      </c>
      <c r="I125" s="191">
        <v>0</v>
      </c>
      <c r="J125" s="191">
        <v>0</v>
      </c>
      <c r="K125" s="191">
        <v>1166.6666666666667</v>
      </c>
      <c r="L125" s="191">
        <v>0</v>
      </c>
      <c r="M125" s="191">
        <v>0</v>
      </c>
      <c r="N125" s="191">
        <v>0</v>
      </c>
      <c r="O125" s="191">
        <v>0</v>
      </c>
      <c r="P125" s="191">
        <v>0</v>
      </c>
      <c r="Q125" s="191">
        <v>0</v>
      </c>
      <c r="R125" s="191">
        <v>0</v>
      </c>
      <c r="S125" s="191">
        <v>0</v>
      </c>
      <c r="T125" s="191">
        <v>0</v>
      </c>
      <c r="U125" s="191">
        <v>0</v>
      </c>
      <c r="V125" s="191">
        <v>0</v>
      </c>
      <c r="W125" s="191">
        <v>0</v>
      </c>
      <c r="X125" s="191">
        <v>0</v>
      </c>
      <c r="Y125" s="191">
        <v>0</v>
      </c>
      <c r="Z125" s="191">
        <v>0</v>
      </c>
      <c r="AA125" s="191">
        <v>0</v>
      </c>
      <c r="AB125" s="191">
        <v>0</v>
      </c>
      <c r="AC125" s="191">
        <v>0</v>
      </c>
      <c r="AD125" s="191">
        <v>0</v>
      </c>
      <c r="AE125" s="191">
        <v>0</v>
      </c>
      <c r="AF125" s="191">
        <v>0</v>
      </c>
      <c r="AG125" s="191">
        <v>0</v>
      </c>
      <c r="AH125" s="191">
        <v>0</v>
      </c>
      <c r="AI125" s="191">
        <v>0</v>
      </c>
      <c r="AJ125" s="191">
        <v>0</v>
      </c>
      <c r="AK125" s="191">
        <v>0</v>
      </c>
      <c r="AL125" s="191">
        <v>0</v>
      </c>
      <c r="AM125" s="191">
        <v>0</v>
      </c>
      <c r="AN125" s="191">
        <v>0</v>
      </c>
    </row>
    <row r="126" spans="3:40" x14ac:dyDescent="0.3">
      <c r="C126" s="191">
        <v>39</v>
      </c>
      <c r="D126" s="191">
        <v>12</v>
      </c>
      <c r="E126" s="191">
        <v>1</v>
      </c>
      <c r="F126" s="191">
        <v>13.8</v>
      </c>
      <c r="G126" s="191">
        <v>0</v>
      </c>
      <c r="H126" s="191">
        <v>0</v>
      </c>
      <c r="I126" s="191">
        <v>0</v>
      </c>
      <c r="J126" s="191">
        <v>0</v>
      </c>
      <c r="K126" s="191">
        <v>0</v>
      </c>
      <c r="L126" s="191">
        <v>0</v>
      </c>
      <c r="M126" s="191">
        <v>0</v>
      </c>
      <c r="N126" s="191">
        <v>0</v>
      </c>
      <c r="O126" s="191">
        <v>0</v>
      </c>
      <c r="P126" s="191">
        <v>0</v>
      </c>
      <c r="Q126" s="191">
        <v>0</v>
      </c>
      <c r="R126" s="191">
        <v>0</v>
      </c>
      <c r="S126" s="191">
        <v>0</v>
      </c>
      <c r="T126" s="191">
        <v>0</v>
      </c>
      <c r="U126" s="191">
        <v>0</v>
      </c>
      <c r="V126" s="191">
        <v>9.1999999999999993</v>
      </c>
      <c r="W126" s="191">
        <v>0</v>
      </c>
      <c r="X126" s="191">
        <v>0</v>
      </c>
      <c r="Y126" s="191">
        <v>0</v>
      </c>
      <c r="Z126" s="191">
        <v>0</v>
      </c>
      <c r="AA126" s="191">
        <v>0</v>
      </c>
      <c r="AB126" s="191">
        <v>0</v>
      </c>
      <c r="AC126" s="191">
        <v>0</v>
      </c>
      <c r="AD126" s="191">
        <v>0</v>
      </c>
      <c r="AE126" s="191">
        <v>0</v>
      </c>
      <c r="AF126" s="191">
        <v>0</v>
      </c>
      <c r="AG126" s="191">
        <v>0</v>
      </c>
      <c r="AH126" s="191">
        <v>0</v>
      </c>
      <c r="AI126" s="191">
        <v>3.6</v>
      </c>
      <c r="AJ126" s="191">
        <v>0</v>
      </c>
      <c r="AK126" s="191">
        <v>0</v>
      </c>
      <c r="AL126" s="191">
        <v>0</v>
      </c>
      <c r="AM126" s="191">
        <v>1</v>
      </c>
      <c r="AN126" s="191">
        <v>0</v>
      </c>
    </row>
    <row r="127" spans="3:40" x14ac:dyDescent="0.3">
      <c r="C127" s="191">
        <v>39</v>
      </c>
      <c r="D127" s="191">
        <v>12</v>
      </c>
      <c r="E127" s="191">
        <v>2</v>
      </c>
      <c r="F127" s="191">
        <v>1984</v>
      </c>
      <c r="G127" s="191">
        <v>0</v>
      </c>
      <c r="H127" s="191">
        <v>0</v>
      </c>
      <c r="I127" s="191">
        <v>0</v>
      </c>
      <c r="J127" s="191">
        <v>0</v>
      </c>
      <c r="K127" s="191">
        <v>0</v>
      </c>
      <c r="L127" s="191">
        <v>0</v>
      </c>
      <c r="M127" s="191">
        <v>0</v>
      </c>
      <c r="N127" s="191">
        <v>0</v>
      </c>
      <c r="O127" s="191">
        <v>0</v>
      </c>
      <c r="P127" s="191">
        <v>0</v>
      </c>
      <c r="Q127" s="191">
        <v>0</v>
      </c>
      <c r="R127" s="191">
        <v>0</v>
      </c>
      <c r="S127" s="191">
        <v>0</v>
      </c>
      <c r="T127" s="191">
        <v>0</v>
      </c>
      <c r="U127" s="191">
        <v>0</v>
      </c>
      <c r="V127" s="191">
        <v>1260</v>
      </c>
      <c r="W127" s="191">
        <v>0</v>
      </c>
      <c r="X127" s="191">
        <v>0</v>
      </c>
      <c r="Y127" s="191">
        <v>0</v>
      </c>
      <c r="Z127" s="191">
        <v>0</v>
      </c>
      <c r="AA127" s="191">
        <v>0</v>
      </c>
      <c r="AB127" s="191">
        <v>0</v>
      </c>
      <c r="AC127" s="191">
        <v>0</v>
      </c>
      <c r="AD127" s="191">
        <v>0</v>
      </c>
      <c r="AE127" s="191">
        <v>0</v>
      </c>
      <c r="AF127" s="191">
        <v>0</v>
      </c>
      <c r="AG127" s="191">
        <v>0</v>
      </c>
      <c r="AH127" s="191">
        <v>0</v>
      </c>
      <c r="AI127" s="191">
        <v>580</v>
      </c>
      <c r="AJ127" s="191">
        <v>0</v>
      </c>
      <c r="AK127" s="191">
        <v>0</v>
      </c>
      <c r="AL127" s="191">
        <v>0</v>
      </c>
      <c r="AM127" s="191">
        <v>144</v>
      </c>
      <c r="AN127" s="191">
        <v>0</v>
      </c>
    </row>
    <row r="128" spans="3:40" x14ac:dyDescent="0.3">
      <c r="C128" s="191">
        <v>39</v>
      </c>
      <c r="D128" s="191">
        <v>12</v>
      </c>
      <c r="E128" s="191">
        <v>3</v>
      </c>
      <c r="F128" s="191">
        <v>0</v>
      </c>
      <c r="G128" s="191">
        <v>0</v>
      </c>
      <c r="H128" s="191">
        <v>0</v>
      </c>
      <c r="I128" s="191">
        <v>0</v>
      </c>
      <c r="J128" s="191">
        <v>0</v>
      </c>
      <c r="K128" s="191">
        <v>0</v>
      </c>
      <c r="L128" s="191">
        <v>0</v>
      </c>
      <c r="M128" s="191">
        <v>0</v>
      </c>
      <c r="N128" s="191">
        <v>0</v>
      </c>
      <c r="O128" s="191">
        <v>0</v>
      </c>
      <c r="P128" s="191">
        <v>0</v>
      </c>
      <c r="Q128" s="191">
        <v>0</v>
      </c>
      <c r="R128" s="191">
        <v>0</v>
      </c>
      <c r="S128" s="191">
        <v>0</v>
      </c>
      <c r="T128" s="191">
        <v>0</v>
      </c>
      <c r="U128" s="191">
        <v>0</v>
      </c>
      <c r="V128" s="191">
        <v>0</v>
      </c>
      <c r="W128" s="191">
        <v>0</v>
      </c>
      <c r="X128" s="191">
        <v>0</v>
      </c>
      <c r="Y128" s="191">
        <v>0</v>
      </c>
      <c r="Z128" s="191">
        <v>0</v>
      </c>
      <c r="AA128" s="191">
        <v>0</v>
      </c>
      <c r="AB128" s="191">
        <v>0</v>
      </c>
      <c r="AC128" s="191">
        <v>0</v>
      </c>
      <c r="AD128" s="191">
        <v>0</v>
      </c>
      <c r="AE128" s="191">
        <v>0</v>
      </c>
      <c r="AF128" s="191">
        <v>0</v>
      </c>
      <c r="AG128" s="191">
        <v>0</v>
      </c>
      <c r="AH128" s="191">
        <v>0</v>
      </c>
      <c r="AI128" s="191">
        <v>0</v>
      </c>
      <c r="AJ128" s="191">
        <v>0</v>
      </c>
      <c r="AK128" s="191">
        <v>0</v>
      </c>
      <c r="AL128" s="191">
        <v>0</v>
      </c>
      <c r="AM128" s="191">
        <v>0</v>
      </c>
      <c r="AN128" s="191">
        <v>0</v>
      </c>
    </row>
    <row r="129" spans="3:40" x14ac:dyDescent="0.3">
      <c r="C129" s="191">
        <v>39</v>
      </c>
      <c r="D129" s="191">
        <v>12</v>
      </c>
      <c r="E129" s="191">
        <v>4</v>
      </c>
      <c r="F129" s="191">
        <v>0</v>
      </c>
      <c r="G129" s="191">
        <v>0</v>
      </c>
      <c r="H129" s="191">
        <v>0</v>
      </c>
      <c r="I129" s="191">
        <v>0</v>
      </c>
      <c r="J129" s="191">
        <v>0</v>
      </c>
      <c r="K129" s="191">
        <v>0</v>
      </c>
      <c r="L129" s="191">
        <v>0</v>
      </c>
      <c r="M129" s="191">
        <v>0</v>
      </c>
      <c r="N129" s="191">
        <v>0</v>
      </c>
      <c r="O129" s="191">
        <v>0</v>
      </c>
      <c r="P129" s="191">
        <v>0</v>
      </c>
      <c r="Q129" s="191">
        <v>0</v>
      </c>
      <c r="R129" s="191">
        <v>0</v>
      </c>
      <c r="S129" s="191">
        <v>0</v>
      </c>
      <c r="T129" s="191">
        <v>0</v>
      </c>
      <c r="U129" s="191">
        <v>0</v>
      </c>
      <c r="V129" s="191">
        <v>0</v>
      </c>
      <c r="W129" s="191">
        <v>0</v>
      </c>
      <c r="X129" s="191">
        <v>0</v>
      </c>
      <c r="Y129" s="191">
        <v>0</v>
      </c>
      <c r="Z129" s="191">
        <v>0</v>
      </c>
      <c r="AA129" s="191">
        <v>0</v>
      </c>
      <c r="AB129" s="191">
        <v>0</v>
      </c>
      <c r="AC129" s="191">
        <v>0</v>
      </c>
      <c r="AD129" s="191">
        <v>0</v>
      </c>
      <c r="AE129" s="191">
        <v>0</v>
      </c>
      <c r="AF129" s="191">
        <v>0</v>
      </c>
      <c r="AG129" s="191">
        <v>0</v>
      </c>
      <c r="AH129" s="191">
        <v>0</v>
      </c>
      <c r="AI129" s="191">
        <v>0</v>
      </c>
      <c r="AJ129" s="191">
        <v>0</v>
      </c>
      <c r="AK129" s="191">
        <v>0</v>
      </c>
      <c r="AL129" s="191">
        <v>0</v>
      </c>
      <c r="AM129" s="191">
        <v>0</v>
      </c>
      <c r="AN129" s="191">
        <v>0</v>
      </c>
    </row>
    <row r="130" spans="3:40" x14ac:dyDescent="0.3">
      <c r="C130" s="191">
        <v>39</v>
      </c>
      <c r="D130" s="191">
        <v>12</v>
      </c>
      <c r="E130" s="191">
        <v>5</v>
      </c>
      <c r="F130" s="191">
        <v>0</v>
      </c>
      <c r="G130" s="191">
        <v>0</v>
      </c>
      <c r="H130" s="191">
        <v>0</v>
      </c>
      <c r="I130" s="191">
        <v>0</v>
      </c>
      <c r="J130" s="191">
        <v>0</v>
      </c>
      <c r="K130" s="191">
        <v>0</v>
      </c>
      <c r="L130" s="191">
        <v>0</v>
      </c>
      <c r="M130" s="191">
        <v>0</v>
      </c>
      <c r="N130" s="191">
        <v>0</v>
      </c>
      <c r="O130" s="191">
        <v>0</v>
      </c>
      <c r="P130" s="191">
        <v>0</v>
      </c>
      <c r="Q130" s="191">
        <v>0</v>
      </c>
      <c r="R130" s="191">
        <v>0</v>
      </c>
      <c r="S130" s="191">
        <v>0</v>
      </c>
      <c r="T130" s="191">
        <v>0</v>
      </c>
      <c r="U130" s="191">
        <v>0</v>
      </c>
      <c r="V130" s="191">
        <v>0</v>
      </c>
      <c r="W130" s="191">
        <v>0</v>
      </c>
      <c r="X130" s="191">
        <v>0</v>
      </c>
      <c r="Y130" s="191">
        <v>0</v>
      </c>
      <c r="Z130" s="191">
        <v>0</v>
      </c>
      <c r="AA130" s="191">
        <v>0</v>
      </c>
      <c r="AB130" s="191">
        <v>0</v>
      </c>
      <c r="AC130" s="191">
        <v>0</v>
      </c>
      <c r="AD130" s="191">
        <v>0</v>
      </c>
      <c r="AE130" s="191">
        <v>0</v>
      </c>
      <c r="AF130" s="191">
        <v>0</v>
      </c>
      <c r="AG130" s="191">
        <v>0</v>
      </c>
      <c r="AH130" s="191">
        <v>0</v>
      </c>
      <c r="AI130" s="191">
        <v>0</v>
      </c>
      <c r="AJ130" s="191">
        <v>0</v>
      </c>
      <c r="AK130" s="191">
        <v>0</v>
      </c>
      <c r="AL130" s="191">
        <v>0</v>
      </c>
      <c r="AM130" s="191">
        <v>0</v>
      </c>
      <c r="AN130" s="191">
        <v>0</v>
      </c>
    </row>
    <row r="131" spans="3:40" x14ac:dyDescent="0.3">
      <c r="C131" s="191">
        <v>39</v>
      </c>
      <c r="D131" s="191">
        <v>12</v>
      </c>
      <c r="E131" s="191">
        <v>6</v>
      </c>
      <c r="F131" s="191">
        <v>376773</v>
      </c>
      <c r="G131" s="191">
        <v>0</v>
      </c>
      <c r="H131" s="191">
        <v>0</v>
      </c>
      <c r="I131" s="191">
        <v>0</v>
      </c>
      <c r="J131" s="191">
        <v>0</v>
      </c>
      <c r="K131" s="191">
        <v>0</v>
      </c>
      <c r="L131" s="191">
        <v>0</v>
      </c>
      <c r="M131" s="191">
        <v>0</v>
      </c>
      <c r="N131" s="191">
        <v>0</v>
      </c>
      <c r="O131" s="191">
        <v>0</v>
      </c>
      <c r="P131" s="191">
        <v>0</v>
      </c>
      <c r="Q131" s="191">
        <v>0</v>
      </c>
      <c r="R131" s="191">
        <v>0</v>
      </c>
      <c r="S131" s="191">
        <v>0</v>
      </c>
      <c r="T131" s="191">
        <v>0</v>
      </c>
      <c r="U131" s="191">
        <v>0</v>
      </c>
      <c r="V131" s="191">
        <v>265138</v>
      </c>
      <c r="W131" s="191">
        <v>0</v>
      </c>
      <c r="X131" s="191">
        <v>0</v>
      </c>
      <c r="Y131" s="191">
        <v>0</v>
      </c>
      <c r="Z131" s="191">
        <v>0</v>
      </c>
      <c r="AA131" s="191">
        <v>0</v>
      </c>
      <c r="AB131" s="191">
        <v>0</v>
      </c>
      <c r="AC131" s="191">
        <v>0</v>
      </c>
      <c r="AD131" s="191">
        <v>0</v>
      </c>
      <c r="AE131" s="191">
        <v>0</v>
      </c>
      <c r="AF131" s="191">
        <v>0</v>
      </c>
      <c r="AG131" s="191">
        <v>0</v>
      </c>
      <c r="AH131" s="191">
        <v>0</v>
      </c>
      <c r="AI131" s="191">
        <v>93148</v>
      </c>
      <c r="AJ131" s="191">
        <v>0</v>
      </c>
      <c r="AK131" s="191">
        <v>0</v>
      </c>
      <c r="AL131" s="191">
        <v>0</v>
      </c>
      <c r="AM131" s="191">
        <v>18487</v>
      </c>
      <c r="AN131" s="191">
        <v>0</v>
      </c>
    </row>
    <row r="132" spans="3:40" x14ac:dyDescent="0.3">
      <c r="C132" s="191">
        <v>39</v>
      </c>
      <c r="D132" s="191">
        <v>12</v>
      </c>
      <c r="E132" s="191">
        <v>7</v>
      </c>
      <c r="F132" s="191">
        <v>0</v>
      </c>
      <c r="G132" s="191">
        <v>0</v>
      </c>
      <c r="H132" s="191">
        <v>0</v>
      </c>
      <c r="I132" s="191">
        <v>0</v>
      </c>
      <c r="J132" s="191">
        <v>0</v>
      </c>
      <c r="K132" s="191">
        <v>0</v>
      </c>
      <c r="L132" s="191">
        <v>0</v>
      </c>
      <c r="M132" s="191">
        <v>0</v>
      </c>
      <c r="N132" s="191">
        <v>0</v>
      </c>
      <c r="O132" s="191">
        <v>0</v>
      </c>
      <c r="P132" s="191">
        <v>0</v>
      </c>
      <c r="Q132" s="191">
        <v>0</v>
      </c>
      <c r="R132" s="191">
        <v>0</v>
      </c>
      <c r="S132" s="191">
        <v>0</v>
      </c>
      <c r="T132" s="191">
        <v>0</v>
      </c>
      <c r="U132" s="191">
        <v>0</v>
      </c>
      <c r="V132" s="191">
        <v>0</v>
      </c>
      <c r="W132" s="191">
        <v>0</v>
      </c>
      <c r="X132" s="191">
        <v>0</v>
      </c>
      <c r="Y132" s="191">
        <v>0</v>
      </c>
      <c r="Z132" s="191">
        <v>0</v>
      </c>
      <c r="AA132" s="191">
        <v>0</v>
      </c>
      <c r="AB132" s="191">
        <v>0</v>
      </c>
      <c r="AC132" s="191">
        <v>0</v>
      </c>
      <c r="AD132" s="191">
        <v>0</v>
      </c>
      <c r="AE132" s="191">
        <v>0</v>
      </c>
      <c r="AF132" s="191">
        <v>0</v>
      </c>
      <c r="AG132" s="191">
        <v>0</v>
      </c>
      <c r="AH132" s="191">
        <v>0</v>
      </c>
      <c r="AI132" s="191">
        <v>0</v>
      </c>
      <c r="AJ132" s="191">
        <v>0</v>
      </c>
      <c r="AK132" s="191">
        <v>0</v>
      </c>
      <c r="AL132" s="191">
        <v>0</v>
      </c>
      <c r="AM132" s="191">
        <v>0</v>
      </c>
      <c r="AN132" s="191">
        <v>0</v>
      </c>
    </row>
    <row r="133" spans="3:40" x14ac:dyDescent="0.3">
      <c r="C133" s="191">
        <v>39</v>
      </c>
      <c r="D133" s="191">
        <v>12</v>
      </c>
      <c r="E133" s="191">
        <v>8</v>
      </c>
      <c r="F133" s="191">
        <v>0</v>
      </c>
      <c r="G133" s="191">
        <v>0</v>
      </c>
      <c r="H133" s="191">
        <v>0</v>
      </c>
      <c r="I133" s="191">
        <v>0</v>
      </c>
      <c r="J133" s="191">
        <v>0</v>
      </c>
      <c r="K133" s="191">
        <v>0</v>
      </c>
      <c r="L133" s="191">
        <v>0</v>
      </c>
      <c r="M133" s="191">
        <v>0</v>
      </c>
      <c r="N133" s="191">
        <v>0</v>
      </c>
      <c r="O133" s="191">
        <v>0</v>
      </c>
      <c r="P133" s="191">
        <v>0</v>
      </c>
      <c r="Q133" s="191">
        <v>0</v>
      </c>
      <c r="R133" s="191">
        <v>0</v>
      </c>
      <c r="S133" s="191">
        <v>0</v>
      </c>
      <c r="T133" s="191">
        <v>0</v>
      </c>
      <c r="U133" s="191">
        <v>0</v>
      </c>
      <c r="V133" s="191">
        <v>0</v>
      </c>
      <c r="W133" s="191">
        <v>0</v>
      </c>
      <c r="X133" s="191">
        <v>0</v>
      </c>
      <c r="Y133" s="191">
        <v>0</v>
      </c>
      <c r="Z133" s="191">
        <v>0</v>
      </c>
      <c r="AA133" s="191">
        <v>0</v>
      </c>
      <c r="AB133" s="191">
        <v>0</v>
      </c>
      <c r="AC133" s="191">
        <v>0</v>
      </c>
      <c r="AD133" s="191">
        <v>0</v>
      </c>
      <c r="AE133" s="191">
        <v>0</v>
      </c>
      <c r="AF133" s="191">
        <v>0</v>
      </c>
      <c r="AG133" s="191">
        <v>0</v>
      </c>
      <c r="AH133" s="191">
        <v>0</v>
      </c>
      <c r="AI133" s="191">
        <v>0</v>
      </c>
      <c r="AJ133" s="191">
        <v>0</v>
      </c>
      <c r="AK133" s="191">
        <v>0</v>
      </c>
      <c r="AL133" s="191">
        <v>0</v>
      </c>
      <c r="AM133" s="191">
        <v>0</v>
      </c>
      <c r="AN133" s="191">
        <v>0</v>
      </c>
    </row>
    <row r="134" spans="3:40" x14ac:dyDescent="0.3">
      <c r="C134" s="191">
        <v>39</v>
      </c>
      <c r="D134" s="191">
        <v>12</v>
      </c>
      <c r="E134" s="191">
        <v>9</v>
      </c>
      <c r="F134" s="191">
        <v>0</v>
      </c>
      <c r="G134" s="191">
        <v>0</v>
      </c>
      <c r="H134" s="191">
        <v>0</v>
      </c>
      <c r="I134" s="191">
        <v>0</v>
      </c>
      <c r="J134" s="191">
        <v>0</v>
      </c>
      <c r="K134" s="191">
        <v>0</v>
      </c>
      <c r="L134" s="191">
        <v>0</v>
      </c>
      <c r="M134" s="191">
        <v>0</v>
      </c>
      <c r="N134" s="191">
        <v>0</v>
      </c>
      <c r="O134" s="191">
        <v>0</v>
      </c>
      <c r="P134" s="191">
        <v>0</v>
      </c>
      <c r="Q134" s="191">
        <v>0</v>
      </c>
      <c r="R134" s="191">
        <v>0</v>
      </c>
      <c r="S134" s="191">
        <v>0</v>
      </c>
      <c r="T134" s="191">
        <v>0</v>
      </c>
      <c r="U134" s="191">
        <v>0</v>
      </c>
      <c r="V134" s="191">
        <v>0</v>
      </c>
      <c r="W134" s="191">
        <v>0</v>
      </c>
      <c r="X134" s="191">
        <v>0</v>
      </c>
      <c r="Y134" s="191">
        <v>0</v>
      </c>
      <c r="Z134" s="191">
        <v>0</v>
      </c>
      <c r="AA134" s="191">
        <v>0</v>
      </c>
      <c r="AB134" s="191">
        <v>0</v>
      </c>
      <c r="AC134" s="191">
        <v>0</v>
      </c>
      <c r="AD134" s="191">
        <v>0</v>
      </c>
      <c r="AE134" s="191">
        <v>0</v>
      </c>
      <c r="AF134" s="191">
        <v>0</v>
      </c>
      <c r="AG134" s="191">
        <v>0</v>
      </c>
      <c r="AH134" s="191">
        <v>0</v>
      </c>
      <c r="AI134" s="191">
        <v>0</v>
      </c>
      <c r="AJ134" s="191">
        <v>0</v>
      </c>
      <c r="AK134" s="191">
        <v>0</v>
      </c>
      <c r="AL134" s="191">
        <v>0</v>
      </c>
      <c r="AM134" s="191">
        <v>0</v>
      </c>
      <c r="AN134" s="191">
        <v>0</v>
      </c>
    </row>
    <row r="135" spans="3:40" x14ac:dyDescent="0.3">
      <c r="C135" s="191">
        <v>39</v>
      </c>
      <c r="D135" s="191">
        <v>12</v>
      </c>
      <c r="E135" s="191">
        <v>10</v>
      </c>
      <c r="F135" s="191">
        <v>5000</v>
      </c>
      <c r="G135" s="191">
        <v>0</v>
      </c>
      <c r="H135" s="191">
        <v>5000</v>
      </c>
      <c r="I135" s="191">
        <v>0</v>
      </c>
      <c r="J135" s="191">
        <v>0</v>
      </c>
      <c r="K135" s="191">
        <v>0</v>
      </c>
      <c r="L135" s="191">
        <v>0</v>
      </c>
      <c r="M135" s="191">
        <v>0</v>
      </c>
      <c r="N135" s="191">
        <v>0</v>
      </c>
      <c r="O135" s="191">
        <v>0</v>
      </c>
      <c r="P135" s="191">
        <v>0</v>
      </c>
      <c r="Q135" s="191">
        <v>0</v>
      </c>
      <c r="R135" s="191">
        <v>0</v>
      </c>
      <c r="S135" s="191">
        <v>0</v>
      </c>
      <c r="T135" s="191">
        <v>0</v>
      </c>
      <c r="U135" s="191">
        <v>0</v>
      </c>
      <c r="V135" s="191">
        <v>0</v>
      </c>
      <c r="W135" s="191">
        <v>0</v>
      </c>
      <c r="X135" s="191">
        <v>0</v>
      </c>
      <c r="Y135" s="191">
        <v>0</v>
      </c>
      <c r="Z135" s="191">
        <v>0</v>
      </c>
      <c r="AA135" s="191">
        <v>0</v>
      </c>
      <c r="AB135" s="191">
        <v>0</v>
      </c>
      <c r="AC135" s="191">
        <v>0</v>
      </c>
      <c r="AD135" s="191">
        <v>0</v>
      </c>
      <c r="AE135" s="191">
        <v>0</v>
      </c>
      <c r="AF135" s="191">
        <v>0</v>
      </c>
      <c r="AG135" s="191">
        <v>0</v>
      </c>
      <c r="AH135" s="191">
        <v>0</v>
      </c>
      <c r="AI135" s="191">
        <v>0</v>
      </c>
      <c r="AJ135" s="191">
        <v>0</v>
      </c>
      <c r="AK135" s="191">
        <v>0</v>
      </c>
      <c r="AL135" s="191">
        <v>0</v>
      </c>
      <c r="AM135" s="191">
        <v>0</v>
      </c>
      <c r="AN135" s="191">
        <v>0</v>
      </c>
    </row>
    <row r="136" spans="3:40" x14ac:dyDescent="0.3">
      <c r="C136" s="191">
        <v>39</v>
      </c>
      <c r="D136" s="191">
        <v>12</v>
      </c>
      <c r="E136" s="191">
        <v>11</v>
      </c>
      <c r="F136" s="191">
        <v>1166.6666666666667</v>
      </c>
      <c r="G136" s="191">
        <v>0</v>
      </c>
      <c r="H136" s="191">
        <v>0</v>
      </c>
      <c r="I136" s="191">
        <v>0</v>
      </c>
      <c r="J136" s="191">
        <v>0</v>
      </c>
      <c r="K136" s="191">
        <v>1166.6666666666667</v>
      </c>
      <c r="L136" s="191">
        <v>0</v>
      </c>
      <c r="M136" s="191">
        <v>0</v>
      </c>
      <c r="N136" s="191">
        <v>0</v>
      </c>
      <c r="O136" s="191">
        <v>0</v>
      </c>
      <c r="P136" s="191">
        <v>0</v>
      </c>
      <c r="Q136" s="191">
        <v>0</v>
      </c>
      <c r="R136" s="191">
        <v>0</v>
      </c>
      <c r="S136" s="191">
        <v>0</v>
      </c>
      <c r="T136" s="191">
        <v>0</v>
      </c>
      <c r="U136" s="191">
        <v>0</v>
      </c>
      <c r="V136" s="191">
        <v>0</v>
      </c>
      <c r="W136" s="191">
        <v>0</v>
      </c>
      <c r="X136" s="191">
        <v>0</v>
      </c>
      <c r="Y136" s="191">
        <v>0</v>
      </c>
      <c r="Z136" s="191">
        <v>0</v>
      </c>
      <c r="AA136" s="191">
        <v>0</v>
      </c>
      <c r="AB136" s="191">
        <v>0</v>
      </c>
      <c r="AC136" s="191">
        <v>0</v>
      </c>
      <c r="AD136" s="191">
        <v>0</v>
      </c>
      <c r="AE136" s="191">
        <v>0</v>
      </c>
      <c r="AF136" s="191">
        <v>0</v>
      </c>
      <c r="AG136" s="191">
        <v>0</v>
      </c>
      <c r="AH136" s="191">
        <v>0</v>
      </c>
      <c r="AI136" s="191">
        <v>0</v>
      </c>
      <c r="AJ136" s="191">
        <v>0</v>
      </c>
      <c r="AK136" s="191">
        <v>0</v>
      </c>
      <c r="AL136" s="191">
        <v>0</v>
      </c>
      <c r="AM136" s="191">
        <v>0</v>
      </c>
      <c r="AN136" s="19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80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80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80" customWidth="1"/>
    <col min="20" max="16384" width="8.88671875" style="102"/>
  </cols>
  <sheetData>
    <row r="1" spans="1:19" ht="18.600000000000001" customHeight="1" thickBot="1" x14ac:dyDescent="0.4">
      <c r="A1" s="309" t="s">
        <v>360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</row>
    <row r="2" spans="1:19" ht="14.4" customHeight="1" thickBot="1" x14ac:dyDescent="0.35">
      <c r="A2" s="195" t="s">
        <v>221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81" t="s">
        <v>102</v>
      </c>
      <c r="B3" s="182">
        <f>SUBTOTAL(9,B6:B1048576)</f>
        <v>3381334</v>
      </c>
      <c r="C3" s="183">
        <f t="shared" ref="C3:R3" si="0">SUBTOTAL(9,C6:C1048576)</f>
        <v>1</v>
      </c>
      <c r="D3" s="183">
        <f t="shared" si="0"/>
        <v>3792009</v>
      </c>
      <c r="E3" s="183">
        <f t="shared" si="0"/>
        <v>1.1214535446660991</v>
      </c>
      <c r="F3" s="183">
        <f t="shared" si="0"/>
        <v>4068478</v>
      </c>
      <c r="G3" s="184">
        <f>IF(B3&lt;&gt;0,F3/B3,"")</f>
        <v>1.2032168369051979</v>
      </c>
      <c r="H3" s="185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6" t="str">
        <f>IF(H3&lt;&gt;0,L3/H3,"")</f>
        <v/>
      </c>
      <c r="N3" s="182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IF(N3&lt;&gt;0,R3/N3,"")</f>
        <v/>
      </c>
    </row>
    <row r="4" spans="1:19" ht="14.4" customHeight="1" x14ac:dyDescent="0.3">
      <c r="A4" s="310" t="s">
        <v>76</v>
      </c>
      <c r="B4" s="311" t="s">
        <v>77</v>
      </c>
      <c r="C4" s="312"/>
      <c r="D4" s="312"/>
      <c r="E4" s="312"/>
      <c r="F4" s="312"/>
      <c r="G4" s="313"/>
      <c r="H4" s="311" t="s">
        <v>78</v>
      </c>
      <c r="I4" s="312"/>
      <c r="J4" s="312"/>
      <c r="K4" s="312"/>
      <c r="L4" s="312"/>
      <c r="M4" s="313"/>
      <c r="N4" s="311" t="s">
        <v>79</v>
      </c>
      <c r="O4" s="312"/>
      <c r="P4" s="312"/>
      <c r="Q4" s="312"/>
      <c r="R4" s="312"/>
      <c r="S4" s="313"/>
    </row>
    <row r="5" spans="1:19" ht="14.4" customHeight="1" thickBot="1" x14ac:dyDescent="0.35">
      <c r="A5" s="392"/>
      <c r="B5" s="393">
        <v>2012</v>
      </c>
      <c r="C5" s="394"/>
      <c r="D5" s="394">
        <v>2013</v>
      </c>
      <c r="E5" s="394"/>
      <c r="F5" s="394">
        <v>2014</v>
      </c>
      <c r="G5" s="395" t="s">
        <v>2</v>
      </c>
      <c r="H5" s="393">
        <v>2012</v>
      </c>
      <c r="I5" s="394"/>
      <c r="J5" s="394">
        <v>2013</v>
      </c>
      <c r="K5" s="394"/>
      <c r="L5" s="394">
        <v>2014</v>
      </c>
      <c r="M5" s="395" t="s">
        <v>2</v>
      </c>
      <c r="N5" s="393">
        <v>2012</v>
      </c>
      <c r="O5" s="394"/>
      <c r="P5" s="394">
        <v>2013</v>
      </c>
      <c r="Q5" s="394"/>
      <c r="R5" s="394">
        <v>2014</v>
      </c>
      <c r="S5" s="395" t="s">
        <v>2</v>
      </c>
    </row>
    <row r="6" spans="1:19" ht="14.4" customHeight="1" thickBot="1" x14ac:dyDescent="0.35">
      <c r="A6" s="398" t="s">
        <v>356</v>
      </c>
      <c r="B6" s="396">
        <v>3381334</v>
      </c>
      <c r="C6" s="397">
        <v>1</v>
      </c>
      <c r="D6" s="396">
        <v>3792009</v>
      </c>
      <c r="E6" s="397">
        <v>1.1214535446660991</v>
      </c>
      <c r="F6" s="396">
        <v>4068478</v>
      </c>
      <c r="G6" s="261">
        <v>1.2032168369051979</v>
      </c>
      <c r="H6" s="396"/>
      <c r="I6" s="397"/>
      <c r="J6" s="396"/>
      <c r="K6" s="397"/>
      <c r="L6" s="396"/>
      <c r="M6" s="261"/>
      <c r="N6" s="396"/>
      <c r="O6" s="397"/>
      <c r="P6" s="396"/>
      <c r="Q6" s="397"/>
      <c r="R6" s="396"/>
      <c r="S6" s="262"/>
    </row>
    <row r="7" spans="1:19" ht="14.4" customHeight="1" x14ac:dyDescent="0.3">
      <c r="A7" s="399" t="s">
        <v>357</v>
      </c>
    </row>
    <row r="8" spans="1:19" ht="14.4" customHeight="1" x14ac:dyDescent="0.3">
      <c r="A8" s="400" t="s">
        <v>358</v>
      </c>
    </row>
    <row r="9" spans="1:19" ht="14.4" customHeight="1" x14ac:dyDescent="0.3">
      <c r="A9" s="399" t="s">
        <v>359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7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309" t="s">
        <v>377</v>
      </c>
      <c r="B1" s="274"/>
      <c r="C1" s="274"/>
      <c r="D1" s="274"/>
      <c r="E1" s="274"/>
      <c r="F1" s="274"/>
      <c r="G1" s="274"/>
    </row>
    <row r="2" spans="1:7" ht="14.4" customHeight="1" thickBot="1" x14ac:dyDescent="0.35">
      <c r="A2" s="195" t="s">
        <v>221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81" t="s">
        <v>102</v>
      </c>
      <c r="B3" s="264">
        <f t="shared" ref="B3:G3" si="0">SUBTOTAL(9,B6:B1048576)</f>
        <v>9821</v>
      </c>
      <c r="C3" s="265">
        <f t="shared" si="0"/>
        <v>10928</v>
      </c>
      <c r="D3" s="265">
        <f t="shared" si="0"/>
        <v>11629</v>
      </c>
      <c r="E3" s="185">
        <f t="shared" si="0"/>
        <v>3381334</v>
      </c>
      <c r="F3" s="183">
        <f t="shared" si="0"/>
        <v>3792009</v>
      </c>
      <c r="G3" s="266">
        <f t="shared" si="0"/>
        <v>4068478</v>
      </c>
    </row>
    <row r="4" spans="1:7" ht="14.4" customHeight="1" x14ac:dyDescent="0.3">
      <c r="A4" s="310" t="s">
        <v>103</v>
      </c>
      <c r="B4" s="311" t="s">
        <v>219</v>
      </c>
      <c r="C4" s="312"/>
      <c r="D4" s="312"/>
      <c r="E4" s="314" t="s">
        <v>77</v>
      </c>
      <c r="F4" s="315"/>
      <c r="G4" s="316"/>
    </row>
    <row r="5" spans="1:7" ht="14.4" customHeight="1" thickBot="1" x14ac:dyDescent="0.35">
      <c r="A5" s="392"/>
      <c r="B5" s="393">
        <v>2012</v>
      </c>
      <c r="C5" s="394">
        <v>2013</v>
      </c>
      <c r="D5" s="394">
        <v>2014</v>
      </c>
      <c r="E5" s="393">
        <v>2012</v>
      </c>
      <c r="F5" s="394">
        <v>2013</v>
      </c>
      <c r="G5" s="401">
        <v>2014</v>
      </c>
    </row>
    <row r="6" spans="1:7" ht="14.4" customHeight="1" x14ac:dyDescent="0.3">
      <c r="A6" s="414" t="s">
        <v>361</v>
      </c>
      <c r="B6" s="403">
        <v>503</v>
      </c>
      <c r="C6" s="403">
        <v>87</v>
      </c>
      <c r="D6" s="403">
        <v>46</v>
      </c>
      <c r="E6" s="404">
        <v>165608</v>
      </c>
      <c r="F6" s="404">
        <v>29624</v>
      </c>
      <c r="G6" s="405">
        <v>24580</v>
      </c>
    </row>
    <row r="7" spans="1:7" ht="14.4" customHeight="1" x14ac:dyDescent="0.3">
      <c r="A7" s="415" t="s">
        <v>362</v>
      </c>
      <c r="B7" s="407">
        <v>356</v>
      </c>
      <c r="C7" s="407">
        <v>777</v>
      </c>
      <c r="D7" s="407">
        <v>762</v>
      </c>
      <c r="E7" s="408">
        <v>122620</v>
      </c>
      <c r="F7" s="408">
        <v>272243</v>
      </c>
      <c r="G7" s="409">
        <v>254356</v>
      </c>
    </row>
    <row r="8" spans="1:7" ht="14.4" customHeight="1" x14ac:dyDescent="0.3">
      <c r="A8" s="415" t="s">
        <v>363</v>
      </c>
      <c r="B8" s="407">
        <v>671</v>
      </c>
      <c r="C8" s="407">
        <v>779</v>
      </c>
      <c r="D8" s="407">
        <v>695</v>
      </c>
      <c r="E8" s="408">
        <v>215250</v>
      </c>
      <c r="F8" s="408">
        <v>255822</v>
      </c>
      <c r="G8" s="409">
        <v>247624</v>
      </c>
    </row>
    <row r="9" spans="1:7" ht="14.4" customHeight="1" x14ac:dyDescent="0.3">
      <c r="A9" s="415" t="s">
        <v>364</v>
      </c>
      <c r="B9" s="407">
        <v>1468</v>
      </c>
      <c r="C9" s="407">
        <v>1525</v>
      </c>
      <c r="D9" s="407">
        <v>1533</v>
      </c>
      <c r="E9" s="408">
        <v>522802</v>
      </c>
      <c r="F9" s="408">
        <v>550790</v>
      </c>
      <c r="G9" s="409">
        <v>571061</v>
      </c>
    </row>
    <row r="10" spans="1:7" ht="14.4" customHeight="1" x14ac:dyDescent="0.3">
      <c r="A10" s="415" t="s">
        <v>365</v>
      </c>
      <c r="B10" s="407">
        <v>1107</v>
      </c>
      <c r="C10" s="407">
        <v>897</v>
      </c>
      <c r="D10" s="407">
        <v>1043</v>
      </c>
      <c r="E10" s="408">
        <v>395150</v>
      </c>
      <c r="F10" s="408">
        <v>330226</v>
      </c>
      <c r="G10" s="409">
        <v>395415</v>
      </c>
    </row>
    <row r="11" spans="1:7" ht="14.4" customHeight="1" x14ac:dyDescent="0.3">
      <c r="A11" s="415" t="s">
        <v>366</v>
      </c>
      <c r="B11" s="407"/>
      <c r="C11" s="407">
        <v>738</v>
      </c>
      <c r="D11" s="407">
        <v>1361</v>
      </c>
      <c r="E11" s="408"/>
      <c r="F11" s="408">
        <v>247681</v>
      </c>
      <c r="G11" s="409">
        <v>453682</v>
      </c>
    </row>
    <row r="12" spans="1:7" ht="14.4" customHeight="1" x14ac:dyDescent="0.3">
      <c r="A12" s="415" t="s">
        <v>367</v>
      </c>
      <c r="B12" s="407"/>
      <c r="C12" s="407"/>
      <c r="D12" s="407">
        <v>20</v>
      </c>
      <c r="E12" s="408"/>
      <c r="F12" s="408"/>
      <c r="G12" s="409">
        <v>6440</v>
      </c>
    </row>
    <row r="13" spans="1:7" ht="14.4" customHeight="1" x14ac:dyDescent="0.3">
      <c r="A13" s="415" t="s">
        <v>368</v>
      </c>
      <c r="B13" s="407">
        <v>1121</v>
      </c>
      <c r="C13" s="407">
        <v>1188</v>
      </c>
      <c r="D13" s="407">
        <v>1557</v>
      </c>
      <c r="E13" s="408">
        <v>364476</v>
      </c>
      <c r="F13" s="408">
        <v>389635</v>
      </c>
      <c r="G13" s="409">
        <v>520217</v>
      </c>
    </row>
    <row r="14" spans="1:7" ht="14.4" customHeight="1" x14ac:dyDescent="0.3">
      <c r="A14" s="415" t="s">
        <v>369</v>
      </c>
      <c r="B14" s="407">
        <v>59</v>
      </c>
      <c r="C14" s="407">
        <v>169</v>
      </c>
      <c r="D14" s="407">
        <v>332</v>
      </c>
      <c r="E14" s="408">
        <v>19276</v>
      </c>
      <c r="F14" s="408">
        <v>59562</v>
      </c>
      <c r="G14" s="409">
        <v>109318</v>
      </c>
    </row>
    <row r="15" spans="1:7" ht="14.4" customHeight="1" x14ac:dyDescent="0.3">
      <c r="A15" s="415" t="s">
        <v>370</v>
      </c>
      <c r="B15" s="407">
        <v>650</v>
      </c>
      <c r="C15" s="407">
        <v>640</v>
      </c>
      <c r="D15" s="407">
        <v>427</v>
      </c>
      <c r="E15" s="408">
        <v>221782</v>
      </c>
      <c r="F15" s="408">
        <v>206089</v>
      </c>
      <c r="G15" s="409">
        <v>147504</v>
      </c>
    </row>
    <row r="16" spans="1:7" ht="14.4" customHeight="1" x14ac:dyDescent="0.3">
      <c r="A16" s="415" t="s">
        <v>371</v>
      </c>
      <c r="B16" s="407">
        <v>997</v>
      </c>
      <c r="C16" s="407">
        <v>1304</v>
      </c>
      <c r="D16" s="407">
        <v>1304</v>
      </c>
      <c r="E16" s="408">
        <v>317976</v>
      </c>
      <c r="F16" s="408">
        <v>421032</v>
      </c>
      <c r="G16" s="409">
        <v>420314</v>
      </c>
    </row>
    <row r="17" spans="1:7" ht="14.4" customHeight="1" x14ac:dyDescent="0.3">
      <c r="A17" s="415" t="s">
        <v>372</v>
      </c>
      <c r="B17" s="407">
        <v>40</v>
      </c>
      <c r="C17" s="407">
        <v>6</v>
      </c>
      <c r="D17" s="407"/>
      <c r="E17" s="408">
        <v>12720</v>
      </c>
      <c r="F17" s="408">
        <v>1914</v>
      </c>
      <c r="G17" s="409"/>
    </row>
    <row r="18" spans="1:7" ht="14.4" customHeight="1" x14ac:dyDescent="0.3">
      <c r="A18" s="415" t="s">
        <v>373</v>
      </c>
      <c r="B18" s="407">
        <v>91</v>
      </c>
      <c r="C18" s="407">
        <v>128</v>
      </c>
      <c r="D18" s="407">
        <v>171</v>
      </c>
      <c r="E18" s="408">
        <v>28938</v>
      </c>
      <c r="F18" s="408">
        <v>40832</v>
      </c>
      <c r="G18" s="409">
        <v>52180</v>
      </c>
    </row>
    <row r="19" spans="1:7" ht="14.4" customHeight="1" x14ac:dyDescent="0.3">
      <c r="A19" s="415" t="s">
        <v>374</v>
      </c>
      <c r="B19" s="407">
        <v>1173</v>
      </c>
      <c r="C19" s="407">
        <v>1220</v>
      </c>
      <c r="D19" s="407">
        <v>1071</v>
      </c>
      <c r="E19" s="408">
        <v>434392</v>
      </c>
      <c r="F19" s="408">
        <v>462063</v>
      </c>
      <c r="G19" s="409">
        <v>386271</v>
      </c>
    </row>
    <row r="20" spans="1:7" ht="14.4" customHeight="1" x14ac:dyDescent="0.3">
      <c r="A20" s="415" t="s">
        <v>375</v>
      </c>
      <c r="B20" s="407">
        <v>1115</v>
      </c>
      <c r="C20" s="407">
        <v>1028</v>
      </c>
      <c r="D20" s="407">
        <v>871</v>
      </c>
      <c r="E20" s="408">
        <v>410884</v>
      </c>
      <c r="F20" s="408">
        <v>383498</v>
      </c>
      <c r="G20" s="409">
        <v>339496</v>
      </c>
    </row>
    <row r="21" spans="1:7" ht="14.4" customHeight="1" thickBot="1" x14ac:dyDescent="0.35">
      <c r="A21" s="416" t="s">
        <v>376</v>
      </c>
      <c r="B21" s="411">
        <v>470</v>
      </c>
      <c r="C21" s="411">
        <v>442</v>
      </c>
      <c r="D21" s="411">
        <v>436</v>
      </c>
      <c r="E21" s="412">
        <v>149460</v>
      </c>
      <c r="F21" s="412">
        <v>140998</v>
      </c>
      <c r="G21" s="413">
        <v>140020</v>
      </c>
    </row>
    <row r="22" spans="1:7" ht="14.4" customHeight="1" x14ac:dyDescent="0.3">
      <c r="A22" s="399" t="s">
        <v>357</v>
      </c>
    </row>
    <row r="23" spans="1:7" ht="14.4" customHeight="1" x14ac:dyDescent="0.3">
      <c r="A23" s="400" t="s">
        <v>358</v>
      </c>
    </row>
    <row r="24" spans="1:7" ht="14.4" customHeight="1" x14ac:dyDescent="0.3">
      <c r="A24" s="399" t="s">
        <v>359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2" bestFit="1" customWidth="1"/>
    <col min="2" max="2" width="2.109375" style="102" bestFit="1" customWidth="1"/>
    <col min="3" max="3" width="8" style="102" customWidth="1"/>
    <col min="4" max="4" width="50.88671875" style="102" bestFit="1" customWidth="1"/>
    <col min="5" max="6" width="11.109375" style="177" customWidth="1"/>
    <col min="7" max="8" width="9.33203125" style="102" hidden="1" customWidth="1"/>
    <col min="9" max="10" width="11.109375" style="177" customWidth="1"/>
    <col min="11" max="12" width="9.33203125" style="102" hidden="1" customWidth="1"/>
    <col min="13" max="14" width="11.109375" style="177" customWidth="1"/>
    <col min="15" max="15" width="11.109375" style="180" customWidth="1"/>
    <col min="16" max="16" width="11.109375" style="177" customWidth="1"/>
    <col min="17" max="16384" width="8.88671875" style="102"/>
  </cols>
  <sheetData>
    <row r="1" spans="1:16" ht="18.600000000000001" customHeight="1" thickBot="1" x14ac:dyDescent="0.4">
      <c r="A1" s="274" t="s">
        <v>406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14.4" customHeight="1" thickBot="1" x14ac:dyDescent="0.35">
      <c r="A2" s="195" t="s">
        <v>221</v>
      </c>
      <c r="B2" s="103"/>
      <c r="C2" s="263"/>
      <c r="D2" s="103"/>
      <c r="E2" s="189"/>
      <c r="F2" s="189"/>
      <c r="G2" s="103"/>
      <c r="H2" s="103"/>
      <c r="I2" s="189"/>
      <c r="J2" s="189"/>
      <c r="K2" s="103"/>
      <c r="L2" s="103"/>
      <c r="M2" s="189"/>
      <c r="N2" s="189"/>
      <c r="O2" s="190"/>
      <c r="P2" s="189"/>
    </row>
    <row r="3" spans="1:16" ht="14.4" customHeight="1" thickBot="1" x14ac:dyDescent="0.35">
      <c r="D3" s="62" t="s">
        <v>102</v>
      </c>
      <c r="E3" s="74">
        <f t="shared" ref="E3:N3" si="0">SUBTOTAL(9,E6:E1048576)</f>
        <v>9821</v>
      </c>
      <c r="F3" s="75">
        <f t="shared" si="0"/>
        <v>3381334</v>
      </c>
      <c r="G3" s="57"/>
      <c r="H3" s="57"/>
      <c r="I3" s="75">
        <f t="shared" si="0"/>
        <v>10928</v>
      </c>
      <c r="J3" s="75">
        <f t="shared" si="0"/>
        <v>3792009</v>
      </c>
      <c r="K3" s="57"/>
      <c r="L3" s="57"/>
      <c r="M3" s="75">
        <f t="shared" si="0"/>
        <v>11629</v>
      </c>
      <c r="N3" s="75">
        <f t="shared" si="0"/>
        <v>4068478</v>
      </c>
      <c r="O3" s="58">
        <f>IF(F3=0,0,N3/F3)</f>
        <v>1.2032168369051979</v>
      </c>
      <c r="P3" s="76">
        <f>IF(M3=0,0,N3/M3)</f>
        <v>349.85622151517759</v>
      </c>
    </row>
    <row r="4" spans="1:16" ht="14.4" customHeight="1" x14ac:dyDescent="0.3">
      <c r="A4" s="318" t="s">
        <v>72</v>
      </c>
      <c r="B4" s="319" t="s">
        <v>73</v>
      </c>
      <c r="C4" s="324" t="s">
        <v>48</v>
      </c>
      <c r="D4" s="320" t="s">
        <v>47</v>
      </c>
      <c r="E4" s="321">
        <v>2012</v>
      </c>
      <c r="F4" s="322"/>
      <c r="G4" s="73"/>
      <c r="H4" s="73"/>
      <c r="I4" s="321">
        <v>2013</v>
      </c>
      <c r="J4" s="322"/>
      <c r="K4" s="73"/>
      <c r="L4" s="73"/>
      <c r="M4" s="321">
        <v>2014</v>
      </c>
      <c r="N4" s="322"/>
      <c r="O4" s="323" t="s">
        <v>2</v>
      </c>
      <c r="P4" s="317" t="s">
        <v>75</v>
      </c>
    </row>
    <row r="5" spans="1:16" ht="14.4" customHeight="1" thickBot="1" x14ac:dyDescent="0.35">
      <c r="A5" s="417"/>
      <c r="B5" s="418"/>
      <c r="C5" s="419"/>
      <c r="D5" s="420"/>
      <c r="E5" s="421" t="s">
        <v>49</v>
      </c>
      <c r="F5" s="422" t="s">
        <v>5</v>
      </c>
      <c r="G5" s="423"/>
      <c r="H5" s="423"/>
      <c r="I5" s="421" t="s">
        <v>49</v>
      </c>
      <c r="J5" s="422" t="s">
        <v>5</v>
      </c>
      <c r="K5" s="423"/>
      <c r="L5" s="423"/>
      <c r="M5" s="421" t="s">
        <v>49</v>
      </c>
      <c r="N5" s="422" t="s">
        <v>5</v>
      </c>
      <c r="O5" s="424"/>
      <c r="P5" s="425"/>
    </row>
    <row r="6" spans="1:16" ht="14.4" customHeight="1" x14ac:dyDescent="0.3">
      <c r="A6" s="402" t="s">
        <v>378</v>
      </c>
      <c r="B6" s="426" t="s">
        <v>379</v>
      </c>
      <c r="C6" s="426" t="s">
        <v>380</v>
      </c>
      <c r="D6" s="426" t="s">
        <v>381</v>
      </c>
      <c r="E6" s="403">
        <v>6</v>
      </c>
      <c r="F6" s="403">
        <v>204</v>
      </c>
      <c r="G6" s="426">
        <v>1</v>
      </c>
      <c r="H6" s="426">
        <v>34</v>
      </c>
      <c r="I6" s="403">
        <v>1</v>
      </c>
      <c r="J6" s="403">
        <v>34</v>
      </c>
      <c r="K6" s="426">
        <v>0.16666666666666666</v>
      </c>
      <c r="L6" s="426">
        <v>34</v>
      </c>
      <c r="M6" s="403">
        <v>1</v>
      </c>
      <c r="N6" s="403">
        <v>34</v>
      </c>
      <c r="O6" s="427">
        <v>0.16666666666666666</v>
      </c>
      <c r="P6" s="428">
        <v>34</v>
      </c>
    </row>
    <row r="7" spans="1:16" ht="14.4" customHeight="1" x14ac:dyDescent="0.3">
      <c r="A7" s="406" t="s">
        <v>378</v>
      </c>
      <c r="B7" s="429" t="s">
        <v>379</v>
      </c>
      <c r="C7" s="429" t="s">
        <v>382</v>
      </c>
      <c r="D7" s="429" t="s">
        <v>383</v>
      </c>
      <c r="E7" s="407">
        <v>28</v>
      </c>
      <c r="F7" s="407">
        <v>1904</v>
      </c>
      <c r="G7" s="429">
        <v>1</v>
      </c>
      <c r="H7" s="429">
        <v>68</v>
      </c>
      <c r="I7" s="407">
        <v>65</v>
      </c>
      <c r="J7" s="407">
        <v>4485</v>
      </c>
      <c r="K7" s="429">
        <v>2.3555672268907561</v>
      </c>
      <c r="L7" s="429">
        <v>69</v>
      </c>
      <c r="M7" s="407">
        <v>79</v>
      </c>
      <c r="N7" s="407">
        <v>5510</v>
      </c>
      <c r="O7" s="430">
        <v>2.89390756302521</v>
      </c>
      <c r="P7" s="431">
        <v>69.74683544303798</v>
      </c>
    </row>
    <row r="8" spans="1:16" ht="14.4" customHeight="1" x14ac:dyDescent="0.3">
      <c r="A8" s="406" t="s">
        <v>378</v>
      </c>
      <c r="B8" s="429" t="s">
        <v>379</v>
      </c>
      <c r="C8" s="429" t="s">
        <v>384</v>
      </c>
      <c r="D8" s="429" t="s">
        <v>385</v>
      </c>
      <c r="E8" s="407">
        <v>6506</v>
      </c>
      <c r="F8" s="407">
        <v>2068908</v>
      </c>
      <c r="G8" s="429">
        <v>1</v>
      </c>
      <c r="H8" s="429">
        <v>318</v>
      </c>
      <c r="I8" s="407">
        <v>6683</v>
      </c>
      <c r="J8" s="407">
        <v>2131877</v>
      </c>
      <c r="K8" s="429">
        <v>1.0304358627836521</v>
      </c>
      <c r="L8" s="429">
        <v>319</v>
      </c>
      <c r="M8" s="407">
        <v>6680</v>
      </c>
      <c r="N8" s="407">
        <v>2145401</v>
      </c>
      <c r="O8" s="430">
        <v>1.036972644506184</v>
      </c>
      <c r="P8" s="431">
        <v>321.16781437125746</v>
      </c>
    </row>
    <row r="9" spans="1:16" ht="14.4" customHeight="1" x14ac:dyDescent="0.3">
      <c r="A9" s="406" t="s">
        <v>378</v>
      </c>
      <c r="B9" s="429" t="s">
        <v>379</v>
      </c>
      <c r="C9" s="429" t="s">
        <v>386</v>
      </c>
      <c r="D9" s="429" t="s">
        <v>387</v>
      </c>
      <c r="E9" s="407">
        <v>269</v>
      </c>
      <c r="F9" s="407">
        <v>85542</v>
      </c>
      <c r="G9" s="429">
        <v>1</v>
      </c>
      <c r="H9" s="429">
        <v>318</v>
      </c>
      <c r="I9" s="407">
        <v>971</v>
      </c>
      <c r="J9" s="407">
        <v>309749</v>
      </c>
      <c r="K9" s="429">
        <v>3.6210165766524045</v>
      </c>
      <c r="L9" s="429">
        <v>319</v>
      </c>
      <c r="M9" s="407">
        <v>1536</v>
      </c>
      <c r="N9" s="407">
        <v>493578</v>
      </c>
      <c r="O9" s="430">
        <v>5.7700077155081715</v>
      </c>
      <c r="P9" s="431">
        <v>321.33984375</v>
      </c>
    </row>
    <row r="10" spans="1:16" ht="14.4" customHeight="1" x14ac:dyDescent="0.3">
      <c r="A10" s="406" t="s">
        <v>378</v>
      </c>
      <c r="B10" s="429" t="s">
        <v>379</v>
      </c>
      <c r="C10" s="429" t="s">
        <v>388</v>
      </c>
      <c r="D10" s="429" t="s">
        <v>389</v>
      </c>
      <c r="E10" s="407">
        <v>664</v>
      </c>
      <c r="F10" s="407">
        <v>211152</v>
      </c>
      <c r="G10" s="429">
        <v>1</v>
      </c>
      <c r="H10" s="429">
        <v>318</v>
      </c>
      <c r="I10" s="407">
        <v>570</v>
      </c>
      <c r="J10" s="407">
        <v>181830</v>
      </c>
      <c r="K10" s="429">
        <v>0.86113321209365767</v>
      </c>
      <c r="L10" s="429">
        <v>319</v>
      </c>
      <c r="M10" s="407">
        <v>585</v>
      </c>
      <c r="N10" s="407">
        <v>187959</v>
      </c>
      <c r="O10" s="430">
        <v>0.89015969538531481</v>
      </c>
      <c r="P10" s="431">
        <v>321.29743589743589</v>
      </c>
    </row>
    <row r="11" spans="1:16" ht="14.4" customHeight="1" x14ac:dyDescent="0.3">
      <c r="A11" s="406" t="s">
        <v>378</v>
      </c>
      <c r="B11" s="429" t="s">
        <v>379</v>
      </c>
      <c r="C11" s="429" t="s">
        <v>390</v>
      </c>
      <c r="D11" s="429" t="s">
        <v>391</v>
      </c>
      <c r="E11" s="407">
        <v>4</v>
      </c>
      <c r="F11" s="407">
        <v>0</v>
      </c>
      <c r="G11" s="429"/>
      <c r="H11" s="429">
        <v>0</v>
      </c>
      <c r="I11" s="407">
        <v>3</v>
      </c>
      <c r="J11" s="407">
        <v>0</v>
      </c>
      <c r="K11" s="429"/>
      <c r="L11" s="429">
        <v>0</v>
      </c>
      <c r="M11" s="407">
        <v>2</v>
      </c>
      <c r="N11" s="407">
        <v>0</v>
      </c>
      <c r="O11" s="430"/>
      <c r="P11" s="431">
        <v>0</v>
      </c>
    </row>
    <row r="12" spans="1:16" ht="14.4" customHeight="1" x14ac:dyDescent="0.3">
      <c r="A12" s="406" t="s">
        <v>378</v>
      </c>
      <c r="B12" s="429" t="s">
        <v>379</v>
      </c>
      <c r="C12" s="429" t="s">
        <v>392</v>
      </c>
      <c r="D12" s="429" t="s">
        <v>393</v>
      </c>
      <c r="E12" s="407">
        <v>419</v>
      </c>
      <c r="F12" s="407">
        <v>0</v>
      </c>
      <c r="G12" s="429"/>
      <c r="H12" s="429">
        <v>0</v>
      </c>
      <c r="I12" s="407">
        <v>463</v>
      </c>
      <c r="J12" s="407">
        <v>0</v>
      </c>
      <c r="K12" s="429"/>
      <c r="L12" s="429">
        <v>0</v>
      </c>
      <c r="M12" s="407">
        <v>457</v>
      </c>
      <c r="N12" s="407">
        <v>0</v>
      </c>
      <c r="O12" s="430"/>
      <c r="P12" s="431">
        <v>0</v>
      </c>
    </row>
    <row r="13" spans="1:16" ht="14.4" customHeight="1" x14ac:dyDescent="0.3">
      <c r="A13" s="406" t="s">
        <v>378</v>
      </c>
      <c r="B13" s="429" t="s">
        <v>379</v>
      </c>
      <c r="C13" s="429" t="s">
        <v>394</v>
      </c>
      <c r="D13" s="429" t="s">
        <v>395</v>
      </c>
      <c r="E13" s="407">
        <v>730</v>
      </c>
      <c r="F13" s="407">
        <v>383980</v>
      </c>
      <c r="G13" s="429">
        <v>1</v>
      </c>
      <c r="H13" s="429">
        <v>526</v>
      </c>
      <c r="I13" s="407">
        <v>700</v>
      </c>
      <c r="J13" s="407">
        <v>376600</v>
      </c>
      <c r="K13" s="429">
        <v>0.98078024897130056</v>
      </c>
      <c r="L13" s="429">
        <v>538</v>
      </c>
      <c r="M13" s="407">
        <v>638</v>
      </c>
      <c r="N13" s="407">
        <v>346124</v>
      </c>
      <c r="O13" s="430">
        <v>0.90141153185061718</v>
      </c>
      <c r="P13" s="431">
        <v>542.51410658307213</v>
      </c>
    </row>
    <row r="14" spans="1:16" ht="14.4" customHeight="1" x14ac:dyDescent="0.3">
      <c r="A14" s="406" t="s">
        <v>378</v>
      </c>
      <c r="B14" s="429" t="s">
        <v>379</v>
      </c>
      <c r="C14" s="429" t="s">
        <v>396</v>
      </c>
      <c r="D14" s="429" t="s">
        <v>397</v>
      </c>
      <c r="E14" s="407">
        <v>893</v>
      </c>
      <c r="F14" s="407">
        <v>475076</v>
      </c>
      <c r="G14" s="429">
        <v>1</v>
      </c>
      <c r="H14" s="429">
        <v>532</v>
      </c>
      <c r="I14" s="407">
        <v>904</v>
      </c>
      <c r="J14" s="407">
        <v>487256</v>
      </c>
      <c r="K14" s="429">
        <v>1.0256380031826486</v>
      </c>
      <c r="L14" s="429">
        <v>539</v>
      </c>
      <c r="M14" s="407">
        <v>930</v>
      </c>
      <c r="N14" s="407">
        <v>505032</v>
      </c>
      <c r="O14" s="430">
        <v>1.0630551743300019</v>
      </c>
      <c r="P14" s="431">
        <v>543.04516129032254</v>
      </c>
    </row>
    <row r="15" spans="1:16" ht="14.4" customHeight="1" x14ac:dyDescent="0.3">
      <c r="A15" s="406" t="s">
        <v>378</v>
      </c>
      <c r="B15" s="429" t="s">
        <v>379</v>
      </c>
      <c r="C15" s="429" t="s">
        <v>398</v>
      </c>
      <c r="D15" s="429" t="s">
        <v>399</v>
      </c>
      <c r="E15" s="407">
        <v>18</v>
      </c>
      <c r="F15" s="407">
        <v>4788</v>
      </c>
      <c r="G15" s="429">
        <v>1</v>
      </c>
      <c r="H15" s="429">
        <v>266</v>
      </c>
      <c r="I15" s="407">
        <v>21</v>
      </c>
      <c r="J15" s="407">
        <v>5649</v>
      </c>
      <c r="K15" s="429">
        <v>1.1798245614035088</v>
      </c>
      <c r="L15" s="429">
        <v>269</v>
      </c>
      <c r="M15" s="407">
        <v>17</v>
      </c>
      <c r="N15" s="407">
        <v>4624</v>
      </c>
      <c r="O15" s="430">
        <v>0.9657477025898078</v>
      </c>
      <c r="P15" s="431">
        <v>272</v>
      </c>
    </row>
    <row r="16" spans="1:16" ht="14.4" customHeight="1" x14ac:dyDescent="0.3">
      <c r="A16" s="406" t="s">
        <v>378</v>
      </c>
      <c r="B16" s="429" t="s">
        <v>379</v>
      </c>
      <c r="C16" s="429" t="s">
        <v>400</v>
      </c>
      <c r="D16" s="429" t="s">
        <v>401</v>
      </c>
      <c r="E16" s="407">
        <v>66</v>
      </c>
      <c r="F16" s="407">
        <v>35112</v>
      </c>
      <c r="G16" s="429">
        <v>1</v>
      </c>
      <c r="H16" s="429">
        <v>532</v>
      </c>
      <c r="I16" s="407">
        <v>243</v>
      </c>
      <c r="J16" s="407">
        <v>130977</v>
      </c>
      <c r="K16" s="429">
        <v>3.7302631578947367</v>
      </c>
      <c r="L16" s="429">
        <v>539</v>
      </c>
      <c r="M16" s="407">
        <v>382</v>
      </c>
      <c r="N16" s="407">
        <v>207560</v>
      </c>
      <c r="O16" s="430">
        <v>5.9113693324219643</v>
      </c>
      <c r="P16" s="431">
        <v>543.35078534031413</v>
      </c>
    </row>
    <row r="17" spans="1:16" ht="14.4" customHeight="1" x14ac:dyDescent="0.3">
      <c r="A17" s="406" t="s">
        <v>378</v>
      </c>
      <c r="B17" s="429" t="s">
        <v>379</v>
      </c>
      <c r="C17" s="429" t="s">
        <v>402</v>
      </c>
      <c r="D17" s="429" t="s">
        <v>403</v>
      </c>
      <c r="E17" s="407">
        <v>218</v>
      </c>
      <c r="F17" s="407">
        <v>114668</v>
      </c>
      <c r="G17" s="429">
        <v>1</v>
      </c>
      <c r="H17" s="429">
        <v>526</v>
      </c>
      <c r="I17" s="407">
        <v>304</v>
      </c>
      <c r="J17" s="407">
        <v>163552</v>
      </c>
      <c r="K17" s="429">
        <v>1.4263089964070186</v>
      </c>
      <c r="L17" s="429">
        <v>538</v>
      </c>
      <c r="M17" s="407">
        <v>314</v>
      </c>
      <c r="N17" s="407">
        <v>170492</v>
      </c>
      <c r="O17" s="430">
        <v>1.4868315484703667</v>
      </c>
      <c r="P17" s="431">
        <v>542.96815286624201</v>
      </c>
    </row>
    <row r="18" spans="1:16" ht="14.4" customHeight="1" thickBot="1" x14ac:dyDescent="0.35">
      <c r="A18" s="410" t="s">
        <v>378</v>
      </c>
      <c r="B18" s="432" t="s">
        <v>379</v>
      </c>
      <c r="C18" s="432" t="s">
        <v>404</v>
      </c>
      <c r="D18" s="432" t="s">
        <v>405</v>
      </c>
      <c r="E18" s="411"/>
      <c r="F18" s="411"/>
      <c r="G18" s="432"/>
      <c r="H18" s="432"/>
      <c r="I18" s="411"/>
      <c r="J18" s="411"/>
      <c r="K18" s="432"/>
      <c r="L18" s="432"/>
      <c r="M18" s="411">
        <v>8</v>
      </c>
      <c r="N18" s="411">
        <v>2164</v>
      </c>
      <c r="O18" s="433"/>
      <c r="P18" s="434">
        <v>270.5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80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80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80" customWidth="1"/>
    <col min="20" max="16384" width="8.88671875" style="102"/>
  </cols>
  <sheetData>
    <row r="1" spans="1:19" ht="18.600000000000001" customHeight="1" thickBot="1" x14ac:dyDescent="0.4">
      <c r="A1" s="283" t="s">
        <v>101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</row>
    <row r="2" spans="1:19" ht="14.4" customHeight="1" thickBot="1" x14ac:dyDescent="0.35">
      <c r="A2" s="195" t="s">
        <v>221</v>
      </c>
      <c r="B2" s="187"/>
      <c r="C2" s="83"/>
      <c r="D2" s="187"/>
      <c r="E2" s="83"/>
      <c r="F2" s="187"/>
      <c r="G2" s="188"/>
      <c r="H2" s="187"/>
      <c r="I2" s="83"/>
      <c r="J2" s="187"/>
      <c r="K2" s="83"/>
      <c r="L2" s="187"/>
      <c r="M2" s="188"/>
      <c r="N2" s="187"/>
      <c r="O2" s="83"/>
      <c r="P2" s="187"/>
      <c r="Q2" s="83"/>
      <c r="R2" s="187"/>
      <c r="S2" s="188"/>
    </row>
    <row r="3" spans="1:19" ht="14.4" customHeight="1" thickBot="1" x14ac:dyDescent="0.35">
      <c r="A3" s="181" t="s">
        <v>102</v>
      </c>
      <c r="B3" s="182">
        <f>SUBTOTAL(9,B6:B1048576)</f>
        <v>3844756</v>
      </c>
      <c r="C3" s="183">
        <f t="shared" ref="C3:R3" si="0">SUBTOTAL(9,C6:C1048576)</f>
        <v>22</v>
      </c>
      <c r="D3" s="183">
        <f t="shared" si="0"/>
        <v>3769489</v>
      </c>
      <c r="E3" s="183">
        <f t="shared" si="0"/>
        <v>25.07120431798009</v>
      </c>
      <c r="F3" s="183">
        <f t="shared" si="0"/>
        <v>3758105</v>
      </c>
      <c r="G3" s="186">
        <f>IF(B3&lt;&gt;0,F3/B3,"")</f>
        <v>0.97746254898880447</v>
      </c>
      <c r="H3" s="182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4" t="str">
        <f>IF(H3&lt;&gt;0,L3/H3,"")</f>
        <v/>
      </c>
      <c r="N3" s="185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IF(N3&lt;&gt;0,R3/N3,"")</f>
        <v/>
      </c>
    </row>
    <row r="4" spans="1:19" ht="14.4" customHeight="1" x14ac:dyDescent="0.3">
      <c r="A4" s="310" t="s">
        <v>83</v>
      </c>
      <c r="B4" s="311" t="s">
        <v>77</v>
      </c>
      <c r="C4" s="312"/>
      <c r="D4" s="312"/>
      <c r="E4" s="312"/>
      <c r="F4" s="312"/>
      <c r="G4" s="313"/>
      <c r="H4" s="311" t="s">
        <v>78</v>
      </c>
      <c r="I4" s="312"/>
      <c r="J4" s="312"/>
      <c r="K4" s="312"/>
      <c r="L4" s="312"/>
      <c r="M4" s="313"/>
      <c r="N4" s="311" t="s">
        <v>79</v>
      </c>
      <c r="O4" s="312"/>
      <c r="P4" s="312"/>
      <c r="Q4" s="312"/>
      <c r="R4" s="312"/>
      <c r="S4" s="313"/>
    </row>
    <row r="5" spans="1:19" ht="14.4" customHeight="1" thickBot="1" x14ac:dyDescent="0.35">
      <c r="A5" s="392"/>
      <c r="B5" s="393">
        <v>2012</v>
      </c>
      <c r="C5" s="394"/>
      <c r="D5" s="394">
        <v>2013</v>
      </c>
      <c r="E5" s="394"/>
      <c r="F5" s="394">
        <v>2014</v>
      </c>
      <c r="G5" s="395" t="s">
        <v>2</v>
      </c>
      <c r="H5" s="393">
        <v>2012</v>
      </c>
      <c r="I5" s="394"/>
      <c r="J5" s="394">
        <v>2013</v>
      </c>
      <c r="K5" s="394"/>
      <c r="L5" s="394">
        <v>2014</v>
      </c>
      <c r="M5" s="395" t="s">
        <v>2</v>
      </c>
      <c r="N5" s="393">
        <v>2012</v>
      </c>
      <c r="O5" s="394"/>
      <c r="P5" s="394">
        <v>2013</v>
      </c>
      <c r="Q5" s="394"/>
      <c r="R5" s="394">
        <v>2014</v>
      </c>
      <c r="S5" s="395" t="s">
        <v>2</v>
      </c>
    </row>
    <row r="6" spans="1:19" ht="14.4" customHeight="1" x14ac:dyDescent="0.3">
      <c r="A6" s="414" t="s">
        <v>407</v>
      </c>
      <c r="B6" s="404">
        <v>32744</v>
      </c>
      <c r="C6" s="426">
        <v>1</v>
      </c>
      <c r="D6" s="404">
        <v>51916</v>
      </c>
      <c r="E6" s="426">
        <v>1.5855118494991449</v>
      </c>
      <c r="F6" s="404">
        <v>41456</v>
      </c>
      <c r="G6" s="427">
        <v>1.2660640117273394</v>
      </c>
      <c r="H6" s="404"/>
      <c r="I6" s="426"/>
      <c r="J6" s="404"/>
      <c r="K6" s="426"/>
      <c r="L6" s="404"/>
      <c r="M6" s="427"/>
      <c r="N6" s="404"/>
      <c r="O6" s="426"/>
      <c r="P6" s="404"/>
      <c r="Q6" s="426"/>
      <c r="R6" s="404"/>
      <c r="S6" s="435"/>
    </row>
    <row r="7" spans="1:19" ht="14.4" customHeight="1" x14ac:dyDescent="0.3">
      <c r="A7" s="415" t="s">
        <v>408</v>
      </c>
      <c r="B7" s="408">
        <v>45792</v>
      </c>
      <c r="C7" s="429">
        <v>1</v>
      </c>
      <c r="D7" s="408">
        <v>47212</v>
      </c>
      <c r="E7" s="429">
        <v>1.0310097833682739</v>
      </c>
      <c r="F7" s="408">
        <v>16082</v>
      </c>
      <c r="G7" s="430">
        <v>0.35119671558350801</v>
      </c>
      <c r="H7" s="408"/>
      <c r="I7" s="429"/>
      <c r="J7" s="408"/>
      <c r="K7" s="429"/>
      <c r="L7" s="408"/>
      <c r="M7" s="430"/>
      <c r="N7" s="408"/>
      <c r="O7" s="429"/>
      <c r="P7" s="408"/>
      <c r="Q7" s="429"/>
      <c r="R7" s="408"/>
      <c r="S7" s="436"/>
    </row>
    <row r="8" spans="1:19" ht="14.4" customHeight="1" x14ac:dyDescent="0.3">
      <c r="A8" s="415" t="s">
        <v>409</v>
      </c>
      <c r="B8" s="408">
        <v>85838</v>
      </c>
      <c r="C8" s="429">
        <v>1</v>
      </c>
      <c r="D8" s="408">
        <v>85439</v>
      </c>
      <c r="E8" s="429">
        <v>0.99535170903329528</v>
      </c>
      <c r="F8" s="408">
        <v>129148</v>
      </c>
      <c r="G8" s="430">
        <v>1.5045550921503297</v>
      </c>
      <c r="H8" s="408"/>
      <c r="I8" s="429"/>
      <c r="J8" s="408"/>
      <c r="K8" s="429"/>
      <c r="L8" s="408"/>
      <c r="M8" s="430"/>
      <c r="N8" s="408"/>
      <c r="O8" s="429"/>
      <c r="P8" s="408"/>
      <c r="Q8" s="429"/>
      <c r="R8" s="408"/>
      <c r="S8" s="436"/>
    </row>
    <row r="9" spans="1:19" ht="14.4" customHeight="1" x14ac:dyDescent="0.3">
      <c r="A9" s="415" t="s">
        <v>410</v>
      </c>
      <c r="B9" s="408">
        <v>41794</v>
      </c>
      <c r="C9" s="429">
        <v>1</v>
      </c>
      <c r="D9" s="408">
        <v>69818</v>
      </c>
      <c r="E9" s="429">
        <v>1.6705268698856295</v>
      </c>
      <c r="F9" s="408">
        <v>75860</v>
      </c>
      <c r="G9" s="430">
        <v>1.8150930755610852</v>
      </c>
      <c r="H9" s="408"/>
      <c r="I9" s="429"/>
      <c r="J9" s="408"/>
      <c r="K9" s="429"/>
      <c r="L9" s="408"/>
      <c r="M9" s="430"/>
      <c r="N9" s="408"/>
      <c r="O9" s="429"/>
      <c r="P9" s="408"/>
      <c r="Q9" s="429"/>
      <c r="R9" s="408"/>
      <c r="S9" s="436"/>
    </row>
    <row r="10" spans="1:19" ht="14.4" customHeight="1" x14ac:dyDescent="0.3">
      <c r="A10" s="415" t="s">
        <v>411</v>
      </c>
      <c r="B10" s="408">
        <v>1272</v>
      </c>
      <c r="C10" s="429">
        <v>1</v>
      </c>
      <c r="D10" s="408">
        <v>7656</v>
      </c>
      <c r="E10" s="429">
        <v>6.0188679245283021</v>
      </c>
      <c r="F10" s="408">
        <v>23440</v>
      </c>
      <c r="G10" s="430">
        <v>18.427672955974842</v>
      </c>
      <c r="H10" s="408"/>
      <c r="I10" s="429"/>
      <c r="J10" s="408"/>
      <c r="K10" s="429"/>
      <c r="L10" s="408"/>
      <c r="M10" s="430"/>
      <c r="N10" s="408"/>
      <c r="O10" s="429"/>
      <c r="P10" s="408"/>
      <c r="Q10" s="429"/>
      <c r="R10" s="408"/>
      <c r="S10" s="436"/>
    </row>
    <row r="11" spans="1:19" ht="14.4" customHeight="1" x14ac:dyDescent="0.3">
      <c r="A11" s="415" t="s">
        <v>412</v>
      </c>
      <c r="B11" s="408">
        <v>9040</v>
      </c>
      <c r="C11" s="429">
        <v>1</v>
      </c>
      <c r="D11" s="408"/>
      <c r="E11" s="429"/>
      <c r="F11" s="408">
        <v>8216</v>
      </c>
      <c r="G11" s="430">
        <v>0.90884955752212393</v>
      </c>
      <c r="H11" s="408"/>
      <c r="I11" s="429"/>
      <c r="J11" s="408"/>
      <c r="K11" s="429"/>
      <c r="L11" s="408"/>
      <c r="M11" s="430"/>
      <c r="N11" s="408"/>
      <c r="O11" s="429"/>
      <c r="P11" s="408"/>
      <c r="Q11" s="429"/>
      <c r="R11" s="408"/>
      <c r="S11" s="436"/>
    </row>
    <row r="12" spans="1:19" ht="14.4" customHeight="1" x14ac:dyDescent="0.3">
      <c r="A12" s="415" t="s">
        <v>413</v>
      </c>
      <c r="B12" s="408">
        <v>6360</v>
      </c>
      <c r="C12" s="429">
        <v>1</v>
      </c>
      <c r="D12" s="408">
        <v>1276</v>
      </c>
      <c r="E12" s="429">
        <v>0.20062893081761007</v>
      </c>
      <c r="F12" s="408">
        <v>1288</v>
      </c>
      <c r="G12" s="430">
        <v>0.20251572327044026</v>
      </c>
      <c r="H12" s="408"/>
      <c r="I12" s="429"/>
      <c r="J12" s="408"/>
      <c r="K12" s="429"/>
      <c r="L12" s="408"/>
      <c r="M12" s="430"/>
      <c r="N12" s="408"/>
      <c r="O12" s="429"/>
      <c r="P12" s="408"/>
      <c r="Q12" s="429"/>
      <c r="R12" s="408"/>
      <c r="S12" s="436"/>
    </row>
    <row r="13" spans="1:19" ht="14.4" customHeight="1" x14ac:dyDescent="0.3">
      <c r="A13" s="415" t="s">
        <v>414</v>
      </c>
      <c r="B13" s="408">
        <v>567852</v>
      </c>
      <c r="C13" s="429">
        <v>1</v>
      </c>
      <c r="D13" s="408">
        <v>545085</v>
      </c>
      <c r="E13" s="429">
        <v>0.95990680670315509</v>
      </c>
      <c r="F13" s="408">
        <v>478785</v>
      </c>
      <c r="G13" s="430">
        <v>0.843151032311236</v>
      </c>
      <c r="H13" s="408"/>
      <c r="I13" s="429"/>
      <c r="J13" s="408"/>
      <c r="K13" s="429"/>
      <c r="L13" s="408"/>
      <c r="M13" s="430"/>
      <c r="N13" s="408"/>
      <c r="O13" s="429"/>
      <c r="P13" s="408"/>
      <c r="Q13" s="429"/>
      <c r="R13" s="408"/>
      <c r="S13" s="436"/>
    </row>
    <row r="14" spans="1:19" ht="14.4" customHeight="1" x14ac:dyDescent="0.3">
      <c r="A14" s="415" t="s">
        <v>415</v>
      </c>
      <c r="B14" s="408">
        <v>2544</v>
      </c>
      <c r="C14" s="429">
        <v>1</v>
      </c>
      <c r="D14" s="408">
        <v>2552</v>
      </c>
      <c r="E14" s="429">
        <v>1.0031446540880504</v>
      </c>
      <c r="F14" s="408">
        <v>5128</v>
      </c>
      <c r="G14" s="430">
        <v>2.0157232704402515</v>
      </c>
      <c r="H14" s="408"/>
      <c r="I14" s="429"/>
      <c r="J14" s="408"/>
      <c r="K14" s="429"/>
      <c r="L14" s="408"/>
      <c r="M14" s="430"/>
      <c r="N14" s="408"/>
      <c r="O14" s="429"/>
      <c r="P14" s="408"/>
      <c r="Q14" s="429"/>
      <c r="R14" s="408"/>
      <c r="S14" s="436"/>
    </row>
    <row r="15" spans="1:19" ht="14.4" customHeight="1" x14ac:dyDescent="0.3">
      <c r="A15" s="415" t="s">
        <v>416</v>
      </c>
      <c r="B15" s="408">
        <v>674246</v>
      </c>
      <c r="C15" s="429">
        <v>1</v>
      </c>
      <c r="D15" s="408">
        <v>560280</v>
      </c>
      <c r="E15" s="429">
        <v>0.83097267169549394</v>
      </c>
      <c r="F15" s="408">
        <v>543227</v>
      </c>
      <c r="G15" s="430">
        <v>0.80568071594047275</v>
      </c>
      <c r="H15" s="408"/>
      <c r="I15" s="429"/>
      <c r="J15" s="408"/>
      <c r="K15" s="429"/>
      <c r="L15" s="408"/>
      <c r="M15" s="430"/>
      <c r="N15" s="408"/>
      <c r="O15" s="429"/>
      <c r="P15" s="408"/>
      <c r="Q15" s="429"/>
      <c r="R15" s="408"/>
      <c r="S15" s="436"/>
    </row>
    <row r="16" spans="1:19" ht="14.4" customHeight="1" x14ac:dyDescent="0.3">
      <c r="A16" s="415" t="s">
        <v>417</v>
      </c>
      <c r="B16" s="408"/>
      <c r="C16" s="429"/>
      <c r="D16" s="408">
        <v>1276</v>
      </c>
      <c r="E16" s="429"/>
      <c r="F16" s="408"/>
      <c r="G16" s="430"/>
      <c r="H16" s="408"/>
      <c r="I16" s="429"/>
      <c r="J16" s="408"/>
      <c r="K16" s="429"/>
      <c r="L16" s="408"/>
      <c r="M16" s="430"/>
      <c r="N16" s="408"/>
      <c r="O16" s="429"/>
      <c r="P16" s="408"/>
      <c r="Q16" s="429"/>
      <c r="R16" s="408"/>
      <c r="S16" s="436"/>
    </row>
    <row r="17" spans="1:19" ht="14.4" customHeight="1" x14ac:dyDescent="0.3">
      <c r="A17" s="415" t="s">
        <v>418</v>
      </c>
      <c r="B17" s="408"/>
      <c r="C17" s="429"/>
      <c r="D17" s="408">
        <v>14274</v>
      </c>
      <c r="E17" s="429"/>
      <c r="F17" s="408">
        <v>8050</v>
      </c>
      <c r="G17" s="430"/>
      <c r="H17" s="408"/>
      <c r="I17" s="429"/>
      <c r="J17" s="408"/>
      <c r="K17" s="429"/>
      <c r="L17" s="408"/>
      <c r="M17" s="430"/>
      <c r="N17" s="408"/>
      <c r="O17" s="429"/>
      <c r="P17" s="408"/>
      <c r="Q17" s="429"/>
      <c r="R17" s="408"/>
      <c r="S17" s="436"/>
    </row>
    <row r="18" spans="1:19" ht="14.4" customHeight="1" x14ac:dyDescent="0.3">
      <c r="A18" s="415" t="s">
        <v>419</v>
      </c>
      <c r="B18" s="408">
        <v>5088</v>
      </c>
      <c r="C18" s="429">
        <v>1</v>
      </c>
      <c r="D18" s="408">
        <v>10846</v>
      </c>
      <c r="E18" s="429">
        <v>2.1316823899371071</v>
      </c>
      <c r="F18" s="408">
        <v>10304</v>
      </c>
      <c r="G18" s="430">
        <v>2.0251572327044025</v>
      </c>
      <c r="H18" s="408"/>
      <c r="I18" s="429"/>
      <c r="J18" s="408"/>
      <c r="K18" s="429"/>
      <c r="L18" s="408"/>
      <c r="M18" s="430"/>
      <c r="N18" s="408"/>
      <c r="O18" s="429"/>
      <c r="P18" s="408"/>
      <c r="Q18" s="429"/>
      <c r="R18" s="408"/>
      <c r="S18" s="436"/>
    </row>
    <row r="19" spans="1:19" ht="14.4" customHeight="1" x14ac:dyDescent="0.3">
      <c r="A19" s="415" t="s">
        <v>420</v>
      </c>
      <c r="B19" s="408"/>
      <c r="C19" s="429"/>
      <c r="D19" s="408"/>
      <c r="E19" s="429"/>
      <c r="F19" s="408">
        <v>966</v>
      </c>
      <c r="G19" s="430"/>
      <c r="H19" s="408"/>
      <c r="I19" s="429"/>
      <c r="J19" s="408"/>
      <c r="K19" s="429"/>
      <c r="L19" s="408"/>
      <c r="M19" s="430"/>
      <c r="N19" s="408"/>
      <c r="O19" s="429"/>
      <c r="P19" s="408"/>
      <c r="Q19" s="429"/>
      <c r="R19" s="408"/>
      <c r="S19" s="436"/>
    </row>
    <row r="20" spans="1:19" ht="14.4" customHeight="1" x14ac:dyDescent="0.3">
      <c r="A20" s="415" t="s">
        <v>421</v>
      </c>
      <c r="B20" s="408">
        <v>711358</v>
      </c>
      <c r="C20" s="429">
        <v>1</v>
      </c>
      <c r="D20" s="408">
        <v>972863</v>
      </c>
      <c r="E20" s="429">
        <v>1.3676137753423734</v>
      </c>
      <c r="F20" s="408">
        <v>646833</v>
      </c>
      <c r="G20" s="430">
        <v>0.90929321101330129</v>
      </c>
      <c r="H20" s="408"/>
      <c r="I20" s="429"/>
      <c r="J20" s="408"/>
      <c r="K20" s="429"/>
      <c r="L20" s="408"/>
      <c r="M20" s="430"/>
      <c r="N20" s="408"/>
      <c r="O20" s="429"/>
      <c r="P20" s="408"/>
      <c r="Q20" s="429"/>
      <c r="R20" s="408"/>
      <c r="S20" s="436"/>
    </row>
    <row r="21" spans="1:19" ht="14.4" customHeight="1" x14ac:dyDescent="0.3">
      <c r="A21" s="415" t="s">
        <v>422</v>
      </c>
      <c r="B21" s="408">
        <v>665130</v>
      </c>
      <c r="C21" s="429">
        <v>1</v>
      </c>
      <c r="D21" s="408">
        <v>511039</v>
      </c>
      <c r="E21" s="429">
        <v>0.76832949949633911</v>
      </c>
      <c r="F21" s="408">
        <v>752204</v>
      </c>
      <c r="G21" s="430">
        <v>1.1309127538977344</v>
      </c>
      <c r="H21" s="408"/>
      <c r="I21" s="429"/>
      <c r="J21" s="408"/>
      <c r="K21" s="429"/>
      <c r="L21" s="408"/>
      <c r="M21" s="430"/>
      <c r="N21" s="408"/>
      <c r="O21" s="429"/>
      <c r="P21" s="408"/>
      <c r="Q21" s="429"/>
      <c r="R21" s="408"/>
      <c r="S21" s="436"/>
    </row>
    <row r="22" spans="1:19" ht="14.4" customHeight="1" x14ac:dyDescent="0.3">
      <c r="A22" s="415" t="s">
        <v>423</v>
      </c>
      <c r="B22" s="408">
        <v>55312</v>
      </c>
      <c r="C22" s="429">
        <v>1</v>
      </c>
      <c r="D22" s="408">
        <v>7532</v>
      </c>
      <c r="E22" s="429">
        <v>0.13617298235464276</v>
      </c>
      <c r="F22" s="408">
        <v>16520</v>
      </c>
      <c r="G22" s="430">
        <v>0.29866936650274806</v>
      </c>
      <c r="H22" s="408"/>
      <c r="I22" s="429"/>
      <c r="J22" s="408"/>
      <c r="K22" s="429"/>
      <c r="L22" s="408"/>
      <c r="M22" s="430"/>
      <c r="N22" s="408"/>
      <c r="O22" s="429"/>
      <c r="P22" s="408"/>
      <c r="Q22" s="429"/>
      <c r="R22" s="408"/>
      <c r="S22" s="436"/>
    </row>
    <row r="23" spans="1:19" ht="14.4" customHeight="1" x14ac:dyDescent="0.3">
      <c r="A23" s="415" t="s">
        <v>424</v>
      </c>
      <c r="B23" s="408"/>
      <c r="C23" s="429"/>
      <c r="D23" s="408">
        <v>8332</v>
      </c>
      <c r="E23" s="429"/>
      <c r="F23" s="408">
        <v>12444</v>
      </c>
      <c r="G23" s="430"/>
      <c r="H23" s="408"/>
      <c r="I23" s="429"/>
      <c r="J23" s="408"/>
      <c r="K23" s="429"/>
      <c r="L23" s="408"/>
      <c r="M23" s="430"/>
      <c r="N23" s="408"/>
      <c r="O23" s="429"/>
      <c r="P23" s="408"/>
      <c r="Q23" s="429"/>
      <c r="R23" s="408"/>
      <c r="S23" s="436"/>
    </row>
    <row r="24" spans="1:19" ht="14.4" customHeight="1" x14ac:dyDescent="0.3">
      <c r="A24" s="415" t="s">
        <v>425</v>
      </c>
      <c r="B24" s="408">
        <v>284928</v>
      </c>
      <c r="C24" s="429">
        <v>1</v>
      </c>
      <c r="D24" s="408">
        <v>236298</v>
      </c>
      <c r="E24" s="429">
        <v>0.82932530323450138</v>
      </c>
      <c r="F24" s="408">
        <v>242248</v>
      </c>
      <c r="G24" s="430">
        <v>0.85020777178796048</v>
      </c>
      <c r="H24" s="408"/>
      <c r="I24" s="429"/>
      <c r="J24" s="408"/>
      <c r="K24" s="429"/>
      <c r="L24" s="408"/>
      <c r="M24" s="430"/>
      <c r="N24" s="408"/>
      <c r="O24" s="429"/>
      <c r="P24" s="408"/>
      <c r="Q24" s="429"/>
      <c r="R24" s="408"/>
      <c r="S24" s="436"/>
    </row>
    <row r="25" spans="1:19" ht="14.4" customHeight="1" x14ac:dyDescent="0.3">
      <c r="A25" s="415" t="s">
        <v>426</v>
      </c>
      <c r="B25" s="408"/>
      <c r="C25" s="429"/>
      <c r="D25" s="408">
        <v>1276</v>
      </c>
      <c r="E25" s="429"/>
      <c r="F25" s="408">
        <v>11544</v>
      </c>
      <c r="G25" s="430"/>
      <c r="H25" s="408"/>
      <c r="I25" s="429"/>
      <c r="J25" s="408"/>
      <c r="K25" s="429"/>
      <c r="L25" s="408"/>
      <c r="M25" s="430"/>
      <c r="N25" s="408"/>
      <c r="O25" s="429"/>
      <c r="P25" s="408"/>
      <c r="Q25" s="429"/>
      <c r="R25" s="408"/>
      <c r="S25" s="436"/>
    </row>
    <row r="26" spans="1:19" ht="14.4" customHeight="1" x14ac:dyDescent="0.3">
      <c r="A26" s="415" t="s">
        <v>427</v>
      </c>
      <c r="B26" s="408">
        <v>141508</v>
      </c>
      <c r="C26" s="429">
        <v>1</v>
      </c>
      <c r="D26" s="408">
        <v>34766</v>
      </c>
      <c r="E26" s="429">
        <v>0.24568222291319219</v>
      </c>
      <c r="F26" s="408">
        <v>99856</v>
      </c>
      <c r="G26" s="430">
        <v>0.70565621731633543</v>
      </c>
      <c r="H26" s="408"/>
      <c r="I26" s="429"/>
      <c r="J26" s="408"/>
      <c r="K26" s="429"/>
      <c r="L26" s="408"/>
      <c r="M26" s="430"/>
      <c r="N26" s="408"/>
      <c r="O26" s="429"/>
      <c r="P26" s="408"/>
      <c r="Q26" s="429"/>
      <c r="R26" s="408"/>
      <c r="S26" s="436"/>
    </row>
    <row r="27" spans="1:19" ht="14.4" customHeight="1" x14ac:dyDescent="0.3">
      <c r="A27" s="415" t="s">
        <v>428</v>
      </c>
      <c r="B27" s="408">
        <v>5088</v>
      </c>
      <c r="C27" s="429">
        <v>1</v>
      </c>
      <c r="D27" s="408"/>
      <c r="E27" s="429"/>
      <c r="F27" s="408"/>
      <c r="G27" s="430"/>
      <c r="H27" s="408"/>
      <c r="I27" s="429"/>
      <c r="J27" s="408"/>
      <c r="K27" s="429"/>
      <c r="L27" s="408"/>
      <c r="M27" s="430"/>
      <c r="N27" s="408"/>
      <c r="O27" s="429"/>
      <c r="P27" s="408"/>
      <c r="Q27" s="429"/>
      <c r="R27" s="408"/>
      <c r="S27" s="436"/>
    </row>
    <row r="28" spans="1:19" ht="14.4" customHeight="1" x14ac:dyDescent="0.3">
      <c r="A28" s="415" t="s">
        <v>429</v>
      </c>
      <c r="B28" s="408">
        <v>17234</v>
      </c>
      <c r="C28" s="429">
        <v>1</v>
      </c>
      <c r="D28" s="408">
        <v>18516</v>
      </c>
      <c r="E28" s="429">
        <v>1.0743878379946616</v>
      </c>
      <c r="F28" s="408">
        <v>37642</v>
      </c>
      <c r="G28" s="430">
        <v>2.1841708251131484</v>
      </c>
      <c r="H28" s="408"/>
      <c r="I28" s="429"/>
      <c r="J28" s="408"/>
      <c r="K28" s="429"/>
      <c r="L28" s="408"/>
      <c r="M28" s="430"/>
      <c r="N28" s="408"/>
      <c r="O28" s="429"/>
      <c r="P28" s="408"/>
      <c r="Q28" s="429"/>
      <c r="R28" s="408"/>
      <c r="S28" s="436"/>
    </row>
    <row r="29" spans="1:19" ht="14.4" customHeight="1" x14ac:dyDescent="0.3">
      <c r="A29" s="415" t="s">
        <v>430</v>
      </c>
      <c r="B29" s="408">
        <v>71868</v>
      </c>
      <c r="C29" s="429">
        <v>1</v>
      </c>
      <c r="D29" s="408">
        <v>64776</v>
      </c>
      <c r="E29" s="429">
        <v>0.90131908498914681</v>
      </c>
      <c r="F29" s="408">
        <v>72592</v>
      </c>
      <c r="G29" s="430">
        <v>1.0100740246006568</v>
      </c>
      <c r="H29" s="408"/>
      <c r="I29" s="429"/>
      <c r="J29" s="408"/>
      <c r="K29" s="429"/>
      <c r="L29" s="408"/>
      <c r="M29" s="430"/>
      <c r="N29" s="408"/>
      <c r="O29" s="429"/>
      <c r="P29" s="408"/>
      <c r="Q29" s="429"/>
      <c r="R29" s="408"/>
      <c r="S29" s="436"/>
    </row>
    <row r="30" spans="1:19" ht="14.4" customHeight="1" x14ac:dyDescent="0.3">
      <c r="A30" s="415" t="s">
        <v>431</v>
      </c>
      <c r="B30" s="408">
        <v>386052</v>
      </c>
      <c r="C30" s="429">
        <v>1</v>
      </c>
      <c r="D30" s="408">
        <v>482009</v>
      </c>
      <c r="E30" s="429">
        <v>1.2485597795115684</v>
      </c>
      <c r="F30" s="408">
        <v>476088</v>
      </c>
      <c r="G30" s="430">
        <v>1.2332224674396195</v>
      </c>
      <c r="H30" s="408"/>
      <c r="I30" s="429"/>
      <c r="J30" s="408"/>
      <c r="K30" s="429"/>
      <c r="L30" s="408"/>
      <c r="M30" s="430"/>
      <c r="N30" s="408"/>
      <c r="O30" s="429"/>
      <c r="P30" s="408"/>
      <c r="Q30" s="429"/>
      <c r="R30" s="408"/>
      <c r="S30" s="436"/>
    </row>
    <row r="31" spans="1:19" ht="14.4" customHeight="1" x14ac:dyDescent="0.3">
      <c r="A31" s="415" t="s">
        <v>432</v>
      </c>
      <c r="B31" s="408">
        <v>17808</v>
      </c>
      <c r="C31" s="429">
        <v>1</v>
      </c>
      <c r="D31" s="408">
        <v>14036</v>
      </c>
      <c r="E31" s="429">
        <v>0.78818508535489673</v>
      </c>
      <c r="F31" s="408">
        <v>13726</v>
      </c>
      <c r="G31" s="430">
        <v>0.77077717879604668</v>
      </c>
      <c r="H31" s="408"/>
      <c r="I31" s="429"/>
      <c r="J31" s="408"/>
      <c r="K31" s="429"/>
      <c r="L31" s="408"/>
      <c r="M31" s="430"/>
      <c r="N31" s="408"/>
      <c r="O31" s="429"/>
      <c r="P31" s="408"/>
      <c r="Q31" s="429"/>
      <c r="R31" s="408"/>
      <c r="S31" s="436"/>
    </row>
    <row r="32" spans="1:19" ht="14.4" customHeight="1" thickBot="1" x14ac:dyDescent="0.35">
      <c r="A32" s="416" t="s">
        <v>433</v>
      </c>
      <c r="B32" s="412">
        <v>15900</v>
      </c>
      <c r="C32" s="432">
        <v>1</v>
      </c>
      <c r="D32" s="412">
        <v>20416</v>
      </c>
      <c r="E32" s="432">
        <v>1.2840251572327044</v>
      </c>
      <c r="F32" s="412">
        <v>34458</v>
      </c>
      <c r="G32" s="433">
        <v>2.1671698113207549</v>
      </c>
      <c r="H32" s="412"/>
      <c r="I32" s="432"/>
      <c r="J32" s="412"/>
      <c r="K32" s="432"/>
      <c r="L32" s="412"/>
      <c r="M32" s="433"/>
      <c r="N32" s="412"/>
      <c r="O32" s="432"/>
      <c r="P32" s="412"/>
      <c r="Q32" s="432"/>
      <c r="R32" s="412"/>
      <c r="S32" s="43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7" customWidth="1"/>
    <col min="8" max="9" width="9.33203125" style="177" hidden="1" customWidth="1"/>
    <col min="10" max="11" width="11.109375" style="177" customWidth="1"/>
    <col min="12" max="13" width="9.33203125" style="177" hidden="1" customWidth="1"/>
    <col min="14" max="15" width="11.109375" style="177" customWidth="1"/>
    <col min="16" max="16" width="11.109375" style="180" customWidth="1"/>
    <col min="17" max="17" width="11.109375" style="177" customWidth="1"/>
    <col min="18" max="16384" width="8.88671875" style="102"/>
  </cols>
  <sheetData>
    <row r="1" spans="1:17" ht="18.600000000000001" customHeight="1" thickBot="1" x14ac:dyDescent="0.4">
      <c r="A1" s="274" t="s">
        <v>461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7" ht="14.4" customHeight="1" thickBot="1" x14ac:dyDescent="0.35">
      <c r="A2" s="195" t="s">
        <v>221</v>
      </c>
      <c r="B2" s="103"/>
      <c r="C2" s="103"/>
      <c r="D2" s="103"/>
      <c r="E2" s="103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90"/>
      <c r="Q2" s="189"/>
    </row>
    <row r="3" spans="1:17" ht="14.4" customHeight="1" thickBot="1" x14ac:dyDescent="0.35">
      <c r="E3" s="62" t="s">
        <v>102</v>
      </c>
      <c r="F3" s="74">
        <f t="shared" ref="F3:O3" si="0">SUBTOTAL(9,F6:F1048576)</f>
        <v>11027</v>
      </c>
      <c r="G3" s="75">
        <f t="shared" si="0"/>
        <v>3844756</v>
      </c>
      <c r="H3" s="75"/>
      <c r="I3" s="75"/>
      <c r="J3" s="75">
        <f t="shared" si="0"/>
        <v>10944</v>
      </c>
      <c r="K3" s="75">
        <f t="shared" si="0"/>
        <v>3769489</v>
      </c>
      <c r="L3" s="75"/>
      <c r="M3" s="75"/>
      <c r="N3" s="75">
        <f t="shared" si="0"/>
        <v>10519</v>
      </c>
      <c r="O3" s="75">
        <f t="shared" si="0"/>
        <v>3758105</v>
      </c>
      <c r="P3" s="58">
        <f>IF(G3=0,0,O3/G3)</f>
        <v>0.97746254898880447</v>
      </c>
      <c r="Q3" s="76">
        <f>IF(N3=0,0,O3/N3)</f>
        <v>357.26827645213422</v>
      </c>
    </row>
    <row r="4" spans="1:17" ht="14.4" customHeight="1" x14ac:dyDescent="0.3">
      <c r="A4" s="319" t="s">
        <v>46</v>
      </c>
      <c r="B4" s="318" t="s">
        <v>72</v>
      </c>
      <c r="C4" s="319" t="s">
        <v>73</v>
      </c>
      <c r="D4" s="327" t="s">
        <v>74</v>
      </c>
      <c r="E4" s="320" t="s">
        <v>47</v>
      </c>
      <c r="F4" s="325">
        <v>2012</v>
      </c>
      <c r="G4" s="326"/>
      <c r="H4" s="77"/>
      <c r="I4" s="77"/>
      <c r="J4" s="325">
        <v>2013</v>
      </c>
      <c r="K4" s="326"/>
      <c r="L4" s="77"/>
      <c r="M4" s="77"/>
      <c r="N4" s="325">
        <v>2014</v>
      </c>
      <c r="O4" s="326"/>
      <c r="P4" s="328" t="s">
        <v>2</v>
      </c>
      <c r="Q4" s="317" t="s">
        <v>75</v>
      </c>
    </row>
    <row r="5" spans="1:17" ht="14.4" customHeight="1" thickBot="1" x14ac:dyDescent="0.35">
      <c r="A5" s="418"/>
      <c r="B5" s="417"/>
      <c r="C5" s="418"/>
      <c r="D5" s="438"/>
      <c r="E5" s="420"/>
      <c r="F5" s="439" t="s">
        <v>49</v>
      </c>
      <c r="G5" s="440" t="s">
        <v>5</v>
      </c>
      <c r="H5" s="441"/>
      <c r="I5" s="441"/>
      <c r="J5" s="439" t="s">
        <v>49</v>
      </c>
      <c r="K5" s="440" t="s">
        <v>5</v>
      </c>
      <c r="L5" s="441"/>
      <c r="M5" s="441"/>
      <c r="N5" s="439" t="s">
        <v>49</v>
      </c>
      <c r="O5" s="440" t="s">
        <v>5</v>
      </c>
      <c r="P5" s="442"/>
      <c r="Q5" s="425"/>
    </row>
    <row r="6" spans="1:17" ht="14.4" customHeight="1" x14ac:dyDescent="0.3">
      <c r="A6" s="402" t="s">
        <v>434</v>
      </c>
      <c r="B6" s="426" t="s">
        <v>378</v>
      </c>
      <c r="C6" s="426" t="s">
        <v>379</v>
      </c>
      <c r="D6" s="426" t="s">
        <v>382</v>
      </c>
      <c r="E6" s="426" t="s">
        <v>383</v>
      </c>
      <c r="F6" s="403">
        <v>2</v>
      </c>
      <c r="G6" s="403">
        <v>136</v>
      </c>
      <c r="H6" s="403">
        <v>1</v>
      </c>
      <c r="I6" s="403">
        <v>68</v>
      </c>
      <c r="J6" s="403"/>
      <c r="K6" s="403"/>
      <c r="L6" s="403"/>
      <c r="M6" s="403"/>
      <c r="N6" s="403"/>
      <c r="O6" s="403"/>
      <c r="P6" s="427"/>
      <c r="Q6" s="428"/>
    </row>
    <row r="7" spans="1:17" ht="14.4" customHeight="1" x14ac:dyDescent="0.3">
      <c r="A7" s="406" t="s">
        <v>434</v>
      </c>
      <c r="B7" s="429" t="s">
        <v>378</v>
      </c>
      <c r="C7" s="429" t="s">
        <v>379</v>
      </c>
      <c r="D7" s="429" t="s">
        <v>384</v>
      </c>
      <c r="E7" s="429" t="s">
        <v>385</v>
      </c>
      <c r="F7" s="407">
        <v>82</v>
      </c>
      <c r="G7" s="407">
        <v>26076</v>
      </c>
      <c r="H7" s="407">
        <v>1</v>
      </c>
      <c r="I7" s="407">
        <v>318</v>
      </c>
      <c r="J7" s="407">
        <v>156</v>
      </c>
      <c r="K7" s="407">
        <v>49764</v>
      </c>
      <c r="L7" s="407">
        <v>1.9084215370455591</v>
      </c>
      <c r="M7" s="407">
        <v>319</v>
      </c>
      <c r="N7" s="407">
        <v>119</v>
      </c>
      <c r="O7" s="407">
        <v>38192</v>
      </c>
      <c r="P7" s="430">
        <v>1.464641816229483</v>
      </c>
      <c r="Q7" s="431">
        <v>320.94117647058823</v>
      </c>
    </row>
    <row r="8" spans="1:17" ht="14.4" customHeight="1" x14ac:dyDescent="0.3">
      <c r="A8" s="406" t="s">
        <v>434</v>
      </c>
      <c r="B8" s="429" t="s">
        <v>378</v>
      </c>
      <c r="C8" s="429" t="s">
        <v>379</v>
      </c>
      <c r="D8" s="429" t="s">
        <v>388</v>
      </c>
      <c r="E8" s="429" t="s">
        <v>389</v>
      </c>
      <c r="F8" s="407">
        <v>4</v>
      </c>
      <c r="G8" s="407">
        <v>1272</v>
      </c>
      <c r="H8" s="407">
        <v>1</v>
      </c>
      <c r="I8" s="407">
        <v>318</v>
      </c>
      <c r="J8" s="407"/>
      <c r="K8" s="407"/>
      <c r="L8" s="407"/>
      <c r="M8" s="407"/>
      <c r="N8" s="407"/>
      <c r="O8" s="407"/>
      <c r="P8" s="430"/>
      <c r="Q8" s="431"/>
    </row>
    <row r="9" spans="1:17" ht="14.4" customHeight="1" x14ac:dyDescent="0.3">
      <c r="A9" s="406" t="s">
        <v>434</v>
      </c>
      <c r="B9" s="429" t="s">
        <v>378</v>
      </c>
      <c r="C9" s="429" t="s">
        <v>379</v>
      </c>
      <c r="D9" s="429" t="s">
        <v>394</v>
      </c>
      <c r="E9" s="429" t="s">
        <v>395</v>
      </c>
      <c r="F9" s="407">
        <v>10</v>
      </c>
      <c r="G9" s="407">
        <v>5260</v>
      </c>
      <c r="H9" s="407">
        <v>1</v>
      </c>
      <c r="I9" s="407">
        <v>526</v>
      </c>
      <c r="J9" s="407">
        <v>4</v>
      </c>
      <c r="K9" s="407">
        <v>2152</v>
      </c>
      <c r="L9" s="407">
        <v>0.40912547528517113</v>
      </c>
      <c r="M9" s="407">
        <v>538</v>
      </c>
      <c r="N9" s="407">
        <v>6</v>
      </c>
      <c r="O9" s="407">
        <v>3264</v>
      </c>
      <c r="P9" s="430">
        <v>0.620532319391635</v>
      </c>
      <c r="Q9" s="431">
        <v>544</v>
      </c>
    </row>
    <row r="10" spans="1:17" ht="14.4" customHeight="1" x14ac:dyDescent="0.3">
      <c r="A10" s="406" t="s">
        <v>435</v>
      </c>
      <c r="B10" s="429" t="s">
        <v>378</v>
      </c>
      <c r="C10" s="429" t="s">
        <v>379</v>
      </c>
      <c r="D10" s="429" t="s">
        <v>384</v>
      </c>
      <c r="E10" s="429" t="s">
        <v>385</v>
      </c>
      <c r="F10" s="407">
        <v>144</v>
      </c>
      <c r="G10" s="407">
        <v>45792</v>
      </c>
      <c r="H10" s="407">
        <v>1</v>
      </c>
      <c r="I10" s="407">
        <v>318</v>
      </c>
      <c r="J10" s="407">
        <v>148</v>
      </c>
      <c r="K10" s="407">
        <v>47212</v>
      </c>
      <c r="L10" s="407">
        <v>1.0310097833682739</v>
      </c>
      <c r="M10" s="407">
        <v>319</v>
      </c>
      <c r="N10" s="407">
        <v>34</v>
      </c>
      <c r="O10" s="407">
        <v>10930</v>
      </c>
      <c r="P10" s="430">
        <v>0.23868798043326345</v>
      </c>
      <c r="Q10" s="431">
        <v>321.47058823529414</v>
      </c>
    </row>
    <row r="11" spans="1:17" ht="14.4" customHeight="1" x14ac:dyDescent="0.3">
      <c r="A11" s="406" t="s">
        <v>435</v>
      </c>
      <c r="B11" s="429" t="s">
        <v>378</v>
      </c>
      <c r="C11" s="429" t="s">
        <v>379</v>
      </c>
      <c r="D11" s="429" t="s">
        <v>388</v>
      </c>
      <c r="E11" s="429" t="s">
        <v>389</v>
      </c>
      <c r="F11" s="407"/>
      <c r="G11" s="407"/>
      <c r="H11" s="407"/>
      <c r="I11" s="407"/>
      <c r="J11" s="407"/>
      <c r="K11" s="407"/>
      <c r="L11" s="407"/>
      <c r="M11" s="407"/>
      <c r="N11" s="407">
        <v>16</v>
      </c>
      <c r="O11" s="407">
        <v>5152</v>
      </c>
      <c r="P11" s="430"/>
      <c r="Q11" s="431">
        <v>322</v>
      </c>
    </row>
    <row r="12" spans="1:17" ht="14.4" customHeight="1" x14ac:dyDescent="0.3">
      <c r="A12" s="406" t="s">
        <v>436</v>
      </c>
      <c r="B12" s="429" t="s">
        <v>378</v>
      </c>
      <c r="C12" s="429" t="s">
        <v>379</v>
      </c>
      <c r="D12" s="429" t="s">
        <v>384</v>
      </c>
      <c r="E12" s="429" t="s">
        <v>385</v>
      </c>
      <c r="F12" s="407">
        <v>217</v>
      </c>
      <c r="G12" s="407">
        <v>69006</v>
      </c>
      <c r="H12" s="407">
        <v>1</v>
      </c>
      <c r="I12" s="407">
        <v>318</v>
      </c>
      <c r="J12" s="407">
        <v>197</v>
      </c>
      <c r="K12" s="407">
        <v>62843</v>
      </c>
      <c r="L12" s="407">
        <v>0.91068892560067238</v>
      </c>
      <c r="M12" s="407">
        <v>319</v>
      </c>
      <c r="N12" s="407">
        <v>301</v>
      </c>
      <c r="O12" s="407">
        <v>96586</v>
      </c>
      <c r="P12" s="430">
        <v>1.3996753905457497</v>
      </c>
      <c r="Q12" s="431">
        <v>320.88372093023258</v>
      </c>
    </row>
    <row r="13" spans="1:17" ht="14.4" customHeight="1" x14ac:dyDescent="0.3">
      <c r="A13" s="406" t="s">
        <v>436</v>
      </c>
      <c r="B13" s="429" t="s">
        <v>378</v>
      </c>
      <c r="C13" s="429" t="s">
        <v>379</v>
      </c>
      <c r="D13" s="429" t="s">
        <v>394</v>
      </c>
      <c r="E13" s="429" t="s">
        <v>395</v>
      </c>
      <c r="F13" s="407">
        <v>32</v>
      </c>
      <c r="G13" s="407">
        <v>16832</v>
      </c>
      <c r="H13" s="407">
        <v>1</v>
      </c>
      <c r="I13" s="407">
        <v>526</v>
      </c>
      <c r="J13" s="407">
        <v>42</v>
      </c>
      <c r="K13" s="407">
        <v>22596</v>
      </c>
      <c r="L13" s="407">
        <v>1.3424429657794676</v>
      </c>
      <c r="M13" s="407">
        <v>538</v>
      </c>
      <c r="N13" s="407">
        <v>60</v>
      </c>
      <c r="O13" s="407">
        <v>32562</v>
      </c>
      <c r="P13" s="430">
        <v>1.9345294676806084</v>
      </c>
      <c r="Q13" s="431">
        <v>542.70000000000005</v>
      </c>
    </row>
    <row r="14" spans="1:17" ht="14.4" customHeight="1" x14ac:dyDescent="0.3">
      <c r="A14" s="406" t="s">
        <v>437</v>
      </c>
      <c r="B14" s="429" t="s">
        <v>378</v>
      </c>
      <c r="C14" s="429" t="s">
        <v>379</v>
      </c>
      <c r="D14" s="429" t="s">
        <v>382</v>
      </c>
      <c r="E14" s="429" t="s">
        <v>383</v>
      </c>
      <c r="F14" s="407">
        <v>2</v>
      </c>
      <c r="G14" s="407">
        <v>136</v>
      </c>
      <c r="H14" s="407">
        <v>1</v>
      </c>
      <c r="I14" s="407">
        <v>68</v>
      </c>
      <c r="J14" s="407">
        <v>4</v>
      </c>
      <c r="K14" s="407">
        <v>276</v>
      </c>
      <c r="L14" s="407">
        <v>2.0294117647058822</v>
      </c>
      <c r="M14" s="407">
        <v>69</v>
      </c>
      <c r="N14" s="407"/>
      <c r="O14" s="407"/>
      <c r="P14" s="430"/>
      <c r="Q14" s="431"/>
    </row>
    <row r="15" spans="1:17" ht="14.4" customHeight="1" x14ac:dyDescent="0.3">
      <c r="A15" s="406" t="s">
        <v>437</v>
      </c>
      <c r="B15" s="429" t="s">
        <v>378</v>
      </c>
      <c r="C15" s="429" t="s">
        <v>379</v>
      </c>
      <c r="D15" s="429" t="s">
        <v>384</v>
      </c>
      <c r="E15" s="429" t="s">
        <v>385</v>
      </c>
      <c r="F15" s="407">
        <v>131</v>
      </c>
      <c r="G15" s="407">
        <v>41658</v>
      </c>
      <c r="H15" s="407">
        <v>1</v>
      </c>
      <c r="I15" s="407">
        <v>318</v>
      </c>
      <c r="J15" s="407">
        <v>218</v>
      </c>
      <c r="K15" s="407">
        <v>69542</v>
      </c>
      <c r="L15" s="407">
        <v>1.6693552258869846</v>
      </c>
      <c r="M15" s="407">
        <v>319</v>
      </c>
      <c r="N15" s="407">
        <v>236</v>
      </c>
      <c r="O15" s="407">
        <v>75860</v>
      </c>
      <c r="P15" s="430">
        <v>1.8210187719045561</v>
      </c>
      <c r="Q15" s="431">
        <v>321.4406779661017</v>
      </c>
    </row>
    <row r="16" spans="1:17" ht="14.4" customHeight="1" x14ac:dyDescent="0.3">
      <c r="A16" s="406" t="s">
        <v>438</v>
      </c>
      <c r="B16" s="429" t="s">
        <v>378</v>
      </c>
      <c r="C16" s="429" t="s">
        <v>379</v>
      </c>
      <c r="D16" s="429" t="s">
        <v>384</v>
      </c>
      <c r="E16" s="429" t="s">
        <v>385</v>
      </c>
      <c r="F16" s="407">
        <v>4</v>
      </c>
      <c r="G16" s="407">
        <v>1272</v>
      </c>
      <c r="H16" s="407">
        <v>1</v>
      </c>
      <c r="I16" s="407">
        <v>318</v>
      </c>
      <c r="J16" s="407">
        <v>24</v>
      </c>
      <c r="K16" s="407">
        <v>7656</v>
      </c>
      <c r="L16" s="407">
        <v>6.0188679245283021</v>
      </c>
      <c r="M16" s="407">
        <v>319</v>
      </c>
      <c r="N16" s="407">
        <v>69</v>
      </c>
      <c r="O16" s="407">
        <v>22152</v>
      </c>
      <c r="P16" s="430">
        <v>17.415094339622641</v>
      </c>
      <c r="Q16" s="431">
        <v>321.04347826086956</v>
      </c>
    </row>
    <row r="17" spans="1:17" ht="14.4" customHeight="1" x14ac:dyDescent="0.3">
      <c r="A17" s="406" t="s">
        <v>438</v>
      </c>
      <c r="B17" s="429" t="s">
        <v>378</v>
      </c>
      <c r="C17" s="429" t="s">
        <v>379</v>
      </c>
      <c r="D17" s="429" t="s">
        <v>388</v>
      </c>
      <c r="E17" s="429" t="s">
        <v>389</v>
      </c>
      <c r="F17" s="407"/>
      <c r="G17" s="407"/>
      <c r="H17" s="407"/>
      <c r="I17" s="407"/>
      <c r="J17" s="407"/>
      <c r="K17" s="407"/>
      <c r="L17" s="407"/>
      <c r="M17" s="407"/>
      <c r="N17" s="407">
        <v>4</v>
      </c>
      <c r="O17" s="407">
        <v>1288</v>
      </c>
      <c r="P17" s="430"/>
      <c r="Q17" s="431">
        <v>322</v>
      </c>
    </row>
    <row r="18" spans="1:17" ht="14.4" customHeight="1" x14ac:dyDescent="0.3">
      <c r="A18" s="406" t="s">
        <v>439</v>
      </c>
      <c r="B18" s="429" t="s">
        <v>378</v>
      </c>
      <c r="C18" s="429" t="s">
        <v>379</v>
      </c>
      <c r="D18" s="429" t="s">
        <v>382</v>
      </c>
      <c r="E18" s="429" t="s">
        <v>383</v>
      </c>
      <c r="F18" s="407">
        <v>2</v>
      </c>
      <c r="G18" s="407">
        <v>136</v>
      </c>
      <c r="H18" s="407">
        <v>1</v>
      </c>
      <c r="I18" s="407">
        <v>68</v>
      </c>
      <c r="J18" s="407"/>
      <c r="K18" s="407"/>
      <c r="L18" s="407"/>
      <c r="M18" s="407"/>
      <c r="N18" s="407"/>
      <c r="O18" s="407"/>
      <c r="P18" s="430"/>
      <c r="Q18" s="431"/>
    </row>
    <row r="19" spans="1:17" ht="14.4" customHeight="1" x14ac:dyDescent="0.3">
      <c r="A19" s="406" t="s">
        <v>439</v>
      </c>
      <c r="B19" s="429" t="s">
        <v>378</v>
      </c>
      <c r="C19" s="429" t="s">
        <v>379</v>
      </c>
      <c r="D19" s="429" t="s">
        <v>384</v>
      </c>
      <c r="E19" s="429" t="s">
        <v>385</v>
      </c>
      <c r="F19" s="407">
        <v>28</v>
      </c>
      <c r="G19" s="407">
        <v>8904</v>
      </c>
      <c r="H19" s="407">
        <v>1</v>
      </c>
      <c r="I19" s="407">
        <v>318</v>
      </c>
      <c r="J19" s="407"/>
      <c r="K19" s="407"/>
      <c r="L19" s="407"/>
      <c r="M19" s="407"/>
      <c r="N19" s="407">
        <v>12</v>
      </c>
      <c r="O19" s="407">
        <v>3864</v>
      </c>
      <c r="P19" s="430">
        <v>0.43396226415094341</v>
      </c>
      <c r="Q19" s="431">
        <v>322</v>
      </c>
    </row>
    <row r="20" spans="1:17" ht="14.4" customHeight="1" x14ac:dyDescent="0.3">
      <c r="A20" s="406" t="s">
        <v>439</v>
      </c>
      <c r="B20" s="429" t="s">
        <v>378</v>
      </c>
      <c r="C20" s="429" t="s">
        <v>379</v>
      </c>
      <c r="D20" s="429" t="s">
        <v>394</v>
      </c>
      <c r="E20" s="429" t="s">
        <v>395</v>
      </c>
      <c r="F20" s="407"/>
      <c r="G20" s="407"/>
      <c r="H20" s="407"/>
      <c r="I20" s="407"/>
      <c r="J20" s="407"/>
      <c r="K20" s="407"/>
      <c r="L20" s="407"/>
      <c r="M20" s="407"/>
      <c r="N20" s="407">
        <v>8</v>
      </c>
      <c r="O20" s="407">
        <v>4352</v>
      </c>
      <c r="P20" s="430"/>
      <c r="Q20" s="431">
        <v>544</v>
      </c>
    </row>
    <row r="21" spans="1:17" ht="14.4" customHeight="1" x14ac:dyDescent="0.3">
      <c r="A21" s="406" t="s">
        <v>440</v>
      </c>
      <c r="B21" s="429" t="s">
        <v>378</v>
      </c>
      <c r="C21" s="429" t="s">
        <v>379</v>
      </c>
      <c r="D21" s="429" t="s">
        <v>384</v>
      </c>
      <c r="E21" s="429" t="s">
        <v>385</v>
      </c>
      <c r="F21" s="407">
        <v>16</v>
      </c>
      <c r="G21" s="407">
        <v>5088</v>
      </c>
      <c r="H21" s="407">
        <v>1</v>
      </c>
      <c r="I21" s="407">
        <v>318</v>
      </c>
      <c r="J21" s="407">
        <v>4</v>
      </c>
      <c r="K21" s="407">
        <v>1276</v>
      </c>
      <c r="L21" s="407">
        <v>0.25078616352201261</v>
      </c>
      <c r="M21" s="407">
        <v>319</v>
      </c>
      <c r="N21" s="407">
        <v>4</v>
      </c>
      <c r="O21" s="407">
        <v>1288</v>
      </c>
      <c r="P21" s="430">
        <v>0.25314465408805031</v>
      </c>
      <c r="Q21" s="431">
        <v>322</v>
      </c>
    </row>
    <row r="22" spans="1:17" ht="14.4" customHeight="1" x14ac:dyDescent="0.3">
      <c r="A22" s="406" t="s">
        <v>440</v>
      </c>
      <c r="B22" s="429" t="s">
        <v>378</v>
      </c>
      <c r="C22" s="429" t="s">
        <v>379</v>
      </c>
      <c r="D22" s="429" t="s">
        <v>388</v>
      </c>
      <c r="E22" s="429" t="s">
        <v>389</v>
      </c>
      <c r="F22" s="407">
        <v>4</v>
      </c>
      <c r="G22" s="407">
        <v>1272</v>
      </c>
      <c r="H22" s="407">
        <v>1</v>
      </c>
      <c r="I22" s="407">
        <v>318</v>
      </c>
      <c r="J22" s="407"/>
      <c r="K22" s="407"/>
      <c r="L22" s="407"/>
      <c r="M22" s="407"/>
      <c r="N22" s="407"/>
      <c r="O22" s="407"/>
      <c r="P22" s="430"/>
      <c r="Q22" s="431"/>
    </row>
    <row r="23" spans="1:17" ht="14.4" customHeight="1" x14ac:dyDescent="0.3">
      <c r="A23" s="406" t="s">
        <v>441</v>
      </c>
      <c r="B23" s="429" t="s">
        <v>378</v>
      </c>
      <c r="C23" s="429" t="s">
        <v>379</v>
      </c>
      <c r="D23" s="429" t="s">
        <v>382</v>
      </c>
      <c r="E23" s="429" t="s">
        <v>383</v>
      </c>
      <c r="F23" s="407">
        <v>2</v>
      </c>
      <c r="G23" s="407">
        <v>136</v>
      </c>
      <c r="H23" s="407">
        <v>1</v>
      </c>
      <c r="I23" s="407">
        <v>68</v>
      </c>
      <c r="J23" s="407">
        <v>8</v>
      </c>
      <c r="K23" s="407">
        <v>552</v>
      </c>
      <c r="L23" s="407">
        <v>4.0588235294117645</v>
      </c>
      <c r="M23" s="407">
        <v>69</v>
      </c>
      <c r="N23" s="407"/>
      <c r="O23" s="407"/>
      <c r="P23" s="430"/>
      <c r="Q23" s="431"/>
    </row>
    <row r="24" spans="1:17" ht="14.4" customHeight="1" x14ac:dyDescent="0.3">
      <c r="A24" s="406" t="s">
        <v>441</v>
      </c>
      <c r="B24" s="429" t="s">
        <v>378</v>
      </c>
      <c r="C24" s="429" t="s">
        <v>379</v>
      </c>
      <c r="D24" s="429" t="s">
        <v>384</v>
      </c>
      <c r="E24" s="429" t="s">
        <v>385</v>
      </c>
      <c r="F24" s="407">
        <v>1116</v>
      </c>
      <c r="G24" s="407">
        <v>354888</v>
      </c>
      <c r="H24" s="407">
        <v>1</v>
      </c>
      <c r="I24" s="407">
        <v>318</v>
      </c>
      <c r="J24" s="407">
        <v>716</v>
      </c>
      <c r="K24" s="407">
        <v>228404</v>
      </c>
      <c r="L24" s="407">
        <v>0.64359459885935844</v>
      </c>
      <c r="M24" s="407">
        <v>319</v>
      </c>
      <c r="N24" s="407">
        <v>626</v>
      </c>
      <c r="O24" s="407">
        <v>201146</v>
      </c>
      <c r="P24" s="430">
        <v>0.56678726809585001</v>
      </c>
      <c r="Q24" s="431">
        <v>321.3194888178914</v>
      </c>
    </row>
    <row r="25" spans="1:17" ht="14.4" customHeight="1" x14ac:dyDescent="0.3">
      <c r="A25" s="406" t="s">
        <v>441</v>
      </c>
      <c r="B25" s="429" t="s">
        <v>378</v>
      </c>
      <c r="C25" s="429" t="s">
        <v>379</v>
      </c>
      <c r="D25" s="429" t="s">
        <v>386</v>
      </c>
      <c r="E25" s="429" t="s">
        <v>387</v>
      </c>
      <c r="F25" s="407">
        <v>4</v>
      </c>
      <c r="G25" s="407">
        <v>1272</v>
      </c>
      <c r="H25" s="407">
        <v>1</v>
      </c>
      <c r="I25" s="407">
        <v>318</v>
      </c>
      <c r="J25" s="407"/>
      <c r="K25" s="407"/>
      <c r="L25" s="407"/>
      <c r="M25" s="407"/>
      <c r="N25" s="407"/>
      <c r="O25" s="407"/>
      <c r="P25" s="430"/>
      <c r="Q25" s="431"/>
    </row>
    <row r="26" spans="1:17" ht="14.4" customHeight="1" x14ac:dyDescent="0.3">
      <c r="A26" s="406" t="s">
        <v>441</v>
      </c>
      <c r="B26" s="429" t="s">
        <v>378</v>
      </c>
      <c r="C26" s="429" t="s">
        <v>379</v>
      </c>
      <c r="D26" s="429" t="s">
        <v>388</v>
      </c>
      <c r="E26" s="429" t="s">
        <v>389</v>
      </c>
      <c r="F26" s="407">
        <v>657</v>
      </c>
      <c r="G26" s="407">
        <v>208926</v>
      </c>
      <c r="H26" s="407">
        <v>1</v>
      </c>
      <c r="I26" s="407">
        <v>318</v>
      </c>
      <c r="J26" s="407">
        <v>991</v>
      </c>
      <c r="K26" s="407">
        <v>316129</v>
      </c>
      <c r="L26" s="407">
        <v>1.5131146913261155</v>
      </c>
      <c r="M26" s="407">
        <v>319</v>
      </c>
      <c r="N26" s="407">
        <v>865</v>
      </c>
      <c r="O26" s="407">
        <v>277639</v>
      </c>
      <c r="P26" s="430">
        <v>1.3288867828800628</v>
      </c>
      <c r="Q26" s="431">
        <v>320.9699421965318</v>
      </c>
    </row>
    <row r="27" spans="1:17" ht="14.4" customHeight="1" x14ac:dyDescent="0.3">
      <c r="A27" s="406" t="s">
        <v>441</v>
      </c>
      <c r="B27" s="429" t="s">
        <v>378</v>
      </c>
      <c r="C27" s="429" t="s">
        <v>379</v>
      </c>
      <c r="D27" s="429" t="s">
        <v>394</v>
      </c>
      <c r="E27" s="429" t="s">
        <v>395</v>
      </c>
      <c r="F27" s="407">
        <v>5</v>
      </c>
      <c r="G27" s="407">
        <v>2630</v>
      </c>
      <c r="H27" s="407">
        <v>1</v>
      </c>
      <c r="I27" s="407">
        <v>526</v>
      </c>
      <c r="J27" s="407"/>
      <c r="K27" s="407"/>
      <c r="L27" s="407"/>
      <c r="M27" s="407"/>
      <c r="N27" s="407"/>
      <c r="O27" s="407"/>
      <c r="P27" s="430"/>
      <c r="Q27" s="431"/>
    </row>
    <row r="28" spans="1:17" ht="14.4" customHeight="1" x14ac:dyDescent="0.3">
      <c r="A28" s="406" t="s">
        <v>442</v>
      </c>
      <c r="B28" s="429" t="s">
        <v>378</v>
      </c>
      <c r="C28" s="429" t="s">
        <v>379</v>
      </c>
      <c r="D28" s="429" t="s">
        <v>384</v>
      </c>
      <c r="E28" s="429" t="s">
        <v>385</v>
      </c>
      <c r="F28" s="407">
        <v>8</v>
      </c>
      <c r="G28" s="407">
        <v>2544</v>
      </c>
      <c r="H28" s="407">
        <v>1</v>
      </c>
      <c r="I28" s="407">
        <v>318</v>
      </c>
      <c r="J28" s="407">
        <v>8</v>
      </c>
      <c r="K28" s="407">
        <v>2552</v>
      </c>
      <c r="L28" s="407">
        <v>1.0031446540880504</v>
      </c>
      <c r="M28" s="407">
        <v>319</v>
      </c>
      <c r="N28" s="407">
        <v>8</v>
      </c>
      <c r="O28" s="407">
        <v>2576</v>
      </c>
      <c r="P28" s="430">
        <v>1.0125786163522013</v>
      </c>
      <c r="Q28" s="431">
        <v>322</v>
      </c>
    </row>
    <row r="29" spans="1:17" ht="14.4" customHeight="1" x14ac:dyDescent="0.3">
      <c r="A29" s="406" t="s">
        <v>442</v>
      </c>
      <c r="B29" s="429" t="s">
        <v>378</v>
      </c>
      <c r="C29" s="429" t="s">
        <v>379</v>
      </c>
      <c r="D29" s="429" t="s">
        <v>388</v>
      </c>
      <c r="E29" s="429" t="s">
        <v>389</v>
      </c>
      <c r="F29" s="407"/>
      <c r="G29" s="407"/>
      <c r="H29" s="407"/>
      <c r="I29" s="407"/>
      <c r="J29" s="407"/>
      <c r="K29" s="407"/>
      <c r="L29" s="407"/>
      <c r="M29" s="407"/>
      <c r="N29" s="407">
        <v>8</v>
      </c>
      <c r="O29" s="407">
        <v>2552</v>
      </c>
      <c r="P29" s="430"/>
      <c r="Q29" s="431">
        <v>319</v>
      </c>
    </row>
    <row r="30" spans="1:17" ht="14.4" customHeight="1" x14ac:dyDescent="0.3">
      <c r="A30" s="406" t="s">
        <v>443</v>
      </c>
      <c r="B30" s="429" t="s">
        <v>378</v>
      </c>
      <c r="C30" s="429" t="s">
        <v>379</v>
      </c>
      <c r="D30" s="429" t="s">
        <v>382</v>
      </c>
      <c r="E30" s="429" t="s">
        <v>383</v>
      </c>
      <c r="F30" s="407">
        <v>2</v>
      </c>
      <c r="G30" s="407">
        <v>136</v>
      </c>
      <c r="H30" s="407">
        <v>1</v>
      </c>
      <c r="I30" s="407">
        <v>68</v>
      </c>
      <c r="J30" s="407">
        <v>2</v>
      </c>
      <c r="K30" s="407">
        <v>138</v>
      </c>
      <c r="L30" s="407">
        <v>1.0147058823529411</v>
      </c>
      <c r="M30" s="407">
        <v>69</v>
      </c>
      <c r="N30" s="407">
        <v>2</v>
      </c>
      <c r="O30" s="407">
        <v>140</v>
      </c>
      <c r="P30" s="430">
        <v>1.0294117647058822</v>
      </c>
      <c r="Q30" s="431">
        <v>70</v>
      </c>
    </row>
    <row r="31" spans="1:17" ht="14.4" customHeight="1" x14ac:dyDescent="0.3">
      <c r="A31" s="406" t="s">
        <v>443</v>
      </c>
      <c r="B31" s="429" t="s">
        <v>378</v>
      </c>
      <c r="C31" s="429" t="s">
        <v>379</v>
      </c>
      <c r="D31" s="429" t="s">
        <v>384</v>
      </c>
      <c r="E31" s="429" t="s">
        <v>385</v>
      </c>
      <c r="F31" s="407">
        <v>1246</v>
      </c>
      <c r="G31" s="407">
        <v>396228</v>
      </c>
      <c r="H31" s="407">
        <v>1</v>
      </c>
      <c r="I31" s="407">
        <v>318</v>
      </c>
      <c r="J31" s="407">
        <v>943</v>
      </c>
      <c r="K31" s="407">
        <v>300817</v>
      </c>
      <c r="L31" s="407">
        <v>0.75920177271671863</v>
      </c>
      <c r="M31" s="407">
        <v>319</v>
      </c>
      <c r="N31" s="407">
        <v>790</v>
      </c>
      <c r="O31" s="407">
        <v>253582</v>
      </c>
      <c r="P31" s="430">
        <v>0.63999010670623979</v>
      </c>
      <c r="Q31" s="431">
        <v>320.98987341772153</v>
      </c>
    </row>
    <row r="32" spans="1:17" ht="14.4" customHeight="1" x14ac:dyDescent="0.3">
      <c r="A32" s="406" t="s">
        <v>443</v>
      </c>
      <c r="B32" s="429" t="s">
        <v>378</v>
      </c>
      <c r="C32" s="429" t="s">
        <v>379</v>
      </c>
      <c r="D32" s="429" t="s">
        <v>386</v>
      </c>
      <c r="E32" s="429" t="s">
        <v>387</v>
      </c>
      <c r="F32" s="407">
        <v>236</v>
      </c>
      <c r="G32" s="407">
        <v>75048</v>
      </c>
      <c r="H32" s="407">
        <v>1</v>
      </c>
      <c r="I32" s="407">
        <v>318</v>
      </c>
      <c r="J32" s="407">
        <v>182</v>
      </c>
      <c r="K32" s="407">
        <v>58058</v>
      </c>
      <c r="L32" s="407">
        <v>0.77361155527129299</v>
      </c>
      <c r="M32" s="407">
        <v>319</v>
      </c>
      <c r="N32" s="407">
        <v>311</v>
      </c>
      <c r="O32" s="407">
        <v>99938</v>
      </c>
      <c r="P32" s="430">
        <v>1.3316544078456454</v>
      </c>
      <c r="Q32" s="431">
        <v>321.34405144694534</v>
      </c>
    </row>
    <row r="33" spans="1:17" ht="14.4" customHeight="1" x14ac:dyDescent="0.3">
      <c r="A33" s="406" t="s">
        <v>443</v>
      </c>
      <c r="B33" s="429" t="s">
        <v>378</v>
      </c>
      <c r="C33" s="429" t="s">
        <v>379</v>
      </c>
      <c r="D33" s="429" t="s">
        <v>388</v>
      </c>
      <c r="E33" s="429" t="s">
        <v>389</v>
      </c>
      <c r="F33" s="407">
        <v>305</v>
      </c>
      <c r="G33" s="407">
        <v>96990</v>
      </c>
      <c r="H33" s="407">
        <v>1</v>
      </c>
      <c r="I33" s="407">
        <v>318</v>
      </c>
      <c r="J33" s="407">
        <v>293</v>
      </c>
      <c r="K33" s="407">
        <v>93467</v>
      </c>
      <c r="L33" s="407">
        <v>0.96367666769770077</v>
      </c>
      <c r="M33" s="407">
        <v>319</v>
      </c>
      <c r="N33" s="407">
        <v>264</v>
      </c>
      <c r="O33" s="407">
        <v>84774</v>
      </c>
      <c r="P33" s="430">
        <v>0.87404887101763074</v>
      </c>
      <c r="Q33" s="431">
        <v>321.11363636363637</v>
      </c>
    </row>
    <row r="34" spans="1:17" ht="14.4" customHeight="1" x14ac:dyDescent="0.3">
      <c r="A34" s="406" t="s">
        <v>443</v>
      </c>
      <c r="B34" s="429" t="s">
        <v>378</v>
      </c>
      <c r="C34" s="429" t="s">
        <v>379</v>
      </c>
      <c r="D34" s="429" t="s">
        <v>392</v>
      </c>
      <c r="E34" s="429" t="s">
        <v>393</v>
      </c>
      <c r="F34" s="407">
        <v>1</v>
      </c>
      <c r="G34" s="407">
        <v>0</v>
      </c>
      <c r="H34" s="407"/>
      <c r="I34" s="407">
        <v>0</v>
      </c>
      <c r="J34" s="407">
        <v>2</v>
      </c>
      <c r="K34" s="407">
        <v>0</v>
      </c>
      <c r="L34" s="407"/>
      <c r="M34" s="407">
        <v>0</v>
      </c>
      <c r="N34" s="407"/>
      <c r="O34" s="407"/>
      <c r="P34" s="430"/>
      <c r="Q34" s="431"/>
    </row>
    <row r="35" spans="1:17" ht="14.4" customHeight="1" x14ac:dyDescent="0.3">
      <c r="A35" s="406" t="s">
        <v>443</v>
      </c>
      <c r="B35" s="429" t="s">
        <v>378</v>
      </c>
      <c r="C35" s="429" t="s">
        <v>379</v>
      </c>
      <c r="D35" s="429" t="s">
        <v>394</v>
      </c>
      <c r="E35" s="429" t="s">
        <v>395</v>
      </c>
      <c r="F35" s="407">
        <v>4</v>
      </c>
      <c r="G35" s="407">
        <v>2104</v>
      </c>
      <c r="H35" s="407">
        <v>1</v>
      </c>
      <c r="I35" s="407">
        <v>526</v>
      </c>
      <c r="J35" s="407"/>
      <c r="K35" s="407"/>
      <c r="L35" s="407"/>
      <c r="M35" s="407"/>
      <c r="N35" s="407"/>
      <c r="O35" s="407"/>
      <c r="P35" s="430"/>
      <c r="Q35" s="431"/>
    </row>
    <row r="36" spans="1:17" ht="14.4" customHeight="1" x14ac:dyDescent="0.3">
      <c r="A36" s="406" t="s">
        <v>443</v>
      </c>
      <c r="B36" s="429" t="s">
        <v>378</v>
      </c>
      <c r="C36" s="429" t="s">
        <v>379</v>
      </c>
      <c r="D36" s="429" t="s">
        <v>396</v>
      </c>
      <c r="E36" s="429" t="s">
        <v>397</v>
      </c>
      <c r="F36" s="407">
        <v>153</v>
      </c>
      <c r="G36" s="407">
        <v>81396</v>
      </c>
      <c r="H36" s="407">
        <v>1</v>
      </c>
      <c r="I36" s="407">
        <v>532</v>
      </c>
      <c r="J36" s="407">
        <v>154</v>
      </c>
      <c r="K36" s="407">
        <v>83006</v>
      </c>
      <c r="L36" s="407">
        <v>1.019779841761266</v>
      </c>
      <c r="M36" s="407">
        <v>539</v>
      </c>
      <c r="N36" s="407">
        <v>127</v>
      </c>
      <c r="O36" s="407">
        <v>69041</v>
      </c>
      <c r="P36" s="430">
        <v>0.84821121431028557</v>
      </c>
      <c r="Q36" s="431">
        <v>543.62992125984249</v>
      </c>
    </row>
    <row r="37" spans="1:17" ht="14.4" customHeight="1" x14ac:dyDescent="0.3">
      <c r="A37" s="406" t="s">
        <v>443</v>
      </c>
      <c r="B37" s="429" t="s">
        <v>378</v>
      </c>
      <c r="C37" s="429" t="s">
        <v>379</v>
      </c>
      <c r="D37" s="429" t="s">
        <v>398</v>
      </c>
      <c r="E37" s="429" t="s">
        <v>399</v>
      </c>
      <c r="F37" s="407"/>
      <c r="G37" s="407"/>
      <c r="H37" s="407"/>
      <c r="I37" s="407"/>
      <c r="J37" s="407"/>
      <c r="K37" s="407"/>
      <c r="L37" s="407"/>
      <c r="M37" s="407"/>
      <c r="N37" s="407">
        <v>4</v>
      </c>
      <c r="O37" s="407">
        <v>1088</v>
      </c>
      <c r="P37" s="430"/>
      <c r="Q37" s="431">
        <v>272</v>
      </c>
    </row>
    <row r="38" spans="1:17" ht="14.4" customHeight="1" x14ac:dyDescent="0.3">
      <c r="A38" s="406" t="s">
        <v>443</v>
      </c>
      <c r="B38" s="429" t="s">
        <v>378</v>
      </c>
      <c r="C38" s="429" t="s">
        <v>379</v>
      </c>
      <c r="D38" s="429" t="s">
        <v>400</v>
      </c>
      <c r="E38" s="429" t="s">
        <v>401</v>
      </c>
      <c r="F38" s="407">
        <v>42</v>
      </c>
      <c r="G38" s="407">
        <v>22344</v>
      </c>
      <c r="H38" s="407">
        <v>1</v>
      </c>
      <c r="I38" s="407">
        <v>532</v>
      </c>
      <c r="J38" s="407">
        <v>46</v>
      </c>
      <c r="K38" s="407">
        <v>24794</v>
      </c>
      <c r="L38" s="407">
        <v>1.1096491228070176</v>
      </c>
      <c r="M38" s="407">
        <v>539</v>
      </c>
      <c r="N38" s="407">
        <v>64</v>
      </c>
      <c r="O38" s="407">
        <v>34664</v>
      </c>
      <c r="P38" s="430">
        <v>1.5513784461152882</v>
      </c>
      <c r="Q38" s="431">
        <v>541.625</v>
      </c>
    </row>
    <row r="39" spans="1:17" ht="14.4" customHeight="1" x14ac:dyDescent="0.3">
      <c r="A39" s="406" t="s">
        <v>444</v>
      </c>
      <c r="B39" s="429" t="s">
        <v>378</v>
      </c>
      <c r="C39" s="429" t="s">
        <v>379</v>
      </c>
      <c r="D39" s="429" t="s">
        <v>384</v>
      </c>
      <c r="E39" s="429" t="s">
        <v>385</v>
      </c>
      <c r="F39" s="407"/>
      <c r="G39" s="407"/>
      <c r="H39" s="407"/>
      <c r="I39" s="407"/>
      <c r="J39" s="407">
        <v>4</v>
      </c>
      <c r="K39" s="407">
        <v>1276</v>
      </c>
      <c r="L39" s="407"/>
      <c r="M39" s="407">
        <v>319</v>
      </c>
      <c r="N39" s="407"/>
      <c r="O39" s="407"/>
      <c r="P39" s="430"/>
      <c r="Q39" s="431"/>
    </row>
    <row r="40" spans="1:17" ht="14.4" customHeight="1" x14ac:dyDescent="0.3">
      <c r="A40" s="406" t="s">
        <v>445</v>
      </c>
      <c r="B40" s="429" t="s">
        <v>378</v>
      </c>
      <c r="C40" s="429" t="s">
        <v>379</v>
      </c>
      <c r="D40" s="429" t="s">
        <v>384</v>
      </c>
      <c r="E40" s="429" t="s">
        <v>385</v>
      </c>
      <c r="F40" s="407"/>
      <c r="G40" s="407"/>
      <c r="H40" s="407"/>
      <c r="I40" s="407"/>
      <c r="J40" s="407">
        <v>38</v>
      </c>
      <c r="K40" s="407">
        <v>12122</v>
      </c>
      <c r="L40" s="407"/>
      <c r="M40" s="407">
        <v>319</v>
      </c>
      <c r="N40" s="407">
        <v>25</v>
      </c>
      <c r="O40" s="407">
        <v>8050</v>
      </c>
      <c r="P40" s="430"/>
      <c r="Q40" s="431">
        <v>322</v>
      </c>
    </row>
    <row r="41" spans="1:17" ht="14.4" customHeight="1" x14ac:dyDescent="0.3">
      <c r="A41" s="406" t="s">
        <v>445</v>
      </c>
      <c r="B41" s="429" t="s">
        <v>378</v>
      </c>
      <c r="C41" s="429" t="s">
        <v>379</v>
      </c>
      <c r="D41" s="429" t="s">
        <v>394</v>
      </c>
      <c r="E41" s="429" t="s">
        <v>395</v>
      </c>
      <c r="F41" s="407"/>
      <c r="G41" s="407"/>
      <c r="H41" s="407"/>
      <c r="I41" s="407"/>
      <c r="J41" s="407">
        <v>4</v>
      </c>
      <c r="K41" s="407">
        <v>2152</v>
      </c>
      <c r="L41" s="407"/>
      <c r="M41" s="407">
        <v>538</v>
      </c>
      <c r="N41" s="407"/>
      <c r="O41" s="407"/>
      <c r="P41" s="430"/>
      <c r="Q41" s="431"/>
    </row>
    <row r="42" spans="1:17" ht="14.4" customHeight="1" x14ac:dyDescent="0.3">
      <c r="A42" s="406" t="s">
        <v>446</v>
      </c>
      <c r="B42" s="429" t="s">
        <v>378</v>
      </c>
      <c r="C42" s="429" t="s">
        <v>379</v>
      </c>
      <c r="D42" s="429" t="s">
        <v>384</v>
      </c>
      <c r="E42" s="429" t="s">
        <v>385</v>
      </c>
      <c r="F42" s="407">
        <v>16</v>
      </c>
      <c r="G42" s="407">
        <v>5088</v>
      </c>
      <c r="H42" s="407">
        <v>1</v>
      </c>
      <c r="I42" s="407">
        <v>318</v>
      </c>
      <c r="J42" s="407">
        <v>30</v>
      </c>
      <c r="K42" s="407">
        <v>9570</v>
      </c>
      <c r="L42" s="407">
        <v>1.8808962264150944</v>
      </c>
      <c r="M42" s="407">
        <v>319</v>
      </c>
      <c r="N42" s="407">
        <v>32</v>
      </c>
      <c r="O42" s="407">
        <v>10304</v>
      </c>
      <c r="P42" s="430">
        <v>2.0251572327044025</v>
      </c>
      <c r="Q42" s="431">
        <v>322</v>
      </c>
    </row>
    <row r="43" spans="1:17" ht="14.4" customHeight="1" x14ac:dyDescent="0.3">
      <c r="A43" s="406" t="s">
        <v>446</v>
      </c>
      <c r="B43" s="429" t="s">
        <v>378</v>
      </c>
      <c r="C43" s="429" t="s">
        <v>379</v>
      </c>
      <c r="D43" s="429" t="s">
        <v>386</v>
      </c>
      <c r="E43" s="429" t="s">
        <v>387</v>
      </c>
      <c r="F43" s="407"/>
      <c r="G43" s="407"/>
      <c r="H43" s="407"/>
      <c r="I43" s="407"/>
      <c r="J43" s="407">
        <v>4</v>
      </c>
      <c r="K43" s="407">
        <v>1276</v>
      </c>
      <c r="L43" s="407"/>
      <c r="M43" s="407">
        <v>319</v>
      </c>
      <c r="N43" s="407"/>
      <c r="O43" s="407"/>
      <c r="P43" s="430"/>
      <c r="Q43" s="431"/>
    </row>
    <row r="44" spans="1:17" ht="14.4" customHeight="1" x14ac:dyDescent="0.3">
      <c r="A44" s="406" t="s">
        <v>447</v>
      </c>
      <c r="B44" s="429" t="s">
        <v>378</v>
      </c>
      <c r="C44" s="429" t="s">
        <v>379</v>
      </c>
      <c r="D44" s="429" t="s">
        <v>384</v>
      </c>
      <c r="E44" s="429" t="s">
        <v>385</v>
      </c>
      <c r="F44" s="407"/>
      <c r="G44" s="407"/>
      <c r="H44" s="407"/>
      <c r="I44" s="407"/>
      <c r="J44" s="407"/>
      <c r="K44" s="407"/>
      <c r="L44" s="407"/>
      <c r="M44" s="407"/>
      <c r="N44" s="407">
        <v>3</v>
      </c>
      <c r="O44" s="407">
        <v>966</v>
      </c>
      <c r="P44" s="430"/>
      <c r="Q44" s="431">
        <v>322</v>
      </c>
    </row>
    <row r="45" spans="1:17" ht="14.4" customHeight="1" x14ac:dyDescent="0.3">
      <c r="A45" s="406" t="s">
        <v>448</v>
      </c>
      <c r="B45" s="429" t="s">
        <v>378</v>
      </c>
      <c r="C45" s="429" t="s">
        <v>379</v>
      </c>
      <c r="D45" s="429" t="s">
        <v>384</v>
      </c>
      <c r="E45" s="429" t="s">
        <v>385</v>
      </c>
      <c r="F45" s="407">
        <v>2142</v>
      </c>
      <c r="G45" s="407">
        <v>681156</v>
      </c>
      <c r="H45" s="407">
        <v>1</v>
      </c>
      <c r="I45" s="407">
        <v>318</v>
      </c>
      <c r="J45" s="407">
        <v>2893</v>
      </c>
      <c r="K45" s="407">
        <v>922867</v>
      </c>
      <c r="L45" s="407">
        <v>1.3548541009695283</v>
      </c>
      <c r="M45" s="407">
        <v>319</v>
      </c>
      <c r="N45" s="407">
        <v>1859</v>
      </c>
      <c r="O45" s="407">
        <v>596615</v>
      </c>
      <c r="P45" s="430">
        <v>0.87588599381052212</v>
      </c>
      <c r="Q45" s="431">
        <v>320.93329747175903</v>
      </c>
    </row>
    <row r="46" spans="1:17" ht="14.4" customHeight="1" x14ac:dyDescent="0.3">
      <c r="A46" s="406" t="s">
        <v>448</v>
      </c>
      <c r="B46" s="429" t="s">
        <v>378</v>
      </c>
      <c r="C46" s="429" t="s">
        <v>379</v>
      </c>
      <c r="D46" s="429" t="s">
        <v>386</v>
      </c>
      <c r="E46" s="429" t="s">
        <v>387</v>
      </c>
      <c r="F46" s="407"/>
      <c r="G46" s="407"/>
      <c r="H46" s="407"/>
      <c r="I46" s="407"/>
      <c r="J46" s="407">
        <v>4</v>
      </c>
      <c r="K46" s="407">
        <v>1276</v>
      </c>
      <c r="L46" s="407"/>
      <c r="M46" s="407">
        <v>319</v>
      </c>
      <c r="N46" s="407">
        <v>8</v>
      </c>
      <c r="O46" s="407">
        <v>2576</v>
      </c>
      <c r="P46" s="430"/>
      <c r="Q46" s="431">
        <v>322</v>
      </c>
    </row>
    <row r="47" spans="1:17" ht="14.4" customHeight="1" x14ac:dyDescent="0.3">
      <c r="A47" s="406" t="s">
        <v>448</v>
      </c>
      <c r="B47" s="429" t="s">
        <v>378</v>
      </c>
      <c r="C47" s="429" t="s">
        <v>379</v>
      </c>
      <c r="D47" s="429" t="s">
        <v>388</v>
      </c>
      <c r="E47" s="429" t="s">
        <v>389</v>
      </c>
      <c r="F47" s="407">
        <v>4</v>
      </c>
      <c r="G47" s="407">
        <v>1272</v>
      </c>
      <c r="H47" s="407">
        <v>1</v>
      </c>
      <c r="I47" s="407">
        <v>318</v>
      </c>
      <c r="J47" s="407">
        <v>6</v>
      </c>
      <c r="K47" s="407">
        <v>1914</v>
      </c>
      <c r="L47" s="407">
        <v>1.5047169811320755</v>
      </c>
      <c r="M47" s="407">
        <v>319</v>
      </c>
      <c r="N47" s="407">
        <v>3</v>
      </c>
      <c r="O47" s="407">
        <v>966</v>
      </c>
      <c r="P47" s="430">
        <v>0.75943396226415094</v>
      </c>
      <c r="Q47" s="431">
        <v>322</v>
      </c>
    </row>
    <row r="48" spans="1:17" ht="14.4" customHeight="1" x14ac:dyDescent="0.3">
      <c r="A48" s="406" t="s">
        <v>448</v>
      </c>
      <c r="B48" s="429" t="s">
        <v>378</v>
      </c>
      <c r="C48" s="429" t="s">
        <v>379</v>
      </c>
      <c r="D48" s="429" t="s">
        <v>394</v>
      </c>
      <c r="E48" s="429" t="s">
        <v>395</v>
      </c>
      <c r="F48" s="407">
        <v>55</v>
      </c>
      <c r="G48" s="407">
        <v>28930</v>
      </c>
      <c r="H48" s="407">
        <v>1</v>
      </c>
      <c r="I48" s="407">
        <v>526</v>
      </c>
      <c r="J48" s="407">
        <v>87</v>
      </c>
      <c r="K48" s="407">
        <v>46806</v>
      </c>
      <c r="L48" s="407">
        <v>1.6179052886277221</v>
      </c>
      <c r="M48" s="407">
        <v>538</v>
      </c>
      <c r="N48" s="407">
        <v>86</v>
      </c>
      <c r="O48" s="407">
        <v>46676</v>
      </c>
      <c r="P48" s="430">
        <v>1.6134116833736605</v>
      </c>
      <c r="Q48" s="431">
        <v>542.74418604651157</v>
      </c>
    </row>
    <row r="49" spans="1:17" ht="14.4" customHeight="1" x14ac:dyDescent="0.3">
      <c r="A49" s="406" t="s">
        <v>449</v>
      </c>
      <c r="B49" s="429" t="s">
        <v>378</v>
      </c>
      <c r="C49" s="429" t="s">
        <v>379</v>
      </c>
      <c r="D49" s="429" t="s">
        <v>382</v>
      </c>
      <c r="E49" s="429" t="s">
        <v>383</v>
      </c>
      <c r="F49" s="407"/>
      <c r="G49" s="407"/>
      <c r="H49" s="407"/>
      <c r="I49" s="407"/>
      <c r="J49" s="407"/>
      <c r="K49" s="407"/>
      <c r="L49" s="407"/>
      <c r="M49" s="407"/>
      <c r="N49" s="407">
        <v>1</v>
      </c>
      <c r="O49" s="407">
        <v>70</v>
      </c>
      <c r="P49" s="430"/>
      <c r="Q49" s="431">
        <v>70</v>
      </c>
    </row>
    <row r="50" spans="1:17" ht="14.4" customHeight="1" x14ac:dyDescent="0.3">
      <c r="A50" s="406" t="s">
        <v>449</v>
      </c>
      <c r="B50" s="429" t="s">
        <v>378</v>
      </c>
      <c r="C50" s="429" t="s">
        <v>379</v>
      </c>
      <c r="D50" s="429" t="s">
        <v>384</v>
      </c>
      <c r="E50" s="429" t="s">
        <v>385</v>
      </c>
      <c r="F50" s="407">
        <v>58</v>
      </c>
      <c r="G50" s="407">
        <v>18444</v>
      </c>
      <c r="H50" s="407">
        <v>1</v>
      </c>
      <c r="I50" s="407">
        <v>318</v>
      </c>
      <c r="J50" s="407">
        <v>89</v>
      </c>
      <c r="K50" s="407">
        <v>28391</v>
      </c>
      <c r="L50" s="407">
        <v>1.5393081761006289</v>
      </c>
      <c r="M50" s="407">
        <v>319</v>
      </c>
      <c r="N50" s="407">
        <v>192</v>
      </c>
      <c r="O50" s="407">
        <v>61572</v>
      </c>
      <c r="P50" s="430">
        <v>3.3383214053350683</v>
      </c>
      <c r="Q50" s="431">
        <v>320.6875</v>
      </c>
    </row>
    <row r="51" spans="1:17" ht="14.4" customHeight="1" x14ac:dyDescent="0.3">
      <c r="A51" s="406" t="s">
        <v>449</v>
      </c>
      <c r="B51" s="429" t="s">
        <v>378</v>
      </c>
      <c r="C51" s="429" t="s">
        <v>379</v>
      </c>
      <c r="D51" s="429" t="s">
        <v>388</v>
      </c>
      <c r="E51" s="429" t="s">
        <v>389</v>
      </c>
      <c r="F51" s="407">
        <v>9</v>
      </c>
      <c r="G51" s="407">
        <v>2862</v>
      </c>
      <c r="H51" s="407">
        <v>1</v>
      </c>
      <c r="I51" s="407">
        <v>318</v>
      </c>
      <c r="J51" s="407">
        <v>12</v>
      </c>
      <c r="K51" s="407">
        <v>3828</v>
      </c>
      <c r="L51" s="407">
        <v>1.3375262054507338</v>
      </c>
      <c r="M51" s="407">
        <v>319</v>
      </c>
      <c r="N51" s="407"/>
      <c r="O51" s="407"/>
      <c r="P51" s="430"/>
      <c r="Q51" s="431"/>
    </row>
    <row r="52" spans="1:17" ht="14.4" customHeight="1" x14ac:dyDescent="0.3">
      <c r="A52" s="406" t="s">
        <v>449</v>
      </c>
      <c r="B52" s="429" t="s">
        <v>378</v>
      </c>
      <c r="C52" s="429" t="s">
        <v>379</v>
      </c>
      <c r="D52" s="429" t="s">
        <v>392</v>
      </c>
      <c r="E52" s="429" t="s">
        <v>393</v>
      </c>
      <c r="F52" s="407">
        <v>2</v>
      </c>
      <c r="G52" s="407">
        <v>0</v>
      </c>
      <c r="H52" s="407"/>
      <c r="I52" s="407">
        <v>0</v>
      </c>
      <c r="J52" s="407"/>
      <c r="K52" s="407"/>
      <c r="L52" s="407"/>
      <c r="M52" s="407"/>
      <c r="N52" s="407"/>
      <c r="O52" s="407"/>
      <c r="P52" s="430"/>
      <c r="Q52" s="431"/>
    </row>
    <row r="53" spans="1:17" ht="14.4" customHeight="1" x14ac:dyDescent="0.3">
      <c r="A53" s="406" t="s">
        <v>449</v>
      </c>
      <c r="B53" s="429" t="s">
        <v>378</v>
      </c>
      <c r="C53" s="429" t="s">
        <v>379</v>
      </c>
      <c r="D53" s="429" t="s">
        <v>394</v>
      </c>
      <c r="E53" s="429" t="s">
        <v>395</v>
      </c>
      <c r="F53" s="407">
        <v>1052</v>
      </c>
      <c r="G53" s="407">
        <v>553352</v>
      </c>
      <c r="H53" s="407">
        <v>1</v>
      </c>
      <c r="I53" s="407">
        <v>526</v>
      </c>
      <c r="J53" s="407">
        <v>818</v>
      </c>
      <c r="K53" s="407">
        <v>440084</v>
      </c>
      <c r="L53" s="407">
        <v>0.79530570053058447</v>
      </c>
      <c r="M53" s="407">
        <v>538</v>
      </c>
      <c r="N53" s="407">
        <v>1079</v>
      </c>
      <c r="O53" s="407">
        <v>585266</v>
      </c>
      <c r="P53" s="430">
        <v>1.0576739579869594</v>
      </c>
      <c r="Q53" s="431">
        <v>542.41519925857278</v>
      </c>
    </row>
    <row r="54" spans="1:17" ht="14.4" customHeight="1" x14ac:dyDescent="0.3">
      <c r="A54" s="406" t="s">
        <v>449</v>
      </c>
      <c r="B54" s="429" t="s">
        <v>378</v>
      </c>
      <c r="C54" s="429" t="s">
        <v>379</v>
      </c>
      <c r="D54" s="429" t="s">
        <v>402</v>
      </c>
      <c r="E54" s="429" t="s">
        <v>403</v>
      </c>
      <c r="F54" s="407">
        <v>172</v>
      </c>
      <c r="G54" s="407">
        <v>90472</v>
      </c>
      <c r="H54" s="407">
        <v>1</v>
      </c>
      <c r="I54" s="407">
        <v>526</v>
      </c>
      <c r="J54" s="407">
        <v>72</v>
      </c>
      <c r="K54" s="407">
        <v>38736</v>
      </c>
      <c r="L54" s="407">
        <v>0.42815456715889999</v>
      </c>
      <c r="M54" s="407">
        <v>538</v>
      </c>
      <c r="N54" s="407">
        <v>188</v>
      </c>
      <c r="O54" s="407">
        <v>102032</v>
      </c>
      <c r="P54" s="430">
        <v>1.1277743390220178</v>
      </c>
      <c r="Q54" s="431">
        <v>542.72340425531911</v>
      </c>
    </row>
    <row r="55" spans="1:17" ht="14.4" customHeight="1" x14ac:dyDescent="0.3">
      <c r="A55" s="406" t="s">
        <v>449</v>
      </c>
      <c r="B55" s="429" t="s">
        <v>378</v>
      </c>
      <c r="C55" s="429" t="s">
        <v>379</v>
      </c>
      <c r="D55" s="429" t="s">
        <v>404</v>
      </c>
      <c r="E55" s="429" t="s">
        <v>405</v>
      </c>
      <c r="F55" s="407"/>
      <c r="G55" s="407"/>
      <c r="H55" s="407"/>
      <c r="I55" s="407"/>
      <c r="J55" s="407"/>
      <c r="K55" s="407"/>
      <c r="L55" s="407"/>
      <c r="M55" s="407"/>
      <c r="N55" s="407">
        <v>12</v>
      </c>
      <c r="O55" s="407">
        <v>3264</v>
      </c>
      <c r="P55" s="430"/>
      <c r="Q55" s="431">
        <v>272</v>
      </c>
    </row>
    <row r="56" spans="1:17" ht="14.4" customHeight="1" x14ac:dyDescent="0.3">
      <c r="A56" s="406" t="s">
        <v>450</v>
      </c>
      <c r="B56" s="429" t="s">
        <v>378</v>
      </c>
      <c r="C56" s="429" t="s">
        <v>379</v>
      </c>
      <c r="D56" s="429" t="s">
        <v>384</v>
      </c>
      <c r="E56" s="429" t="s">
        <v>385</v>
      </c>
      <c r="F56" s="407">
        <v>78</v>
      </c>
      <c r="G56" s="407">
        <v>24804</v>
      </c>
      <c r="H56" s="407">
        <v>1</v>
      </c>
      <c r="I56" s="407">
        <v>318</v>
      </c>
      <c r="J56" s="407"/>
      <c r="K56" s="407"/>
      <c r="L56" s="407"/>
      <c r="M56" s="407"/>
      <c r="N56" s="407">
        <v>4</v>
      </c>
      <c r="O56" s="407">
        <v>1288</v>
      </c>
      <c r="P56" s="430">
        <v>5.1927108530882116E-2</v>
      </c>
      <c r="Q56" s="431">
        <v>322</v>
      </c>
    </row>
    <row r="57" spans="1:17" ht="14.4" customHeight="1" x14ac:dyDescent="0.3">
      <c r="A57" s="406" t="s">
        <v>450</v>
      </c>
      <c r="B57" s="429" t="s">
        <v>378</v>
      </c>
      <c r="C57" s="429" t="s">
        <v>379</v>
      </c>
      <c r="D57" s="429" t="s">
        <v>394</v>
      </c>
      <c r="E57" s="429" t="s">
        <v>395</v>
      </c>
      <c r="F57" s="407">
        <v>4</v>
      </c>
      <c r="G57" s="407">
        <v>2104</v>
      </c>
      <c r="H57" s="407">
        <v>1</v>
      </c>
      <c r="I57" s="407">
        <v>526</v>
      </c>
      <c r="J57" s="407">
        <v>2</v>
      </c>
      <c r="K57" s="407">
        <v>1076</v>
      </c>
      <c r="L57" s="407">
        <v>0.51140684410646386</v>
      </c>
      <c r="M57" s="407">
        <v>538</v>
      </c>
      <c r="N57" s="407">
        <v>8</v>
      </c>
      <c r="O57" s="407">
        <v>4352</v>
      </c>
      <c r="P57" s="430">
        <v>2.0684410646387832</v>
      </c>
      <c r="Q57" s="431">
        <v>544</v>
      </c>
    </row>
    <row r="58" spans="1:17" ht="14.4" customHeight="1" x14ac:dyDescent="0.3">
      <c r="A58" s="406" t="s">
        <v>450</v>
      </c>
      <c r="B58" s="429" t="s">
        <v>378</v>
      </c>
      <c r="C58" s="429" t="s">
        <v>379</v>
      </c>
      <c r="D58" s="429" t="s">
        <v>402</v>
      </c>
      <c r="E58" s="429" t="s">
        <v>403</v>
      </c>
      <c r="F58" s="407">
        <v>54</v>
      </c>
      <c r="G58" s="407">
        <v>28404</v>
      </c>
      <c r="H58" s="407">
        <v>1</v>
      </c>
      <c r="I58" s="407">
        <v>526</v>
      </c>
      <c r="J58" s="407">
        <v>12</v>
      </c>
      <c r="K58" s="407">
        <v>6456</v>
      </c>
      <c r="L58" s="407">
        <v>0.22729193071398396</v>
      </c>
      <c r="M58" s="407">
        <v>538</v>
      </c>
      <c r="N58" s="407">
        <v>20</v>
      </c>
      <c r="O58" s="407">
        <v>10880</v>
      </c>
      <c r="P58" s="430">
        <v>0.38304464159977469</v>
      </c>
      <c r="Q58" s="431">
        <v>544</v>
      </c>
    </row>
    <row r="59" spans="1:17" ht="14.4" customHeight="1" x14ac:dyDescent="0.3">
      <c r="A59" s="406" t="s">
        <v>451</v>
      </c>
      <c r="B59" s="429" t="s">
        <v>378</v>
      </c>
      <c r="C59" s="429" t="s">
        <v>379</v>
      </c>
      <c r="D59" s="429" t="s">
        <v>384</v>
      </c>
      <c r="E59" s="429" t="s">
        <v>385</v>
      </c>
      <c r="F59" s="407"/>
      <c r="G59" s="407"/>
      <c r="H59" s="407"/>
      <c r="I59" s="407"/>
      <c r="J59" s="407">
        <v>16</v>
      </c>
      <c r="K59" s="407">
        <v>5104</v>
      </c>
      <c r="L59" s="407"/>
      <c r="M59" s="407">
        <v>319</v>
      </c>
      <c r="N59" s="407">
        <v>32</v>
      </c>
      <c r="O59" s="407">
        <v>10292</v>
      </c>
      <c r="P59" s="430"/>
      <c r="Q59" s="431">
        <v>321.625</v>
      </c>
    </row>
    <row r="60" spans="1:17" ht="14.4" customHeight="1" x14ac:dyDescent="0.3">
      <c r="A60" s="406" t="s">
        <v>451</v>
      </c>
      <c r="B60" s="429" t="s">
        <v>378</v>
      </c>
      <c r="C60" s="429" t="s">
        <v>379</v>
      </c>
      <c r="D60" s="429" t="s">
        <v>394</v>
      </c>
      <c r="E60" s="429" t="s">
        <v>395</v>
      </c>
      <c r="F60" s="407"/>
      <c r="G60" s="407"/>
      <c r="H60" s="407"/>
      <c r="I60" s="407"/>
      <c r="J60" s="407">
        <v>6</v>
      </c>
      <c r="K60" s="407">
        <v>3228</v>
      </c>
      <c r="L60" s="407"/>
      <c r="M60" s="407">
        <v>538</v>
      </c>
      <c r="N60" s="407">
        <v>4</v>
      </c>
      <c r="O60" s="407">
        <v>2152</v>
      </c>
      <c r="P60" s="430"/>
      <c r="Q60" s="431">
        <v>538</v>
      </c>
    </row>
    <row r="61" spans="1:17" ht="14.4" customHeight="1" x14ac:dyDescent="0.3">
      <c r="A61" s="406" t="s">
        <v>452</v>
      </c>
      <c r="B61" s="429" t="s">
        <v>378</v>
      </c>
      <c r="C61" s="429" t="s">
        <v>379</v>
      </c>
      <c r="D61" s="429" t="s">
        <v>382</v>
      </c>
      <c r="E61" s="429" t="s">
        <v>383</v>
      </c>
      <c r="F61" s="407"/>
      <c r="G61" s="407"/>
      <c r="H61" s="407"/>
      <c r="I61" s="407"/>
      <c r="J61" s="407"/>
      <c r="K61" s="407"/>
      <c r="L61" s="407"/>
      <c r="M61" s="407"/>
      <c r="N61" s="407">
        <v>2</v>
      </c>
      <c r="O61" s="407">
        <v>138</v>
      </c>
      <c r="P61" s="430"/>
      <c r="Q61" s="431">
        <v>69</v>
      </c>
    </row>
    <row r="62" spans="1:17" ht="14.4" customHeight="1" x14ac:dyDescent="0.3">
      <c r="A62" s="406" t="s">
        <v>452</v>
      </c>
      <c r="B62" s="429" t="s">
        <v>378</v>
      </c>
      <c r="C62" s="429" t="s">
        <v>379</v>
      </c>
      <c r="D62" s="429" t="s">
        <v>384</v>
      </c>
      <c r="E62" s="429" t="s">
        <v>385</v>
      </c>
      <c r="F62" s="407">
        <v>857</v>
      </c>
      <c r="G62" s="407">
        <v>272526</v>
      </c>
      <c r="H62" s="407">
        <v>1</v>
      </c>
      <c r="I62" s="407">
        <v>318</v>
      </c>
      <c r="J62" s="407">
        <v>639</v>
      </c>
      <c r="K62" s="407">
        <v>203841</v>
      </c>
      <c r="L62" s="407">
        <v>0.7479690011228286</v>
      </c>
      <c r="M62" s="407">
        <v>319</v>
      </c>
      <c r="N62" s="407">
        <v>704</v>
      </c>
      <c r="O62" s="407">
        <v>226034</v>
      </c>
      <c r="P62" s="430">
        <v>0.82940343306693676</v>
      </c>
      <c r="Q62" s="431">
        <v>321.07102272727275</v>
      </c>
    </row>
    <row r="63" spans="1:17" ht="14.4" customHeight="1" x14ac:dyDescent="0.3">
      <c r="A63" s="406" t="s">
        <v>452</v>
      </c>
      <c r="B63" s="429" t="s">
        <v>378</v>
      </c>
      <c r="C63" s="429" t="s">
        <v>379</v>
      </c>
      <c r="D63" s="429" t="s">
        <v>386</v>
      </c>
      <c r="E63" s="429" t="s">
        <v>387</v>
      </c>
      <c r="F63" s="407">
        <v>19</v>
      </c>
      <c r="G63" s="407">
        <v>6042</v>
      </c>
      <c r="H63" s="407">
        <v>1</v>
      </c>
      <c r="I63" s="407">
        <v>318</v>
      </c>
      <c r="J63" s="407">
        <v>52</v>
      </c>
      <c r="K63" s="407">
        <v>16588</v>
      </c>
      <c r="L63" s="407">
        <v>2.7454485269778219</v>
      </c>
      <c r="M63" s="407">
        <v>319</v>
      </c>
      <c r="N63" s="407">
        <v>32</v>
      </c>
      <c r="O63" s="407">
        <v>10292</v>
      </c>
      <c r="P63" s="430">
        <v>1.7034094670638862</v>
      </c>
      <c r="Q63" s="431">
        <v>321.625</v>
      </c>
    </row>
    <row r="64" spans="1:17" ht="14.4" customHeight="1" x14ac:dyDescent="0.3">
      <c r="A64" s="406" t="s">
        <v>452</v>
      </c>
      <c r="B64" s="429" t="s">
        <v>378</v>
      </c>
      <c r="C64" s="429" t="s">
        <v>379</v>
      </c>
      <c r="D64" s="429" t="s">
        <v>388</v>
      </c>
      <c r="E64" s="429" t="s">
        <v>389</v>
      </c>
      <c r="F64" s="407">
        <v>20</v>
      </c>
      <c r="G64" s="407">
        <v>6360</v>
      </c>
      <c r="H64" s="407">
        <v>1</v>
      </c>
      <c r="I64" s="407">
        <v>318</v>
      </c>
      <c r="J64" s="407">
        <v>43</v>
      </c>
      <c r="K64" s="407">
        <v>13717</v>
      </c>
      <c r="L64" s="407">
        <v>2.1567610062893081</v>
      </c>
      <c r="M64" s="407">
        <v>319</v>
      </c>
      <c r="N64" s="407">
        <v>18</v>
      </c>
      <c r="O64" s="407">
        <v>5784</v>
      </c>
      <c r="P64" s="430">
        <v>0.90943396226415096</v>
      </c>
      <c r="Q64" s="431">
        <v>321.33333333333331</v>
      </c>
    </row>
    <row r="65" spans="1:17" ht="14.4" customHeight="1" x14ac:dyDescent="0.3">
      <c r="A65" s="406" t="s">
        <v>452</v>
      </c>
      <c r="B65" s="429" t="s">
        <v>378</v>
      </c>
      <c r="C65" s="429" t="s">
        <v>379</v>
      </c>
      <c r="D65" s="429" t="s">
        <v>394</v>
      </c>
      <c r="E65" s="429" t="s">
        <v>395</v>
      </c>
      <c r="F65" s="407"/>
      <c r="G65" s="407"/>
      <c r="H65" s="407"/>
      <c r="I65" s="407"/>
      <c r="J65" s="407">
        <v>4</v>
      </c>
      <c r="K65" s="407">
        <v>2152</v>
      </c>
      <c r="L65" s="407"/>
      <c r="M65" s="407">
        <v>538</v>
      </c>
      <c r="N65" s="407"/>
      <c r="O65" s="407"/>
      <c r="P65" s="430"/>
      <c r="Q65" s="431"/>
    </row>
    <row r="66" spans="1:17" ht="14.4" customHeight="1" x14ac:dyDescent="0.3">
      <c r="A66" s="406" t="s">
        <v>453</v>
      </c>
      <c r="B66" s="429" t="s">
        <v>378</v>
      </c>
      <c r="C66" s="429" t="s">
        <v>379</v>
      </c>
      <c r="D66" s="429" t="s">
        <v>384</v>
      </c>
      <c r="E66" s="429" t="s">
        <v>385</v>
      </c>
      <c r="F66" s="407"/>
      <c r="G66" s="407"/>
      <c r="H66" s="407"/>
      <c r="I66" s="407"/>
      <c r="J66" s="407">
        <v>4</v>
      </c>
      <c r="K66" s="407">
        <v>1276</v>
      </c>
      <c r="L66" s="407"/>
      <c r="M66" s="407">
        <v>319</v>
      </c>
      <c r="N66" s="407">
        <v>36</v>
      </c>
      <c r="O66" s="407">
        <v>11544</v>
      </c>
      <c r="P66" s="430"/>
      <c r="Q66" s="431">
        <v>320.66666666666669</v>
      </c>
    </row>
    <row r="67" spans="1:17" ht="14.4" customHeight="1" x14ac:dyDescent="0.3">
      <c r="A67" s="406" t="s">
        <v>454</v>
      </c>
      <c r="B67" s="429" t="s">
        <v>378</v>
      </c>
      <c r="C67" s="429" t="s">
        <v>379</v>
      </c>
      <c r="D67" s="429" t="s">
        <v>382</v>
      </c>
      <c r="E67" s="429" t="s">
        <v>383</v>
      </c>
      <c r="F67" s="407">
        <v>1</v>
      </c>
      <c r="G67" s="407">
        <v>68</v>
      </c>
      <c r="H67" s="407">
        <v>1</v>
      </c>
      <c r="I67" s="407">
        <v>68</v>
      </c>
      <c r="J67" s="407"/>
      <c r="K67" s="407"/>
      <c r="L67" s="407"/>
      <c r="M67" s="407"/>
      <c r="N67" s="407"/>
      <c r="O67" s="407"/>
      <c r="P67" s="430"/>
      <c r="Q67" s="431"/>
    </row>
    <row r="68" spans="1:17" ht="14.4" customHeight="1" x14ac:dyDescent="0.3">
      <c r="A68" s="406" t="s">
        <v>454</v>
      </c>
      <c r="B68" s="429" t="s">
        <v>378</v>
      </c>
      <c r="C68" s="429" t="s">
        <v>379</v>
      </c>
      <c r="D68" s="429" t="s">
        <v>384</v>
      </c>
      <c r="E68" s="429" t="s">
        <v>385</v>
      </c>
      <c r="F68" s="407">
        <v>348</v>
      </c>
      <c r="G68" s="407">
        <v>110664</v>
      </c>
      <c r="H68" s="407">
        <v>1</v>
      </c>
      <c r="I68" s="407">
        <v>318</v>
      </c>
      <c r="J68" s="407">
        <v>82</v>
      </c>
      <c r="K68" s="407">
        <v>26158</v>
      </c>
      <c r="L68" s="407">
        <v>0.23637316561844865</v>
      </c>
      <c r="M68" s="407">
        <v>319</v>
      </c>
      <c r="N68" s="407">
        <v>236</v>
      </c>
      <c r="O68" s="407">
        <v>75968</v>
      </c>
      <c r="P68" s="430">
        <v>0.68647437287645485</v>
      </c>
      <c r="Q68" s="431">
        <v>321.89830508474574</v>
      </c>
    </row>
    <row r="69" spans="1:17" ht="14.4" customHeight="1" x14ac:dyDescent="0.3">
      <c r="A69" s="406" t="s">
        <v>454</v>
      </c>
      <c r="B69" s="429" t="s">
        <v>378</v>
      </c>
      <c r="C69" s="429" t="s">
        <v>379</v>
      </c>
      <c r="D69" s="429" t="s">
        <v>386</v>
      </c>
      <c r="E69" s="429" t="s">
        <v>387</v>
      </c>
      <c r="F69" s="407">
        <v>24</v>
      </c>
      <c r="G69" s="407">
        <v>7632</v>
      </c>
      <c r="H69" s="407">
        <v>1</v>
      </c>
      <c r="I69" s="407">
        <v>318</v>
      </c>
      <c r="J69" s="407"/>
      <c r="K69" s="407"/>
      <c r="L69" s="407"/>
      <c r="M69" s="407"/>
      <c r="N69" s="407"/>
      <c r="O69" s="407"/>
      <c r="P69" s="430"/>
      <c r="Q69" s="431"/>
    </row>
    <row r="70" spans="1:17" ht="14.4" customHeight="1" x14ac:dyDescent="0.3">
      <c r="A70" s="406" t="s">
        <v>454</v>
      </c>
      <c r="B70" s="429" t="s">
        <v>378</v>
      </c>
      <c r="C70" s="429" t="s">
        <v>379</v>
      </c>
      <c r="D70" s="429" t="s">
        <v>394</v>
      </c>
      <c r="E70" s="429" t="s">
        <v>395</v>
      </c>
      <c r="F70" s="407">
        <v>44</v>
      </c>
      <c r="G70" s="407">
        <v>23144</v>
      </c>
      <c r="H70" s="407">
        <v>1</v>
      </c>
      <c r="I70" s="407">
        <v>526</v>
      </c>
      <c r="J70" s="407">
        <v>16</v>
      </c>
      <c r="K70" s="407">
        <v>8608</v>
      </c>
      <c r="L70" s="407">
        <v>0.37193225025924648</v>
      </c>
      <c r="M70" s="407">
        <v>538</v>
      </c>
      <c r="N70" s="407">
        <v>44</v>
      </c>
      <c r="O70" s="407">
        <v>23888</v>
      </c>
      <c r="P70" s="430">
        <v>1.0321465606636708</v>
      </c>
      <c r="Q70" s="431">
        <v>542.90909090909088</v>
      </c>
    </row>
    <row r="71" spans="1:17" ht="14.4" customHeight="1" x14ac:dyDescent="0.3">
      <c r="A71" s="406" t="s">
        <v>455</v>
      </c>
      <c r="B71" s="429" t="s">
        <v>378</v>
      </c>
      <c r="C71" s="429" t="s">
        <v>379</v>
      </c>
      <c r="D71" s="429" t="s">
        <v>384</v>
      </c>
      <c r="E71" s="429" t="s">
        <v>385</v>
      </c>
      <c r="F71" s="407">
        <v>16</v>
      </c>
      <c r="G71" s="407">
        <v>5088</v>
      </c>
      <c r="H71" s="407">
        <v>1</v>
      </c>
      <c r="I71" s="407">
        <v>318</v>
      </c>
      <c r="J71" s="407"/>
      <c r="K71" s="407"/>
      <c r="L71" s="407"/>
      <c r="M71" s="407"/>
      <c r="N71" s="407"/>
      <c r="O71" s="407"/>
      <c r="P71" s="430"/>
      <c r="Q71" s="431"/>
    </row>
    <row r="72" spans="1:17" ht="14.4" customHeight="1" x14ac:dyDescent="0.3">
      <c r="A72" s="406" t="s">
        <v>456</v>
      </c>
      <c r="B72" s="429" t="s">
        <v>378</v>
      </c>
      <c r="C72" s="429" t="s">
        <v>379</v>
      </c>
      <c r="D72" s="429" t="s">
        <v>384</v>
      </c>
      <c r="E72" s="429" t="s">
        <v>385</v>
      </c>
      <c r="F72" s="407">
        <v>36</v>
      </c>
      <c r="G72" s="407">
        <v>11448</v>
      </c>
      <c r="H72" s="407">
        <v>1</v>
      </c>
      <c r="I72" s="407">
        <v>318</v>
      </c>
      <c r="J72" s="407">
        <v>24</v>
      </c>
      <c r="K72" s="407">
        <v>7656</v>
      </c>
      <c r="L72" s="407">
        <v>0.66876310272536688</v>
      </c>
      <c r="M72" s="407">
        <v>319</v>
      </c>
      <c r="N72" s="407">
        <v>64</v>
      </c>
      <c r="O72" s="407">
        <v>20584</v>
      </c>
      <c r="P72" s="430">
        <v>1.7980433263452131</v>
      </c>
      <c r="Q72" s="431">
        <v>321.625</v>
      </c>
    </row>
    <row r="73" spans="1:17" ht="14.4" customHeight="1" x14ac:dyDescent="0.3">
      <c r="A73" s="406" t="s">
        <v>456</v>
      </c>
      <c r="B73" s="429" t="s">
        <v>378</v>
      </c>
      <c r="C73" s="429" t="s">
        <v>379</v>
      </c>
      <c r="D73" s="429" t="s">
        <v>386</v>
      </c>
      <c r="E73" s="429" t="s">
        <v>387</v>
      </c>
      <c r="F73" s="407"/>
      <c r="G73" s="407"/>
      <c r="H73" s="407"/>
      <c r="I73" s="407"/>
      <c r="J73" s="407">
        <v>2</v>
      </c>
      <c r="K73" s="407">
        <v>638</v>
      </c>
      <c r="L73" s="407"/>
      <c r="M73" s="407">
        <v>319</v>
      </c>
      <c r="N73" s="407"/>
      <c r="O73" s="407"/>
      <c r="P73" s="430"/>
      <c r="Q73" s="431"/>
    </row>
    <row r="74" spans="1:17" ht="14.4" customHeight="1" x14ac:dyDescent="0.3">
      <c r="A74" s="406" t="s">
        <v>456</v>
      </c>
      <c r="B74" s="429" t="s">
        <v>378</v>
      </c>
      <c r="C74" s="429" t="s">
        <v>379</v>
      </c>
      <c r="D74" s="429" t="s">
        <v>388</v>
      </c>
      <c r="E74" s="429" t="s">
        <v>389</v>
      </c>
      <c r="F74" s="407"/>
      <c r="G74" s="407"/>
      <c r="H74" s="407"/>
      <c r="I74" s="407"/>
      <c r="J74" s="407"/>
      <c r="K74" s="407"/>
      <c r="L74" s="407"/>
      <c r="M74" s="407"/>
      <c r="N74" s="407">
        <v>4</v>
      </c>
      <c r="O74" s="407">
        <v>1288</v>
      </c>
      <c r="P74" s="430"/>
      <c r="Q74" s="431">
        <v>322</v>
      </c>
    </row>
    <row r="75" spans="1:17" ht="14.4" customHeight="1" x14ac:dyDescent="0.3">
      <c r="A75" s="406" t="s">
        <v>456</v>
      </c>
      <c r="B75" s="429" t="s">
        <v>378</v>
      </c>
      <c r="C75" s="429" t="s">
        <v>379</v>
      </c>
      <c r="D75" s="429" t="s">
        <v>394</v>
      </c>
      <c r="E75" s="429" t="s">
        <v>395</v>
      </c>
      <c r="F75" s="407">
        <v>11</v>
      </c>
      <c r="G75" s="407">
        <v>5786</v>
      </c>
      <c r="H75" s="407">
        <v>1</v>
      </c>
      <c r="I75" s="407">
        <v>526</v>
      </c>
      <c r="J75" s="407">
        <v>19</v>
      </c>
      <c r="K75" s="407">
        <v>10222</v>
      </c>
      <c r="L75" s="407">
        <v>1.7666781887314207</v>
      </c>
      <c r="M75" s="407">
        <v>538</v>
      </c>
      <c r="N75" s="407">
        <v>29</v>
      </c>
      <c r="O75" s="407">
        <v>15770</v>
      </c>
      <c r="P75" s="430">
        <v>2.7255444175596266</v>
      </c>
      <c r="Q75" s="431">
        <v>543.79310344827582</v>
      </c>
    </row>
    <row r="76" spans="1:17" ht="14.4" customHeight="1" x14ac:dyDescent="0.3">
      <c r="A76" s="406" t="s">
        <v>457</v>
      </c>
      <c r="B76" s="429" t="s">
        <v>378</v>
      </c>
      <c r="C76" s="429" t="s">
        <v>379</v>
      </c>
      <c r="D76" s="429" t="s">
        <v>384</v>
      </c>
      <c r="E76" s="429" t="s">
        <v>385</v>
      </c>
      <c r="F76" s="407">
        <v>226</v>
      </c>
      <c r="G76" s="407">
        <v>71868</v>
      </c>
      <c r="H76" s="407">
        <v>1</v>
      </c>
      <c r="I76" s="407">
        <v>318</v>
      </c>
      <c r="J76" s="407">
        <v>198</v>
      </c>
      <c r="K76" s="407">
        <v>63162</v>
      </c>
      <c r="L76" s="407">
        <v>0.87886124561696444</v>
      </c>
      <c r="M76" s="407">
        <v>319</v>
      </c>
      <c r="N76" s="407">
        <v>226</v>
      </c>
      <c r="O76" s="407">
        <v>72592</v>
      </c>
      <c r="P76" s="430">
        <v>1.0100740246006568</v>
      </c>
      <c r="Q76" s="431">
        <v>321.20353982300884</v>
      </c>
    </row>
    <row r="77" spans="1:17" ht="14.4" customHeight="1" x14ac:dyDescent="0.3">
      <c r="A77" s="406" t="s">
        <v>457</v>
      </c>
      <c r="B77" s="429" t="s">
        <v>378</v>
      </c>
      <c r="C77" s="429" t="s">
        <v>379</v>
      </c>
      <c r="D77" s="429" t="s">
        <v>394</v>
      </c>
      <c r="E77" s="429" t="s">
        <v>395</v>
      </c>
      <c r="F77" s="407"/>
      <c r="G77" s="407"/>
      <c r="H77" s="407"/>
      <c r="I77" s="407"/>
      <c r="J77" s="407">
        <v>3</v>
      </c>
      <c r="K77" s="407">
        <v>1614</v>
      </c>
      <c r="L77" s="407"/>
      <c r="M77" s="407">
        <v>538</v>
      </c>
      <c r="N77" s="407"/>
      <c r="O77" s="407"/>
      <c r="P77" s="430"/>
      <c r="Q77" s="431"/>
    </row>
    <row r="78" spans="1:17" ht="14.4" customHeight="1" x14ac:dyDescent="0.3">
      <c r="A78" s="406" t="s">
        <v>458</v>
      </c>
      <c r="B78" s="429" t="s">
        <v>378</v>
      </c>
      <c r="C78" s="429" t="s">
        <v>379</v>
      </c>
      <c r="D78" s="429" t="s">
        <v>384</v>
      </c>
      <c r="E78" s="429" t="s">
        <v>385</v>
      </c>
      <c r="F78" s="407">
        <v>1214</v>
      </c>
      <c r="G78" s="407">
        <v>386052</v>
      </c>
      <c r="H78" s="407">
        <v>1</v>
      </c>
      <c r="I78" s="407">
        <v>318</v>
      </c>
      <c r="J78" s="407">
        <v>1511</v>
      </c>
      <c r="K78" s="407">
        <v>482009</v>
      </c>
      <c r="L78" s="407">
        <v>1.2485597795115684</v>
      </c>
      <c r="M78" s="407">
        <v>319</v>
      </c>
      <c r="N78" s="407">
        <v>1481</v>
      </c>
      <c r="O78" s="407">
        <v>475769</v>
      </c>
      <c r="P78" s="430">
        <v>1.2323961538860051</v>
      </c>
      <c r="Q78" s="431">
        <v>321.24848075624578</v>
      </c>
    </row>
    <row r="79" spans="1:17" ht="14.4" customHeight="1" x14ac:dyDescent="0.3">
      <c r="A79" s="406" t="s">
        <v>458</v>
      </c>
      <c r="B79" s="429" t="s">
        <v>378</v>
      </c>
      <c r="C79" s="429" t="s">
        <v>379</v>
      </c>
      <c r="D79" s="429" t="s">
        <v>388</v>
      </c>
      <c r="E79" s="429" t="s">
        <v>389</v>
      </c>
      <c r="F79" s="407"/>
      <c r="G79" s="407"/>
      <c r="H79" s="407"/>
      <c r="I79" s="407"/>
      <c r="J79" s="407"/>
      <c r="K79" s="407"/>
      <c r="L79" s="407"/>
      <c r="M79" s="407"/>
      <c r="N79" s="407">
        <v>1</v>
      </c>
      <c r="O79" s="407">
        <v>319</v>
      </c>
      <c r="P79" s="430"/>
      <c r="Q79" s="431">
        <v>319</v>
      </c>
    </row>
    <row r="80" spans="1:17" ht="14.4" customHeight="1" x14ac:dyDescent="0.3">
      <c r="A80" s="406" t="s">
        <v>459</v>
      </c>
      <c r="B80" s="429" t="s">
        <v>378</v>
      </c>
      <c r="C80" s="429" t="s">
        <v>379</v>
      </c>
      <c r="D80" s="429" t="s">
        <v>384</v>
      </c>
      <c r="E80" s="429" t="s">
        <v>385</v>
      </c>
      <c r="F80" s="407">
        <v>56</v>
      </c>
      <c r="G80" s="407">
        <v>17808</v>
      </c>
      <c r="H80" s="407">
        <v>1</v>
      </c>
      <c r="I80" s="407">
        <v>318</v>
      </c>
      <c r="J80" s="407">
        <v>44</v>
      </c>
      <c r="K80" s="407">
        <v>14036</v>
      </c>
      <c r="L80" s="407">
        <v>0.78818508535489673</v>
      </c>
      <c r="M80" s="407">
        <v>319</v>
      </c>
      <c r="N80" s="407">
        <v>36</v>
      </c>
      <c r="O80" s="407">
        <v>11550</v>
      </c>
      <c r="P80" s="430">
        <v>0.64858490566037741</v>
      </c>
      <c r="Q80" s="431">
        <v>320.83333333333331</v>
      </c>
    </row>
    <row r="81" spans="1:17" ht="14.4" customHeight="1" x14ac:dyDescent="0.3">
      <c r="A81" s="406" t="s">
        <v>459</v>
      </c>
      <c r="B81" s="429" t="s">
        <v>378</v>
      </c>
      <c r="C81" s="429" t="s">
        <v>379</v>
      </c>
      <c r="D81" s="429" t="s">
        <v>394</v>
      </c>
      <c r="E81" s="429" t="s">
        <v>395</v>
      </c>
      <c r="F81" s="407"/>
      <c r="G81" s="407"/>
      <c r="H81" s="407"/>
      <c r="I81" s="407"/>
      <c r="J81" s="407"/>
      <c r="K81" s="407"/>
      <c r="L81" s="407"/>
      <c r="M81" s="407"/>
      <c r="N81" s="407">
        <v>4</v>
      </c>
      <c r="O81" s="407">
        <v>2176</v>
      </c>
      <c r="P81" s="430"/>
      <c r="Q81" s="431">
        <v>544</v>
      </c>
    </row>
    <row r="82" spans="1:17" ht="14.4" customHeight="1" x14ac:dyDescent="0.3">
      <c r="A82" s="406" t="s">
        <v>460</v>
      </c>
      <c r="B82" s="429" t="s">
        <v>378</v>
      </c>
      <c r="C82" s="429" t="s">
        <v>379</v>
      </c>
      <c r="D82" s="429" t="s">
        <v>382</v>
      </c>
      <c r="E82" s="429" t="s">
        <v>383</v>
      </c>
      <c r="F82" s="407"/>
      <c r="G82" s="407"/>
      <c r="H82" s="407"/>
      <c r="I82" s="407"/>
      <c r="J82" s="407"/>
      <c r="K82" s="407"/>
      <c r="L82" s="407"/>
      <c r="M82" s="407"/>
      <c r="N82" s="407">
        <v>1</v>
      </c>
      <c r="O82" s="407">
        <v>70</v>
      </c>
      <c r="P82" s="430"/>
      <c r="Q82" s="431">
        <v>70</v>
      </c>
    </row>
    <row r="83" spans="1:17" ht="14.4" customHeight="1" x14ac:dyDescent="0.3">
      <c r="A83" s="406" t="s">
        <v>460</v>
      </c>
      <c r="B83" s="429" t="s">
        <v>378</v>
      </c>
      <c r="C83" s="429" t="s">
        <v>379</v>
      </c>
      <c r="D83" s="429" t="s">
        <v>384</v>
      </c>
      <c r="E83" s="429" t="s">
        <v>385</v>
      </c>
      <c r="F83" s="407">
        <v>16</v>
      </c>
      <c r="G83" s="407">
        <v>5088</v>
      </c>
      <c r="H83" s="407">
        <v>1</v>
      </c>
      <c r="I83" s="407">
        <v>318</v>
      </c>
      <c r="J83" s="407">
        <v>32</v>
      </c>
      <c r="K83" s="407">
        <v>10208</v>
      </c>
      <c r="L83" s="407">
        <v>2.0062893081761008</v>
      </c>
      <c r="M83" s="407">
        <v>319</v>
      </c>
      <c r="N83" s="407">
        <v>71</v>
      </c>
      <c r="O83" s="407">
        <v>22862</v>
      </c>
      <c r="P83" s="430">
        <v>4.4933176100628929</v>
      </c>
      <c r="Q83" s="431">
        <v>322</v>
      </c>
    </row>
    <row r="84" spans="1:17" ht="14.4" customHeight="1" thickBot="1" x14ac:dyDescent="0.35">
      <c r="A84" s="410" t="s">
        <v>460</v>
      </c>
      <c r="B84" s="432" t="s">
        <v>378</v>
      </c>
      <c r="C84" s="432" t="s">
        <v>379</v>
      </c>
      <c r="D84" s="432" t="s">
        <v>388</v>
      </c>
      <c r="E84" s="432" t="s">
        <v>389</v>
      </c>
      <c r="F84" s="411">
        <v>34</v>
      </c>
      <c r="G84" s="411">
        <v>10812</v>
      </c>
      <c r="H84" s="411">
        <v>1</v>
      </c>
      <c r="I84" s="411">
        <v>318</v>
      </c>
      <c r="J84" s="411">
        <v>32</v>
      </c>
      <c r="K84" s="411">
        <v>10208</v>
      </c>
      <c r="L84" s="411">
        <v>0.9441361450240473</v>
      </c>
      <c r="M84" s="411">
        <v>319</v>
      </c>
      <c r="N84" s="411">
        <v>36</v>
      </c>
      <c r="O84" s="411">
        <v>11526</v>
      </c>
      <c r="P84" s="433">
        <v>1.0660377358490567</v>
      </c>
      <c r="Q84" s="434">
        <v>320.16666666666669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74" t="s">
        <v>95</v>
      </c>
      <c r="B1" s="274"/>
      <c r="C1" s="275"/>
      <c r="D1" s="275"/>
      <c r="E1" s="275"/>
    </row>
    <row r="2" spans="1:5" ht="14.4" customHeight="1" thickBot="1" x14ac:dyDescent="0.35">
      <c r="A2" s="195" t="s">
        <v>221</v>
      </c>
      <c r="B2" s="121"/>
    </row>
    <row r="3" spans="1:5" ht="14.4" customHeight="1" thickBot="1" x14ac:dyDescent="0.35">
      <c r="A3" s="124"/>
      <c r="C3" s="125" t="s">
        <v>85</v>
      </c>
      <c r="D3" s="126" t="s">
        <v>50</v>
      </c>
      <c r="E3" s="127" t="s">
        <v>52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7223.1358573261987</v>
      </c>
      <c r="D4" s="130">
        <f ca="1">IF(ISERROR(VLOOKUP("Náklady celkem",INDIRECT("HI!$A:$G"),5,0)),0,VLOOKUP("Náklady celkem",INDIRECT("HI!$A:$G"),5,0))</f>
        <v>7190.9583300000022</v>
      </c>
      <c r="E4" s="131">
        <f ca="1">IF(C4=0,0,D4/C4)</f>
        <v>0.99554521360780446</v>
      </c>
    </row>
    <row r="5" spans="1:5" ht="14.4" customHeight="1" x14ac:dyDescent="0.3">
      <c r="A5" s="132" t="s">
        <v>109</v>
      </c>
      <c r="B5" s="133"/>
      <c r="C5" s="134"/>
      <c r="D5" s="134"/>
      <c r="E5" s="135"/>
    </row>
    <row r="6" spans="1:5" ht="14.4" customHeight="1" x14ac:dyDescent="0.3">
      <c r="A6" s="136" t="s">
        <v>114</v>
      </c>
      <c r="B6" s="137"/>
      <c r="C6" s="138"/>
      <c r="D6" s="138"/>
      <c r="E6" s="135"/>
    </row>
    <row r="7" spans="1:5" ht="14.4" customHeight="1" x14ac:dyDescent="0.3">
      <c r="A7" s="1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89</v>
      </c>
      <c r="C7" s="138">
        <f>IF(ISERROR(HI!F5),"",HI!F5)</f>
        <v>0.56372669448699997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1" t="s">
        <v>110</v>
      </c>
      <c r="B8" s="137"/>
      <c r="C8" s="138"/>
      <c r="D8" s="138"/>
      <c r="E8" s="135"/>
    </row>
    <row r="9" spans="1:5" ht="14.4" customHeight="1" x14ac:dyDescent="0.3">
      <c r="A9" s="141" t="s">
        <v>111</v>
      </c>
      <c r="B9" s="137"/>
      <c r="C9" s="138"/>
      <c r="D9" s="138"/>
      <c r="E9" s="135"/>
    </row>
    <row r="10" spans="1:5" ht="14.4" customHeight="1" x14ac:dyDescent="0.3">
      <c r="A10" s="142" t="s">
        <v>115</v>
      </c>
      <c r="B10" s="137"/>
      <c r="C10" s="134"/>
      <c r="D10" s="134"/>
      <c r="E10" s="135"/>
    </row>
    <row r="11" spans="1:5" ht="14.4" customHeight="1" x14ac:dyDescent="0.3">
      <c r="A11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89</v>
      </c>
      <c r="C11" s="138">
        <f>IF(ISERROR(HI!F6),"",HI!F6)</f>
        <v>0.23196071397199997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4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6972.0345109704904</v>
      </c>
      <c r="D12" s="134">
        <f ca="1">IF(ISERROR(VLOOKUP("Osobní náklady (Kč) *",INDIRECT("HI!$A:$G"),5,0)),0,VLOOKUP("Osobní náklady (Kč) *",INDIRECT("HI!$A:$G"),5,0))</f>
        <v>6813.0447800000038</v>
      </c>
      <c r="E12" s="135">
        <f ca="1">IF(C12=0,0,D12/C12)</f>
        <v>0.97719607802854158</v>
      </c>
    </row>
    <row r="13" spans="1:5" ht="14.4" customHeight="1" thickBot="1" x14ac:dyDescent="0.35">
      <c r="A13" s="148"/>
      <c r="B13" s="149"/>
      <c r="C13" s="150"/>
      <c r="D13" s="150"/>
      <c r="E13" s="151"/>
    </row>
    <row r="14" spans="1:5" ht="14.4" customHeight="1" thickBot="1" x14ac:dyDescent="0.35">
      <c r="A14" s="152" t="str">
        <f>HYPERLINK("#HI!A1","VÝNOSY CELKEM (v tisících)")</f>
        <v>VÝNOSY CELKEM (v tisících)</v>
      </c>
      <c r="B14" s="153"/>
      <c r="C14" s="154">
        <f ca="1">IF(ISERROR(VLOOKUP("Výnosy celkem",INDIRECT("HI!$A:$G"),6,0)),0,VLOOKUP("Výnosy celkem",INDIRECT("HI!$A:$G"),6,0))</f>
        <v>3381.3339999999998</v>
      </c>
      <c r="D14" s="154">
        <f ca="1">IF(ISERROR(VLOOKUP("Výnosy celkem",INDIRECT("HI!$A:$G"),5,0)),0,VLOOKUP("Výnosy celkem",INDIRECT("HI!$A:$G"),5,0))</f>
        <v>4068.4780000000001</v>
      </c>
      <c r="E14" s="155">
        <f t="shared" ref="E14:E17" ca="1" si="1">IF(C14=0,0,D14/C14)</f>
        <v>1.2032168369051979</v>
      </c>
    </row>
    <row r="15" spans="1:5" ht="14.4" customHeight="1" x14ac:dyDescent="0.3">
      <c r="A15" s="156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3381.3339999999998</v>
      </c>
      <c r="D15" s="134">
        <f ca="1">IF(ISERROR(VLOOKUP("Ambulance *",INDIRECT("HI!$A:$G"),5,0)),0,VLOOKUP("Ambulance *",INDIRECT("HI!$A:$G"),5,0))</f>
        <v>4068.4780000000001</v>
      </c>
      <c r="E15" s="135">
        <f t="shared" ca="1" si="1"/>
        <v>1.2032168369051979</v>
      </c>
    </row>
    <row r="16" spans="1:5" ht="14.4" customHeight="1" x14ac:dyDescent="0.3">
      <c r="A16" s="157" t="str">
        <f>HYPERLINK("#'ZV Vykáz.-A'!A1","Zdravotní výkony vykázané u ambulantních pacientů (min. 100 %)")</f>
        <v>Zdravotní výkony vykázané u ambulantních pacientů (min. 100 %)</v>
      </c>
      <c r="B16" s="120" t="s">
        <v>97</v>
      </c>
      <c r="C16" s="140">
        <v>1</v>
      </c>
      <c r="D16" s="140">
        <f>IF(ISERROR(VLOOKUP("Celkem:",'ZV Vykáz.-A'!$A:$S,7,0)),"",VLOOKUP("Celkem:",'ZV Vykáz.-A'!$A:$S,7,0))</f>
        <v>1.2032168369051979</v>
      </c>
      <c r="E16" s="135">
        <f t="shared" si="1"/>
        <v>1.2032168369051979</v>
      </c>
    </row>
    <row r="17" spans="1:5" ht="14.4" customHeight="1" x14ac:dyDescent="0.3">
      <c r="A17" s="157" t="str">
        <f>HYPERLINK("#'ZV Vykáz.-H'!A1","Zdravotní výkony vykázané u hospitalizovaných pacientů (max. 85 %)")</f>
        <v>Zdravotní výkony vykázané u hospitalizovaných pacientů (max. 85 %)</v>
      </c>
      <c r="B17" s="120" t="s">
        <v>99</v>
      </c>
      <c r="C17" s="140">
        <v>0.85</v>
      </c>
      <c r="D17" s="140">
        <f>IF(ISERROR(VLOOKUP("Celkem:",'ZV Vykáz.-H'!$A:$S,7,0)),"",VLOOKUP("Celkem:",'ZV Vykáz.-H'!$A:$S,7,0))</f>
        <v>0.97746254898880447</v>
      </c>
      <c r="E17" s="135">
        <f t="shared" si="1"/>
        <v>1.1499559399868289</v>
      </c>
    </row>
    <row r="18" spans="1:5" ht="14.4" customHeight="1" x14ac:dyDescent="0.3">
      <c r="A18" s="158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9" t="s">
        <v>112</v>
      </c>
      <c r="B19" s="145"/>
      <c r="C19" s="146"/>
      <c r="D19" s="146"/>
      <c r="E19" s="147"/>
    </row>
    <row r="20" spans="1:5" ht="14.4" customHeight="1" thickBot="1" x14ac:dyDescent="0.35">
      <c r="A20" s="160"/>
      <c r="B20" s="161"/>
      <c r="C20" s="162"/>
      <c r="D20" s="162"/>
      <c r="E20" s="163"/>
    </row>
    <row r="21" spans="1:5" ht="14.4" customHeight="1" thickBot="1" x14ac:dyDescent="0.35">
      <c r="A21" s="164" t="s">
        <v>113</v>
      </c>
      <c r="B21" s="165"/>
      <c r="C21" s="166"/>
      <c r="D21" s="166"/>
      <c r="E21" s="167"/>
    </row>
  </sheetData>
  <mergeCells count="1">
    <mergeCell ref="A1:E1"/>
  </mergeCells>
  <conditionalFormatting sqref="E5">
    <cfRule type="cellIs" dxfId="4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2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41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74" t="s">
        <v>104</v>
      </c>
      <c r="B1" s="274"/>
      <c r="C1" s="274"/>
      <c r="D1" s="274"/>
      <c r="E1" s="274"/>
      <c r="F1" s="274"/>
      <c r="G1" s="275"/>
      <c r="H1" s="275"/>
    </row>
    <row r="2" spans="1:8" ht="14.4" customHeight="1" thickBot="1" x14ac:dyDescent="0.35">
      <c r="A2" s="195" t="s">
        <v>221</v>
      </c>
      <c r="B2" s="83"/>
      <c r="C2" s="83"/>
      <c r="D2" s="83"/>
      <c r="E2" s="83"/>
      <c r="F2" s="83"/>
    </row>
    <row r="3" spans="1:8" ht="14.4" customHeight="1" x14ac:dyDescent="0.3">
      <c r="A3" s="276"/>
      <c r="B3" s="79">
        <v>2012</v>
      </c>
      <c r="C3" s="40">
        <v>2013</v>
      </c>
      <c r="D3" s="7"/>
      <c r="E3" s="280">
        <v>2014</v>
      </c>
      <c r="F3" s="281"/>
      <c r="G3" s="281"/>
      <c r="H3" s="282"/>
    </row>
    <row r="4" spans="1:8" ht="14.4" customHeight="1" thickBot="1" x14ac:dyDescent="0.35">
      <c r="A4" s="277"/>
      <c r="B4" s="278" t="s">
        <v>50</v>
      </c>
      <c r="C4" s="279"/>
      <c r="D4" s="7"/>
      <c r="E4" s="100" t="s">
        <v>50</v>
      </c>
      <c r="F4" s="81" t="s">
        <v>51</v>
      </c>
      <c r="G4" s="81" t="s">
        <v>45</v>
      </c>
      <c r="H4" s="82" t="s">
        <v>52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0.56330000000000002</v>
      </c>
      <c r="D5" s="8"/>
      <c r="E5" s="89">
        <v>0</v>
      </c>
      <c r="F5" s="28">
        <v>0.56372669448699997</v>
      </c>
      <c r="G5" s="88">
        <f>E5-F5</f>
        <v>-0.56372669448699997</v>
      </c>
      <c r="H5" s="94">
        <f>IF(F5&lt;0.00000001,"",E5/F5)</f>
        <v>0</v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0.23154</v>
      </c>
      <c r="D6" s="8"/>
      <c r="E6" s="90">
        <v>0</v>
      </c>
      <c r="F6" s="30">
        <v>0.23196071397199997</v>
      </c>
      <c r="G6" s="91">
        <f>E6-F6</f>
        <v>-0.23196071397199997</v>
      </c>
      <c r="H6" s="95">
        <f>IF(F6&lt;0.00000001,"",E6/F6)</f>
        <v>0</v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6199.6431600000005</v>
      </c>
      <c r="C7" s="31">
        <v>6584.1597000000011</v>
      </c>
      <c r="D7" s="8"/>
      <c r="E7" s="90">
        <v>6813.0447800000038</v>
      </c>
      <c r="F7" s="30">
        <v>6972.0345109704904</v>
      </c>
      <c r="G7" s="91">
        <f>E7-F7</f>
        <v>-158.98973097048656</v>
      </c>
      <c r="H7" s="95">
        <f>IF(F7&lt;0.00000001,"",E7/F7)</f>
        <v>0.97719607802854158</v>
      </c>
    </row>
    <row r="8" spans="1:8" ht="14.4" customHeight="1" thickBot="1" x14ac:dyDescent="0.35">
      <c r="A8" s="1" t="s">
        <v>53</v>
      </c>
      <c r="B8" s="11">
        <v>443.98428999999942</v>
      </c>
      <c r="C8" s="33">
        <v>294.87407000000121</v>
      </c>
      <c r="D8" s="8"/>
      <c r="E8" s="92">
        <v>377.91354999999839</v>
      </c>
      <c r="F8" s="32">
        <v>250.3056589472493</v>
      </c>
      <c r="G8" s="93">
        <f>E8-F8</f>
        <v>127.6078910527491</v>
      </c>
      <c r="H8" s="96">
        <f>IF(F8&lt;0.00000001,"",E8/F8)</f>
        <v>1.5098082543936486</v>
      </c>
    </row>
    <row r="9" spans="1:8" ht="14.4" customHeight="1" thickBot="1" x14ac:dyDescent="0.35">
      <c r="A9" s="2" t="s">
        <v>54</v>
      </c>
      <c r="B9" s="3">
        <v>6643.62745</v>
      </c>
      <c r="C9" s="35">
        <v>6879.8286100000023</v>
      </c>
      <c r="D9" s="8"/>
      <c r="E9" s="3">
        <v>7190.9583300000022</v>
      </c>
      <c r="F9" s="34">
        <v>7223.1358573261987</v>
      </c>
      <c r="G9" s="34">
        <f>E9-F9</f>
        <v>-32.177527326196468</v>
      </c>
      <c r="H9" s="97">
        <f>IF(F9&lt;0.00000001,"",E9/F9)</f>
        <v>0.99554521360780446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3381.3339999999998</v>
      </c>
      <c r="C11" s="29">
        <f>IF(ISERROR(VLOOKUP("Celkem:",'ZV Vykáz.-A'!A:F,4,0)),0,VLOOKUP("Celkem:",'ZV Vykáz.-A'!A:F,4,0)/1000)</f>
        <v>3792.009</v>
      </c>
      <c r="D11" s="8"/>
      <c r="E11" s="89">
        <f>IF(ISERROR(VLOOKUP("Celkem:",'ZV Vykáz.-A'!A:F,6,0)),0,VLOOKUP("Celkem:",'ZV Vykáz.-A'!A:F,6,0)/1000)</f>
        <v>4068.4780000000001</v>
      </c>
      <c r="F11" s="28">
        <f>B11</f>
        <v>3381.3339999999998</v>
      </c>
      <c r="G11" s="88">
        <f>E11-F11</f>
        <v>687.14400000000023</v>
      </c>
      <c r="H11" s="94">
        <f>IF(F11&lt;0.00000001,"",E11/F11)</f>
        <v>1.2032168369051979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57</v>
      </c>
      <c r="B13" s="5">
        <f>SUM(B11:B12)</f>
        <v>3381.3339999999998</v>
      </c>
      <c r="C13" s="37">
        <f>SUM(C11:C12)</f>
        <v>3792.009</v>
      </c>
      <c r="D13" s="8"/>
      <c r="E13" s="5">
        <f>SUM(E11:E12)</f>
        <v>4068.4780000000001</v>
      </c>
      <c r="F13" s="36">
        <f>SUM(F11:F12)</f>
        <v>3381.3339999999998</v>
      </c>
      <c r="G13" s="36">
        <f>E13-F13</f>
        <v>687.14400000000023</v>
      </c>
      <c r="H13" s="98">
        <f>IF(F13&lt;0.00000001,"",E13/F13)</f>
        <v>1.2032168369051979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0.50895900250999171</v>
      </c>
      <c r="C15" s="39">
        <f>IF(C9=0,"",C13/C9)</f>
        <v>0.55117782941397997</v>
      </c>
      <c r="D15" s="8"/>
      <c r="E15" s="6">
        <f>IF(E9=0,"",E13/E9)</f>
        <v>0.56577688442814256</v>
      </c>
      <c r="F15" s="38">
        <f>IF(F9=0,"",F13/F9)</f>
        <v>0.46812548826288786</v>
      </c>
      <c r="G15" s="38">
        <f>IF(ISERROR(F15-E15),"",E15-F15)</f>
        <v>9.76513961652547E-2</v>
      </c>
      <c r="H15" s="99">
        <f>IF(ISERROR(F15-E15),"",IF(F15&lt;0.00000001,"",E15/F15))</f>
        <v>1.2086008957290872</v>
      </c>
    </row>
    <row r="17" spans="1:8" ht="14.4" customHeight="1" x14ac:dyDescent="0.3">
      <c r="A17" s="85" t="s">
        <v>116</v>
      </c>
    </row>
    <row r="18" spans="1:8" ht="14.4" customHeight="1" x14ac:dyDescent="0.3">
      <c r="A18" s="248" t="s">
        <v>175</v>
      </c>
      <c r="B18" s="249"/>
      <c r="C18" s="249"/>
      <c r="D18" s="249"/>
      <c r="E18" s="249"/>
      <c r="F18" s="249"/>
      <c r="G18" s="249"/>
      <c r="H18" s="249"/>
    </row>
    <row r="19" spans="1:8" x14ac:dyDescent="0.3">
      <c r="A19" s="247" t="s">
        <v>174</v>
      </c>
      <c r="B19" s="249"/>
      <c r="C19" s="249"/>
      <c r="D19" s="249"/>
      <c r="E19" s="249"/>
      <c r="F19" s="249"/>
      <c r="G19" s="249"/>
      <c r="H19" s="249"/>
    </row>
    <row r="20" spans="1:8" ht="14.4" customHeight="1" x14ac:dyDescent="0.3">
      <c r="A20" s="86" t="s">
        <v>218</v>
      </c>
    </row>
    <row r="21" spans="1:8" ht="14.4" customHeight="1" x14ac:dyDescent="0.3">
      <c r="A21" s="86" t="s">
        <v>117</v>
      </c>
    </row>
    <row r="22" spans="1:8" ht="14.4" customHeight="1" x14ac:dyDescent="0.3">
      <c r="A22" s="87" t="s">
        <v>118</v>
      </c>
    </row>
    <row r="23" spans="1:8" ht="14.4" customHeight="1" x14ac:dyDescent="0.3">
      <c r="A23" s="87" t="s">
        <v>119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74" t="s">
        <v>82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3" ht="14.4" customHeight="1" x14ac:dyDescent="0.3">
      <c r="A2" s="195" t="s">
        <v>221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8"/>
      <c r="B3" s="169" t="s">
        <v>59</v>
      </c>
      <c r="C3" s="170" t="s">
        <v>60</v>
      </c>
      <c r="D3" s="170" t="s">
        <v>61</v>
      </c>
      <c r="E3" s="169" t="s">
        <v>62</v>
      </c>
      <c r="F3" s="170" t="s">
        <v>63</v>
      </c>
      <c r="G3" s="170" t="s">
        <v>64</v>
      </c>
      <c r="H3" s="170" t="s">
        <v>65</v>
      </c>
      <c r="I3" s="170" t="s">
        <v>66</v>
      </c>
      <c r="J3" s="170" t="s">
        <v>67</v>
      </c>
      <c r="K3" s="170" t="s">
        <v>68</v>
      </c>
      <c r="L3" s="170" t="s">
        <v>69</v>
      </c>
      <c r="M3" s="170" t="s">
        <v>70</v>
      </c>
    </row>
    <row r="4" spans="1:13" ht="14.4" customHeight="1" x14ac:dyDescent="0.3">
      <c r="A4" s="168" t="s">
        <v>58</v>
      </c>
      <c r="B4" s="171">
        <f>(B10+B8)/B6</f>
        <v>0.6001961374563286</v>
      </c>
      <c r="C4" s="171">
        <f t="shared" ref="C4:M4" si="0">(C10+C8)/C6</f>
        <v>0.62930821251256364</v>
      </c>
      <c r="D4" s="171">
        <f t="shared" si="0"/>
        <v>0.68105122210226798</v>
      </c>
      <c r="E4" s="171">
        <f t="shared" si="0"/>
        <v>0.72165802968250603</v>
      </c>
      <c r="F4" s="171">
        <f t="shared" si="0"/>
        <v>0.73376548160318267</v>
      </c>
      <c r="G4" s="171">
        <f t="shared" si="0"/>
        <v>0.72971607383517412</v>
      </c>
      <c r="H4" s="171">
        <f t="shared" si="0"/>
        <v>0.66119765836110667</v>
      </c>
      <c r="I4" s="171">
        <f t="shared" si="0"/>
        <v>0.62869789667266718</v>
      </c>
      <c r="J4" s="171">
        <f t="shared" si="0"/>
        <v>0.62646607687540901</v>
      </c>
      <c r="K4" s="171">
        <f t="shared" si="0"/>
        <v>0.61274384913447111</v>
      </c>
      <c r="L4" s="171">
        <f t="shared" si="0"/>
        <v>0.58696692666294281</v>
      </c>
      <c r="M4" s="171">
        <f t="shared" si="0"/>
        <v>0.56577688442814256</v>
      </c>
    </row>
    <row r="5" spans="1:13" ht="14.4" customHeight="1" x14ac:dyDescent="0.3">
      <c r="A5" s="172" t="s">
        <v>30</v>
      </c>
      <c r="B5" s="171">
        <f>IF(ISERROR(VLOOKUP($A5,'Man Tab'!$A:$Q,COLUMN()+2,0)),0,VLOOKUP($A5,'Man Tab'!$A:$Q,COLUMN()+2,0))</f>
        <v>587.58792000000301</v>
      </c>
      <c r="C5" s="171">
        <f>IF(ISERROR(VLOOKUP($A5,'Man Tab'!$A:$Q,COLUMN()+2,0)),0,VLOOKUP($A5,'Man Tab'!$A:$Q,COLUMN()+2,0))</f>
        <v>525.25469999999996</v>
      </c>
      <c r="D5" s="171">
        <f>IF(ISERROR(VLOOKUP($A5,'Man Tab'!$A:$Q,COLUMN()+2,0)),0,VLOOKUP($A5,'Man Tab'!$A:$Q,COLUMN()+2,0))</f>
        <v>548.74459000000002</v>
      </c>
      <c r="E5" s="171">
        <f>IF(ISERROR(VLOOKUP($A5,'Man Tab'!$A:$Q,COLUMN()+2,0)),0,VLOOKUP($A5,'Man Tab'!$A:$Q,COLUMN()+2,0))</f>
        <v>544.28306999999995</v>
      </c>
      <c r="F5" s="171">
        <f>IF(ISERROR(VLOOKUP($A5,'Man Tab'!$A:$Q,COLUMN()+2,0)),0,VLOOKUP($A5,'Man Tab'!$A:$Q,COLUMN()+2,0))</f>
        <v>545.76093000000003</v>
      </c>
      <c r="G5" s="171">
        <f>IF(ISERROR(VLOOKUP($A5,'Man Tab'!$A:$Q,COLUMN()+2,0)),0,VLOOKUP($A5,'Man Tab'!$A:$Q,COLUMN()+2,0))</f>
        <v>569.47694000000001</v>
      </c>
      <c r="H5" s="171">
        <f>IF(ISERROR(VLOOKUP($A5,'Man Tab'!$A:$Q,COLUMN()+2,0)),0,VLOOKUP($A5,'Man Tab'!$A:$Q,COLUMN()+2,0))</f>
        <v>767.19429000000002</v>
      </c>
      <c r="I5" s="171">
        <f>IF(ISERROR(VLOOKUP($A5,'Man Tab'!$A:$Q,COLUMN()+2,0)),0,VLOOKUP($A5,'Man Tab'!$A:$Q,COLUMN()+2,0))</f>
        <v>529.69773999999995</v>
      </c>
      <c r="J5" s="171">
        <f>IF(ISERROR(VLOOKUP($A5,'Man Tab'!$A:$Q,COLUMN()+2,0)),0,VLOOKUP($A5,'Man Tab'!$A:$Q,COLUMN()+2,0))</f>
        <v>589.05111999999997</v>
      </c>
      <c r="K5" s="171">
        <f>IF(ISERROR(VLOOKUP($A5,'Man Tab'!$A:$Q,COLUMN()+2,0)),0,VLOOKUP($A5,'Man Tab'!$A:$Q,COLUMN()+2,0))</f>
        <v>555.84131000000002</v>
      </c>
      <c r="L5" s="171">
        <f>IF(ISERROR(VLOOKUP($A5,'Man Tab'!$A:$Q,COLUMN()+2,0)),0,VLOOKUP($A5,'Man Tab'!$A:$Q,COLUMN()+2,0))</f>
        <v>836.72113999999999</v>
      </c>
      <c r="M5" s="171">
        <f>IF(ISERROR(VLOOKUP($A5,'Man Tab'!$A:$Q,COLUMN()+2,0)),0,VLOOKUP($A5,'Man Tab'!$A:$Q,COLUMN()+2,0))</f>
        <v>591.34457999999995</v>
      </c>
    </row>
    <row r="6" spans="1:13" ht="14.4" customHeight="1" x14ac:dyDescent="0.3">
      <c r="A6" s="172" t="s">
        <v>54</v>
      </c>
      <c r="B6" s="173">
        <f>B5</f>
        <v>587.58792000000301</v>
      </c>
      <c r="C6" s="173">
        <f t="shared" ref="C6:M6" si="1">C5+B6</f>
        <v>1112.8426200000031</v>
      </c>
      <c r="D6" s="173">
        <f t="shared" si="1"/>
        <v>1661.5872100000031</v>
      </c>
      <c r="E6" s="173">
        <f t="shared" si="1"/>
        <v>2205.8702800000028</v>
      </c>
      <c r="F6" s="173">
        <f t="shared" si="1"/>
        <v>2751.6312100000027</v>
      </c>
      <c r="G6" s="173">
        <f t="shared" si="1"/>
        <v>3321.1081500000028</v>
      </c>
      <c r="H6" s="173">
        <f t="shared" si="1"/>
        <v>4088.3024400000027</v>
      </c>
      <c r="I6" s="173">
        <f t="shared" si="1"/>
        <v>4618.0001800000027</v>
      </c>
      <c r="J6" s="173">
        <f t="shared" si="1"/>
        <v>5207.0513000000028</v>
      </c>
      <c r="K6" s="173">
        <f t="shared" si="1"/>
        <v>5762.8926100000026</v>
      </c>
      <c r="L6" s="173">
        <f t="shared" si="1"/>
        <v>6599.6137500000023</v>
      </c>
      <c r="M6" s="173">
        <f t="shared" si="1"/>
        <v>7190.9583300000022</v>
      </c>
    </row>
    <row r="7" spans="1:13" ht="14.4" customHeight="1" x14ac:dyDescent="0.3">
      <c r="A7" s="172" t="s">
        <v>80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ht="14.4" customHeight="1" x14ac:dyDescent="0.3">
      <c r="A8" s="172" t="s">
        <v>55</v>
      </c>
      <c r="B8" s="173">
        <f>B7*30</f>
        <v>0</v>
      </c>
      <c r="C8" s="173">
        <f t="shared" ref="C8:M8" si="2">C7*30</f>
        <v>0</v>
      </c>
      <c r="D8" s="173">
        <f t="shared" si="2"/>
        <v>0</v>
      </c>
      <c r="E8" s="173">
        <f t="shared" si="2"/>
        <v>0</v>
      </c>
      <c r="F8" s="173">
        <f t="shared" si="2"/>
        <v>0</v>
      </c>
      <c r="G8" s="173">
        <f t="shared" si="2"/>
        <v>0</v>
      </c>
      <c r="H8" s="173">
        <f t="shared" si="2"/>
        <v>0</v>
      </c>
      <c r="I8" s="173">
        <f t="shared" si="2"/>
        <v>0</v>
      </c>
      <c r="J8" s="173">
        <f t="shared" si="2"/>
        <v>0</v>
      </c>
      <c r="K8" s="173">
        <f t="shared" si="2"/>
        <v>0</v>
      </c>
      <c r="L8" s="173">
        <f t="shared" si="2"/>
        <v>0</v>
      </c>
      <c r="M8" s="173">
        <f t="shared" si="2"/>
        <v>0</v>
      </c>
    </row>
    <row r="9" spans="1:13" ht="14.4" customHeight="1" x14ac:dyDescent="0.3">
      <c r="A9" s="172" t="s">
        <v>81</v>
      </c>
      <c r="B9" s="172">
        <v>352668</v>
      </c>
      <c r="C9" s="172">
        <v>347653</v>
      </c>
      <c r="D9" s="172">
        <v>431305</v>
      </c>
      <c r="E9" s="172">
        <v>460258</v>
      </c>
      <c r="F9" s="172">
        <v>427168</v>
      </c>
      <c r="G9" s="172">
        <v>404414</v>
      </c>
      <c r="H9" s="172">
        <v>279710</v>
      </c>
      <c r="I9" s="172">
        <v>200151</v>
      </c>
      <c r="J9" s="172">
        <v>358714</v>
      </c>
      <c r="K9" s="172">
        <v>269136</v>
      </c>
      <c r="L9" s="172">
        <v>342578</v>
      </c>
      <c r="M9" s="172">
        <v>194723</v>
      </c>
    </row>
    <row r="10" spans="1:13" ht="14.4" customHeight="1" x14ac:dyDescent="0.3">
      <c r="A10" s="172" t="s">
        <v>56</v>
      </c>
      <c r="B10" s="173">
        <f>B9/1000</f>
        <v>352.66800000000001</v>
      </c>
      <c r="C10" s="173">
        <f t="shared" ref="C10:M10" si="3">C9/1000+B10</f>
        <v>700.32100000000003</v>
      </c>
      <c r="D10" s="173">
        <f t="shared" si="3"/>
        <v>1131.626</v>
      </c>
      <c r="E10" s="173">
        <f t="shared" si="3"/>
        <v>1591.884</v>
      </c>
      <c r="F10" s="173">
        <f t="shared" si="3"/>
        <v>2019.0520000000001</v>
      </c>
      <c r="G10" s="173">
        <f t="shared" si="3"/>
        <v>2423.4660000000003</v>
      </c>
      <c r="H10" s="173">
        <f t="shared" si="3"/>
        <v>2703.1760000000004</v>
      </c>
      <c r="I10" s="173">
        <f t="shared" si="3"/>
        <v>2903.3270000000002</v>
      </c>
      <c r="J10" s="173">
        <f t="shared" si="3"/>
        <v>3262.0410000000002</v>
      </c>
      <c r="K10" s="173">
        <f t="shared" si="3"/>
        <v>3531.1770000000001</v>
      </c>
      <c r="L10" s="173">
        <f t="shared" si="3"/>
        <v>3873.7550000000001</v>
      </c>
      <c r="M10" s="173">
        <f t="shared" si="3"/>
        <v>4068.4780000000001</v>
      </c>
    </row>
    <row r="11" spans="1:13" ht="14.4" customHeight="1" x14ac:dyDescent="0.3">
      <c r="A11" s="168"/>
      <c r="B11" s="168" t="s">
        <v>71</v>
      </c>
      <c r="C11" s="168">
        <f ca="1">IF(MONTH(TODAY())=1,12,MONTH(TODAY())-1)</f>
        <v>12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1:13" ht="14.4" customHeight="1" x14ac:dyDescent="0.3">
      <c r="A12" s="168">
        <v>0</v>
      </c>
      <c r="B12" s="171">
        <f>IF(ISERROR(HI!F15),#REF!,HI!F15)</f>
        <v>0.46812548826288786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</row>
    <row r="13" spans="1:13" ht="14.4" customHeight="1" x14ac:dyDescent="0.3">
      <c r="A13" s="168">
        <v>1</v>
      </c>
      <c r="B13" s="171">
        <f>IF(ISERROR(HI!F15),#REF!,HI!F15)</f>
        <v>0.46812548826288786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4" customFormat="1" ht="18.600000000000001" customHeight="1" thickBot="1" x14ac:dyDescent="0.4">
      <c r="A1" s="283" t="s">
        <v>223</v>
      </c>
      <c r="B1" s="283"/>
      <c r="C1" s="283"/>
      <c r="D1" s="283"/>
      <c r="E1" s="283"/>
      <c r="F1" s="283"/>
      <c r="G1" s="283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7" s="174" customFormat="1" ht="14.4" customHeight="1" thickBot="1" x14ac:dyDescent="0.3">
      <c r="A2" s="195" t="s">
        <v>221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4.4" customHeight="1" x14ac:dyDescent="0.3">
      <c r="A3" s="59"/>
      <c r="B3" s="284" t="s">
        <v>6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110"/>
      <c r="Q3" s="112"/>
    </row>
    <row r="4" spans="1:17" ht="14.4" customHeight="1" x14ac:dyDescent="0.3">
      <c r="A4" s="60"/>
      <c r="B4" s="20">
        <v>2014</v>
      </c>
      <c r="C4" s="111" t="s">
        <v>7</v>
      </c>
      <c r="D4" s="101" t="s">
        <v>120</v>
      </c>
      <c r="E4" s="101" t="s">
        <v>121</v>
      </c>
      <c r="F4" s="101" t="s">
        <v>122</v>
      </c>
      <c r="G4" s="101" t="s">
        <v>123</v>
      </c>
      <c r="H4" s="101" t="s">
        <v>124</v>
      </c>
      <c r="I4" s="101" t="s">
        <v>125</v>
      </c>
      <c r="J4" s="101" t="s">
        <v>126</v>
      </c>
      <c r="K4" s="101" t="s">
        <v>127</v>
      </c>
      <c r="L4" s="101" t="s">
        <v>128</v>
      </c>
      <c r="M4" s="101" t="s">
        <v>129</v>
      </c>
      <c r="N4" s="101" t="s">
        <v>130</v>
      </c>
      <c r="O4" s="101" t="s">
        <v>131</v>
      </c>
      <c r="P4" s="286" t="s">
        <v>3</v>
      </c>
      <c r="Q4" s="287"/>
    </row>
    <row r="5" spans="1:17" ht="14.4" customHeight="1" thickBot="1" x14ac:dyDescent="0.35">
      <c r="A5" s="61"/>
      <c r="B5" s="21" t="s">
        <v>8</v>
      </c>
      <c r="C5" s="22" t="s">
        <v>8</v>
      </c>
      <c r="D5" s="22" t="s">
        <v>9</v>
      </c>
      <c r="E5" s="22" t="s">
        <v>9</v>
      </c>
      <c r="F5" s="22" t="s">
        <v>9</v>
      </c>
      <c r="G5" s="22" t="s">
        <v>9</v>
      </c>
      <c r="H5" s="22" t="s">
        <v>9</v>
      </c>
      <c r="I5" s="22" t="s">
        <v>9</v>
      </c>
      <c r="J5" s="22" t="s">
        <v>9</v>
      </c>
      <c r="K5" s="22" t="s">
        <v>9</v>
      </c>
      <c r="L5" s="22" t="s">
        <v>9</v>
      </c>
      <c r="M5" s="22" t="s">
        <v>9</v>
      </c>
      <c r="N5" s="22" t="s">
        <v>9</v>
      </c>
      <c r="O5" s="22" t="s">
        <v>9</v>
      </c>
      <c r="P5" s="22" t="s">
        <v>9</v>
      </c>
      <c r="Q5" s="23" t="s">
        <v>10</v>
      </c>
    </row>
    <row r="6" spans="1:17" ht="14.4" customHeight="1" x14ac:dyDescent="0.3">
      <c r="A6" s="14" t="s">
        <v>11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222</v>
      </c>
    </row>
    <row r="7" spans="1:17" ht="14.4" customHeight="1" x14ac:dyDescent="0.3">
      <c r="A7" s="15" t="s">
        <v>12</v>
      </c>
      <c r="B7" s="46">
        <v>0.56372669448699997</v>
      </c>
      <c r="C7" s="47">
        <v>4.6977224540000001E-2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>
        <v>0</v>
      </c>
    </row>
    <row r="8" spans="1:17" ht="14.4" customHeight="1" x14ac:dyDescent="0.3">
      <c r="A8" s="15" t="s">
        <v>13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222</v>
      </c>
    </row>
    <row r="9" spans="1:17" ht="14.4" customHeight="1" x14ac:dyDescent="0.3">
      <c r="A9" s="15" t="s">
        <v>14</v>
      </c>
      <c r="B9" s="46">
        <v>0.23196071397199999</v>
      </c>
      <c r="C9" s="47">
        <v>1.9330059497E-2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>
        <v>0</v>
      </c>
    </row>
    <row r="10" spans="1:17" ht="14.4" customHeight="1" x14ac:dyDescent="0.3">
      <c r="A10" s="15" t="s">
        <v>15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222</v>
      </c>
    </row>
    <row r="11" spans="1:17" ht="14.4" customHeight="1" x14ac:dyDescent="0.3">
      <c r="A11" s="15" t="s">
        <v>16</v>
      </c>
      <c r="B11" s="46">
        <v>55.702476088228998</v>
      </c>
      <c r="C11" s="47">
        <v>4.6418730073520003</v>
      </c>
      <c r="D11" s="47">
        <v>0</v>
      </c>
      <c r="E11" s="47">
        <v>0.67972999999999995</v>
      </c>
      <c r="F11" s="47">
        <v>0.51022999999999996</v>
      </c>
      <c r="G11" s="47">
        <v>0</v>
      </c>
      <c r="H11" s="47">
        <v>6.1225899999999998</v>
      </c>
      <c r="I11" s="47">
        <v>0.2097</v>
      </c>
      <c r="J11" s="47">
        <v>0</v>
      </c>
      <c r="K11" s="47">
        <v>0.30049999999999999</v>
      </c>
      <c r="L11" s="47">
        <v>0</v>
      </c>
      <c r="M11" s="47">
        <v>4.7667999999999999</v>
      </c>
      <c r="N11" s="47">
        <v>3.1456499999999998</v>
      </c>
      <c r="O11" s="47">
        <v>23.362590000000001</v>
      </c>
      <c r="P11" s="48">
        <v>39.097790000000003</v>
      </c>
      <c r="Q11" s="70">
        <v>0.70190398606399995</v>
      </c>
    </row>
    <row r="12" spans="1:17" ht="14.4" customHeight="1" x14ac:dyDescent="0.3">
      <c r="A12" s="15" t="s">
        <v>17</v>
      </c>
      <c r="B12" s="46">
        <v>1.0001864980149999</v>
      </c>
      <c r="C12" s="47">
        <v>8.3348874833999997E-2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>
        <v>0</v>
      </c>
    </row>
    <row r="13" spans="1:17" ht="14.4" customHeight="1" x14ac:dyDescent="0.3">
      <c r="A13" s="15" t="s">
        <v>18</v>
      </c>
      <c r="B13" s="46">
        <v>1.08824989601</v>
      </c>
      <c r="C13" s="47">
        <v>9.0687491334000003E-2</v>
      </c>
      <c r="D13" s="47">
        <v>0</v>
      </c>
      <c r="E13" s="47">
        <v>0</v>
      </c>
      <c r="F13" s="47">
        <v>0.15124000000000001</v>
      </c>
      <c r="G13" s="47">
        <v>0.41747000000000001</v>
      </c>
      <c r="H13" s="47">
        <v>0</v>
      </c>
      <c r="I13" s="47">
        <v>0.31218000000000001</v>
      </c>
      <c r="J13" s="47">
        <v>0.54208000000000001</v>
      </c>
      <c r="K13" s="47">
        <v>0</v>
      </c>
      <c r="L13" s="47">
        <v>2.04304</v>
      </c>
      <c r="M13" s="47">
        <v>0</v>
      </c>
      <c r="N13" s="47">
        <v>0</v>
      </c>
      <c r="O13" s="47">
        <v>0.41744999999999999</v>
      </c>
      <c r="P13" s="48">
        <v>3.8834599999999999</v>
      </c>
      <c r="Q13" s="70">
        <v>3.5685369823930002</v>
      </c>
    </row>
    <row r="14" spans="1:17" ht="14.4" customHeight="1" x14ac:dyDescent="0.3">
      <c r="A14" s="15" t="s">
        <v>19</v>
      </c>
      <c r="B14" s="46">
        <v>90.094900233475997</v>
      </c>
      <c r="C14" s="47">
        <v>7.5079083527890003</v>
      </c>
      <c r="D14" s="47">
        <v>10.763</v>
      </c>
      <c r="E14" s="47">
        <v>8.9239999999999995</v>
      </c>
      <c r="F14" s="47">
        <v>7.8120000000000003</v>
      </c>
      <c r="G14" s="47">
        <v>6.5739999999999998</v>
      </c>
      <c r="H14" s="47">
        <v>5.4249999999999998</v>
      </c>
      <c r="I14" s="47">
        <v>4.4790000000000001</v>
      </c>
      <c r="J14" s="47">
        <v>4.2439999999999998</v>
      </c>
      <c r="K14" s="47">
        <v>4.0579999999999998</v>
      </c>
      <c r="L14" s="47">
        <v>4.5540000000000003</v>
      </c>
      <c r="M14" s="47">
        <v>6.9820000000000002</v>
      </c>
      <c r="N14" s="47">
        <v>8.0150000000000006</v>
      </c>
      <c r="O14" s="47">
        <v>9.9710000000000001</v>
      </c>
      <c r="P14" s="48">
        <v>81.801000000000002</v>
      </c>
      <c r="Q14" s="70">
        <v>0.90794262259000003</v>
      </c>
    </row>
    <row r="15" spans="1:17" ht="14.4" customHeight="1" x14ac:dyDescent="0.3">
      <c r="A15" s="15" t="s">
        <v>20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222</v>
      </c>
    </row>
    <row r="16" spans="1:17" ht="14.4" customHeight="1" x14ac:dyDescent="0.3">
      <c r="A16" s="15" t="s">
        <v>21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222</v>
      </c>
    </row>
    <row r="17" spans="1:17" ht="14.4" customHeight="1" x14ac:dyDescent="0.3">
      <c r="A17" s="15" t="s">
        <v>22</v>
      </c>
      <c r="B17" s="46">
        <v>5.4329011407929997</v>
      </c>
      <c r="C17" s="47">
        <v>0.45274176173199998</v>
      </c>
      <c r="D17" s="47">
        <v>0</v>
      </c>
      <c r="E17" s="47">
        <v>0.23744999999999999</v>
      </c>
      <c r="F17" s="47">
        <v>12.093400000000001</v>
      </c>
      <c r="G17" s="47">
        <v>2.4127399999999999</v>
      </c>
      <c r="H17" s="47">
        <v>0</v>
      </c>
      <c r="I17" s="47">
        <v>0.80344000000000004</v>
      </c>
      <c r="J17" s="47">
        <v>0</v>
      </c>
      <c r="K17" s="47">
        <v>0</v>
      </c>
      <c r="L17" s="47">
        <v>27.362259999999999</v>
      </c>
      <c r="M17" s="47">
        <v>0</v>
      </c>
      <c r="N17" s="47">
        <v>20.829979999999999</v>
      </c>
      <c r="O17" s="47">
        <v>2.3698800000000002</v>
      </c>
      <c r="P17" s="48">
        <v>66.10915</v>
      </c>
      <c r="Q17" s="70">
        <v>12.168296143586</v>
      </c>
    </row>
    <row r="18" spans="1:17" ht="14.4" customHeight="1" x14ac:dyDescent="0.3">
      <c r="A18" s="15" t="s">
        <v>23</v>
      </c>
      <c r="B18" s="46">
        <v>0</v>
      </c>
      <c r="C18" s="47">
        <v>0</v>
      </c>
      <c r="D18" s="47">
        <v>0.48399999999999999</v>
      </c>
      <c r="E18" s="47">
        <v>0</v>
      </c>
      <c r="F18" s="47">
        <v>0.34699999999999998</v>
      </c>
      <c r="G18" s="47">
        <v>0.93200000000000005</v>
      </c>
      <c r="H18" s="47">
        <v>0.502</v>
      </c>
      <c r="I18" s="47">
        <v>1.7749999999999999</v>
      </c>
      <c r="J18" s="47">
        <v>0</v>
      </c>
      <c r="K18" s="47">
        <v>0</v>
      </c>
      <c r="L18" s="47">
        <v>0.51800000000000002</v>
      </c>
      <c r="M18" s="47">
        <v>1.8919999999999999</v>
      </c>
      <c r="N18" s="47">
        <v>1.6719999999999999</v>
      </c>
      <c r="O18" s="47">
        <v>0.64700000000000002</v>
      </c>
      <c r="P18" s="48">
        <v>8.7690000000000001</v>
      </c>
      <c r="Q18" s="70" t="s">
        <v>222</v>
      </c>
    </row>
    <row r="19" spans="1:17" ht="14.4" customHeight="1" x14ac:dyDescent="0.3">
      <c r="A19" s="15" t="s">
        <v>24</v>
      </c>
      <c r="B19" s="46">
        <v>56.987834024073003</v>
      </c>
      <c r="C19" s="47">
        <v>4.7489861686720003</v>
      </c>
      <c r="D19" s="47">
        <v>5.53308</v>
      </c>
      <c r="E19" s="47">
        <v>0.59694999999999998</v>
      </c>
      <c r="F19" s="47">
        <v>4.5924800000000001</v>
      </c>
      <c r="G19" s="47">
        <v>1.95089</v>
      </c>
      <c r="H19" s="47">
        <v>8.7136099999999992</v>
      </c>
      <c r="I19" s="47">
        <v>13.362920000000001</v>
      </c>
      <c r="J19" s="47">
        <v>7.6259100000000002</v>
      </c>
      <c r="K19" s="47">
        <v>6.6296999999999997</v>
      </c>
      <c r="L19" s="47">
        <v>10.10323</v>
      </c>
      <c r="M19" s="47">
        <v>8.0728399999999993</v>
      </c>
      <c r="N19" s="47">
        <v>6.1145699999999996</v>
      </c>
      <c r="O19" s="47">
        <v>7.17455</v>
      </c>
      <c r="P19" s="48">
        <v>80.470730000000003</v>
      </c>
      <c r="Q19" s="70">
        <v>1.4120685823220001</v>
      </c>
    </row>
    <row r="20" spans="1:17" ht="14.4" customHeight="1" x14ac:dyDescent="0.3">
      <c r="A20" s="15" t="s">
        <v>25</v>
      </c>
      <c r="B20" s="46">
        <v>6972.0345109704904</v>
      </c>
      <c r="C20" s="47">
        <v>581.00287591420795</v>
      </c>
      <c r="D20" s="47">
        <v>567.49384000000305</v>
      </c>
      <c r="E20" s="47">
        <v>511.49457000000001</v>
      </c>
      <c r="F20" s="47">
        <v>519.01624000000004</v>
      </c>
      <c r="G20" s="47">
        <v>528.67397000000005</v>
      </c>
      <c r="H20" s="47">
        <v>520.58272999999997</v>
      </c>
      <c r="I20" s="47">
        <v>539.46558000000005</v>
      </c>
      <c r="J20" s="47">
        <v>751.3673</v>
      </c>
      <c r="K20" s="47">
        <v>515.29453999999998</v>
      </c>
      <c r="L20" s="47">
        <v>539.93559000000005</v>
      </c>
      <c r="M20" s="47">
        <v>528.89266999999995</v>
      </c>
      <c r="N20" s="47">
        <v>785.03894000000003</v>
      </c>
      <c r="O20" s="47">
        <v>505.78881000000001</v>
      </c>
      <c r="P20" s="48">
        <v>6813.0447800000002</v>
      </c>
      <c r="Q20" s="70">
        <v>0.97719607802800001</v>
      </c>
    </row>
    <row r="21" spans="1:17" ht="14.4" customHeight="1" x14ac:dyDescent="0.3">
      <c r="A21" s="16" t="s">
        <v>26</v>
      </c>
      <c r="B21" s="46">
        <v>39.999111066650002</v>
      </c>
      <c r="C21" s="47">
        <v>3.3332592555540002</v>
      </c>
      <c r="D21" s="47">
        <v>3.3140000000000001</v>
      </c>
      <c r="E21" s="47">
        <v>3.3220000000000001</v>
      </c>
      <c r="F21" s="47">
        <v>3.3220000000000001</v>
      </c>
      <c r="G21" s="47">
        <v>3.3220000000000001</v>
      </c>
      <c r="H21" s="47">
        <v>3.415</v>
      </c>
      <c r="I21" s="47">
        <v>3.415</v>
      </c>
      <c r="J21" s="47">
        <v>3.415</v>
      </c>
      <c r="K21" s="47">
        <v>3.415</v>
      </c>
      <c r="L21" s="47">
        <v>3.4350000000000001</v>
      </c>
      <c r="M21" s="47">
        <v>3.4350000000000001</v>
      </c>
      <c r="N21" s="47">
        <v>3.5049999999999999</v>
      </c>
      <c r="O21" s="47">
        <v>3.5409999999999999</v>
      </c>
      <c r="P21" s="48">
        <v>40.856000000000002</v>
      </c>
      <c r="Q21" s="70">
        <v>1.0214226994169999</v>
      </c>
    </row>
    <row r="22" spans="1:17" ht="14.4" customHeight="1" x14ac:dyDescent="0.3">
      <c r="A22" s="15" t="s">
        <v>27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4.4649999999999999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32.572299999999998</v>
      </c>
      <c r="P22" s="48">
        <v>37.037300000000002</v>
      </c>
      <c r="Q22" s="70" t="s">
        <v>222</v>
      </c>
    </row>
    <row r="23" spans="1:17" ht="14.4" customHeight="1" x14ac:dyDescent="0.3">
      <c r="A23" s="16" t="s">
        <v>28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222</v>
      </c>
    </row>
    <row r="24" spans="1:17" ht="14.4" customHeight="1" x14ac:dyDescent="0.3">
      <c r="A24" s="16" t="s">
        <v>29</v>
      </c>
      <c r="B24" s="46">
        <v>-1.8189894035458601E-12</v>
      </c>
      <c r="C24" s="47">
        <v>0</v>
      </c>
      <c r="D24" s="47">
        <v>-1.13686837721616E-13</v>
      </c>
      <c r="E24" s="47">
        <v>0</v>
      </c>
      <c r="F24" s="47">
        <v>0.89999999999900004</v>
      </c>
      <c r="G24" s="47">
        <v>0</v>
      </c>
      <c r="H24" s="47">
        <v>1</v>
      </c>
      <c r="I24" s="47">
        <v>1.18912</v>
      </c>
      <c r="J24" s="47">
        <v>0</v>
      </c>
      <c r="K24" s="47">
        <v>0</v>
      </c>
      <c r="L24" s="47">
        <v>1.1000000000000001</v>
      </c>
      <c r="M24" s="47">
        <v>1.799999999999</v>
      </c>
      <c r="N24" s="47">
        <v>8.3999999999990003</v>
      </c>
      <c r="O24" s="47">
        <v>5.5</v>
      </c>
      <c r="P24" s="48">
        <v>19.889119999999</v>
      </c>
      <c r="Q24" s="70"/>
    </row>
    <row r="25" spans="1:17" ht="14.4" customHeight="1" x14ac:dyDescent="0.3">
      <c r="A25" s="17" t="s">
        <v>30</v>
      </c>
      <c r="B25" s="49">
        <v>7223.1358573261996</v>
      </c>
      <c r="C25" s="50">
        <v>601.92798811051705</v>
      </c>
      <c r="D25" s="50">
        <v>587.58792000000301</v>
      </c>
      <c r="E25" s="50">
        <v>525.25469999999996</v>
      </c>
      <c r="F25" s="50">
        <v>548.74459000000002</v>
      </c>
      <c r="G25" s="50">
        <v>544.28306999999995</v>
      </c>
      <c r="H25" s="50">
        <v>545.76093000000003</v>
      </c>
      <c r="I25" s="50">
        <v>569.47694000000001</v>
      </c>
      <c r="J25" s="50">
        <v>767.19429000000002</v>
      </c>
      <c r="K25" s="50">
        <v>529.69773999999995</v>
      </c>
      <c r="L25" s="50">
        <v>589.05111999999997</v>
      </c>
      <c r="M25" s="50">
        <v>555.84131000000002</v>
      </c>
      <c r="N25" s="50">
        <v>836.72113999999999</v>
      </c>
      <c r="O25" s="50">
        <v>591.34457999999995</v>
      </c>
      <c r="P25" s="51">
        <v>7190.9583300000004</v>
      </c>
      <c r="Q25" s="71">
        <v>0.99554521360699999</v>
      </c>
    </row>
    <row r="26" spans="1:17" ht="14.4" customHeight="1" x14ac:dyDescent="0.3">
      <c r="A26" s="15" t="s">
        <v>31</v>
      </c>
      <c r="B26" s="46">
        <v>1142.00028352708</v>
      </c>
      <c r="C26" s="47">
        <v>95.166690293922997</v>
      </c>
      <c r="D26" s="47">
        <v>88.665450000000007</v>
      </c>
      <c r="E26" s="47">
        <v>75.822580000000002</v>
      </c>
      <c r="F26" s="47">
        <v>82.433869999999999</v>
      </c>
      <c r="G26" s="47">
        <v>81.828400000000002</v>
      </c>
      <c r="H26" s="47">
        <v>83.441429999999997</v>
      </c>
      <c r="I26" s="47">
        <v>74.11045</v>
      </c>
      <c r="J26" s="47">
        <v>139.36384000000001</v>
      </c>
      <c r="K26" s="47">
        <v>72.815939999999998</v>
      </c>
      <c r="L26" s="47">
        <v>78.843490000000003</v>
      </c>
      <c r="M26" s="47">
        <v>92.122389999999996</v>
      </c>
      <c r="N26" s="47">
        <v>102.52014</v>
      </c>
      <c r="O26" s="47">
        <v>114.48533999999999</v>
      </c>
      <c r="P26" s="48">
        <v>1086.4533200000001</v>
      </c>
      <c r="Q26" s="70">
        <v>0.95135993893399995</v>
      </c>
    </row>
    <row r="27" spans="1:17" ht="14.4" customHeight="1" x14ac:dyDescent="0.3">
      <c r="A27" s="18" t="s">
        <v>32</v>
      </c>
      <c r="B27" s="49">
        <v>8365.1361408532794</v>
      </c>
      <c r="C27" s="50">
        <v>697.09467840443995</v>
      </c>
      <c r="D27" s="50">
        <v>676.25337000000297</v>
      </c>
      <c r="E27" s="50">
        <v>601.07727999999997</v>
      </c>
      <c r="F27" s="50">
        <v>631.17845999999997</v>
      </c>
      <c r="G27" s="50">
        <v>626.11147000000005</v>
      </c>
      <c r="H27" s="50">
        <v>629.20236</v>
      </c>
      <c r="I27" s="50">
        <v>643.58739000000003</v>
      </c>
      <c r="J27" s="50">
        <v>906.55813000000001</v>
      </c>
      <c r="K27" s="50">
        <v>602.51368000000002</v>
      </c>
      <c r="L27" s="50">
        <v>667.89460999999994</v>
      </c>
      <c r="M27" s="50">
        <v>647.96370000000002</v>
      </c>
      <c r="N27" s="50">
        <v>939.24127999999996</v>
      </c>
      <c r="O27" s="50">
        <v>705.82992000000002</v>
      </c>
      <c r="P27" s="51">
        <v>8277.41165</v>
      </c>
      <c r="Q27" s="71">
        <v>0.989513082707</v>
      </c>
    </row>
    <row r="28" spans="1:17" ht="14.4" customHeight="1" x14ac:dyDescent="0.3">
      <c r="A28" s="16" t="s">
        <v>33</v>
      </c>
      <c r="B28" s="46">
        <v>16.646246152012001</v>
      </c>
      <c r="C28" s="47">
        <v>1.387187179334</v>
      </c>
      <c r="D28" s="47">
        <v>0</v>
      </c>
      <c r="E28" s="47">
        <v>0</v>
      </c>
      <c r="F28" s="47">
        <v>3.1789800000000001</v>
      </c>
      <c r="G28" s="47">
        <v>1.5924100000000001</v>
      </c>
      <c r="H28" s="47">
        <v>3.4129800000000001</v>
      </c>
      <c r="I28" s="47">
        <v>0.61199999999999999</v>
      </c>
      <c r="J28" s="47">
        <v>3.4129800000000001</v>
      </c>
      <c r="K28" s="47">
        <v>0</v>
      </c>
      <c r="L28" s="47">
        <v>0</v>
      </c>
      <c r="M28" s="47">
        <v>3.2417899999999999</v>
      </c>
      <c r="N28" s="47">
        <v>6.3011900000000001</v>
      </c>
      <c r="O28" s="47">
        <v>6.3579600000000003</v>
      </c>
      <c r="P28" s="48">
        <v>28.110289999999999</v>
      </c>
      <c r="Q28" s="70">
        <v>1.68868643076</v>
      </c>
    </row>
    <row r="29" spans="1:17" ht="14.4" customHeight="1" x14ac:dyDescent="0.3">
      <c r="A29" s="16" t="s">
        <v>34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222</v>
      </c>
    </row>
    <row r="30" spans="1:17" ht="14.4" customHeight="1" x14ac:dyDescent="0.3">
      <c r="A30" s="16" t="s">
        <v>35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222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116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140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37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3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83" t="s">
        <v>38</v>
      </c>
      <c r="B1" s="283"/>
      <c r="C1" s="283"/>
      <c r="D1" s="283"/>
      <c r="E1" s="283"/>
      <c r="F1" s="283"/>
      <c r="G1" s="283"/>
      <c r="H1" s="288"/>
      <c r="I1" s="288"/>
      <c r="J1" s="288"/>
      <c r="K1" s="288"/>
    </row>
    <row r="2" spans="1:11" s="55" customFormat="1" ht="14.4" customHeight="1" thickBot="1" x14ac:dyDescent="0.35">
      <c r="A2" s="195" t="s">
        <v>221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84" t="s">
        <v>39</v>
      </c>
      <c r="C3" s="285"/>
      <c r="D3" s="285"/>
      <c r="E3" s="285"/>
      <c r="F3" s="291" t="s">
        <v>40</v>
      </c>
      <c r="G3" s="285"/>
      <c r="H3" s="285"/>
      <c r="I3" s="285"/>
      <c r="J3" s="285"/>
      <c r="K3" s="292"/>
    </row>
    <row r="4" spans="1:11" ht="14.4" customHeight="1" x14ac:dyDescent="0.3">
      <c r="A4" s="60"/>
      <c r="B4" s="289"/>
      <c r="C4" s="290"/>
      <c r="D4" s="290"/>
      <c r="E4" s="290"/>
      <c r="F4" s="293" t="s">
        <v>136</v>
      </c>
      <c r="G4" s="295" t="s">
        <v>41</v>
      </c>
      <c r="H4" s="113" t="s">
        <v>108</v>
      </c>
      <c r="I4" s="293" t="s">
        <v>42</v>
      </c>
      <c r="J4" s="295" t="s">
        <v>138</v>
      </c>
      <c r="K4" s="296" t="s">
        <v>139</v>
      </c>
    </row>
    <row r="5" spans="1:11" ht="42" thickBot="1" x14ac:dyDescent="0.35">
      <c r="A5" s="61"/>
      <c r="B5" s="24" t="s">
        <v>132</v>
      </c>
      <c r="C5" s="25" t="s">
        <v>133</v>
      </c>
      <c r="D5" s="26" t="s">
        <v>134</v>
      </c>
      <c r="E5" s="26" t="s">
        <v>135</v>
      </c>
      <c r="F5" s="294"/>
      <c r="G5" s="294"/>
      <c r="H5" s="25" t="s">
        <v>137</v>
      </c>
      <c r="I5" s="294"/>
      <c r="J5" s="294"/>
      <c r="K5" s="297"/>
    </row>
    <row r="6" spans="1:11" ht="14.4" customHeight="1" thickBot="1" x14ac:dyDescent="0.35">
      <c r="A6" s="347" t="s">
        <v>224</v>
      </c>
      <c r="B6" s="329">
        <v>6261.43897484641</v>
      </c>
      <c r="C6" s="329">
        <v>6879.8286099999996</v>
      </c>
      <c r="D6" s="330">
        <v>618.38963515359796</v>
      </c>
      <c r="E6" s="331">
        <v>1.098761584619</v>
      </c>
      <c r="F6" s="329">
        <v>7223.1358573261996</v>
      </c>
      <c r="G6" s="330">
        <v>7223.1358573261996</v>
      </c>
      <c r="H6" s="332">
        <v>591.34457999999995</v>
      </c>
      <c r="I6" s="329">
        <v>7190.9583300000004</v>
      </c>
      <c r="J6" s="330">
        <v>-32.177527326198003</v>
      </c>
      <c r="K6" s="333">
        <v>0.99554521360699999</v>
      </c>
    </row>
    <row r="7" spans="1:11" ht="14.4" customHeight="1" thickBot="1" x14ac:dyDescent="0.35">
      <c r="A7" s="348" t="s">
        <v>225</v>
      </c>
      <c r="B7" s="329">
        <v>148.58384190071101</v>
      </c>
      <c r="C7" s="329">
        <v>142.01738</v>
      </c>
      <c r="D7" s="330">
        <v>-6.5664619007100002</v>
      </c>
      <c r="E7" s="331">
        <v>0.95580635271799996</v>
      </c>
      <c r="F7" s="329">
        <v>148.68150012419201</v>
      </c>
      <c r="G7" s="330">
        <v>148.68150012419201</v>
      </c>
      <c r="H7" s="332">
        <v>33.751040000000003</v>
      </c>
      <c r="I7" s="329">
        <v>124.78225</v>
      </c>
      <c r="J7" s="330">
        <v>-23.899250124192001</v>
      </c>
      <c r="K7" s="333">
        <v>0.83925875038700004</v>
      </c>
    </row>
    <row r="8" spans="1:11" ht="14.4" customHeight="1" thickBot="1" x14ac:dyDescent="0.35">
      <c r="A8" s="349" t="s">
        <v>226</v>
      </c>
      <c r="B8" s="329">
        <v>56.458315378370003</v>
      </c>
      <c r="C8" s="329">
        <v>52.883380000000002</v>
      </c>
      <c r="D8" s="330">
        <v>-3.5749353783700002</v>
      </c>
      <c r="E8" s="331">
        <v>0.93668009124200002</v>
      </c>
      <c r="F8" s="329">
        <v>58.586599890715</v>
      </c>
      <c r="G8" s="330">
        <v>58.586599890715</v>
      </c>
      <c r="H8" s="332">
        <v>23.78004</v>
      </c>
      <c r="I8" s="329">
        <v>42.981250000000003</v>
      </c>
      <c r="J8" s="330">
        <v>-15.605349890715001</v>
      </c>
      <c r="K8" s="333">
        <v>0.73363619121300006</v>
      </c>
    </row>
    <row r="9" spans="1:11" ht="14.4" customHeight="1" thickBot="1" x14ac:dyDescent="0.35">
      <c r="A9" s="350" t="s">
        <v>227</v>
      </c>
      <c r="B9" s="334">
        <v>0</v>
      </c>
      <c r="C9" s="334">
        <v>0.56330000000000002</v>
      </c>
      <c r="D9" s="335">
        <v>0.56330000000000002</v>
      </c>
      <c r="E9" s="336" t="s">
        <v>228</v>
      </c>
      <c r="F9" s="334">
        <v>0.56372669448699997</v>
      </c>
      <c r="G9" s="335">
        <v>0.56372669448699997</v>
      </c>
      <c r="H9" s="337">
        <v>0</v>
      </c>
      <c r="I9" s="334">
        <v>0</v>
      </c>
      <c r="J9" s="335">
        <v>-0.56372669448699997</v>
      </c>
      <c r="K9" s="338">
        <v>0</v>
      </c>
    </row>
    <row r="10" spans="1:11" ht="14.4" customHeight="1" thickBot="1" x14ac:dyDescent="0.35">
      <c r="A10" s="351" t="s">
        <v>229</v>
      </c>
      <c r="B10" s="329">
        <v>0</v>
      </c>
      <c r="C10" s="329">
        <v>0.56330000000000002</v>
      </c>
      <c r="D10" s="330">
        <v>0.56330000000000002</v>
      </c>
      <c r="E10" s="339" t="s">
        <v>228</v>
      </c>
      <c r="F10" s="329">
        <v>0.56372669448699997</v>
      </c>
      <c r="G10" s="330">
        <v>0.56372669448699997</v>
      </c>
      <c r="H10" s="332">
        <v>0</v>
      </c>
      <c r="I10" s="329">
        <v>0</v>
      </c>
      <c r="J10" s="330">
        <v>-0.56372669448699997</v>
      </c>
      <c r="K10" s="333">
        <v>0</v>
      </c>
    </row>
    <row r="11" spans="1:11" ht="14.4" customHeight="1" thickBot="1" x14ac:dyDescent="0.35">
      <c r="A11" s="350" t="s">
        <v>230</v>
      </c>
      <c r="B11" s="334">
        <v>0</v>
      </c>
      <c r="C11" s="334">
        <v>0.23154</v>
      </c>
      <c r="D11" s="335">
        <v>0.23154</v>
      </c>
      <c r="E11" s="336" t="s">
        <v>222</v>
      </c>
      <c r="F11" s="334">
        <v>0.23196071397199999</v>
      </c>
      <c r="G11" s="335">
        <v>0.23196071397199999</v>
      </c>
      <c r="H11" s="337">
        <v>0</v>
      </c>
      <c r="I11" s="334">
        <v>0</v>
      </c>
      <c r="J11" s="335">
        <v>-0.23196071397199999</v>
      </c>
      <c r="K11" s="338">
        <v>0</v>
      </c>
    </row>
    <row r="12" spans="1:11" ht="14.4" customHeight="1" thickBot="1" x14ac:dyDescent="0.35">
      <c r="A12" s="351" t="s">
        <v>231</v>
      </c>
      <c r="B12" s="329">
        <v>0</v>
      </c>
      <c r="C12" s="329">
        <v>0.18515999999999999</v>
      </c>
      <c r="D12" s="330">
        <v>0.18515999999999999</v>
      </c>
      <c r="E12" s="339" t="s">
        <v>228</v>
      </c>
      <c r="F12" s="329">
        <v>0.18558106336800001</v>
      </c>
      <c r="G12" s="330">
        <v>0.18558106336800001</v>
      </c>
      <c r="H12" s="332">
        <v>0</v>
      </c>
      <c r="I12" s="329">
        <v>0</v>
      </c>
      <c r="J12" s="330">
        <v>-0.18558106336800001</v>
      </c>
      <c r="K12" s="333">
        <v>0</v>
      </c>
    </row>
    <row r="13" spans="1:11" ht="14.4" customHeight="1" thickBot="1" x14ac:dyDescent="0.35">
      <c r="A13" s="351" t="s">
        <v>232</v>
      </c>
      <c r="B13" s="329">
        <v>0</v>
      </c>
      <c r="C13" s="329">
        <v>4.6379999999999998E-2</v>
      </c>
      <c r="D13" s="330">
        <v>4.6379999999999998E-2</v>
      </c>
      <c r="E13" s="339" t="s">
        <v>228</v>
      </c>
      <c r="F13" s="329">
        <v>4.6379650602999999E-2</v>
      </c>
      <c r="G13" s="330">
        <v>4.6379650602999999E-2</v>
      </c>
      <c r="H13" s="332">
        <v>0</v>
      </c>
      <c r="I13" s="329">
        <v>0</v>
      </c>
      <c r="J13" s="330">
        <v>-4.6379650602999999E-2</v>
      </c>
      <c r="K13" s="333">
        <v>0</v>
      </c>
    </row>
    <row r="14" spans="1:11" ht="14.4" customHeight="1" thickBot="1" x14ac:dyDescent="0.35">
      <c r="A14" s="350" t="s">
        <v>233</v>
      </c>
      <c r="B14" s="334">
        <v>55.016524255577004</v>
      </c>
      <c r="C14" s="334">
        <v>50.583660000000002</v>
      </c>
      <c r="D14" s="335">
        <v>-4.4328642555759998</v>
      </c>
      <c r="E14" s="340">
        <v>0.919426675611</v>
      </c>
      <c r="F14" s="334">
        <v>55.702476088228998</v>
      </c>
      <c r="G14" s="335">
        <v>55.702476088228998</v>
      </c>
      <c r="H14" s="337">
        <v>23.362590000000001</v>
      </c>
      <c r="I14" s="334">
        <v>39.097790000000003</v>
      </c>
      <c r="J14" s="335">
        <v>-16.604686088228998</v>
      </c>
      <c r="K14" s="338">
        <v>0.70190398606399995</v>
      </c>
    </row>
    <row r="15" spans="1:11" ht="14.4" customHeight="1" thickBot="1" x14ac:dyDescent="0.35">
      <c r="A15" s="351" t="s">
        <v>234</v>
      </c>
      <c r="B15" s="329">
        <v>2.3196337005559999</v>
      </c>
      <c r="C15" s="329">
        <v>1.2849999999999999</v>
      </c>
      <c r="D15" s="330">
        <v>-1.034633700556</v>
      </c>
      <c r="E15" s="331">
        <v>0.55396677487900003</v>
      </c>
      <c r="F15" s="329">
        <v>1.4830251625590001</v>
      </c>
      <c r="G15" s="330">
        <v>1.4830251625590001</v>
      </c>
      <c r="H15" s="332">
        <v>-7.1054273576010003E-15</v>
      </c>
      <c r="I15" s="329">
        <v>0.17999999999899999</v>
      </c>
      <c r="J15" s="330">
        <v>-1.3030251625589999</v>
      </c>
      <c r="K15" s="333">
        <v>0.121373530634</v>
      </c>
    </row>
    <row r="16" spans="1:11" ht="14.4" customHeight="1" thickBot="1" x14ac:dyDescent="0.35">
      <c r="A16" s="351" t="s">
        <v>235</v>
      </c>
      <c r="B16" s="329">
        <v>0.27081734102799998</v>
      </c>
      <c r="C16" s="329">
        <v>0.24240999999999999</v>
      </c>
      <c r="D16" s="330">
        <v>-2.8407341028000001E-2</v>
      </c>
      <c r="E16" s="331">
        <v>0.89510516231699999</v>
      </c>
      <c r="F16" s="329">
        <v>0.24399972333299999</v>
      </c>
      <c r="G16" s="330">
        <v>0.24399972333299999</v>
      </c>
      <c r="H16" s="332">
        <v>0.15509999999999999</v>
      </c>
      <c r="I16" s="329">
        <v>0.51312000000000002</v>
      </c>
      <c r="J16" s="330">
        <v>0.26912027666600002</v>
      </c>
      <c r="K16" s="333">
        <v>0</v>
      </c>
    </row>
    <row r="17" spans="1:11" ht="14.4" customHeight="1" thickBot="1" x14ac:dyDescent="0.35">
      <c r="A17" s="351" t="s">
        <v>236</v>
      </c>
      <c r="B17" s="329">
        <v>45.537908232696999</v>
      </c>
      <c r="C17" s="329">
        <v>42.546759999999999</v>
      </c>
      <c r="D17" s="330">
        <v>-2.9911482326969998</v>
      </c>
      <c r="E17" s="331">
        <v>0.93431520355700004</v>
      </c>
      <c r="F17" s="329">
        <v>46.69464316482</v>
      </c>
      <c r="G17" s="330">
        <v>46.69464316482</v>
      </c>
      <c r="H17" s="332">
        <v>22.44849</v>
      </c>
      <c r="I17" s="329">
        <v>33.333410000000001</v>
      </c>
      <c r="J17" s="330">
        <v>-13.36123316482</v>
      </c>
      <c r="K17" s="333">
        <v>0.71385940100900003</v>
      </c>
    </row>
    <row r="18" spans="1:11" ht="14.4" customHeight="1" thickBot="1" x14ac:dyDescent="0.35">
      <c r="A18" s="351" t="s">
        <v>237</v>
      </c>
      <c r="B18" s="329">
        <v>0.109155691429</v>
      </c>
      <c r="C18" s="329">
        <v>0.20003000000000001</v>
      </c>
      <c r="D18" s="330">
        <v>9.0874308570000006E-2</v>
      </c>
      <c r="E18" s="331">
        <v>1.8325201130569999</v>
      </c>
      <c r="F18" s="329">
        <v>0.99991897388999995</v>
      </c>
      <c r="G18" s="330">
        <v>0.99991897388999995</v>
      </c>
      <c r="H18" s="332">
        <v>0</v>
      </c>
      <c r="I18" s="329">
        <v>0.25402999999999998</v>
      </c>
      <c r="J18" s="330">
        <v>-0.74588897388999997</v>
      </c>
      <c r="K18" s="333">
        <v>0.25405058472999997</v>
      </c>
    </row>
    <row r="19" spans="1:11" ht="14.4" customHeight="1" thickBot="1" x14ac:dyDescent="0.35">
      <c r="A19" s="351" t="s">
        <v>238</v>
      </c>
      <c r="B19" s="329">
        <v>2.4610863205409998</v>
      </c>
      <c r="C19" s="329">
        <v>3.4896600000000002</v>
      </c>
      <c r="D19" s="330">
        <v>1.028573679458</v>
      </c>
      <c r="E19" s="331">
        <v>1.4179348245009999</v>
      </c>
      <c r="F19" s="329">
        <v>3.9017569780520001</v>
      </c>
      <c r="G19" s="330">
        <v>3.9017569780520001</v>
      </c>
      <c r="H19" s="332">
        <v>0</v>
      </c>
      <c r="I19" s="329">
        <v>2.7436500000000001</v>
      </c>
      <c r="J19" s="330">
        <v>-1.1581069780519999</v>
      </c>
      <c r="K19" s="333">
        <v>0.70318321090500002</v>
      </c>
    </row>
    <row r="20" spans="1:11" ht="14.4" customHeight="1" thickBot="1" x14ac:dyDescent="0.35">
      <c r="A20" s="351" t="s">
        <v>239</v>
      </c>
      <c r="B20" s="329">
        <v>0</v>
      </c>
      <c r="C20" s="329">
        <v>2.8197999999999999</v>
      </c>
      <c r="D20" s="330">
        <v>2.8197999999999999</v>
      </c>
      <c r="E20" s="339" t="s">
        <v>228</v>
      </c>
      <c r="F20" s="329">
        <v>2.379132085573</v>
      </c>
      <c r="G20" s="330">
        <v>2.379132085573</v>
      </c>
      <c r="H20" s="332">
        <v>0.75900000000000001</v>
      </c>
      <c r="I20" s="329">
        <v>2.0735800000000002</v>
      </c>
      <c r="J20" s="330">
        <v>-0.30555208557300001</v>
      </c>
      <c r="K20" s="333">
        <v>0.871569936185</v>
      </c>
    </row>
    <row r="21" spans="1:11" ht="14.4" customHeight="1" thickBot="1" x14ac:dyDescent="0.35">
      <c r="A21" s="350" t="s">
        <v>240</v>
      </c>
      <c r="B21" s="334">
        <v>0.32354443690099999</v>
      </c>
      <c r="C21" s="334">
        <v>8.3199999999999993E-3</v>
      </c>
      <c r="D21" s="335">
        <v>-0.31522443690099999</v>
      </c>
      <c r="E21" s="340">
        <v>2.5715169388999998E-2</v>
      </c>
      <c r="F21" s="334">
        <v>1.0001864980149999</v>
      </c>
      <c r="G21" s="335">
        <v>1.0001864980149999</v>
      </c>
      <c r="H21" s="337">
        <v>0</v>
      </c>
      <c r="I21" s="334">
        <v>0</v>
      </c>
      <c r="J21" s="335">
        <v>-1.0001864980149999</v>
      </c>
      <c r="K21" s="338">
        <v>0</v>
      </c>
    </row>
    <row r="22" spans="1:11" ht="14.4" customHeight="1" thickBot="1" x14ac:dyDescent="0.35">
      <c r="A22" s="351" t="s">
        <v>241</v>
      </c>
      <c r="B22" s="329">
        <v>0.32354443690099999</v>
      </c>
      <c r="C22" s="329">
        <v>8.3199999999999993E-3</v>
      </c>
      <c r="D22" s="330">
        <v>-0.31522443690099999</v>
      </c>
      <c r="E22" s="331">
        <v>2.5715169388999998E-2</v>
      </c>
      <c r="F22" s="329">
        <v>1.0001864980149999</v>
      </c>
      <c r="G22" s="330">
        <v>1.0001864980149999</v>
      </c>
      <c r="H22" s="332">
        <v>0</v>
      </c>
      <c r="I22" s="329">
        <v>0</v>
      </c>
      <c r="J22" s="330">
        <v>-1.0001864980149999</v>
      </c>
      <c r="K22" s="333">
        <v>0</v>
      </c>
    </row>
    <row r="23" spans="1:11" ht="14.4" customHeight="1" thickBot="1" x14ac:dyDescent="0.35">
      <c r="A23" s="350" t="s">
        <v>242</v>
      </c>
      <c r="B23" s="334">
        <v>1.1182466858919999</v>
      </c>
      <c r="C23" s="334">
        <v>1.2165600000000001</v>
      </c>
      <c r="D23" s="335">
        <v>9.8313314107000005E-2</v>
      </c>
      <c r="E23" s="340">
        <v>1.0879173757880001</v>
      </c>
      <c r="F23" s="334">
        <v>1.08824989601</v>
      </c>
      <c r="G23" s="335">
        <v>1.08824989601</v>
      </c>
      <c r="H23" s="337">
        <v>0.41744999999999999</v>
      </c>
      <c r="I23" s="334">
        <v>3.8834599999999999</v>
      </c>
      <c r="J23" s="335">
        <v>2.7952101039890001</v>
      </c>
      <c r="K23" s="338">
        <v>3.5685369823930002</v>
      </c>
    </row>
    <row r="24" spans="1:11" ht="14.4" customHeight="1" thickBot="1" x14ac:dyDescent="0.35">
      <c r="A24" s="351" t="s">
        <v>243</v>
      </c>
      <c r="B24" s="329">
        <v>1.1182466858919999</v>
      </c>
      <c r="C24" s="329">
        <v>1.2165600000000001</v>
      </c>
      <c r="D24" s="330">
        <v>9.8313314107000005E-2</v>
      </c>
      <c r="E24" s="331">
        <v>1.0879173757880001</v>
      </c>
      <c r="F24" s="329">
        <v>1.08824989601</v>
      </c>
      <c r="G24" s="330">
        <v>1.08824989601</v>
      </c>
      <c r="H24" s="332">
        <v>0.41744999999999999</v>
      </c>
      <c r="I24" s="329">
        <v>3.8834599999999999</v>
      </c>
      <c r="J24" s="330">
        <v>2.7952101039890001</v>
      </c>
      <c r="K24" s="333">
        <v>3.5685369823930002</v>
      </c>
    </row>
    <row r="25" spans="1:11" ht="14.4" customHeight="1" thickBot="1" x14ac:dyDescent="0.35">
      <c r="A25" s="350" t="s">
        <v>244</v>
      </c>
      <c r="B25" s="334">
        <v>0</v>
      </c>
      <c r="C25" s="334">
        <v>0.28000000000000003</v>
      </c>
      <c r="D25" s="335">
        <v>0.28000000000000003</v>
      </c>
      <c r="E25" s="336" t="s">
        <v>222</v>
      </c>
      <c r="F25" s="334">
        <v>0</v>
      </c>
      <c r="G25" s="335">
        <v>0</v>
      </c>
      <c r="H25" s="337">
        <v>0</v>
      </c>
      <c r="I25" s="334">
        <v>0</v>
      </c>
      <c r="J25" s="335">
        <v>0</v>
      </c>
      <c r="K25" s="341" t="s">
        <v>222</v>
      </c>
    </row>
    <row r="26" spans="1:11" ht="14.4" customHeight="1" thickBot="1" x14ac:dyDescent="0.35">
      <c r="A26" s="351" t="s">
        <v>245</v>
      </c>
      <c r="B26" s="329">
        <v>0</v>
      </c>
      <c r="C26" s="329">
        <v>0.28000000000000003</v>
      </c>
      <c r="D26" s="330">
        <v>0.28000000000000003</v>
      </c>
      <c r="E26" s="339" t="s">
        <v>222</v>
      </c>
      <c r="F26" s="329">
        <v>0</v>
      </c>
      <c r="G26" s="330">
        <v>0</v>
      </c>
      <c r="H26" s="332">
        <v>0</v>
      </c>
      <c r="I26" s="329">
        <v>0</v>
      </c>
      <c r="J26" s="330">
        <v>0</v>
      </c>
      <c r="K26" s="342" t="s">
        <v>222</v>
      </c>
    </row>
    <row r="27" spans="1:11" ht="14.4" customHeight="1" thickBot="1" x14ac:dyDescent="0.35">
      <c r="A27" s="349" t="s">
        <v>19</v>
      </c>
      <c r="B27" s="329">
        <v>92.125526522339996</v>
      </c>
      <c r="C27" s="329">
        <v>89.134</v>
      </c>
      <c r="D27" s="330">
        <v>-2.991526522339</v>
      </c>
      <c r="E27" s="331">
        <v>0.96752771316099995</v>
      </c>
      <c r="F27" s="329">
        <v>90.094900233475997</v>
      </c>
      <c r="G27" s="330">
        <v>90.094900233475997</v>
      </c>
      <c r="H27" s="332">
        <v>9.9710000000000001</v>
      </c>
      <c r="I27" s="329">
        <v>81.801000000000002</v>
      </c>
      <c r="J27" s="330">
        <v>-8.2939002334760001</v>
      </c>
      <c r="K27" s="333">
        <v>0.90794262259000003</v>
      </c>
    </row>
    <row r="28" spans="1:11" ht="14.4" customHeight="1" thickBot="1" x14ac:dyDescent="0.35">
      <c r="A28" s="350" t="s">
        <v>246</v>
      </c>
      <c r="B28" s="334">
        <v>92.125526522339996</v>
      </c>
      <c r="C28" s="334">
        <v>89.134</v>
      </c>
      <c r="D28" s="335">
        <v>-2.991526522339</v>
      </c>
      <c r="E28" s="340">
        <v>0.96752771316099995</v>
      </c>
      <c r="F28" s="334">
        <v>90.094900233475997</v>
      </c>
      <c r="G28" s="335">
        <v>90.094900233475997</v>
      </c>
      <c r="H28" s="337">
        <v>9.9710000000000001</v>
      </c>
      <c r="I28" s="334">
        <v>81.801000000000002</v>
      </c>
      <c r="J28" s="335">
        <v>-8.2939002334760001</v>
      </c>
      <c r="K28" s="338">
        <v>0.90794262259000003</v>
      </c>
    </row>
    <row r="29" spans="1:11" ht="14.4" customHeight="1" thickBot="1" x14ac:dyDescent="0.35">
      <c r="A29" s="351" t="s">
        <v>247</v>
      </c>
      <c r="B29" s="329">
        <v>18.120367464866</v>
      </c>
      <c r="C29" s="329">
        <v>18.321000000000002</v>
      </c>
      <c r="D29" s="330">
        <v>0.200632535133</v>
      </c>
      <c r="E29" s="331">
        <v>1.011072211174</v>
      </c>
      <c r="F29" s="329">
        <v>18.184072720145</v>
      </c>
      <c r="G29" s="330">
        <v>18.184072720145</v>
      </c>
      <c r="H29" s="332">
        <v>1.3180000000000001</v>
      </c>
      <c r="I29" s="329">
        <v>15.28</v>
      </c>
      <c r="J29" s="330">
        <v>-2.9040727201449998</v>
      </c>
      <c r="K29" s="333">
        <v>0.84029580364900003</v>
      </c>
    </row>
    <row r="30" spans="1:11" ht="14.4" customHeight="1" thickBot="1" x14ac:dyDescent="0.35">
      <c r="A30" s="351" t="s">
        <v>248</v>
      </c>
      <c r="B30" s="329">
        <v>15.000644699174</v>
      </c>
      <c r="C30" s="329">
        <v>14.686999999999999</v>
      </c>
      <c r="D30" s="330">
        <v>-0.31364469917400001</v>
      </c>
      <c r="E30" s="331">
        <v>0.97909125204500003</v>
      </c>
      <c r="F30" s="329">
        <v>15.000101608584</v>
      </c>
      <c r="G30" s="330">
        <v>15.000101608584</v>
      </c>
      <c r="H30" s="332">
        <v>0.92700000000000005</v>
      </c>
      <c r="I30" s="329">
        <v>13.727</v>
      </c>
      <c r="J30" s="330">
        <v>-1.2731016085839999</v>
      </c>
      <c r="K30" s="333">
        <v>0.91512713434799997</v>
      </c>
    </row>
    <row r="31" spans="1:11" ht="14.4" customHeight="1" thickBot="1" x14ac:dyDescent="0.35">
      <c r="A31" s="351" t="s">
        <v>249</v>
      </c>
      <c r="B31" s="329">
        <v>59.004514358298003</v>
      </c>
      <c r="C31" s="329">
        <v>56.125999999999998</v>
      </c>
      <c r="D31" s="330">
        <v>-2.8785143582980002</v>
      </c>
      <c r="E31" s="331">
        <v>0.95121535377999999</v>
      </c>
      <c r="F31" s="329">
        <v>56.910725904746002</v>
      </c>
      <c r="G31" s="330">
        <v>56.910725904746002</v>
      </c>
      <c r="H31" s="332">
        <v>7.726</v>
      </c>
      <c r="I31" s="329">
        <v>52.793999999999997</v>
      </c>
      <c r="J31" s="330">
        <v>-4.1167259047459996</v>
      </c>
      <c r="K31" s="333">
        <v>0.92766344411699997</v>
      </c>
    </row>
    <row r="32" spans="1:11" ht="14.4" customHeight="1" thickBot="1" x14ac:dyDescent="0.35">
      <c r="A32" s="352" t="s">
        <v>250</v>
      </c>
      <c r="B32" s="334">
        <v>64.856757567871</v>
      </c>
      <c r="C32" s="334">
        <v>70.983530000000002</v>
      </c>
      <c r="D32" s="335">
        <v>6.1267724321279999</v>
      </c>
      <c r="E32" s="340">
        <v>1.0944662154239999</v>
      </c>
      <c r="F32" s="334">
        <v>62.420735164866002</v>
      </c>
      <c r="G32" s="335">
        <v>62.420735164866002</v>
      </c>
      <c r="H32" s="337">
        <v>10.19143</v>
      </c>
      <c r="I32" s="334">
        <v>155.34888000000001</v>
      </c>
      <c r="J32" s="335">
        <v>92.928144835132997</v>
      </c>
      <c r="K32" s="338">
        <v>2.4887383910119998</v>
      </c>
    </row>
    <row r="33" spans="1:11" ht="14.4" customHeight="1" thickBot="1" x14ac:dyDescent="0.35">
      <c r="A33" s="349" t="s">
        <v>22</v>
      </c>
      <c r="B33" s="329">
        <v>8.9992811129650008</v>
      </c>
      <c r="C33" s="329">
        <v>3.43404</v>
      </c>
      <c r="D33" s="330">
        <v>-5.5652411129650003</v>
      </c>
      <c r="E33" s="331">
        <v>0.38159048004899998</v>
      </c>
      <c r="F33" s="329">
        <v>5.4329011407929997</v>
      </c>
      <c r="G33" s="330">
        <v>5.4329011407929997</v>
      </c>
      <c r="H33" s="332">
        <v>2.3698800000000002</v>
      </c>
      <c r="I33" s="329">
        <v>66.10915</v>
      </c>
      <c r="J33" s="330">
        <v>60.676248859205998</v>
      </c>
      <c r="K33" s="333">
        <v>12.168296143586</v>
      </c>
    </row>
    <row r="34" spans="1:11" ht="14.4" customHeight="1" thickBot="1" x14ac:dyDescent="0.35">
      <c r="A34" s="353" t="s">
        <v>251</v>
      </c>
      <c r="B34" s="329">
        <v>8.9992811129650008</v>
      </c>
      <c r="C34" s="329">
        <v>3.43404</v>
      </c>
      <c r="D34" s="330">
        <v>-5.5652411129650003</v>
      </c>
      <c r="E34" s="331">
        <v>0.38159048004899998</v>
      </c>
      <c r="F34" s="329">
        <v>5.4329011407929997</v>
      </c>
      <c r="G34" s="330">
        <v>5.4329011407929997</v>
      </c>
      <c r="H34" s="332">
        <v>2.3698800000000002</v>
      </c>
      <c r="I34" s="329">
        <v>66.10915</v>
      </c>
      <c r="J34" s="330">
        <v>60.676248859205998</v>
      </c>
      <c r="K34" s="333">
        <v>12.168296143586</v>
      </c>
    </row>
    <row r="35" spans="1:11" ht="14.4" customHeight="1" thickBot="1" x14ac:dyDescent="0.35">
      <c r="A35" s="351" t="s">
        <v>252</v>
      </c>
      <c r="B35" s="329">
        <v>7.9993548725509998</v>
      </c>
      <c r="C35" s="329">
        <v>1.8149999999999999</v>
      </c>
      <c r="D35" s="330">
        <v>-6.1843548725510002</v>
      </c>
      <c r="E35" s="331">
        <v>0.22689329688599999</v>
      </c>
      <c r="F35" s="329">
        <v>4.9999915584819998</v>
      </c>
      <c r="G35" s="330">
        <v>4.9999915584819998</v>
      </c>
      <c r="H35" s="332">
        <v>1.7457</v>
      </c>
      <c r="I35" s="329">
        <v>64.257279999999994</v>
      </c>
      <c r="J35" s="330">
        <v>59.257288441516998</v>
      </c>
      <c r="K35" s="333">
        <v>12.851477697192999</v>
      </c>
    </row>
    <row r="36" spans="1:11" ht="14.4" customHeight="1" thickBot="1" x14ac:dyDescent="0.35">
      <c r="A36" s="351" t="s">
        <v>253</v>
      </c>
      <c r="B36" s="329">
        <v>0.99992624041400002</v>
      </c>
      <c r="C36" s="329">
        <v>1.61904</v>
      </c>
      <c r="D36" s="330">
        <v>0.61911375958500003</v>
      </c>
      <c r="E36" s="331">
        <v>1.6191594285290001</v>
      </c>
      <c r="F36" s="329">
        <v>0.43290958230999999</v>
      </c>
      <c r="G36" s="330">
        <v>0.43290958230999999</v>
      </c>
      <c r="H36" s="332">
        <v>0.62417999999999996</v>
      </c>
      <c r="I36" s="329">
        <v>1.8518699999999999</v>
      </c>
      <c r="J36" s="330">
        <v>1.4189604176890001</v>
      </c>
      <c r="K36" s="333">
        <v>0</v>
      </c>
    </row>
    <row r="37" spans="1:11" ht="14.4" customHeight="1" thickBot="1" x14ac:dyDescent="0.35">
      <c r="A37" s="354" t="s">
        <v>23</v>
      </c>
      <c r="B37" s="334">
        <v>0</v>
      </c>
      <c r="C37" s="334">
        <v>10.398</v>
      </c>
      <c r="D37" s="335">
        <v>10.398</v>
      </c>
      <c r="E37" s="336" t="s">
        <v>222</v>
      </c>
      <c r="F37" s="334">
        <v>0</v>
      </c>
      <c r="G37" s="335">
        <v>0</v>
      </c>
      <c r="H37" s="337">
        <v>0.64700000000000002</v>
      </c>
      <c r="I37" s="334">
        <v>8.7690000000000001</v>
      </c>
      <c r="J37" s="335">
        <v>8.7690000000000001</v>
      </c>
      <c r="K37" s="341" t="s">
        <v>222</v>
      </c>
    </row>
    <row r="38" spans="1:11" ht="14.4" customHeight="1" thickBot="1" x14ac:dyDescent="0.35">
      <c r="A38" s="350" t="s">
        <v>254</v>
      </c>
      <c r="B38" s="334">
        <v>0</v>
      </c>
      <c r="C38" s="334">
        <v>10.398</v>
      </c>
      <c r="D38" s="335">
        <v>10.398</v>
      </c>
      <c r="E38" s="336" t="s">
        <v>222</v>
      </c>
      <c r="F38" s="334">
        <v>0</v>
      </c>
      <c r="G38" s="335">
        <v>0</v>
      </c>
      <c r="H38" s="337">
        <v>0.64700000000000002</v>
      </c>
      <c r="I38" s="334">
        <v>8.7690000000000001</v>
      </c>
      <c r="J38" s="335">
        <v>8.7690000000000001</v>
      </c>
      <c r="K38" s="341" t="s">
        <v>222</v>
      </c>
    </row>
    <row r="39" spans="1:11" ht="14.4" customHeight="1" thickBot="1" x14ac:dyDescent="0.35">
      <c r="A39" s="351" t="s">
        <v>255</v>
      </c>
      <c r="B39" s="329">
        <v>0</v>
      </c>
      <c r="C39" s="329">
        <v>10.398</v>
      </c>
      <c r="D39" s="330">
        <v>10.398</v>
      </c>
      <c r="E39" s="339" t="s">
        <v>222</v>
      </c>
      <c r="F39" s="329">
        <v>0</v>
      </c>
      <c r="G39" s="330">
        <v>0</v>
      </c>
      <c r="H39" s="332">
        <v>0.64700000000000002</v>
      </c>
      <c r="I39" s="329">
        <v>8.7690000000000001</v>
      </c>
      <c r="J39" s="330">
        <v>8.7690000000000001</v>
      </c>
      <c r="K39" s="342" t="s">
        <v>222</v>
      </c>
    </row>
    <row r="40" spans="1:11" ht="14.4" customHeight="1" thickBot="1" x14ac:dyDescent="0.35">
      <c r="A40" s="349" t="s">
        <v>24</v>
      </c>
      <c r="B40" s="329">
        <v>55.857476454905999</v>
      </c>
      <c r="C40" s="329">
        <v>57.151490000000003</v>
      </c>
      <c r="D40" s="330">
        <v>1.2940135450929999</v>
      </c>
      <c r="E40" s="331">
        <v>1.0231663445470001</v>
      </c>
      <c r="F40" s="329">
        <v>56.987834024073003</v>
      </c>
      <c r="G40" s="330">
        <v>56.987834024073003</v>
      </c>
      <c r="H40" s="332">
        <v>7.17455</v>
      </c>
      <c r="I40" s="329">
        <v>80.470730000000003</v>
      </c>
      <c r="J40" s="330">
        <v>23.482895975925999</v>
      </c>
      <c r="K40" s="333">
        <v>1.4120685823220001</v>
      </c>
    </row>
    <row r="41" spans="1:11" ht="14.4" customHeight="1" thickBot="1" x14ac:dyDescent="0.35">
      <c r="A41" s="350" t="s">
        <v>256</v>
      </c>
      <c r="B41" s="334">
        <v>5.4969751995629998</v>
      </c>
      <c r="C41" s="334">
        <v>7.4853800000000001</v>
      </c>
      <c r="D41" s="335">
        <v>1.988404800436</v>
      </c>
      <c r="E41" s="340">
        <v>1.361727082304</v>
      </c>
      <c r="F41" s="334">
        <v>7.4225831352579998</v>
      </c>
      <c r="G41" s="335">
        <v>7.4225831352579998</v>
      </c>
      <c r="H41" s="337">
        <v>0.61319999999999997</v>
      </c>
      <c r="I41" s="334">
        <v>8.4442500000000003</v>
      </c>
      <c r="J41" s="335">
        <v>1.0216668647410001</v>
      </c>
      <c r="K41" s="338">
        <v>1.137643034254</v>
      </c>
    </row>
    <row r="42" spans="1:11" ht="14.4" customHeight="1" thickBot="1" x14ac:dyDescent="0.35">
      <c r="A42" s="351" t="s">
        <v>257</v>
      </c>
      <c r="B42" s="329">
        <v>3.4204159218369998</v>
      </c>
      <c r="C42" s="329">
        <v>4.6825999999999999</v>
      </c>
      <c r="D42" s="330">
        <v>1.262184078162</v>
      </c>
      <c r="E42" s="331">
        <v>1.3690147944</v>
      </c>
      <c r="F42" s="329">
        <v>4.7902353100199999</v>
      </c>
      <c r="G42" s="330">
        <v>4.7902353100199999</v>
      </c>
      <c r="H42" s="332">
        <v>0.40849999999999997</v>
      </c>
      <c r="I42" s="329">
        <v>6.0629999999999997</v>
      </c>
      <c r="J42" s="330">
        <v>1.2727646899789999</v>
      </c>
      <c r="K42" s="333">
        <v>1.2656998263350001</v>
      </c>
    </row>
    <row r="43" spans="1:11" ht="14.4" customHeight="1" thickBot="1" x14ac:dyDescent="0.35">
      <c r="A43" s="351" t="s">
        <v>258</v>
      </c>
      <c r="B43" s="329">
        <v>2.0765592777249999</v>
      </c>
      <c r="C43" s="329">
        <v>2.8027799999999998</v>
      </c>
      <c r="D43" s="330">
        <v>0.72622072227400003</v>
      </c>
      <c r="E43" s="331">
        <v>1.3497230876399999</v>
      </c>
      <c r="F43" s="329">
        <v>2.6323478252379999</v>
      </c>
      <c r="G43" s="330">
        <v>2.6323478252379999</v>
      </c>
      <c r="H43" s="332">
        <v>0.20469999999999999</v>
      </c>
      <c r="I43" s="329">
        <v>2.3812500000000001</v>
      </c>
      <c r="J43" s="330">
        <v>-0.25109782523800001</v>
      </c>
      <c r="K43" s="333">
        <v>0.90461069664399996</v>
      </c>
    </row>
    <row r="44" spans="1:11" ht="14.4" customHeight="1" thickBot="1" x14ac:dyDescent="0.35">
      <c r="A44" s="350" t="s">
        <v>259</v>
      </c>
      <c r="B44" s="334">
        <v>4.1326318384169998</v>
      </c>
      <c r="C44" s="334">
        <v>3.78</v>
      </c>
      <c r="D44" s="335">
        <v>-0.35263183841700002</v>
      </c>
      <c r="E44" s="340">
        <v>0.91467136386500003</v>
      </c>
      <c r="F44" s="334">
        <v>3.915363845471</v>
      </c>
      <c r="G44" s="335">
        <v>3.915363845471</v>
      </c>
      <c r="H44" s="337">
        <v>0</v>
      </c>
      <c r="I44" s="334">
        <v>4.05</v>
      </c>
      <c r="J44" s="335">
        <v>0.13463615452800001</v>
      </c>
      <c r="K44" s="338">
        <v>1.0343866265920001</v>
      </c>
    </row>
    <row r="45" spans="1:11" ht="14.4" customHeight="1" thickBot="1" x14ac:dyDescent="0.35">
      <c r="A45" s="351" t="s">
        <v>260</v>
      </c>
      <c r="B45" s="329">
        <v>4.1326318384169998</v>
      </c>
      <c r="C45" s="329">
        <v>3.78</v>
      </c>
      <c r="D45" s="330">
        <v>-0.35263183841700002</v>
      </c>
      <c r="E45" s="331">
        <v>0.91467136386500003</v>
      </c>
      <c r="F45" s="329">
        <v>3.915363845471</v>
      </c>
      <c r="G45" s="330">
        <v>3.915363845471</v>
      </c>
      <c r="H45" s="332">
        <v>0</v>
      </c>
      <c r="I45" s="329">
        <v>4.05</v>
      </c>
      <c r="J45" s="330">
        <v>0.13463615452800001</v>
      </c>
      <c r="K45" s="333">
        <v>1.0343866265920001</v>
      </c>
    </row>
    <row r="46" spans="1:11" ht="14.4" customHeight="1" thickBot="1" x14ac:dyDescent="0.35">
      <c r="A46" s="350" t="s">
        <v>261</v>
      </c>
      <c r="B46" s="334">
        <v>46.000046709309999</v>
      </c>
      <c r="C46" s="334">
        <v>45.886110000000002</v>
      </c>
      <c r="D46" s="335">
        <v>-0.11393670931</v>
      </c>
      <c r="E46" s="340">
        <v>0.99752311753</v>
      </c>
      <c r="F46" s="334">
        <v>45.649887043343</v>
      </c>
      <c r="G46" s="335">
        <v>45.649887043343</v>
      </c>
      <c r="H46" s="337">
        <v>5.4483499999999996</v>
      </c>
      <c r="I46" s="334">
        <v>64.668480000000002</v>
      </c>
      <c r="J46" s="335">
        <v>19.018592956656001</v>
      </c>
      <c r="K46" s="338">
        <v>1.416618620295</v>
      </c>
    </row>
    <row r="47" spans="1:11" ht="14.4" customHeight="1" thickBot="1" x14ac:dyDescent="0.35">
      <c r="A47" s="351" t="s">
        <v>262</v>
      </c>
      <c r="B47" s="329">
        <v>46.000046709309999</v>
      </c>
      <c r="C47" s="329">
        <v>45.886110000000002</v>
      </c>
      <c r="D47" s="330">
        <v>-0.11393670931</v>
      </c>
      <c r="E47" s="331">
        <v>0.99752311753</v>
      </c>
      <c r="F47" s="329">
        <v>45.649887043343</v>
      </c>
      <c r="G47" s="330">
        <v>45.649887043343</v>
      </c>
      <c r="H47" s="332">
        <v>5.4483499999999996</v>
      </c>
      <c r="I47" s="329">
        <v>61.535789999999999</v>
      </c>
      <c r="J47" s="330">
        <v>15.885902956656</v>
      </c>
      <c r="K47" s="333">
        <v>1.3479943541049999</v>
      </c>
    </row>
    <row r="48" spans="1:11" ht="14.4" customHeight="1" thickBot="1" x14ac:dyDescent="0.35">
      <c r="A48" s="351" t="s">
        <v>263</v>
      </c>
      <c r="B48" s="329">
        <v>0</v>
      </c>
      <c r="C48" s="329">
        <v>0</v>
      </c>
      <c r="D48" s="330">
        <v>0</v>
      </c>
      <c r="E48" s="331">
        <v>1</v>
      </c>
      <c r="F48" s="329">
        <v>0</v>
      </c>
      <c r="G48" s="330">
        <v>0</v>
      </c>
      <c r="H48" s="332">
        <v>0</v>
      </c>
      <c r="I48" s="329">
        <v>3.1326900000000002</v>
      </c>
      <c r="J48" s="330">
        <v>3.1326900000000002</v>
      </c>
      <c r="K48" s="342" t="s">
        <v>228</v>
      </c>
    </row>
    <row r="49" spans="1:11" ht="14.4" customHeight="1" thickBot="1" x14ac:dyDescent="0.35">
      <c r="A49" s="350" t="s">
        <v>264</v>
      </c>
      <c r="B49" s="334">
        <v>0</v>
      </c>
      <c r="C49" s="334">
        <v>0</v>
      </c>
      <c r="D49" s="335">
        <v>0</v>
      </c>
      <c r="E49" s="336" t="s">
        <v>222</v>
      </c>
      <c r="F49" s="334">
        <v>0</v>
      </c>
      <c r="G49" s="335">
        <v>0</v>
      </c>
      <c r="H49" s="337">
        <v>1.113</v>
      </c>
      <c r="I49" s="334">
        <v>3.3079999999999998</v>
      </c>
      <c r="J49" s="335">
        <v>3.3079999999999998</v>
      </c>
      <c r="K49" s="341" t="s">
        <v>228</v>
      </c>
    </row>
    <row r="50" spans="1:11" ht="14.4" customHeight="1" thickBot="1" x14ac:dyDescent="0.35">
      <c r="A50" s="351" t="s">
        <v>265</v>
      </c>
      <c r="B50" s="329">
        <v>0</v>
      </c>
      <c r="C50" s="329">
        <v>0</v>
      </c>
      <c r="D50" s="330">
        <v>0</v>
      </c>
      <c r="E50" s="339" t="s">
        <v>222</v>
      </c>
      <c r="F50" s="329">
        <v>0</v>
      </c>
      <c r="G50" s="330">
        <v>0</v>
      </c>
      <c r="H50" s="332">
        <v>1.113</v>
      </c>
      <c r="I50" s="329">
        <v>3.3079999999999998</v>
      </c>
      <c r="J50" s="330">
        <v>3.3079999999999998</v>
      </c>
      <c r="K50" s="342" t="s">
        <v>228</v>
      </c>
    </row>
    <row r="51" spans="1:11" ht="14.4" customHeight="1" thickBot="1" x14ac:dyDescent="0.35">
      <c r="A51" s="348" t="s">
        <v>25</v>
      </c>
      <c r="B51" s="329">
        <v>6009.9983753778297</v>
      </c>
      <c r="C51" s="329">
        <v>6584.1597000000002</v>
      </c>
      <c r="D51" s="330">
        <v>574.16132462217604</v>
      </c>
      <c r="E51" s="331">
        <v>1.0955343560440001</v>
      </c>
      <c r="F51" s="329">
        <v>6972.0345109704904</v>
      </c>
      <c r="G51" s="330">
        <v>6972.0345109704904</v>
      </c>
      <c r="H51" s="332">
        <v>505.78881000000001</v>
      </c>
      <c r="I51" s="329">
        <v>6813.0447800000002</v>
      </c>
      <c r="J51" s="330">
        <v>-158.98973097048801</v>
      </c>
      <c r="K51" s="333">
        <v>0.97719607802800001</v>
      </c>
    </row>
    <row r="52" spans="1:11" ht="14.4" customHeight="1" thickBot="1" x14ac:dyDescent="0.35">
      <c r="A52" s="354" t="s">
        <v>266</v>
      </c>
      <c r="B52" s="334">
        <v>4450.9999999997499</v>
      </c>
      <c r="C52" s="334">
        <v>4878.5590000000002</v>
      </c>
      <c r="D52" s="335">
        <v>427.55900000024798</v>
      </c>
      <c r="E52" s="340">
        <v>1.0960590878450001</v>
      </c>
      <c r="F52" s="334">
        <v>5167.99999999991</v>
      </c>
      <c r="G52" s="335">
        <v>5167.99999999991</v>
      </c>
      <c r="H52" s="337">
        <v>376.77300000000002</v>
      </c>
      <c r="I52" s="334">
        <v>5050.0600000000004</v>
      </c>
      <c r="J52" s="335">
        <v>-117.939999999904</v>
      </c>
      <c r="K52" s="338">
        <v>0.97717879256899998</v>
      </c>
    </row>
    <row r="53" spans="1:11" ht="14.4" customHeight="1" thickBot="1" x14ac:dyDescent="0.35">
      <c r="A53" s="350" t="s">
        <v>267</v>
      </c>
      <c r="B53" s="334">
        <v>4450.9999999997499</v>
      </c>
      <c r="C53" s="334">
        <v>4872.7939999999999</v>
      </c>
      <c r="D53" s="335">
        <v>421.79400000024799</v>
      </c>
      <c r="E53" s="340">
        <v>1.0947638732860001</v>
      </c>
      <c r="F53" s="334">
        <v>5149.99999999991</v>
      </c>
      <c r="G53" s="335">
        <v>5149.99999999991</v>
      </c>
      <c r="H53" s="337">
        <v>368.38299999999998</v>
      </c>
      <c r="I53" s="334">
        <v>5036.2550000000001</v>
      </c>
      <c r="J53" s="335">
        <v>-113.744999999904</v>
      </c>
      <c r="K53" s="338">
        <v>0.97791359223300001</v>
      </c>
    </row>
    <row r="54" spans="1:11" ht="14.4" customHeight="1" thickBot="1" x14ac:dyDescent="0.35">
      <c r="A54" s="351" t="s">
        <v>268</v>
      </c>
      <c r="B54" s="329">
        <v>4450.9999999997499</v>
      </c>
      <c r="C54" s="329">
        <v>4872.7939999999999</v>
      </c>
      <c r="D54" s="330">
        <v>421.79400000024799</v>
      </c>
      <c r="E54" s="331">
        <v>1.0947638732860001</v>
      </c>
      <c r="F54" s="329">
        <v>5149.99999999991</v>
      </c>
      <c r="G54" s="330">
        <v>5149.99999999991</v>
      </c>
      <c r="H54" s="332">
        <v>368.38299999999998</v>
      </c>
      <c r="I54" s="329">
        <v>5036.2550000000001</v>
      </c>
      <c r="J54" s="330">
        <v>-113.744999999904</v>
      </c>
      <c r="K54" s="333">
        <v>0.97791359223300001</v>
      </c>
    </row>
    <row r="55" spans="1:11" ht="14.4" customHeight="1" thickBot="1" x14ac:dyDescent="0.35">
      <c r="A55" s="350" t="s">
        <v>269</v>
      </c>
      <c r="B55" s="334">
        <v>0</v>
      </c>
      <c r="C55" s="334">
        <v>5.7649999999999997</v>
      </c>
      <c r="D55" s="335">
        <v>5.7649999999999997</v>
      </c>
      <c r="E55" s="336" t="s">
        <v>222</v>
      </c>
      <c r="F55" s="334">
        <v>17.999999999999002</v>
      </c>
      <c r="G55" s="335">
        <v>17.999999999999002</v>
      </c>
      <c r="H55" s="337">
        <v>8.39</v>
      </c>
      <c r="I55" s="334">
        <v>13.805</v>
      </c>
      <c r="J55" s="335">
        <v>-4.1949999999990002</v>
      </c>
      <c r="K55" s="338">
        <v>0.76694444444400001</v>
      </c>
    </row>
    <row r="56" spans="1:11" ht="14.4" customHeight="1" thickBot="1" x14ac:dyDescent="0.35">
      <c r="A56" s="351" t="s">
        <v>270</v>
      </c>
      <c r="B56" s="329">
        <v>0</v>
      </c>
      <c r="C56" s="329">
        <v>5.7649999999999997</v>
      </c>
      <c r="D56" s="330">
        <v>5.7649999999999997</v>
      </c>
      <c r="E56" s="339" t="s">
        <v>222</v>
      </c>
      <c r="F56" s="329">
        <v>17.999999999999002</v>
      </c>
      <c r="G56" s="330">
        <v>17.999999999999002</v>
      </c>
      <c r="H56" s="332">
        <v>8.39</v>
      </c>
      <c r="I56" s="329">
        <v>13.805</v>
      </c>
      <c r="J56" s="330">
        <v>-4.1949999999990002</v>
      </c>
      <c r="K56" s="333">
        <v>0.76694444444400001</v>
      </c>
    </row>
    <row r="57" spans="1:11" ht="14.4" customHeight="1" thickBot="1" x14ac:dyDescent="0.35">
      <c r="A57" s="349" t="s">
        <v>271</v>
      </c>
      <c r="B57" s="329">
        <v>1513.99837537808</v>
      </c>
      <c r="C57" s="329">
        <v>1656.81503</v>
      </c>
      <c r="D57" s="330">
        <v>142.81665462192399</v>
      </c>
      <c r="E57" s="331">
        <v>1.0943307845920001</v>
      </c>
      <c r="F57" s="329">
        <v>1752.03451097059</v>
      </c>
      <c r="G57" s="330">
        <v>1752.03451097059</v>
      </c>
      <c r="H57" s="332">
        <v>125.24835</v>
      </c>
      <c r="I57" s="329">
        <v>1712.4623200000001</v>
      </c>
      <c r="J57" s="330">
        <v>-39.572190970586</v>
      </c>
      <c r="K57" s="333">
        <v>0.97741357791500005</v>
      </c>
    </row>
    <row r="58" spans="1:11" ht="14.4" customHeight="1" thickBot="1" x14ac:dyDescent="0.35">
      <c r="A58" s="350" t="s">
        <v>272</v>
      </c>
      <c r="B58" s="334">
        <v>400.99999691353599</v>
      </c>
      <c r="C58" s="334">
        <v>438.61649</v>
      </c>
      <c r="D58" s="335">
        <v>37.616493086463002</v>
      </c>
      <c r="E58" s="340">
        <v>1.0938067166480001</v>
      </c>
      <c r="F58" s="334">
        <v>464.03451097061401</v>
      </c>
      <c r="G58" s="335">
        <v>464.03451097061401</v>
      </c>
      <c r="H58" s="337">
        <v>33.1526</v>
      </c>
      <c r="I58" s="334">
        <v>453.39857000000001</v>
      </c>
      <c r="J58" s="335">
        <v>-10.635940970612999</v>
      </c>
      <c r="K58" s="338">
        <v>0.97707941819099997</v>
      </c>
    </row>
    <row r="59" spans="1:11" ht="14.4" customHeight="1" thickBot="1" x14ac:dyDescent="0.35">
      <c r="A59" s="351" t="s">
        <v>273</v>
      </c>
      <c r="B59" s="329">
        <v>400.99999691353599</v>
      </c>
      <c r="C59" s="329">
        <v>438.61649</v>
      </c>
      <c r="D59" s="330">
        <v>37.616493086463002</v>
      </c>
      <c r="E59" s="331">
        <v>1.0938067166480001</v>
      </c>
      <c r="F59" s="329">
        <v>464.03451097061401</v>
      </c>
      <c r="G59" s="330">
        <v>464.03451097061401</v>
      </c>
      <c r="H59" s="332">
        <v>33.1526</v>
      </c>
      <c r="I59" s="329">
        <v>453.39857000000001</v>
      </c>
      <c r="J59" s="330">
        <v>-10.635940970612999</v>
      </c>
      <c r="K59" s="333">
        <v>0.97707941819099997</v>
      </c>
    </row>
    <row r="60" spans="1:11" ht="14.4" customHeight="1" thickBot="1" x14ac:dyDescent="0.35">
      <c r="A60" s="350" t="s">
        <v>274</v>
      </c>
      <c r="B60" s="334">
        <v>1112.9983784645401</v>
      </c>
      <c r="C60" s="334">
        <v>1218.1985400000001</v>
      </c>
      <c r="D60" s="335">
        <v>105.20016153546</v>
      </c>
      <c r="E60" s="340">
        <v>1.0945196000020001</v>
      </c>
      <c r="F60" s="334">
        <v>1287.99999999997</v>
      </c>
      <c r="G60" s="335">
        <v>1287.99999999997</v>
      </c>
      <c r="H60" s="337">
        <v>92.095749999999995</v>
      </c>
      <c r="I60" s="334">
        <v>1259.06375</v>
      </c>
      <c r="J60" s="335">
        <v>-28.936249999973001</v>
      </c>
      <c r="K60" s="338">
        <v>0.97753396739099996</v>
      </c>
    </row>
    <row r="61" spans="1:11" ht="14.4" customHeight="1" thickBot="1" x14ac:dyDescent="0.35">
      <c r="A61" s="351" t="s">
        <v>275</v>
      </c>
      <c r="B61" s="329">
        <v>1112.9983784645401</v>
      </c>
      <c r="C61" s="329">
        <v>1218.1985400000001</v>
      </c>
      <c r="D61" s="330">
        <v>105.20016153546</v>
      </c>
      <c r="E61" s="331">
        <v>1.0945196000020001</v>
      </c>
      <c r="F61" s="329">
        <v>1287.99999999997</v>
      </c>
      <c r="G61" s="330">
        <v>1287.99999999997</v>
      </c>
      <c r="H61" s="332">
        <v>92.095749999999995</v>
      </c>
      <c r="I61" s="329">
        <v>1259.06375</v>
      </c>
      <c r="J61" s="330">
        <v>-28.936249999973001</v>
      </c>
      <c r="K61" s="333">
        <v>0.97753396739099996</v>
      </c>
    </row>
    <row r="62" spans="1:11" ht="14.4" customHeight="1" thickBot="1" x14ac:dyDescent="0.35">
      <c r="A62" s="349" t="s">
        <v>276</v>
      </c>
      <c r="B62" s="329">
        <v>44.999999999997002</v>
      </c>
      <c r="C62" s="329">
        <v>48.785670000000003</v>
      </c>
      <c r="D62" s="330">
        <v>3.7856700000019998</v>
      </c>
      <c r="E62" s="331">
        <v>1.0841259999999999</v>
      </c>
      <c r="F62" s="329">
        <v>51.999999999998998</v>
      </c>
      <c r="G62" s="330">
        <v>51.999999999998998</v>
      </c>
      <c r="H62" s="332">
        <v>3.7674599999999998</v>
      </c>
      <c r="I62" s="329">
        <v>50.522460000000002</v>
      </c>
      <c r="J62" s="330">
        <v>-1.4775399999979999</v>
      </c>
      <c r="K62" s="333">
        <v>0.97158576922999995</v>
      </c>
    </row>
    <row r="63" spans="1:11" ht="14.4" customHeight="1" thickBot="1" x14ac:dyDescent="0.35">
      <c r="A63" s="350" t="s">
        <v>277</v>
      </c>
      <c r="B63" s="334">
        <v>44.999999999997002</v>
      </c>
      <c r="C63" s="334">
        <v>48.785670000000003</v>
      </c>
      <c r="D63" s="335">
        <v>3.7856700000019998</v>
      </c>
      <c r="E63" s="340">
        <v>1.0841259999999999</v>
      </c>
      <c r="F63" s="334">
        <v>51.999999999998998</v>
      </c>
      <c r="G63" s="335">
        <v>51.999999999998998</v>
      </c>
      <c r="H63" s="337">
        <v>3.7674599999999998</v>
      </c>
      <c r="I63" s="334">
        <v>50.522460000000002</v>
      </c>
      <c r="J63" s="335">
        <v>-1.4775399999979999</v>
      </c>
      <c r="K63" s="338">
        <v>0.97158576922999995</v>
      </c>
    </row>
    <row r="64" spans="1:11" ht="14.4" customHeight="1" thickBot="1" x14ac:dyDescent="0.35">
      <c r="A64" s="351" t="s">
        <v>278</v>
      </c>
      <c r="B64" s="329">
        <v>44.999999999997002</v>
      </c>
      <c r="C64" s="329">
        <v>48.785670000000003</v>
      </c>
      <c r="D64" s="330">
        <v>3.7856700000019998</v>
      </c>
      <c r="E64" s="331">
        <v>1.0841259999999999</v>
      </c>
      <c r="F64" s="329">
        <v>51.999999999998998</v>
      </c>
      <c r="G64" s="330">
        <v>51.999999999998998</v>
      </c>
      <c r="H64" s="332">
        <v>3.7674599999999998</v>
      </c>
      <c r="I64" s="329">
        <v>50.522460000000002</v>
      </c>
      <c r="J64" s="330">
        <v>-1.4775399999979999</v>
      </c>
      <c r="K64" s="333">
        <v>0.97158576922999995</v>
      </c>
    </row>
    <row r="65" spans="1:11" ht="14.4" customHeight="1" thickBot="1" x14ac:dyDescent="0.35">
      <c r="A65" s="348" t="s">
        <v>279</v>
      </c>
      <c r="B65" s="329">
        <v>0</v>
      </c>
      <c r="C65" s="329">
        <v>42.28</v>
      </c>
      <c r="D65" s="330">
        <v>42.28</v>
      </c>
      <c r="E65" s="339" t="s">
        <v>222</v>
      </c>
      <c r="F65" s="329">
        <v>0</v>
      </c>
      <c r="G65" s="330">
        <v>0</v>
      </c>
      <c r="H65" s="332">
        <v>5.5</v>
      </c>
      <c r="I65" s="329">
        <v>19.889119999999998</v>
      </c>
      <c r="J65" s="330">
        <v>19.889119999999998</v>
      </c>
      <c r="K65" s="342" t="s">
        <v>222</v>
      </c>
    </row>
    <row r="66" spans="1:11" ht="14.4" customHeight="1" thickBot="1" x14ac:dyDescent="0.35">
      <c r="A66" s="349" t="s">
        <v>280</v>
      </c>
      <c r="B66" s="329">
        <v>0</v>
      </c>
      <c r="C66" s="329">
        <v>42.28</v>
      </c>
      <c r="D66" s="330">
        <v>42.28</v>
      </c>
      <c r="E66" s="339" t="s">
        <v>222</v>
      </c>
      <c r="F66" s="329">
        <v>0</v>
      </c>
      <c r="G66" s="330">
        <v>0</v>
      </c>
      <c r="H66" s="332">
        <v>5.5</v>
      </c>
      <c r="I66" s="329">
        <v>19.889119999999998</v>
      </c>
      <c r="J66" s="330">
        <v>19.889119999999998</v>
      </c>
      <c r="K66" s="342" t="s">
        <v>222</v>
      </c>
    </row>
    <row r="67" spans="1:11" ht="14.4" customHeight="1" thickBot="1" x14ac:dyDescent="0.35">
      <c r="A67" s="350" t="s">
        <v>281</v>
      </c>
      <c r="B67" s="334">
        <v>0</v>
      </c>
      <c r="C67" s="334">
        <v>0</v>
      </c>
      <c r="D67" s="335">
        <v>0</v>
      </c>
      <c r="E67" s="336" t="s">
        <v>222</v>
      </c>
      <c r="F67" s="334">
        <v>0</v>
      </c>
      <c r="G67" s="335">
        <v>0</v>
      </c>
      <c r="H67" s="337">
        <v>5</v>
      </c>
      <c r="I67" s="334">
        <v>6.0819999999999999</v>
      </c>
      <c r="J67" s="335">
        <v>6.0819999999999999</v>
      </c>
      <c r="K67" s="341" t="s">
        <v>228</v>
      </c>
    </row>
    <row r="68" spans="1:11" ht="14.4" customHeight="1" thickBot="1" x14ac:dyDescent="0.35">
      <c r="A68" s="351" t="s">
        <v>282</v>
      </c>
      <c r="B68" s="329">
        <v>0</v>
      </c>
      <c r="C68" s="329">
        <v>0</v>
      </c>
      <c r="D68" s="330">
        <v>0</v>
      </c>
      <c r="E68" s="339" t="s">
        <v>222</v>
      </c>
      <c r="F68" s="329">
        <v>0</v>
      </c>
      <c r="G68" s="330">
        <v>0</v>
      </c>
      <c r="H68" s="332">
        <v>0</v>
      </c>
      <c r="I68" s="329">
        <v>0.182</v>
      </c>
      <c r="J68" s="330">
        <v>0.182</v>
      </c>
      <c r="K68" s="342" t="s">
        <v>228</v>
      </c>
    </row>
    <row r="69" spans="1:11" ht="14.4" customHeight="1" thickBot="1" x14ac:dyDescent="0.35">
      <c r="A69" s="351" t="s">
        <v>283</v>
      </c>
      <c r="B69" s="329">
        <v>0</v>
      </c>
      <c r="C69" s="329">
        <v>0</v>
      </c>
      <c r="D69" s="330">
        <v>0</v>
      </c>
      <c r="E69" s="331">
        <v>1</v>
      </c>
      <c r="F69" s="329">
        <v>0</v>
      </c>
      <c r="G69" s="330">
        <v>0</v>
      </c>
      <c r="H69" s="332">
        <v>5</v>
      </c>
      <c r="I69" s="329">
        <v>5</v>
      </c>
      <c r="J69" s="330">
        <v>5</v>
      </c>
      <c r="K69" s="342" t="s">
        <v>228</v>
      </c>
    </row>
    <row r="70" spans="1:11" ht="14.4" customHeight="1" thickBot="1" x14ac:dyDescent="0.35">
      <c r="A70" s="351" t="s">
        <v>284</v>
      </c>
      <c r="B70" s="329">
        <v>0</v>
      </c>
      <c r="C70" s="329">
        <v>0</v>
      </c>
      <c r="D70" s="330">
        <v>0</v>
      </c>
      <c r="E70" s="339" t="s">
        <v>222</v>
      </c>
      <c r="F70" s="329">
        <v>0</v>
      </c>
      <c r="G70" s="330">
        <v>0</v>
      </c>
      <c r="H70" s="332">
        <v>0</v>
      </c>
      <c r="I70" s="329">
        <v>0.9</v>
      </c>
      <c r="J70" s="330">
        <v>0.9</v>
      </c>
      <c r="K70" s="342" t="s">
        <v>228</v>
      </c>
    </row>
    <row r="71" spans="1:11" ht="14.4" customHeight="1" thickBot="1" x14ac:dyDescent="0.35">
      <c r="A71" s="350" t="s">
        <v>285</v>
      </c>
      <c r="B71" s="334">
        <v>0</v>
      </c>
      <c r="C71" s="334">
        <v>5.08</v>
      </c>
      <c r="D71" s="335">
        <v>5.08</v>
      </c>
      <c r="E71" s="336" t="s">
        <v>228</v>
      </c>
      <c r="F71" s="334">
        <v>0</v>
      </c>
      <c r="G71" s="335">
        <v>0</v>
      </c>
      <c r="H71" s="337">
        <v>0</v>
      </c>
      <c r="I71" s="334">
        <v>0</v>
      </c>
      <c r="J71" s="335">
        <v>0</v>
      </c>
      <c r="K71" s="341" t="s">
        <v>222</v>
      </c>
    </row>
    <row r="72" spans="1:11" ht="14.4" customHeight="1" thickBot="1" x14ac:dyDescent="0.35">
      <c r="A72" s="351" t="s">
        <v>286</v>
      </c>
      <c r="B72" s="329">
        <v>0</v>
      </c>
      <c r="C72" s="329">
        <v>5.08</v>
      </c>
      <c r="D72" s="330">
        <v>5.08</v>
      </c>
      <c r="E72" s="339" t="s">
        <v>228</v>
      </c>
      <c r="F72" s="329">
        <v>0</v>
      </c>
      <c r="G72" s="330">
        <v>0</v>
      </c>
      <c r="H72" s="332">
        <v>0</v>
      </c>
      <c r="I72" s="329">
        <v>0</v>
      </c>
      <c r="J72" s="330">
        <v>0</v>
      </c>
      <c r="K72" s="342" t="s">
        <v>222</v>
      </c>
    </row>
    <row r="73" spans="1:11" ht="14.4" customHeight="1" thickBot="1" x14ac:dyDescent="0.35">
      <c r="A73" s="350" t="s">
        <v>287</v>
      </c>
      <c r="B73" s="334">
        <v>0</v>
      </c>
      <c r="C73" s="334">
        <v>0</v>
      </c>
      <c r="D73" s="335">
        <v>0</v>
      </c>
      <c r="E73" s="340">
        <v>1</v>
      </c>
      <c r="F73" s="334">
        <v>0</v>
      </c>
      <c r="G73" s="335">
        <v>0</v>
      </c>
      <c r="H73" s="337">
        <v>0</v>
      </c>
      <c r="I73" s="334">
        <v>-0.49287999999999998</v>
      </c>
      <c r="J73" s="335">
        <v>-0.49287999999999998</v>
      </c>
      <c r="K73" s="341" t="s">
        <v>228</v>
      </c>
    </row>
    <row r="74" spans="1:11" ht="14.4" customHeight="1" thickBot="1" x14ac:dyDescent="0.35">
      <c r="A74" s="351" t="s">
        <v>288</v>
      </c>
      <c r="B74" s="329">
        <v>0</v>
      </c>
      <c r="C74" s="329">
        <v>0</v>
      </c>
      <c r="D74" s="330">
        <v>0</v>
      </c>
      <c r="E74" s="331">
        <v>1</v>
      </c>
      <c r="F74" s="329">
        <v>0</v>
      </c>
      <c r="G74" s="330">
        <v>0</v>
      </c>
      <c r="H74" s="332">
        <v>0</v>
      </c>
      <c r="I74" s="329">
        <v>-0.49287999999999998</v>
      </c>
      <c r="J74" s="330">
        <v>-0.49287999999999998</v>
      </c>
      <c r="K74" s="342" t="s">
        <v>228</v>
      </c>
    </row>
    <row r="75" spans="1:11" ht="14.4" customHeight="1" thickBot="1" x14ac:dyDescent="0.35">
      <c r="A75" s="353" t="s">
        <v>289</v>
      </c>
      <c r="B75" s="329">
        <v>0</v>
      </c>
      <c r="C75" s="329">
        <v>37.200000000000003</v>
      </c>
      <c r="D75" s="330">
        <v>37.200000000000003</v>
      </c>
      <c r="E75" s="339" t="s">
        <v>222</v>
      </c>
      <c r="F75" s="329">
        <v>0</v>
      </c>
      <c r="G75" s="330">
        <v>0</v>
      </c>
      <c r="H75" s="332">
        <v>0.5</v>
      </c>
      <c r="I75" s="329">
        <v>14.3</v>
      </c>
      <c r="J75" s="330">
        <v>14.3</v>
      </c>
      <c r="K75" s="342" t="s">
        <v>222</v>
      </c>
    </row>
    <row r="76" spans="1:11" ht="14.4" customHeight="1" thickBot="1" x14ac:dyDescent="0.35">
      <c r="A76" s="351" t="s">
        <v>290</v>
      </c>
      <c r="B76" s="329">
        <v>0</v>
      </c>
      <c r="C76" s="329">
        <v>37.200000000000003</v>
      </c>
      <c r="D76" s="330">
        <v>37.200000000000003</v>
      </c>
      <c r="E76" s="339" t="s">
        <v>222</v>
      </c>
      <c r="F76" s="329">
        <v>0</v>
      </c>
      <c r="G76" s="330">
        <v>0</v>
      </c>
      <c r="H76" s="332">
        <v>0.5</v>
      </c>
      <c r="I76" s="329">
        <v>14.3</v>
      </c>
      <c r="J76" s="330">
        <v>14.3</v>
      </c>
      <c r="K76" s="342" t="s">
        <v>222</v>
      </c>
    </row>
    <row r="77" spans="1:11" ht="14.4" customHeight="1" thickBot="1" x14ac:dyDescent="0.35">
      <c r="A77" s="348" t="s">
        <v>291</v>
      </c>
      <c r="B77" s="329">
        <v>37.999999999997002</v>
      </c>
      <c r="C77" s="329">
        <v>40.387999999999998</v>
      </c>
      <c r="D77" s="330">
        <v>2.3880000000020001</v>
      </c>
      <c r="E77" s="331">
        <v>1.0628421052629999</v>
      </c>
      <c r="F77" s="329">
        <v>39.999111066650002</v>
      </c>
      <c r="G77" s="330">
        <v>39.999111066650002</v>
      </c>
      <c r="H77" s="332">
        <v>36.113300000000002</v>
      </c>
      <c r="I77" s="329">
        <v>77.893299999999996</v>
      </c>
      <c r="J77" s="330">
        <v>37.894188933349</v>
      </c>
      <c r="K77" s="333">
        <v>1.9473757771810001</v>
      </c>
    </row>
    <row r="78" spans="1:11" ht="14.4" customHeight="1" thickBot="1" x14ac:dyDescent="0.35">
      <c r="A78" s="349" t="s">
        <v>292</v>
      </c>
      <c r="B78" s="329">
        <v>37.999999999997002</v>
      </c>
      <c r="C78" s="329">
        <v>39.353999999999999</v>
      </c>
      <c r="D78" s="330">
        <v>1.354000000002</v>
      </c>
      <c r="E78" s="331">
        <v>1.0356315789470001</v>
      </c>
      <c r="F78" s="329">
        <v>39.999111066650002</v>
      </c>
      <c r="G78" s="330">
        <v>39.999111066650002</v>
      </c>
      <c r="H78" s="332">
        <v>3.5409999999999999</v>
      </c>
      <c r="I78" s="329">
        <v>40.856000000000002</v>
      </c>
      <c r="J78" s="330">
        <v>0.85688893334899996</v>
      </c>
      <c r="K78" s="333">
        <v>1.0214226994169999</v>
      </c>
    </row>
    <row r="79" spans="1:11" ht="14.4" customHeight="1" thickBot="1" x14ac:dyDescent="0.35">
      <c r="A79" s="350" t="s">
        <v>293</v>
      </c>
      <c r="B79" s="334">
        <v>37.999999999997002</v>
      </c>
      <c r="C79" s="334">
        <v>39.353999999999999</v>
      </c>
      <c r="D79" s="335">
        <v>1.354000000002</v>
      </c>
      <c r="E79" s="340">
        <v>1.0356315789470001</v>
      </c>
      <c r="F79" s="334">
        <v>39.999111066650002</v>
      </c>
      <c r="G79" s="335">
        <v>39.999111066650002</v>
      </c>
      <c r="H79" s="337">
        <v>3.5409999999999999</v>
      </c>
      <c r="I79" s="334">
        <v>40.856000000000002</v>
      </c>
      <c r="J79" s="335">
        <v>0.85688893334899996</v>
      </c>
      <c r="K79" s="338">
        <v>1.0214226994169999</v>
      </c>
    </row>
    <row r="80" spans="1:11" ht="14.4" customHeight="1" thickBot="1" x14ac:dyDescent="0.35">
      <c r="A80" s="351" t="s">
        <v>294</v>
      </c>
      <c r="B80" s="329">
        <v>20.999999999998</v>
      </c>
      <c r="C80" s="329">
        <v>21.963999999999999</v>
      </c>
      <c r="D80" s="330">
        <v>0.96400000000099995</v>
      </c>
      <c r="E80" s="331">
        <v>1.0459047619040001</v>
      </c>
      <c r="F80" s="329">
        <v>21.999125944873999</v>
      </c>
      <c r="G80" s="330">
        <v>21.999125944873999</v>
      </c>
      <c r="H80" s="332">
        <v>2.0680000000000001</v>
      </c>
      <c r="I80" s="329">
        <v>23.324000000000002</v>
      </c>
      <c r="J80" s="330">
        <v>1.324874055125</v>
      </c>
      <c r="K80" s="333">
        <v>1.0602239406439999</v>
      </c>
    </row>
    <row r="81" spans="1:11" ht="14.4" customHeight="1" thickBot="1" x14ac:dyDescent="0.35">
      <c r="A81" s="351" t="s">
        <v>295</v>
      </c>
      <c r="B81" s="329">
        <v>9.9999999999989999</v>
      </c>
      <c r="C81" s="329">
        <v>9.9120000000000008</v>
      </c>
      <c r="D81" s="330">
        <v>-8.7999999999000003E-2</v>
      </c>
      <c r="E81" s="331">
        <v>0.99119999999999997</v>
      </c>
      <c r="F81" s="329">
        <v>10.000083664575</v>
      </c>
      <c r="G81" s="330">
        <v>10.000083664575</v>
      </c>
      <c r="H81" s="332">
        <v>0.82599999999999996</v>
      </c>
      <c r="I81" s="329">
        <v>9.9120000000000008</v>
      </c>
      <c r="J81" s="330">
        <v>-8.8083664574999998E-2</v>
      </c>
      <c r="K81" s="333">
        <v>0.99119170723600003</v>
      </c>
    </row>
    <row r="82" spans="1:11" ht="14.4" customHeight="1" thickBot="1" x14ac:dyDescent="0.35">
      <c r="A82" s="351" t="s">
        <v>296</v>
      </c>
      <c r="B82" s="329">
        <v>6.9999999999989999</v>
      </c>
      <c r="C82" s="329">
        <v>7.4779999999999998</v>
      </c>
      <c r="D82" s="330">
        <v>0.47799999999999998</v>
      </c>
      <c r="E82" s="331">
        <v>1.068285714285</v>
      </c>
      <c r="F82" s="329">
        <v>7.9999014572</v>
      </c>
      <c r="G82" s="330">
        <v>7.9999014572</v>
      </c>
      <c r="H82" s="332">
        <v>0.64700000000000002</v>
      </c>
      <c r="I82" s="329">
        <v>7.62</v>
      </c>
      <c r="J82" s="330">
        <v>-0.37990145720000001</v>
      </c>
      <c r="K82" s="333">
        <v>0.952511732896</v>
      </c>
    </row>
    <row r="83" spans="1:11" ht="14.4" customHeight="1" thickBot="1" x14ac:dyDescent="0.35">
      <c r="A83" s="349" t="s">
        <v>297</v>
      </c>
      <c r="B83" s="329">
        <v>0</v>
      </c>
      <c r="C83" s="329">
        <v>1.034</v>
      </c>
      <c r="D83" s="330">
        <v>1.034</v>
      </c>
      <c r="E83" s="339" t="s">
        <v>222</v>
      </c>
      <c r="F83" s="329">
        <v>0</v>
      </c>
      <c r="G83" s="330">
        <v>0</v>
      </c>
      <c r="H83" s="332">
        <v>32.572299999999998</v>
      </c>
      <c r="I83" s="329">
        <v>37.037300000000002</v>
      </c>
      <c r="J83" s="330">
        <v>37.037300000000002</v>
      </c>
      <c r="K83" s="342" t="s">
        <v>222</v>
      </c>
    </row>
    <row r="84" spans="1:11" ht="14.4" customHeight="1" thickBot="1" x14ac:dyDescent="0.35">
      <c r="A84" s="350" t="s">
        <v>298</v>
      </c>
      <c r="B84" s="334">
        <v>0</v>
      </c>
      <c r="C84" s="334">
        <v>1.034</v>
      </c>
      <c r="D84" s="335">
        <v>1.034</v>
      </c>
      <c r="E84" s="336" t="s">
        <v>228</v>
      </c>
      <c r="F84" s="334">
        <v>0</v>
      </c>
      <c r="G84" s="335">
        <v>0</v>
      </c>
      <c r="H84" s="337">
        <v>32.572299999999998</v>
      </c>
      <c r="I84" s="334">
        <v>37.037300000000002</v>
      </c>
      <c r="J84" s="335">
        <v>37.037300000000002</v>
      </c>
      <c r="K84" s="341" t="s">
        <v>222</v>
      </c>
    </row>
    <row r="85" spans="1:11" ht="14.4" customHeight="1" thickBot="1" x14ac:dyDescent="0.35">
      <c r="A85" s="351" t="s">
        <v>299</v>
      </c>
      <c r="B85" s="329">
        <v>0</v>
      </c>
      <c r="C85" s="329">
        <v>1.034</v>
      </c>
      <c r="D85" s="330">
        <v>1.034</v>
      </c>
      <c r="E85" s="339" t="s">
        <v>228</v>
      </c>
      <c r="F85" s="329">
        <v>0</v>
      </c>
      <c r="G85" s="330">
        <v>0</v>
      </c>
      <c r="H85" s="332">
        <v>32.572299999999998</v>
      </c>
      <c r="I85" s="329">
        <v>37.037300000000002</v>
      </c>
      <c r="J85" s="330">
        <v>37.037300000000002</v>
      </c>
      <c r="K85" s="342" t="s">
        <v>222</v>
      </c>
    </row>
    <row r="86" spans="1:11" ht="14.4" customHeight="1" thickBot="1" x14ac:dyDescent="0.35">
      <c r="A86" s="347" t="s">
        <v>300</v>
      </c>
      <c r="B86" s="329">
        <v>7524.2164956824199</v>
      </c>
      <c r="C86" s="329">
        <v>6631.3378499999999</v>
      </c>
      <c r="D86" s="330">
        <v>-892.87864568242196</v>
      </c>
      <c r="E86" s="331">
        <v>0.88133267481099997</v>
      </c>
      <c r="F86" s="329">
        <v>7065.5011840815296</v>
      </c>
      <c r="G86" s="330">
        <v>7065.5011840815296</v>
      </c>
      <c r="H86" s="332">
        <v>469.31902000000002</v>
      </c>
      <c r="I86" s="329">
        <v>7769.9671099999996</v>
      </c>
      <c r="J86" s="330">
        <v>704.46592591847002</v>
      </c>
      <c r="K86" s="333">
        <v>1.0997050184499999</v>
      </c>
    </row>
    <row r="87" spans="1:11" ht="14.4" customHeight="1" thickBot="1" x14ac:dyDescent="0.35">
      <c r="A87" s="348" t="s">
        <v>301</v>
      </c>
      <c r="B87" s="329">
        <v>7469.3623792708404</v>
      </c>
      <c r="C87" s="329">
        <v>6567.9650000000001</v>
      </c>
      <c r="D87" s="330">
        <v>-901.39737927084002</v>
      </c>
      <c r="E87" s="331">
        <v>0.87932070590400002</v>
      </c>
      <c r="F87" s="329">
        <v>7019.6462461520096</v>
      </c>
      <c r="G87" s="330">
        <v>7019.6462461520096</v>
      </c>
      <c r="H87" s="332">
        <v>467.08771000000002</v>
      </c>
      <c r="I87" s="329">
        <v>7721.4060900000004</v>
      </c>
      <c r="J87" s="330">
        <v>701.75984384798699</v>
      </c>
      <c r="K87" s="333">
        <v>1.09997082748</v>
      </c>
    </row>
    <row r="88" spans="1:11" ht="14.4" customHeight="1" thickBot="1" x14ac:dyDescent="0.35">
      <c r="A88" s="349" t="s">
        <v>302</v>
      </c>
      <c r="B88" s="329">
        <v>7469.3623792708404</v>
      </c>
      <c r="C88" s="329">
        <v>6567.9650000000001</v>
      </c>
      <c r="D88" s="330">
        <v>-901.39737927084002</v>
      </c>
      <c r="E88" s="331">
        <v>0.87932070590400002</v>
      </c>
      <c r="F88" s="329">
        <v>7019.6462461520096</v>
      </c>
      <c r="G88" s="330">
        <v>7019.6462461520096</v>
      </c>
      <c r="H88" s="332">
        <v>467.08771000000002</v>
      </c>
      <c r="I88" s="329">
        <v>7721.4060900000004</v>
      </c>
      <c r="J88" s="330">
        <v>701.75984384798699</v>
      </c>
      <c r="K88" s="333">
        <v>1.09997082748</v>
      </c>
    </row>
    <row r="89" spans="1:11" ht="14.4" customHeight="1" thickBot="1" x14ac:dyDescent="0.35">
      <c r="A89" s="350" t="s">
        <v>303</v>
      </c>
      <c r="B89" s="334">
        <v>16.361912648484001</v>
      </c>
      <c r="C89" s="334">
        <v>15.66342</v>
      </c>
      <c r="D89" s="335">
        <v>-0.69849264848399994</v>
      </c>
      <c r="E89" s="340">
        <v>0.95730984124499996</v>
      </c>
      <c r="F89" s="334">
        <v>16.646246152012001</v>
      </c>
      <c r="G89" s="335">
        <v>16.646246152012001</v>
      </c>
      <c r="H89" s="337">
        <v>6.3579600000000003</v>
      </c>
      <c r="I89" s="334">
        <v>28.110289999999999</v>
      </c>
      <c r="J89" s="335">
        <v>11.464043847988</v>
      </c>
      <c r="K89" s="338">
        <v>1.68868643076</v>
      </c>
    </row>
    <row r="90" spans="1:11" ht="14.4" customHeight="1" thickBot="1" x14ac:dyDescent="0.35">
      <c r="A90" s="351" t="s">
        <v>304</v>
      </c>
      <c r="B90" s="329">
        <v>16.361912648484001</v>
      </c>
      <c r="C90" s="329">
        <v>15.66342</v>
      </c>
      <c r="D90" s="330">
        <v>-0.69849264848399994</v>
      </c>
      <c r="E90" s="331">
        <v>0.95730984124499996</v>
      </c>
      <c r="F90" s="329">
        <v>16.646246152012001</v>
      </c>
      <c r="G90" s="330">
        <v>16.646246152012001</v>
      </c>
      <c r="H90" s="332">
        <v>6.3579600000000003</v>
      </c>
      <c r="I90" s="329">
        <v>28.04748</v>
      </c>
      <c r="J90" s="330">
        <v>11.401233847987999</v>
      </c>
      <c r="K90" s="333">
        <v>1.68491320769</v>
      </c>
    </row>
    <row r="91" spans="1:11" ht="14.4" customHeight="1" thickBot="1" x14ac:dyDescent="0.35">
      <c r="A91" s="351" t="s">
        <v>305</v>
      </c>
      <c r="B91" s="329">
        <v>0</v>
      </c>
      <c r="C91" s="329">
        <v>0</v>
      </c>
      <c r="D91" s="330">
        <v>0</v>
      </c>
      <c r="E91" s="331">
        <v>1</v>
      </c>
      <c r="F91" s="329">
        <v>0</v>
      </c>
      <c r="G91" s="330">
        <v>0</v>
      </c>
      <c r="H91" s="332">
        <v>0</v>
      </c>
      <c r="I91" s="329">
        <v>6.2810000000000005E-2</v>
      </c>
      <c r="J91" s="330">
        <v>6.2810000000000005E-2</v>
      </c>
      <c r="K91" s="342" t="s">
        <v>228</v>
      </c>
    </row>
    <row r="92" spans="1:11" ht="14.4" customHeight="1" thickBot="1" x14ac:dyDescent="0.35">
      <c r="A92" s="350" t="s">
        <v>306</v>
      </c>
      <c r="B92" s="334">
        <v>13.000067426026</v>
      </c>
      <c r="C92" s="334">
        <v>8.74282</v>
      </c>
      <c r="D92" s="335">
        <v>-4.2572474260259998</v>
      </c>
      <c r="E92" s="340">
        <v>0.67252112727400004</v>
      </c>
      <c r="F92" s="334">
        <v>0</v>
      </c>
      <c r="G92" s="335">
        <v>0</v>
      </c>
      <c r="H92" s="337">
        <v>1.288</v>
      </c>
      <c r="I92" s="334">
        <v>11.79332</v>
      </c>
      <c r="J92" s="335">
        <v>11.79332</v>
      </c>
      <c r="K92" s="341" t="s">
        <v>222</v>
      </c>
    </row>
    <row r="93" spans="1:11" ht="14.4" customHeight="1" thickBot="1" x14ac:dyDescent="0.35">
      <c r="A93" s="351" t="s">
        <v>307</v>
      </c>
      <c r="B93" s="329">
        <v>5.0000697404340002</v>
      </c>
      <c r="C93" s="329">
        <v>8.74282</v>
      </c>
      <c r="D93" s="330">
        <v>3.7427502595650002</v>
      </c>
      <c r="E93" s="331">
        <v>1.748539611217</v>
      </c>
      <c r="F93" s="329">
        <v>0</v>
      </c>
      <c r="G93" s="330">
        <v>0</v>
      </c>
      <c r="H93" s="332">
        <v>1.288</v>
      </c>
      <c r="I93" s="329">
        <v>11.79332</v>
      </c>
      <c r="J93" s="330">
        <v>11.79332</v>
      </c>
      <c r="K93" s="342" t="s">
        <v>222</v>
      </c>
    </row>
    <row r="94" spans="1:11" ht="14.4" customHeight="1" thickBot="1" x14ac:dyDescent="0.35">
      <c r="A94" s="350" t="s">
        <v>308</v>
      </c>
      <c r="B94" s="334">
        <v>8.0004244643270006</v>
      </c>
      <c r="C94" s="334">
        <v>2.9051999999999998</v>
      </c>
      <c r="D94" s="335">
        <v>-5.0952244643269999</v>
      </c>
      <c r="E94" s="340">
        <v>0.36313073299400001</v>
      </c>
      <c r="F94" s="334">
        <v>0</v>
      </c>
      <c r="G94" s="335">
        <v>0</v>
      </c>
      <c r="H94" s="337">
        <v>0</v>
      </c>
      <c r="I94" s="334">
        <v>1.1484000000000001</v>
      </c>
      <c r="J94" s="335">
        <v>1.1484000000000001</v>
      </c>
      <c r="K94" s="341" t="s">
        <v>222</v>
      </c>
    </row>
    <row r="95" spans="1:11" ht="14.4" customHeight="1" thickBot="1" x14ac:dyDescent="0.35">
      <c r="A95" s="351" t="s">
        <v>309</v>
      </c>
      <c r="B95" s="329">
        <v>4.9998308612600004</v>
      </c>
      <c r="C95" s="329">
        <v>2.9051999999999998</v>
      </c>
      <c r="D95" s="330">
        <v>-2.0946308612600002</v>
      </c>
      <c r="E95" s="331">
        <v>0.581059655939</v>
      </c>
      <c r="F95" s="329">
        <v>0</v>
      </c>
      <c r="G95" s="330">
        <v>0</v>
      </c>
      <c r="H95" s="332">
        <v>0</v>
      </c>
      <c r="I95" s="329">
        <v>0</v>
      </c>
      <c r="J95" s="330">
        <v>0</v>
      </c>
      <c r="K95" s="342" t="s">
        <v>222</v>
      </c>
    </row>
    <row r="96" spans="1:11" ht="14.4" customHeight="1" thickBot="1" x14ac:dyDescent="0.35">
      <c r="A96" s="351" t="s">
        <v>310</v>
      </c>
      <c r="B96" s="329">
        <v>3.0005936030670002</v>
      </c>
      <c r="C96" s="329">
        <v>0</v>
      </c>
      <c r="D96" s="330">
        <v>-3.0005936030670002</v>
      </c>
      <c r="E96" s="331">
        <v>0</v>
      </c>
      <c r="F96" s="329">
        <v>0</v>
      </c>
      <c r="G96" s="330">
        <v>0</v>
      </c>
      <c r="H96" s="332">
        <v>0</v>
      </c>
      <c r="I96" s="329">
        <v>1.1484000000000001</v>
      </c>
      <c r="J96" s="330">
        <v>1.1484000000000001</v>
      </c>
      <c r="K96" s="342" t="s">
        <v>228</v>
      </c>
    </row>
    <row r="97" spans="1:11" ht="14.4" customHeight="1" thickBot="1" x14ac:dyDescent="0.35">
      <c r="A97" s="350" t="s">
        <v>311</v>
      </c>
      <c r="B97" s="334">
        <v>0</v>
      </c>
      <c r="C97" s="334">
        <v>-0.15060999999999999</v>
      </c>
      <c r="D97" s="335">
        <v>-0.15060999999999999</v>
      </c>
      <c r="E97" s="336" t="s">
        <v>228</v>
      </c>
      <c r="F97" s="334">
        <v>0</v>
      </c>
      <c r="G97" s="335">
        <v>0</v>
      </c>
      <c r="H97" s="337">
        <v>0</v>
      </c>
      <c r="I97" s="334">
        <v>0</v>
      </c>
      <c r="J97" s="335">
        <v>0</v>
      </c>
      <c r="K97" s="341" t="s">
        <v>222</v>
      </c>
    </row>
    <row r="98" spans="1:11" ht="14.4" customHeight="1" thickBot="1" x14ac:dyDescent="0.35">
      <c r="A98" s="351" t="s">
        <v>312</v>
      </c>
      <c r="B98" s="329">
        <v>0</v>
      </c>
      <c r="C98" s="329">
        <v>-0.15060999999999999</v>
      </c>
      <c r="D98" s="330">
        <v>-0.15060999999999999</v>
      </c>
      <c r="E98" s="339" t="s">
        <v>228</v>
      </c>
      <c r="F98" s="329">
        <v>0</v>
      </c>
      <c r="G98" s="330">
        <v>0</v>
      </c>
      <c r="H98" s="332">
        <v>0</v>
      </c>
      <c r="I98" s="329">
        <v>0</v>
      </c>
      <c r="J98" s="330">
        <v>0</v>
      </c>
      <c r="K98" s="342" t="s">
        <v>222</v>
      </c>
    </row>
    <row r="99" spans="1:11" ht="14.4" customHeight="1" thickBot="1" x14ac:dyDescent="0.35">
      <c r="A99" s="350" t="s">
        <v>313</v>
      </c>
      <c r="B99" s="334">
        <v>7431.9999747319998</v>
      </c>
      <c r="C99" s="334">
        <v>6205.1005100000002</v>
      </c>
      <c r="D99" s="335">
        <v>-1226.8994647320001</v>
      </c>
      <c r="E99" s="340">
        <v>0.83491664842500002</v>
      </c>
      <c r="F99" s="334">
        <v>7003</v>
      </c>
      <c r="G99" s="335">
        <v>7003</v>
      </c>
      <c r="H99" s="337">
        <v>459.44175000000001</v>
      </c>
      <c r="I99" s="334">
        <v>7188.0248499999998</v>
      </c>
      <c r="J99" s="335">
        <v>185.02484999999899</v>
      </c>
      <c r="K99" s="338">
        <v>1.0264207982289999</v>
      </c>
    </row>
    <row r="100" spans="1:11" ht="14.4" customHeight="1" thickBot="1" x14ac:dyDescent="0.35">
      <c r="A100" s="351" t="s">
        <v>314</v>
      </c>
      <c r="B100" s="329">
        <v>2724.9999917847999</v>
      </c>
      <c r="C100" s="329">
        <v>2232.4823200000001</v>
      </c>
      <c r="D100" s="330">
        <v>-492.51767178479798</v>
      </c>
      <c r="E100" s="331">
        <v>0.81925956944199996</v>
      </c>
      <c r="F100" s="329">
        <v>2495</v>
      </c>
      <c r="G100" s="330">
        <v>2495</v>
      </c>
      <c r="H100" s="332">
        <v>154.08241000000001</v>
      </c>
      <c r="I100" s="329">
        <v>2371.9464600000001</v>
      </c>
      <c r="J100" s="330">
        <v>-123.053540000002</v>
      </c>
      <c r="K100" s="333">
        <v>0.95067994388699995</v>
      </c>
    </row>
    <row r="101" spans="1:11" ht="14.4" customHeight="1" thickBot="1" x14ac:dyDescent="0.35">
      <c r="A101" s="351" t="s">
        <v>315</v>
      </c>
      <c r="B101" s="329">
        <v>4706.9999829471999</v>
      </c>
      <c r="C101" s="329">
        <v>3972.6181900000001</v>
      </c>
      <c r="D101" s="330">
        <v>-734.38179294720305</v>
      </c>
      <c r="E101" s="331">
        <v>0.84398092296399996</v>
      </c>
      <c r="F101" s="329">
        <v>4508</v>
      </c>
      <c r="G101" s="330">
        <v>4508</v>
      </c>
      <c r="H101" s="332">
        <v>305.35933999999997</v>
      </c>
      <c r="I101" s="329">
        <v>4816.0783899999997</v>
      </c>
      <c r="J101" s="330">
        <v>308.07839000000001</v>
      </c>
      <c r="K101" s="333">
        <v>1.068340370452</v>
      </c>
    </row>
    <row r="102" spans="1:11" ht="14.4" customHeight="1" thickBot="1" x14ac:dyDescent="0.35">
      <c r="A102" s="350" t="s">
        <v>316</v>
      </c>
      <c r="B102" s="334">
        <v>0</v>
      </c>
      <c r="C102" s="334">
        <v>335.70366000000001</v>
      </c>
      <c r="D102" s="335">
        <v>335.70366000000001</v>
      </c>
      <c r="E102" s="336" t="s">
        <v>222</v>
      </c>
      <c r="F102" s="334">
        <v>0</v>
      </c>
      <c r="G102" s="335">
        <v>0</v>
      </c>
      <c r="H102" s="337">
        <v>0</v>
      </c>
      <c r="I102" s="334">
        <v>492.32923</v>
      </c>
      <c r="J102" s="335">
        <v>492.32923</v>
      </c>
      <c r="K102" s="341" t="s">
        <v>222</v>
      </c>
    </row>
    <row r="103" spans="1:11" ht="14.4" customHeight="1" thickBot="1" x14ac:dyDescent="0.35">
      <c r="A103" s="351" t="s">
        <v>317</v>
      </c>
      <c r="B103" s="329">
        <v>0</v>
      </c>
      <c r="C103" s="329">
        <v>185.40097</v>
      </c>
      <c r="D103" s="330">
        <v>185.40097</v>
      </c>
      <c r="E103" s="339" t="s">
        <v>228</v>
      </c>
      <c r="F103" s="329">
        <v>0</v>
      </c>
      <c r="G103" s="330">
        <v>0</v>
      </c>
      <c r="H103" s="332">
        <v>0</v>
      </c>
      <c r="I103" s="329">
        <v>17.632930000000002</v>
      </c>
      <c r="J103" s="330">
        <v>17.632930000000002</v>
      </c>
      <c r="K103" s="342" t="s">
        <v>222</v>
      </c>
    </row>
    <row r="104" spans="1:11" ht="14.4" customHeight="1" thickBot="1" x14ac:dyDescent="0.35">
      <c r="A104" s="351" t="s">
        <v>318</v>
      </c>
      <c r="B104" s="329">
        <v>0</v>
      </c>
      <c r="C104" s="329">
        <v>150.30269000000001</v>
      </c>
      <c r="D104" s="330">
        <v>150.30269000000001</v>
      </c>
      <c r="E104" s="339" t="s">
        <v>222</v>
      </c>
      <c r="F104" s="329">
        <v>0</v>
      </c>
      <c r="G104" s="330">
        <v>0</v>
      </c>
      <c r="H104" s="332">
        <v>0</v>
      </c>
      <c r="I104" s="329">
        <v>474.69630000000001</v>
      </c>
      <c r="J104" s="330">
        <v>474.69630000000001</v>
      </c>
      <c r="K104" s="342" t="s">
        <v>222</v>
      </c>
    </row>
    <row r="105" spans="1:11" ht="14.4" customHeight="1" thickBot="1" x14ac:dyDescent="0.35">
      <c r="A105" s="348" t="s">
        <v>319</v>
      </c>
      <c r="B105" s="329">
        <v>54.854116411581998</v>
      </c>
      <c r="C105" s="329">
        <v>63.37285</v>
      </c>
      <c r="D105" s="330">
        <v>8.5187335884179998</v>
      </c>
      <c r="E105" s="331">
        <v>1.1552979820960001</v>
      </c>
      <c r="F105" s="329">
        <v>45.854937929517</v>
      </c>
      <c r="G105" s="330">
        <v>45.854937929517</v>
      </c>
      <c r="H105" s="332">
        <v>2.2313100000000001</v>
      </c>
      <c r="I105" s="329">
        <v>48.561019999999999</v>
      </c>
      <c r="J105" s="330">
        <v>2.7060820704820001</v>
      </c>
      <c r="K105" s="333">
        <v>1.059013973034</v>
      </c>
    </row>
    <row r="106" spans="1:11" ht="14.4" customHeight="1" thickBot="1" x14ac:dyDescent="0.35">
      <c r="A106" s="349" t="s">
        <v>320</v>
      </c>
      <c r="B106" s="329">
        <v>8.999178482064</v>
      </c>
      <c r="C106" s="329">
        <v>2.2114099999999999</v>
      </c>
      <c r="D106" s="330">
        <v>-6.7877684820640001</v>
      </c>
      <c r="E106" s="331">
        <v>0.245734652824</v>
      </c>
      <c r="F106" s="329">
        <v>0</v>
      </c>
      <c r="G106" s="330">
        <v>0</v>
      </c>
      <c r="H106" s="332">
        <v>0</v>
      </c>
      <c r="I106" s="329">
        <v>0</v>
      </c>
      <c r="J106" s="330">
        <v>0</v>
      </c>
      <c r="K106" s="342" t="s">
        <v>222</v>
      </c>
    </row>
    <row r="107" spans="1:11" ht="14.4" customHeight="1" thickBot="1" x14ac:dyDescent="0.35">
      <c r="A107" s="350" t="s">
        <v>321</v>
      </c>
      <c r="B107" s="334">
        <v>8.999178482064</v>
      </c>
      <c r="C107" s="334">
        <v>2.2114099999999999</v>
      </c>
      <c r="D107" s="335">
        <v>-6.7877684820640001</v>
      </c>
      <c r="E107" s="340">
        <v>0.245734652824</v>
      </c>
      <c r="F107" s="334">
        <v>0</v>
      </c>
      <c r="G107" s="335">
        <v>0</v>
      </c>
      <c r="H107" s="337">
        <v>0</v>
      </c>
      <c r="I107" s="334">
        <v>0</v>
      </c>
      <c r="J107" s="335">
        <v>0</v>
      </c>
      <c r="K107" s="341" t="s">
        <v>222</v>
      </c>
    </row>
    <row r="108" spans="1:11" ht="14.4" customHeight="1" thickBot="1" x14ac:dyDescent="0.35">
      <c r="A108" s="351" t="s">
        <v>322</v>
      </c>
      <c r="B108" s="329">
        <v>0</v>
      </c>
      <c r="C108" s="329">
        <v>1.8149999999999999</v>
      </c>
      <c r="D108" s="330">
        <v>1.8149999999999999</v>
      </c>
      <c r="E108" s="339" t="s">
        <v>222</v>
      </c>
      <c r="F108" s="329">
        <v>0</v>
      </c>
      <c r="G108" s="330">
        <v>0</v>
      </c>
      <c r="H108" s="332">
        <v>0</v>
      </c>
      <c r="I108" s="329">
        <v>0</v>
      </c>
      <c r="J108" s="330">
        <v>0</v>
      </c>
      <c r="K108" s="342" t="s">
        <v>222</v>
      </c>
    </row>
    <row r="109" spans="1:11" ht="14.4" customHeight="1" thickBot="1" x14ac:dyDescent="0.35">
      <c r="A109" s="351" t="s">
        <v>323</v>
      </c>
      <c r="B109" s="329">
        <v>0</v>
      </c>
      <c r="C109" s="329">
        <v>0.39640999999999998</v>
      </c>
      <c r="D109" s="330">
        <v>0.39640999999999998</v>
      </c>
      <c r="E109" s="339" t="s">
        <v>222</v>
      </c>
      <c r="F109" s="329">
        <v>0</v>
      </c>
      <c r="G109" s="330">
        <v>0</v>
      </c>
      <c r="H109" s="332">
        <v>0</v>
      </c>
      <c r="I109" s="329">
        <v>0</v>
      </c>
      <c r="J109" s="330">
        <v>0</v>
      </c>
      <c r="K109" s="342" t="s">
        <v>222</v>
      </c>
    </row>
    <row r="110" spans="1:11" ht="14.4" customHeight="1" thickBot="1" x14ac:dyDescent="0.35">
      <c r="A110" s="354" t="s">
        <v>324</v>
      </c>
      <c r="B110" s="334">
        <v>45.854937929517</v>
      </c>
      <c r="C110" s="334">
        <v>61.161439999999999</v>
      </c>
      <c r="D110" s="335">
        <v>15.306502070482001</v>
      </c>
      <c r="E110" s="340">
        <v>1.333802699591</v>
      </c>
      <c r="F110" s="334">
        <v>45.854937929517</v>
      </c>
      <c r="G110" s="335">
        <v>45.854937929517</v>
      </c>
      <c r="H110" s="337">
        <v>2.2313100000000001</v>
      </c>
      <c r="I110" s="334">
        <v>48.561019999999999</v>
      </c>
      <c r="J110" s="335">
        <v>2.7060820704820001</v>
      </c>
      <c r="K110" s="338">
        <v>1.059013973034</v>
      </c>
    </row>
    <row r="111" spans="1:11" ht="14.4" customHeight="1" thickBot="1" x14ac:dyDescent="0.35">
      <c r="A111" s="350" t="s">
        <v>325</v>
      </c>
      <c r="B111" s="334">
        <v>0</v>
      </c>
      <c r="C111" s="334">
        <v>0.34</v>
      </c>
      <c r="D111" s="335">
        <v>0.34</v>
      </c>
      <c r="E111" s="336" t="s">
        <v>228</v>
      </c>
      <c r="F111" s="334">
        <v>0</v>
      </c>
      <c r="G111" s="335">
        <v>0</v>
      </c>
      <c r="H111" s="337">
        <v>0</v>
      </c>
      <c r="I111" s="334">
        <v>0</v>
      </c>
      <c r="J111" s="335">
        <v>0</v>
      </c>
      <c r="K111" s="341" t="s">
        <v>222</v>
      </c>
    </row>
    <row r="112" spans="1:11" ht="14.4" customHeight="1" thickBot="1" x14ac:dyDescent="0.35">
      <c r="A112" s="351" t="s">
        <v>326</v>
      </c>
      <c r="B112" s="329">
        <v>0</v>
      </c>
      <c r="C112" s="329">
        <v>0.34</v>
      </c>
      <c r="D112" s="330">
        <v>0.34</v>
      </c>
      <c r="E112" s="339" t="s">
        <v>228</v>
      </c>
      <c r="F112" s="329">
        <v>0</v>
      </c>
      <c r="G112" s="330">
        <v>0</v>
      </c>
      <c r="H112" s="332">
        <v>0</v>
      </c>
      <c r="I112" s="329">
        <v>0</v>
      </c>
      <c r="J112" s="330">
        <v>0</v>
      </c>
      <c r="K112" s="342" t="s">
        <v>222</v>
      </c>
    </row>
    <row r="113" spans="1:11" ht="14.4" customHeight="1" thickBot="1" x14ac:dyDescent="0.35">
      <c r="A113" s="350" t="s">
        <v>327</v>
      </c>
      <c r="B113" s="334">
        <v>0</v>
      </c>
      <c r="C113" s="334">
        <v>5.08012</v>
      </c>
      <c r="D113" s="335">
        <v>5.08012</v>
      </c>
      <c r="E113" s="336" t="s">
        <v>222</v>
      </c>
      <c r="F113" s="334">
        <v>0</v>
      </c>
      <c r="G113" s="335">
        <v>0</v>
      </c>
      <c r="H113" s="337">
        <v>0</v>
      </c>
      <c r="I113" s="334">
        <v>-1.9000000000000001E-4</v>
      </c>
      <c r="J113" s="335">
        <v>-1.9000000000000001E-4</v>
      </c>
      <c r="K113" s="341" t="s">
        <v>222</v>
      </c>
    </row>
    <row r="114" spans="1:11" ht="14.4" customHeight="1" thickBot="1" x14ac:dyDescent="0.35">
      <c r="A114" s="351" t="s">
        <v>328</v>
      </c>
      <c r="B114" s="329">
        <v>0</v>
      </c>
      <c r="C114" s="329">
        <v>1.2E-4</v>
      </c>
      <c r="D114" s="330">
        <v>1.2E-4</v>
      </c>
      <c r="E114" s="339" t="s">
        <v>222</v>
      </c>
      <c r="F114" s="329">
        <v>0</v>
      </c>
      <c r="G114" s="330">
        <v>0</v>
      </c>
      <c r="H114" s="332">
        <v>0</v>
      </c>
      <c r="I114" s="329">
        <v>-1.9000000000000001E-4</v>
      </c>
      <c r="J114" s="330">
        <v>-1.9000000000000001E-4</v>
      </c>
      <c r="K114" s="342" t="s">
        <v>222</v>
      </c>
    </row>
    <row r="115" spans="1:11" ht="14.4" customHeight="1" thickBot="1" x14ac:dyDescent="0.35">
      <c r="A115" s="351" t="s">
        <v>329</v>
      </c>
      <c r="B115" s="329">
        <v>0</v>
      </c>
      <c r="C115" s="329">
        <v>5.08</v>
      </c>
      <c r="D115" s="330">
        <v>5.08</v>
      </c>
      <c r="E115" s="339" t="s">
        <v>228</v>
      </c>
      <c r="F115" s="329">
        <v>0</v>
      </c>
      <c r="G115" s="330">
        <v>0</v>
      </c>
      <c r="H115" s="332">
        <v>0</v>
      </c>
      <c r="I115" s="329">
        <v>0</v>
      </c>
      <c r="J115" s="330">
        <v>0</v>
      </c>
      <c r="K115" s="342" t="s">
        <v>222</v>
      </c>
    </row>
    <row r="116" spans="1:11" ht="14.4" customHeight="1" thickBot="1" x14ac:dyDescent="0.35">
      <c r="A116" s="350" t="s">
        <v>330</v>
      </c>
      <c r="B116" s="334">
        <v>45.854937929517</v>
      </c>
      <c r="C116" s="334">
        <v>55.741320000000002</v>
      </c>
      <c r="D116" s="335">
        <v>9.886382070482</v>
      </c>
      <c r="E116" s="340">
        <v>1.2156012529260001</v>
      </c>
      <c r="F116" s="334">
        <v>45.854937929517</v>
      </c>
      <c r="G116" s="335">
        <v>45.854937929517</v>
      </c>
      <c r="H116" s="337">
        <v>2.2313100000000001</v>
      </c>
      <c r="I116" s="334">
        <v>48.561210000000003</v>
      </c>
      <c r="J116" s="335">
        <v>2.706272070482</v>
      </c>
      <c r="K116" s="338">
        <v>1.059018116536</v>
      </c>
    </row>
    <row r="117" spans="1:11" ht="14.4" customHeight="1" thickBot="1" x14ac:dyDescent="0.35">
      <c r="A117" s="351" t="s">
        <v>331</v>
      </c>
      <c r="B117" s="329">
        <v>0</v>
      </c>
      <c r="C117" s="329">
        <v>1.48752</v>
      </c>
      <c r="D117" s="330">
        <v>1.48752</v>
      </c>
      <c r="E117" s="339" t="s">
        <v>228</v>
      </c>
      <c r="F117" s="329">
        <v>0</v>
      </c>
      <c r="G117" s="330">
        <v>0</v>
      </c>
      <c r="H117" s="332">
        <v>0</v>
      </c>
      <c r="I117" s="329">
        <v>-1.48752</v>
      </c>
      <c r="J117" s="330">
        <v>-1.48752</v>
      </c>
      <c r="K117" s="342" t="s">
        <v>228</v>
      </c>
    </row>
    <row r="118" spans="1:11" ht="14.4" customHeight="1" thickBot="1" x14ac:dyDescent="0.35">
      <c r="A118" s="351" t="s">
        <v>332</v>
      </c>
      <c r="B118" s="329">
        <v>45.854937929517</v>
      </c>
      <c r="C118" s="329">
        <v>54.253799999999998</v>
      </c>
      <c r="D118" s="330">
        <v>8.3988620704820001</v>
      </c>
      <c r="E118" s="331">
        <v>1.1831615623030001</v>
      </c>
      <c r="F118" s="329">
        <v>45.854937929517</v>
      </c>
      <c r="G118" s="330">
        <v>45.854937929517</v>
      </c>
      <c r="H118" s="332">
        <v>2.2313100000000001</v>
      </c>
      <c r="I118" s="329">
        <v>50.048729999999999</v>
      </c>
      <c r="J118" s="330">
        <v>4.193792070482</v>
      </c>
      <c r="K118" s="333">
        <v>1.091457807159</v>
      </c>
    </row>
    <row r="119" spans="1:11" ht="14.4" customHeight="1" thickBot="1" x14ac:dyDescent="0.35">
      <c r="A119" s="347" t="s">
        <v>333</v>
      </c>
      <c r="B119" s="329">
        <v>1109.6533070524499</v>
      </c>
      <c r="C119" s="329">
        <v>893.32807000000003</v>
      </c>
      <c r="D119" s="330">
        <v>-216.32523705245001</v>
      </c>
      <c r="E119" s="331">
        <v>0.80505150962200001</v>
      </c>
      <c r="F119" s="329">
        <v>1142.00028352708</v>
      </c>
      <c r="G119" s="330">
        <v>1142.00028352708</v>
      </c>
      <c r="H119" s="332">
        <v>114.48533999999999</v>
      </c>
      <c r="I119" s="329">
        <v>1086.4533200000001</v>
      </c>
      <c r="J119" s="330">
        <v>-55.546963527076002</v>
      </c>
      <c r="K119" s="333">
        <v>0.95135993893399995</v>
      </c>
    </row>
    <row r="120" spans="1:11" ht="14.4" customHeight="1" thickBot="1" x14ac:dyDescent="0.35">
      <c r="A120" s="352" t="s">
        <v>334</v>
      </c>
      <c r="B120" s="334">
        <v>1109.6533070524499</v>
      </c>
      <c r="C120" s="334">
        <v>893.32807000000003</v>
      </c>
      <c r="D120" s="335">
        <v>-216.32523705245001</v>
      </c>
      <c r="E120" s="340">
        <v>0.80505150962200001</v>
      </c>
      <c r="F120" s="334">
        <v>1142.00028352708</v>
      </c>
      <c r="G120" s="335">
        <v>1142.00028352708</v>
      </c>
      <c r="H120" s="337">
        <v>114.48533999999999</v>
      </c>
      <c r="I120" s="334">
        <v>1086.4533200000001</v>
      </c>
      <c r="J120" s="335">
        <v>-55.546963527076002</v>
      </c>
      <c r="K120" s="338">
        <v>0.95135993893399995</v>
      </c>
    </row>
    <row r="121" spans="1:11" ht="14.4" customHeight="1" thickBot="1" x14ac:dyDescent="0.35">
      <c r="A121" s="354" t="s">
        <v>31</v>
      </c>
      <c r="B121" s="334">
        <v>1109.6533070524499</v>
      </c>
      <c r="C121" s="334">
        <v>893.32807000000003</v>
      </c>
      <c r="D121" s="335">
        <v>-216.32523705245001</v>
      </c>
      <c r="E121" s="340">
        <v>0.80505150962200001</v>
      </c>
      <c r="F121" s="334">
        <v>1142.00028352708</v>
      </c>
      <c r="G121" s="335">
        <v>1142.00028352708</v>
      </c>
      <c r="H121" s="337">
        <v>114.48533999999999</v>
      </c>
      <c r="I121" s="334">
        <v>1086.4533200000001</v>
      </c>
      <c r="J121" s="335">
        <v>-55.546963527076002</v>
      </c>
      <c r="K121" s="338">
        <v>0.95135993893399995</v>
      </c>
    </row>
    <row r="122" spans="1:11" ht="14.4" customHeight="1" thickBot="1" x14ac:dyDescent="0.35">
      <c r="A122" s="350" t="s">
        <v>335</v>
      </c>
      <c r="B122" s="334">
        <v>4.9999999999989999</v>
      </c>
      <c r="C122" s="334">
        <v>5.1791999999999998</v>
      </c>
      <c r="D122" s="335">
        <v>0.1792</v>
      </c>
      <c r="E122" s="340">
        <v>1.0358400000000001</v>
      </c>
      <c r="F122" s="334">
        <v>3</v>
      </c>
      <c r="G122" s="335">
        <v>3</v>
      </c>
      <c r="H122" s="337">
        <v>0.43159999999999998</v>
      </c>
      <c r="I122" s="334">
        <v>5.1791999999999998</v>
      </c>
      <c r="J122" s="335">
        <v>2.1791999999999998</v>
      </c>
      <c r="K122" s="338">
        <v>1.7263999999999999</v>
      </c>
    </row>
    <row r="123" spans="1:11" ht="14.4" customHeight="1" thickBot="1" x14ac:dyDescent="0.35">
      <c r="A123" s="351" t="s">
        <v>336</v>
      </c>
      <c r="B123" s="329">
        <v>4.9999999999989999</v>
      </c>
      <c r="C123" s="329">
        <v>5.1791999999999998</v>
      </c>
      <c r="D123" s="330">
        <v>0.1792</v>
      </c>
      <c r="E123" s="331">
        <v>1.0358400000000001</v>
      </c>
      <c r="F123" s="329">
        <v>3</v>
      </c>
      <c r="G123" s="330">
        <v>3</v>
      </c>
      <c r="H123" s="332">
        <v>0.43159999999999998</v>
      </c>
      <c r="I123" s="329">
        <v>5.1791999999999998</v>
      </c>
      <c r="J123" s="330">
        <v>2.1791999999999998</v>
      </c>
      <c r="K123" s="333">
        <v>1.7263999999999999</v>
      </c>
    </row>
    <row r="124" spans="1:11" ht="14.4" customHeight="1" thickBot="1" x14ac:dyDescent="0.35">
      <c r="A124" s="350" t="s">
        <v>337</v>
      </c>
      <c r="B124" s="334">
        <v>2.8827012321969998</v>
      </c>
      <c r="C124" s="334">
        <v>1.3</v>
      </c>
      <c r="D124" s="335">
        <v>-1.582701232197</v>
      </c>
      <c r="E124" s="340">
        <v>0.45096591539899999</v>
      </c>
      <c r="F124" s="334">
        <v>2.0002835270760002</v>
      </c>
      <c r="G124" s="335">
        <v>2.0002835270760002</v>
      </c>
      <c r="H124" s="337">
        <v>0</v>
      </c>
      <c r="I124" s="334">
        <v>1.7350000000000001</v>
      </c>
      <c r="J124" s="335">
        <v>-0.265283527076</v>
      </c>
      <c r="K124" s="338">
        <v>0.86737703756200002</v>
      </c>
    </row>
    <row r="125" spans="1:11" ht="14.4" customHeight="1" thickBot="1" x14ac:dyDescent="0.35">
      <c r="A125" s="351" t="s">
        <v>338</v>
      </c>
      <c r="B125" s="329">
        <v>2.8827012321969998</v>
      </c>
      <c r="C125" s="329">
        <v>1.3</v>
      </c>
      <c r="D125" s="330">
        <v>-1.582701232197</v>
      </c>
      <c r="E125" s="331">
        <v>0.45096591539899999</v>
      </c>
      <c r="F125" s="329">
        <v>2.0002835270760002</v>
      </c>
      <c r="G125" s="330">
        <v>2.0002835270760002</v>
      </c>
      <c r="H125" s="332">
        <v>0</v>
      </c>
      <c r="I125" s="329">
        <v>1.7350000000000001</v>
      </c>
      <c r="J125" s="330">
        <v>-0.265283527076</v>
      </c>
      <c r="K125" s="333">
        <v>0.86737703756200002</v>
      </c>
    </row>
    <row r="126" spans="1:11" ht="14.4" customHeight="1" thickBot="1" x14ac:dyDescent="0.35">
      <c r="A126" s="350" t="s">
        <v>339</v>
      </c>
      <c r="B126" s="334">
        <v>0</v>
      </c>
      <c r="C126" s="334">
        <v>0.51200000000000001</v>
      </c>
      <c r="D126" s="335">
        <v>0.51200000000000001</v>
      </c>
      <c r="E126" s="336" t="s">
        <v>222</v>
      </c>
      <c r="F126" s="334">
        <v>0</v>
      </c>
      <c r="G126" s="335">
        <v>0</v>
      </c>
      <c r="H126" s="337">
        <v>0</v>
      </c>
      <c r="I126" s="334">
        <v>0.36399999999999999</v>
      </c>
      <c r="J126" s="335">
        <v>0.36399999999999999</v>
      </c>
      <c r="K126" s="341" t="s">
        <v>228</v>
      </c>
    </row>
    <row r="127" spans="1:11" ht="14.4" customHeight="1" thickBot="1" x14ac:dyDescent="0.35">
      <c r="A127" s="351" t="s">
        <v>340</v>
      </c>
      <c r="B127" s="329">
        <v>0</v>
      </c>
      <c r="C127" s="329">
        <v>0.51200000000000001</v>
      </c>
      <c r="D127" s="330">
        <v>0.51200000000000001</v>
      </c>
      <c r="E127" s="339" t="s">
        <v>222</v>
      </c>
      <c r="F127" s="329">
        <v>0</v>
      </c>
      <c r="G127" s="330">
        <v>0</v>
      </c>
      <c r="H127" s="332">
        <v>0</v>
      </c>
      <c r="I127" s="329">
        <v>0.36399999999999999</v>
      </c>
      <c r="J127" s="330">
        <v>0.36399999999999999</v>
      </c>
      <c r="K127" s="342" t="s">
        <v>228</v>
      </c>
    </row>
    <row r="128" spans="1:11" ht="14.4" customHeight="1" thickBot="1" x14ac:dyDescent="0.35">
      <c r="A128" s="350" t="s">
        <v>341</v>
      </c>
      <c r="B128" s="334">
        <v>282.99999999999602</v>
      </c>
      <c r="C128" s="334">
        <v>251.11569</v>
      </c>
      <c r="D128" s="335">
        <v>-31.884309999995999</v>
      </c>
      <c r="E128" s="340">
        <v>0.88733459363900002</v>
      </c>
      <c r="F128" s="334">
        <v>349</v>
      </c>
      <c r="G128" s="335">
        <v>349</v>
      </c>
      <c r="H128" s="337">
        <v>36.970579999999998</v>
      </c>
      <c r="I128" s="334">
        <v>306.04710999999998</v>
      </c>
      <c r="J128" s="335">
        <v>-42.952889999999996</v>
      </c>
      <c r="K128" s="338">
        <v>0.87692581661799995</v>
      </c>
    </row>
    <row r="129" spans="1:11" ht="14.4" customHeight="1" thickBot="1" x14ac:dyDescent="0.35">
      <c r="A129" s="351" t="s">
        <v>342</v>
      </c>
      <c r="B129" s="329">
        <v>282.99999999999602</v>
      </c>
      <c r="C129" s="329">
        <v>251.11569</v>
      </c>
      <c r="D129" s="330">
        <v>-31.884309999995999</v>
      </c>
      <c r="E129" s="331">
        <v>0.88733459363900002</v>
      </c>
      <c r="F129" s="329">
        <v>349</v>
      </c>
      <c r="G129" s="330">
        <v>349</v>
      </c>
      <c r="H129" s="332">
        <v>36.970579999999998</v>
      </c>
      <c r="I129" s="329">
        <v>306.04710999999998</v>
      </c>
      <c r="J129" s="330">
        <v>-42.952889999999996</v>
      </c>
      <c r="K129" s="333">
        <v>0.87692581661799995</v>
      </c>
    </row>
    <row r="130" spans="1:11" ht="14.4" customHeight="1" thickBot="1" x14ac:dyDescent="0.35">
      <c r="A130" s="350" t="s">
        <v>343</v>
      </c>
      <c r="B130" s="334">
        <v>816.99999999999</v>
      </c>
      <c r="C130" s="334">
        <v>635.22118</v>
      </c>
      <c r="D130" s="335">
        <v>-181.77881999998999</v>
      </c>
      <c r="E130" s="340">
        <v>0.777504504283</v>
      </c>
      <c r="F130" s="334">
        <v>788</v>
      </c>
      <c r="G130" s="335">
        <v>788</v>
      </c>
      <c r="H130" s="337">
        <v>77.083160000000007</v>
      </c>
      <c r="I130" s="334">
        <v>773.12801000000002</v>
      </c>
      <c r="J130" s="335">
        <v>-14.871989999999</v>
      </c>
      <c r="K130" s="338">
        <v>0.98112691624299997</v>
      </c>
    </row>
    <row r="131" spans="1:11" ht="14.4" customHeight="1" thickBot="1" x14ac:dyDescent="0.35">
      <c r="A131" s="351" t="s">
        <v>344</v>
      </c>
      <c r="B131" s="329">
        <v>816.99999999999</v>
      </c>
      <c r="C131" s="329">
        <v>635.22118</v>
      </c>
      <c r="D131" s="330">
        <v>-181.77881999998999</v>
      </c>
      <c r="E131" s="331">
        <v>0.777504504283</v>
      </c>
      <c r="F131" s="329">
        <v>788</v>
      </c>
      <c r="G131" s="330">
        <v>788</v>
      </c>
      <c r="H131" s="332">
        <v>77.083160000000007</v>
      </c>
      <c r="I131" s="329">
        <v>773.12801000000002</v>
      </c>
      <c r="J131" s="330">
        <v>-14.871989999999</v>
      </c>
      <c r="K131" s="333">
        <v>0.98112691624299997</v>
      </c>
    </row>
    <row r="132" spans="1:11" ht="14.4" customHeight="1" thickBot="1" x14ac:dyDescent="0.35">
      <c r="A132" s="355"/>
      <c r="B132" s="329">
        <v>153.12421378356399</v>
      </c>
      <c r="C132" s="329">
        <v>-1141.8188299999999</v>
      </c>
      <c r="D132" s="330">
        <v>-1294.9430437835699</v>
      </c>
      <c r="E132" s="331">
        <v>-7.456814319477</v>
      </c>
      <c r="F132" s="329">
        <v>-1299.63495677175</v>
      </c>
      <c r="G132" s="330">
        <v>-1299.63495677175</v>
      </c>
      <c r="H132" s="332">
        <v>-236.51089999999999</v>
      </c>
      <c r="I132" s="329">
        <v>-507.44454000000201</v>
      </c>
      <c r="J132" s="330">
        <v>792.19041677174403</v>
      </c>
      <c r="K132" s="333">
        <v>0.39045159362300003</v>
      </c>
    </row>
    <row r="133" spans="1:11" ht="14.4" customHeight="1" thickBot="1" x14ac:dyDescent="0.35">
      <c r="A133" s="356" t="s">
        <v>43</v>
      </c>
      <c r="B133" s="343">
        <v>153.12421378356601</v>
      </c>
      <c r="C133" s="343">
        <v>-1141.8188299999999</v>
      </c>
      <c r="D133" s="344">
        <v>-1294.9430437835699</v>
      </c>
      <c r="E133" s="345">
        <v>-1.0224804194299999</v>
      </c>
      <c r="F133" s="343">
        <v>-1299.63495677175</v>
      </c>
      <c r="G133" s="344">
        <v>-1299.63495677175</v>
      </c>
      <c r="H133" s="343">
        <v>-236.51089999999999</v>
      </c>
      <c r="I133" s="343">
        <v>-507.44454000000002</v>
      </c>
      <c r="J133" s="344">
        <v>792.19041677174505</v>
      </c>
      <c r="K133" s="346">
        <v>0.39045159362300003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8" customWidth="1"/>
    <col min="2" max="2" width="61.109375" style="178" customWidth="1"/>
    <col min="3" max="3" width="9.5546875" style="102" customWidth="1"/>
    <col min="4" max="4" width="9.5546875" style="179" customWidth="1"/>
    <col min="5" max="5" width="2.21875" style="179" customWidth="1"/>
    <col min="6" max="6" width="9.5546875" style="180" customWidth="1"/>
    <col min="7" max="7" width="9.5546875" style="177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303" t="s">
        <v>105</v>
      </c>
      <c r="B1" s="304"/>
      <c r="C1" s="304"/>
      <c r="D1" s="304"/>
      <c r="E1" s="304"/>
      <c r="F1" s="304"/>
      <c r="G1" s="275"/>
      <c r="H1" s="305"/>
      <c r="I1" s="305"/>
    </row>
    <row r="2" spans="1:10" ht="14.4" customHeight="1" thickBot="1" x14ac:dyDescent="0.35">
      <c r="A2" s="195" t="s">
        <v>221</v>
      </c>
      <c r="B2" s="176"/>
      <c r="C2" s="176"/>
      <c r="D2" s="176"/>
      <c r="E2" s="176"/>
      <c r="F2" s="176"/>
    </row>
    <row r="3" spans="1:10" ht="14.4" customHeight="1" thickBot="1" x14ac:dyDescent="0.35">
      <c r="A3" s="195"/>
      <c r="B3" s="176"/>
      <c r="C3" s="253">
        <v>2012</v>
      </c>
      <c r="D3" s="254">
        <v>2013</v>
      </c>
      <c r="E3" s="7"/>
      <c r="F3" s="298">
        <v>2014</v>
      </c>
      <c r="G3" s="299"/>
      <c r="H3" s="299"/>
      <c r="I3" s="300"/>
    </row>
    <row r="4" spans="1:10" ht="14.4" customHeight="1" thickBot="1" x14ac:dyDescent="0.35">
      <c r="A4" s="258" t="s">
        <v>0</v>
      </c>
      <c r="B4" s="259" t="s">
        <v>217</v>
      </c>
      <c r="C4" s="301" t="s">
        <v>50</v>
      </c>
      <c r="D4" s="302"/>
      <c r="E4" s="260"/>
      <c r="F4" s="255" t="s">
        <v>50</v>
      </c>
      <c r="G4" s="256" t="s">
        <v>51</v>
      </c>
      <c r="H4" s="256" t="s">
        <v>45</v>
      </c>
      <c r="I4" s="257" t="s">
        <v>52</v>
      </c>
    </row>
    <row r="5" spans="1:10" ht="14.4" customHeight="1" x14ac:dyDescent="0.3">
      <c r="A5" s="357" t="s">
        <v>345</v>
      </c>
      <c r="B5" s="358" t="s">
        <v>346</v>
      </c>
      <c r="C5" s="359" t="s">
        <v>347</v>
      </c>
      <c r="D5" s="359" t="s">
        <v>347</v>
      </c>
      <c r="E5" s="359"/>
      <c r="F5" s="359" t="s">
        <v>347</v>
      </c>
      <c r="G5" s="359" t="s">
        <v>347</v>
      </c>
      <c r="H5" s="359" t="s">
        <v>347</v>
      </c>
      <c r="I5" s="360" t="s">
        <v>347</v>
      </c>
      <c r="J5" s="361" t="s">
        <v>46</v>
      </c>
    </row>
    <row r="6" spans="1:10" ht="14.4" customHeight="1" x14ac:dyDescent="0.3">
      <c r="A6" s="357" t="s">
        <v>345</v>
      </c>
      <c r="B6" s="358" t="s">
        <v>229</v>
      </c>
      <c r="C6" s="359" t="s">
        <v>347</v>
      </c>
      <c r="D6" s="359">
        <v>0.56330000000000002</v>
      </c>
      <c r="E6" s="359"/>
      <c r="F6" s="359">
        <v>0</v>
      </c>
      <c r="G6" s="359">
        <v>0.56372669448699997</v>
      </c>
      <c r="H6" s="359">
        <v>-0.56372669448699997</v>
      </c>
      <c r="I6" s="360">
        <v>0</v>
      </c>
      <c r="J6" s="361" t="s">
        <v>1</v>
      </c>
    </row>
    <row r="7" spans="1:10" ht="14.4" customHeight="1" x14ac:dyDescent="0.3">
      <c r="A7" s="357" t="s">
        <v>345</v>
      </c>
      <c r="B7" s="358" t="s">
        <v>348</v>
      </c>
      <c r="C7" s="359" t="s">
        <v>347</v>
      </c>
      <c r="D7" s="359">
        <v>0.56330000000000002</v>
      </c>
      <c r="E7" s="359"/>
      <c r="F7" s="359">
        <v>0</v>
      </c>
      <c r="G7" s="359">
        <v>0.56372669448699997</v>
      </c>
      <c r="H7" s="359">
        <v>-0.56372669448699997</v>
      </c>
      <c r="I7" s="360">
        <v>0</v>
      </c>
      <c r="J7" s="361" t="s">
        <v>349</v>
      </c>
    </row>
    <row r="9" spans="1:10" ht="14.4" customHeight="1" x14ac:dyDescent="0.3">
      <c r="A9" s="357" t="s">
        <v>345</v>
      </c>
      <c r="B9" s="358" t="s">
        <v>346</v>
      </c>
      <c r="C9" s="359" t="s">
        <v>347</v>
      </c>
      <c r="D9" s="359" t="s">
        <v>347</v>
      </c>
      <c r="E9" s="359"/>
      <c r="F9" s="359" t="s">
        <v>347</v>
      </c>
      <c r="G9" s="359" t="s">
        <v>347</v>
      </c>
      <c r="H9" s="359" t="s">
        <v>347</v>
      </c>
      <c r="I9" s="360" t="s">
        <v>347</v>
      </c>
      <c r="J9" s="361" t="s">
        <v>46</v>
      </c>
    </row>
    <row r="10" spans="1:10" ht="14.4" customHeight="1" x14ac:dyDescent="0.3">
      <c r="A10" s="357" t="s">
        <v>350</v>
      </c>
      <c r="B10" s="358" t="s">
        <v>351</v>
      </c>
      <c r="C10" s="359" t="s">
        <v>347</v>
      </c>
      <c r="D10" s="359" t="s">
        <v>347</v>
      </c>
      <c r="E10" s="359"/>
      <c r="F10" s="359" t="s">
        <v>347</v>
      </c>
      <c r="G10" s="359" t="s">
        <v>347</v>
      </c>
      <c r="H10" s="359" t="s">
        <v>347</v>
      </c>
      <c r="I10" s="360" t="s">
        <v>347</v>
      </c>
      <c r="J10" s="361" t="s">
        <v>0</v>
      </c>
    </row>
    <row r="11" spans="1:10" ht="14.4" customHeight="1" x14ac:dyDescent="0.3">
      <c r="A11" s="357" t="s">
        <v>350</v>
      </c>
      <c r="B11" s="358" t="s">
        <v>229</v>
      </c>
      <c r="C11" s="359" t="s">
        <v>347</v>
      </c>
      <c r="D11" s="359">
        <v>0.56330000000000002</v>
      </c>
      <c r="E11" s="359"/>
      <c r="F11" s="359">
        <v>0</v>
      </c>
      <c r="G11" s="359">
        <v>0.56372669448699997</v>
      </c>
      <c r="H11" s="359">
        <v>-0.56372669448699997</v>
      </c>
      <c r="I11" s="360">
        <v>0</v>
      </c>
      <c r="J11" s="361" t="s">
        <v>1</v>
      </c>
    </row>
    <row r="12" spans="1:10" ht="14.4" customHeight="1" x14ac:dyDescent="0.3">
      <c r="A12" s="357" t="s">
        <v>350</v>
      </c>
      <c r="B12" s="358" t="s">
        <v>352</v>
      </c>
      <c r="C12" s="359" t="s">
        <v>347</v>
      </c>
      <c r="D12" s="359">
        <v>0.56330000000000002</v>
      </c>
      <c r="E12" s="359"/>
      <c r="F12" s="359">
        <v>0</v>
      </c>
      <c r="G12" s="359">
        <v>0.56372669448699997</v>
      </c>
      <c r="H12" s="359">
        <v>-0.56372669448699997</v>
      </c>
      <c r="I12" s="360">
        <v>0</v>
      </c>
      <c r="J12" s="361" t="s">
        <v>353</v>
      </c>
    </row>
    <row r="13" spans="1:10" ht="14.4" customHeight="1" x14ac:dyDescent="0.3">
      <c r="A13" s="357" t="s">
        <v>347</v>
      </c>
      <c r="B13" s="358" t="s">
        <v>347</v>
      </c>
      <c r="C13" s="359" t="s">
        <v>347</v>
      </c>
      <c r="D13" s="359" t="s">
        <v>347</v>
      </c>
      <c r="E13" s="359"/>
      <c r="F13" s="359" t="s">
        <v>347</v>
      </c>
      <c r="G13" s="359" t="s">
        <v>347</v>
      </c>
      <c r="H13" s="359" t="s">
        <v>347</v>
      </c>
      <c r="I13" s="360" t="s">
        <v>347</v>
      </c>
      <c r="J13" s="361" t="s">
        <v>354</v>
      </c>
    </row>
    <row r="14" spans="1:10" ht="14.4" customHeight="1" x14ac:dyDescent="0.3">
      <c r="A14" s="357" t="s">
        <v>345</v>
      </c>
      <c r="B14" s="358" t="s">
        <v>348</v>
      </c>
      <c r="C14" s="359" t="s">
        <v>347</v>
      </c>
      <c r="D14" s="359">
        <v>0.56330000000000002</v>
      </c>
      <c r="E14" s="359"/>
      <c r="F14" s="359">
        <v>0</v>
      </c>
      <c r="G14" s="359">
        <v>0.56372669448699997</v>
      </c>
      <c r="H14" s="359">
        <v>-0.56372669448699997</v>
      </c>
      <c r="I14" s="360">
        <v>0</v>
      </c>
      <c r="J14" s="361" t="s">
        <v>349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8" customWidth="1"/>
    <col min="2" max="2" width="61.109375" style="178" customWidth="1"/>
    <col min="3" max="3" width="9.5546875" style="102" customWidth="1"/>
    <col min="4" max="4" width="9.5546875" style="179" customWidth="1"/>
    <col min="5" max="5" width="2.21875" style="179" customWidth="1"/>
    <col min="6" max="6" width="9.5546875" style="180" customWidth="1"/>
    <col min="7" max="7" width="9.5546875" style="177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303" t="s">
        <v>106</v>
      </c>
      <c r="B1" s="304"/>
      <c r="C1" s="304"/>
      <c r="D1" s="304"/>
      <c r="E1" s="304"/>
      <c r="F1" s="304"/>
      <c r="G1" s="275"/>
      <c r="H1" s="305"/>
      <c r="I1" s="305"/>
    </row>
    <row r="2" spans="1:10" ht="14.4" customHeight="1" thickBot="1" x14ac:dyDescent="0.35">
      <c r="A2" s="195" t="s">
        <v>221</v>
      </c>
      <c r="B2" s="176"/>
      <c r="C2" s="176"/>
      <c r="D2" s="176"/>
      <c r="E2" s="176"/>
      <c r="F2" s="176"/>
    </row>
    <row r="3" spans="1:10" ht="14.4" customHeight="1" thickBot="1" x14ac:dyDescent="0.35">
      <c r="A3" s="195"/>
      <c r="B3" s="176"/>
      <c r="C3" s="253">
        <v>2012</v>
      </c>
      <c r="D3" s="254">
        <v>2013</v>
      </c>
      <c r="E3" s="7"/>
      <c r="F3" s="298">
        <v>2014</v>
      </c>
      <c r="G3" s="299"/>
      <c r="H3" s="299"/>
      <c r="I3" s="300"/>
    </row>
    <row r="4" spans="1:10" ht="14.4" customHeight="1" thickBot="1" x14ac:dyDescent="0.35">
      <c r="A4" s="258" t="s">
        <v>0</v>
      </c>
      <c r="B4" s="259" t="s">
        <v>217</v>
      </c>
      <c r="C4" s="301" t="s">
        <v>50</v>
      </c>
      <c r="D4" s="302"/>
      <c r="E4" s="260"/>
      <c r="F4" s="255" t="s">
        <v>50</v>
      </c>
      <c r="G4" s="256" t="s">
        <v>51</v>
      </c>
      <c r="H4" s="256" t="s">
        <v>45</v>
      </c>
      <c r="I4" s="257" t="s">
        <v>52</v>
      </c>
    </row>
    <row r="5" spans="1:10" ht="14.4" customHeight="1" x14ac:dyDescent="0.3">
      <c r="A5" s="357" t="s">
        <v>345</v>
      </c>
      <c r="B5" s="358" t="s">
        <v>346</v>
      </c>
      <c r="C5" s="359" t="s">
        <v>347</v>
      </c>
      <c r="D5" s="359" t="s">
        <v>347</v>
      </c>
      <c r="E5" s="359"/>
      <c r="F5" s="359" t="s">
        <v>347</v>
      </c>
      <c r="G5" s="359" t="s">
        <v>347</v>
      </c>
      <c r="H5" s="359" t="s">
        <v>347</v>
      </c>
      <c r="I5" s="360" t="s">
        <v>347</v>
      </c>
      <c r="J5" s="361" t="s">
        <v>46</v>
      </c>
    </row>
    <row r="6" spans="1:10" ht="14.4" customHeight="1" x14ac:dyDescent="0.3">
      <c r="A6" s="357" t="s">
        <v>345</v>
      </c>
      <c r="B6" s="358" t="s">
        <v>231</v>
      </c>
      <c r="C6" s="359" t="s">
        <v>347</v>
      </c>
      <c r="D6" s="359">
        <v>0.18515999999999999</v>
      </c>
      <c r="E6" s="359"/>
      <c r="F6" s="359">
        <v>0</v>
      </c>
      <c r="G6" s="359">
        <v>0.18558106336800001</v>
      </c>
      <c r="H6" s="359">
        <v>-0.18558106336800001</v>
      </c>
      <c r="I6" s="360">
        <v>0</v>
      </c>
      <c r="J6" s="361" t="s">
        <v>1</v>
      </c>
    </row>
    <row r="7" spans="1:10" ht="14.4" customHeight="1" x14ac:dyDescent="0.3">
      <c r="A7" s="357" t="s">
        <v>345</v>
      </c>
      <c r="B7" s="358" t="s">
        <v>232</v>
      </c>
      <c r="C7" s="359" t="s">
        <v>347</v>
      </c>
      <c r="D7" s="359">
        <v>4.6379999999999998E-2</v>
      </c>
      <c r="E7" s="359"/>
      <c r="F7" s="359">
        <v>0</v>
      </c>
      <c r="G7" s="359">
        <v>4.6379650602999999E-2</v>
      </c>
      <c r="H7" s="359">
        <v>-4.6379650602999999E-2</v>
      </c>
      <c r="I7" s="360">
        <v>0</v>
      </c>
      <c r="J7" s="361" t="s">
        <v>1</v>
      </c>
    </row>
    <row r="8" spans="1:10" ht="14.4" customHeight="1" x14ac:dyDescent="0.3">
      <c r="A8" s="357" t="s">
        <v>345</v>
      </c>
      <c r="B8" s="358" t="s">
        <v>348</v>
      </c>
      <c r="C8" s="359" t="s">
        <v>347</v>
      </c>
      <c r="D8" s="359">
        <v>0.23154</v>
      </c>
      <c r="E8" s="359"/>
      <c r="F8" s="359">
        <v>0</v>
      </c>
      <c r="G8" s="359">
        <v>0.23196071397100002</v>
      </c>
      <c r="H8" s="359">
        <v>-0.23196071397100002</v>
      </c>
      <c r="I8" s="360">
        <v>0</v>
      </c>
      <c r="J8" s="361" t="s">
        <v>349</v>
      </c>
    </row>
    <row r="10" spans="1:10" ht="14.4" customHeight="1" x14ac:dyDescent="0.3">
      <c r="A10" s="357" t="s">
        <v>345</v>
      </c>
      <c r="B10" s="358" t="s">
        <v>346</v>
      </c>
      <c r="C10" s="359" t="s">
        <v>347</v>
      </c>
      <c r="D10" s="359" t="s">
        <v>347</v>
      </c>
      <c r="E10" s="359"/>
      <c r="F10" s="359" t="s">
        <v>347</v>
      </c>
      <c r="G10" s="359" t="s">
        <v>347</v>
      </c>
      <c r="H10" s="359" t="s">
        <v>347</v>
      </c>
      <c r="I10" s="360" t="s">
        <v>347</v>
      </c>
      <c r="J10" s="361" t="s">
        <v>46</v>
      </c>
    </row>
    <row r="11" spans="1:10" ht="14.4" customHeight="1" x14ac:dyDescent="0.3">
      <c r="A11" s="357" t="s">
        <v>350</v>
      </c>
      <c r="B11" s="358" t="s">
        <v>351</v>
      </c>
      <c r="C11" s="359" t="s">
        <v>347</v>
      </c>
      <c r="D11" s="359" t="s">
        <v>347</v>
      </c>
      <c r="E11" s="359"/>
      <c r="F11" s="359" t="s">
        <v>347</v>
      </c>
      <c r="G11" s="359" t="s">
        <v>347</v>
      </c>
      <c r="H11" s="359" t="s">
        <v>347</v>
      </c>
      <c r="I11" s="360" t="s">
        <v>347</v>
      </c>
      <c r="J11" s="361" t="s">
        <v>0</v>
      </c>
    </row>
    <row r="12" spans="1:10" ht="14.4" customHeight="1" x14ac:dyDescent="0.3">
      <c r="A12" s="357" t="s">
        <v>350</v>
      </c>
      <c r="B12" s="358" t="s">
        <v>231</v>
      </c>
      <c r="C12" s="359" t="s">
        <v>347</v>
      </c>
      <c r="D12" s="359">
        <v>0.18515999999999999</v>
      </c>
      <c r="E12" s="359"/>
      <c r="F12" s="359">
        <v>0</v>
      </c>
      <c r="G12" s="359">
        <v>0.18558106336800001</v>
      </c>
      <c r="H12" s="359">
        <v>-0.18558106336800001</v>
      </c>
      <c r="I12" s="360">
        <v>0</v>
      </c>
      <c r="J12" s="361" t="s">
        <v>1</v>
      </c>
    </row>
    <row r="13" spans="1:10" ht="14.4" customHeight="1" x14ac:dyDescent="0.3">
      <c r="A13" s="357" t="s">
        <v>350</v>
      </c>
      <c r="B13" s="358" t="s">
        <v>232</v>
      </c>
      <c r="C13" s="359" t="s">
        <v>347</v>
      </c>
      <c r="D13" s="359">
        <v>4.6379999999999998E-2</v>
      </c>
      <c r="E13" s="359"/>
      <c r="F13" s="359">
        <v>0</v>
      </c>
      <c r="G13" s="359">
        <v>4.6379650602999999E-2</v>
      </c>
      <c r="H13" s="359">
        <v>-4.6379650602999999E-2</v>
      </c>
      <c r="I13" s="360">
        <v>0</v>
      </c>
      <c r="J13" s="361" t="s">
        <v>1</v>
      </c>
    </row>
    <row r="14" spans="1:10" ht="14.4" customHeight="1" x14ac:dyDescent="0.3">
      <c r="A14" s="357" t="s">
        <v>350</v>
      </c>
      <c r="B14" s="358" t="s">
        <v>352</v>
      </c>
      <c r="C14" s="359" t="s">
        <v>347</v>
      </c>
      <c r="D14" s="359">
        <v>0.23154</v>
      </c>
      <c r="E14" s="359"/>
      <c r="F14" s="359">
        <v>0</v>
      </c>
      <c r="G14" s="359">
        <v>0.23196071397100002</v>
      </c>
      <c r="H14" s="359">
        <v>-0.23196071397100002</v>
      </c>
      <c r="I14" s="360">
        <v>0</v>
      </c>
      <c r="J14" s="361" t="s">
        <v>353</v>
      </c>
    </row>
    <row r="15" spans="1:10" ht="14.4" customHeight="1" x14ac:dyDescent="0.3">
      <c r="A15" s="357" t="s">
        <v>347</v>
      </c>
      <c r="B15" s="358" t="s">
        <v>347</v>
      </c>
      <c r="C15" s="359" t="s">
        <v>347</v>
      </c>
      <c r="D15" s="359" t="s">
        <v>347</v>
      </c>
      <c r="E15" s="359"/>
      <c r="F15" s="359" t="s">
        <v>347</v>
      </c>
      <c r="G15" s="359" t="s">
        <v>347</v>
      </c>
      <c r="H15" s="359" t="s">
        <v>347</v>
      </c>
      <c r="I15" s="360" t="s">
        <v>347</v>
      </c>
      <c r="J15" s="361" t="s">
        <v>354</v>
      </c>
    </row>
    <row r="16" spans="1:10" ht="14.4" customHeight="1" x14ac:dyDescent="0.3">
      <c r="A16" s="357" t="s">
        <v>345</v>
      </c>
      <c r="B16" s="358" t="s">
        <v>348</v>
      </c>
      <c r="C16" s="359" t="s">
        <v>347</v>
      </c>
      <c r="D16" s="359">
        <v>0.23154</v>
      </c>
      <c r="E16" s="359"/>
      <c r="F16" s="359">
        <v>0</v>
      </c>
      <c r="G16" s="359">
        <v>0.23196071397100002</v>
      </c>
      <c r="H16" s="359">
        <v>-0.23196071397100002</v>
      </c>
      <c r="I16" s="360">
        <v>0</v>
      </c>
      <c r="J16" s="361" t="s">
        <v>349</v>
      </c>
    </row>
  </sheetData>
  <mergeCells count="3">
    <mergeCell ref="A1:I1"/>
    <mergeCell ref="F3:I3"/>
    <mergeCell ref="C4:D4"/>
  </mergeCells>
  <conditionalFormatting sqref="F9 F17:F65537">
    <cfRule type="cellIs" dxfId="20" priority="18" stopIfTrue="1" operator="greaterThan">
      <formula>1</formula>
    </cfRule>
  </conditionalFormatting>
  <conditionalFormatting sqref="H5:H8">
    <cfRule type="expression" dxfId="19" priority="14">
      <formula>$H5&gt;0</formula>
    </cfRule>
  </conditionalFormatting>
  <conditionalFormatting sqref="I5:I8">
    <cfRule type="expression" dxfId="18" priority="15">
      <formula>$I5&gt;1</formula>
    </cfRule>
  </conditionalFormatting>
  <conditionalFormatting sqref="B5:B8">
    <cfRule type="expression" dxfId="17" priority="11">
      <formula>OR($J5="NS",$J5="SumaNS",$J5="Účet")</formula>
    </cfRule>
  </conditionalFormatting>
  <conditionalFormatting sqref="F5:I8 B5:D8">
    <cfRule type="expression" dxfId="16" priority="17">
      <formula>AND($J5&lt;&gt;"",$J5&lt;&gt;"mezeraKL")</formula>
    </cfRule>
  </conditionalFormatting>
  <conditionalFormatting sqref="B5:D8 F5:I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4" priority="13">
      <formula>OR($J5="SumaNS",$J5="NS")</formula>
    </cfRule>
  </conditionalFormatting>
  <conditionalFormatting sqref="A5:A8">
    <cfRule type="expression" dxfId="13" priority="9">
      <formula>AND($J5&lt;&gt;"mezeraKL",$J5&lt;&gt;"")</formula>
    </cfRule>
  </conditionalFormatting>
  <conditionalFormatting sqref="A5:A8">
    <cfRule type="expression" dxfId="12" priority="10">
      <formula>AND($J5&lt;&gt;"",$J5&lt;&gt;"mezeraKL")</formula>
    </cfRule>
  </conditionalFormatting>
  <conditionalFormatting sqref="H10:H16">
    <cfRule type="expression" dxfId="11" priority="5">
      <formula>$H10&gt;0</formula>
    </cfRule>
  </conditionalFormatting>
  <conditionalFormatting sqref="A10:A16">
    <cfRule type="expression" dxfId="10" priority="2">
      <formula>AND($J10&lt;&gt;"mezeraKL",$J10&lt;&gt;"")</formula>
    </cfRule>
  </conditionalFormatting>
  <conditionalFormatting sqref="I10:I16">
    <cfRule type="expression" dxfId="9" priority="6">
      <formula>$I10&gt;1</formula>
    </cfRule>
  </conditionalFormatting>
  <conditionalFormatting sqref="B10:B16">
    <cfRule type="expression" dxfId="8" priority="1">
      <formula>OR($J10="NS",$J10="SumaNS",$J10="Účet")</formula>
    </cfRule>
  </conditionalFormatting>
  <conditionalFormatting sqref="A10:D16 F10:I16">
    <cfRule type="expression" dxfId="7" priority="8">
      <formula>AND($J10&lt;&gt;"",$J10&lt;&gt;"mezeraKL")</formula>
    </cfRule>
  </conditionalFormatting>
  <conditionalFormatting sqref="B10:D16 F10:I16">
    <cfRule type="expression" dxfId="6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5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16" width="13.109375" hidden="1" customWidth="1"/>
    <col min="17" max="17" width="13.109375" customWidth="1"/>
    <col min="18" max="29" width="13.109375" hidden="1" customWidth="1"/>
    <col min="30" max="30" width="13.109375" customWidth="1"/>
    <col min="31" max="32" width="13.109375" hidden="1" customWidth="1"/>
    <col min="33" max="33" width="13.109375" customWidth="1"/>
  </cols>
  <sheetData>
    <row r="1" spans="1:34" ht="18.600000000000001" thickBot="1" x14ac:dyDescent="0.4">
      <c r="A1" s="306" t="s">
        <v>84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</row>
    <row r="2" spans="1:34" ht="15" thickBot="1" x14ac:dyDescent="0.35">
      <c r="A2" s="195" t="s">
        <v>221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</row>
    <row r="3" spans="1:34" x14ac:dyDescent="0.3">
      <c r="A3" s="214" t="s">
        <v>178</v>
      </c>
      <c r="B3" s="307" t="s">
        <v>159</v>
      </c>
      <c r="C3" s="197">
        <v>0</v>
      </c>
      <c r="D3" s="198">
        <v>101</v>
      </c>
      <c r="E3" s="198">
        <v>102</v>
      </c>
      <c r="F3" s="217">
        <v>305</v>
      </c>
      <c r="G3" s="217">
        <v>306</v>
      </c>
      <c r="H3" s="217">
        <v>408</v>
      </c>
      <c r="I3" s="217">
        <v>409</v>
      </c>
      <c r="J3" s="217">
        <v>410</v>
      </c>
      <c r="K3" s="217">
        <v>415</v>
      </c>
      <c r="L3" s="217">
        <v>416</v>
      </c>
      <c r="M3" s="217">
        <v>418</v>
      </c>
      <c r="N3" s="217">
        <v>419</v>
      </c>
      <c r="O3" s="217">
        <v>420</v>
      </c>
      <c r="P3" s="217">
        <v>421</v>
      </c>
      <c r="Q3" s="217">
        <v>522</v>
      </c>
      <c r="R3" s="217">
        <v>523</v>
      </c>
      <c r="S3" s="217">
        <v>524</v>
      </c>
      <c r="T3" s="217">
        <v>525</v>
      </c>
      <c r="U3" s="217">
        <v>526</v>
      </c>
      <c r="V3" s="217">
        <v>527</v>
      </c>
      <c r="W3" s="217">
        <v>528</v>
      </c>
      <c r="X3" s="217">
        <v>629</v>
      </c>
      <c r="Y3" s="217">
        <v>630</v>
      </c>
      <c r="Z3" s="217">
        <v>636</v>
      </c>
      <c r="AA3" s="217">
        <v>637</v>
      </c>
      <c r="AB3" s="217">
        <v>640</v>
      </c>
      <c r="AC3" s="217">
        <v>642</v>
      </c>
      <c r="AD3" s="217">
        <v>743</v>
      </c>
      <c r="AE3" s="198">
        <v>745</v>
      </c>
      <c r="AF3" s="198">
        <v>746</v>
      </c>
      <c r="AG3" s="371">
        <v>930</v>
      </c>
      <c r="AH3" s="387"/>
    </row>
    <row r="4" spans="1:34" ht="36.6" outlineLevel="1" thickBot="1" x14ac:dyDescent="0.35">
      <c r="A4" s="215">
        <v>2014</v>
      </c>
      <c r="B4" s="308"/>
      <c r="C4" s="199" t="s">
        <v>160</v>
      </c>
      <c r="D4" s="200" t="s">
        <v>161</v>
      </c>
      <c r="E4" s="200" t="s">
        <v>162</v>
      </c>
      <c r="F4" s="218" t="s">
        <v>190</v>
      </c>
      <c r="G4" s="218" t="s">
        <v>191</v>
      </c>
      <c r="H4" s="218" t="s">
        <v>192</v>
      </c>
      <c r="I4" s="218" t="s">
        <v>193</v>
      </c>
      <c r="J4" s="218" t="s">
        <v>194</v>
      </c>
      <c r="K4" s="218" t="s">
        <v>195</v>
      </c>
      <c r="L4" s="218" t="s">
        <v>196</v>
      </c>
      <c r="M4" s="218" t="s">
        <v>197</v>
      </c>
      <c r="N4" s="218" t="s">
        <v>198</v>
      </c>
      <c r="O4" s="218" t="s">
        <v>199</v>
      </c>
      <c r="P4" s="218" t="s">
        <v>200</v>
      </c>
      <c r="Q4" s="218" t="s">
        <v>201</v>
      </c>
      <c r="R4" s="218" t="s">
        <v>202</v>
      </c>
      <c r="S4" s="218" t="s">
        <v>203</v>
      </c>
      <c r="T4" s="218" t="s">
        <v>204</v>
      </c>
      <c r="U4" s="218" t="s">
        <v>205</v>
      </c>
      <c r="V4" s="218" t="s">
        <v>206</v>
      </c>
      <c r="W4" s="218" t="s">
        <v>215</v>
      </c>
      <c r="X4" s="218" t="s">
        <v>207</v>
      </c>
      <c r="Y4" s="218" t="s">
        <v>216</v>
      </c>
      <c r="Z4" s="218" t="s">
        <v>208</v>
      </c>
      <c r="AA4" s="218" t="s">
        <v>209</v>
      </c>
      <c r="AB4" s="218" t="s">
        <v>210</v>
      </c>
      <c r="AC4" s="218" t="s">
        <v>211</v>
      </c>
      <c r="AD4" s="218" t="s">
        <v>212</v>
      </c>
      <c r="AE4" s="200" t="s">
        <v>213</v>
      </c>
      <c r="AF4" s="200" t="s">
        <v>214</v>
      </c>
      <c r="AG4" s="372" t="s">
        <v>180</v>
      </c>
      <c r="AH4" s="387"/>
    </row>
    <row r="5" spans="1:34" x14ac:dyDescent="0.3">
      <c r="A5" s="201" t="s">
        <v>163</v>
      </c>
      <c r="B5" s="237"/>
      <c r="C5" s="238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373"/>
      <c r="AH5" s="387"/>
    </row>
    <row r="6" spans="1:34" ht="15" collapsed="1" thickBot="1" x14ac:dyDescent="0.35">
      <c r="A6" s="202" t="s">
        <v>50</v>
      </c>
      <c r="B6" s="240">
        <f xml:space="preserve">
TRUNC(IF($A$4&lt;=12,SUMIFS('ON Data'!F:F,'ON Data'!$D:$D,$A$4,'ON Data'!$E:$E,1),SUMIFS('ON Data'!F:F,'ON Data'!$E:$E,1)/'ON Data'!$D$3),1)</f>
        <v>13.4</v>
      </c>
      <c r="C6" s="241">
        <f xml:space="preserve">
TRUNC(IF($A$4&lt;=12,SUMIFS('ON Data'!G:G,'ON Data'!$D:$D,$A$4,'ON Data'!$E:$E,1),SUMIFS('ON Data'!G:G,'ON Data'!$E:$E,1)/'ON Data'!$D$3),1)</f>
        <v>0</v>
      </c>
      <c r="D6" s="242">
        <f xml:space="preserve">
TRUNC(IF($A$4&lt;=12,SUMIFS('ON Data'!H:H,'ON Data'!$D:$D,$A$4,'ON Data'!$E:$E,1),SUMIFS('ON Data'!H:H,'ON Data'!$E:$E,1)/'ON Data'!$D$3),1)</f>
        <v>0</v>
      </c>
      <c r="E6" s="242">
        <f xml:space="preserve">
TRUNC(IF($A$4&lt;=12,SUMIFS('ON Data'!I:I,'ON Data'!$D:$D,$A$4,'ON Data'!$E:$E,1),SUMIFS('ON Data'!I:I,'ON Data'!$E:$E,1)/'ON Data'!$D$3),1)</f>
        <v>0</v>
      </c>
      <c r="F6" s="242">
        <f xml:space="preserve">
TRUNC(IF($A$4&lt;=12,SUMIFS('ON Data'!K:K,'ON Data'!$D:$D,$A$4,'ON Data'!$E:$E,1),SUMIFS('ON Data'!K:K,'ON Data'!$E:$E,1)/'ON Data'!$D$3),1)</f>
        <v>0</v>
      </c>
      <c r="G6" s="242">
        <f xml:space="preserve">
TRUNC(IF($A$4&lt;=12,SUMIFS('ON Data'!L:L,'ON Data'!$D:$D,$A$4,'ON Data'!$E:$E,1),SUMIFS('ON Data'!L:L,'ON Data'!$E:$E,1)/'ON Data'!$D$3),1)</f>
        <v>0</v>
      </c>
      <c r="H6" s="242">
        <f xml:space="preserve">
TRUNC(IF($A$4&lt;=12,SUMIFS('ON Data'!M:M,'ON Data'!$D:$D,$A$4,'ON Data'!$E:$E,1),SUMIFS('ON Data'!M:M,'ON Data'!$E:$E,1)/'ON Data'!$D$3),1)</f>
        <v>0</v>
      </c>
      <c r="I6" s="242">
        <f xml:space="preserve">
TRUNC(IF($A$4&lt;=12,SUMIFS('ON Data'!N:N,'ON Data'!$D:$D,$A$4,'ON Data'!$E:$E,1),SUMIFS('ON Data'!N:N,'ON Data'!$E:$E,1)/'ON Data'!$D$3),1)</f>
        <v>0</v>
      </c>
      <c r="J6" s="242">
        <f xml:space="preserve">
TRUNC(IF($A$4&lt;=12,SUMIFS('ON Data'!O:O,'ON Data'!$D:$D,$A$4,'ON Data'!$E:$E,1),SUMIFS('ON Data'!O:O,'ON Data'!$E:$E,1)/'ON Data'!$D$3),1)</f>
        <v>0</v>
      </c>
      <c r="K6" s="242">
        <f xml:space="preserve">
TRUNC(IF($A$4&lt;=12,SUMIFS('ON Data'!P:P,'ON Data'!$D:$D,$A$4,'ON Data'!$E:$E,1),SUMIFS('ON Data'!P:P,'ON Data'!$E:$E,1)/'ON Data'!$D$3),1)</f>
        <v>0</v>
      </c>
      <c r="L6" s="242">
        <f xml:space="preserve">
TRUNC(IF($A$4&lt;=12,SUMIFS('ON Data'!Q:Q,'ON Data'!$D:$D,$A$4,'ON Data'!$E:$E,1),SUMIFS('ON Data'!Q:Q,'ON Data'!$E:$E,1)/'ON Data'!$D$3),1)</f>
        <v>0</v>
      </c>
      <c r="M6" s="242">
        <f xml:space="preserve">
TRUNC(IF($A$4&lt;=12,SUMIFS('ON Data'!R:R,'ON Data'!$D:$D,$A$4,'ON Data'!$E:$E,1),SUMIFS('ON Data'!R:R,'ON Data'!$E:$E,1)/'ON Data'!$D$3),1)</f>
        <v>0</v>
      </c>
      <c r="N6" s="242">
        <f xml:space="preserve">
TRUNC(IF($A$4&lt;=12,SUMIFS('ON Data'!S:S,'ON Data'!$D:$D,$A$4,'ON Data'!$E:$E,1),SUMIFS('ON Data'!S:S,'ON Data'!$E:$E,1)/'ON Data'!$D$3),1)</f>
        <v>0</v>
      </c>
      <c r="O6" s="242">
        <f xml:space="preserve">
TRUNC(IF($A$4&lt;=12,SUMIFS('ON Data'!T:T,'ON Data'!$D:$D,$A$4,'ON Data'!$E:$E,1),SUMIFS('ON Data'!T:T,'ON Data'!$E:$E,1)/'ON Data'!$D$3),1)</f>
        <v>0</v>
      </c>
      <c r="P6" s="242">
        <f xml:space="preserve">
TRUNC(IF($A$4&lt;=12,SUMIFS('ON Data'!U:U,'ON Data'!$D:$D,$A$4,'ON Data'!$E:$E,1),SUMIFS('ON Data'!U:U,'ON Data'!$E:$E,1)/'ON Data'!$D$3),1)</f>
        <v>0</v>
      </c>
      <c r="Q6" s="242">
        <f xml:space="preserve">
TRUNC(IF($A$4&lt;=12,SUMIFS('ON Data'!V:V,'ON Data'!$D:$D,$A$4,'ON Data'!$E:$E,1),SUMIFS('ON Data'!V:V,'ON Data'!$E:$E,1)/'ON Data'!$D$3),1)</f>
        <v>9.1999999999999993</v>
      </c>
      <c r="R6" s="242">
        <f xml:space="preserve">
TRUNC(IF($A$4&lt;=12,SUMIFS('ON Data'!W:W,'ON Data'!$D:$D,$A$4,'ON Data'!$E:$E,1),SUMIFS('ON Data'!W:W,'ON Data'!$E:$E,1)/'ON Data'!$D$3),1)</f>
        <v>0</v>
      </c>
      <c r="S6" s="242">
        <f xml:space="preserve">
TRUNC(IF($A$4&lt;=12,SUMIFS('ON Data'!X:X,'ON Data'!$D:$D,$A$4,'ON Data'!$E:$E,1),SUMIFS('ON Data'!X:X,'ON Data'!$E:$E,1)/'ON Data'!$D$3),1)</f>
        <v>0</v>
      </c>
      <c r="T6" s="242">
        <f xml:space="preserve">
TRUNC(IF($A$4&lt;=12,SUMIFS('ON Data'!Y:Y,'ON Data'!$D:$D,$A$4,'ON Data'!$E:$E,1),SUMIFS('ON Data'!Y:Y,'ON Data'!$E:$E,1)/'ON Data'!$D$3),1)</f>
        <v>0</v>
      </c>
      <c r="U6" s="242">
        <f xml:space="preserve">
TRUNC(IF($A$4&lt;=12,SUMIFS('ON Data'!Z:Z,'ON Data'!$D:$D,$A$4,'ON Data'!$E:$E,1),SUMIFS('ON Data'!Z:Z,'ON Data'!$E:$E,1)/'ON Data'!$D$3),1)</f>
        <v>0</v>
      </c>
      <c r="V6" s="242">
        <f xml:space="preserve">
TRUNC(IF($A$4&lt;=12,SUMIFS('ON Data'!AA:AA,'ON Data'!$D:$D,$A$4,'ON Data'!$E:$E,1),SUMIFS('ON Data'!AA:AA,'ON Data'!$E:$E,1)/'ON Data'!$D$3),1)</f>
        <v>0</v>
      </c>
      <c r="W6" s="242">
        <f xml:space="preserve">
TRUNC(IF($A$4&lt;=12,SUMIFS('ON Data'!AB:AB,'ON Data'!$D:$D,$A$4,'ON Data'!$E:$E,1),SUMIFS('ON Data'!AB:AB,'ON Data'!$E:$E,1)/'ON Data'!$D$3),1)</f>
        <v>0</v>
      </c>
      <c r="X6" s="242">
        <f xml:space="preserve">
TRUNC(IF($A$4&lt;=12,SUMIFS('ON Data'!AC:AC,'ON Data'!$D:$D,$A$4,'ON Data'!$E:$E,1),SUMIFS('ON Data'!AC:AC,'ON Data'!$E:$E,1)/'ON Data'!$D$3),1)</f>
        <v>0</v>
      </c>
      <c r="Y6" s="242">
        <f xml:space="preserve">
TRUNC(IF($A$4&lt;=12,SUMIFS('ON Data'!AD:AD,'ON Data'!$D:$D,$A$4,'ON Data'!$E:$E,1),SUMIFS('ON Data'!AD:AD,'ON Data'!$E:$E,1)/'ON Data'!$D$3),1)</f>
        <v>0</v>
      </c>
      <c r="Z6" s="242">
        <f xml:space="preserve">
TRUNC(IF($A$4&lt;=12,SUMIFS('ON Data'!AE:AE,'ON Data'!$D:$D,$A$4,'ON Data'!$E:$E,1),SUMIFS('ON Data'!AE:AE,'ON Data'!$E:$E,1)/'ON Data'!$D$3),1)</f>
        <v>0</v>
      </c>
      <c r="AA6" s="242">
        <f xml:space="preserve">
TRUNC(IF($A$4&lt;=12,SUMIFS('ON Data'!AF:AF,'ON Data'!$D:$D,$A$4,'ON Data'!$E:$E,1),SUMIFS('ON Data'!AF:AF,'ON Data'!$E:$E,1)/'ON Data'!$D$3),1)</f>
        <v>0</v>
      </c>
      <c r="AB6" s="242">
        <f xml:space="preserve">
TRUNC(IF($A$4&lt;=12,SUMIFS('ON Data'!AG:AG,'ON Data'!$D:$D,$A$4,'ON Data'!$E:$E,1),SUMIFS('ON Data'!AG:AG,'ON Data'!$E:$E,1)/'ON Data'!$D$3),1)</f>
        <v>0</v>
      </c>
      <c r="AC6" s="242">
        <f xml:space="preserve">
TRUNC(IF($A$4&lt;=12,SUMIFS('ON Data'!AH:AH,'ON Data'!$D:$D,$A$4,'ON Data'!$E:$E,1),SUMIFS('ON Data'!AH:AH,'ON Data'!$E:$E,1)/'ON Data'!$D$3),1)</f>
        <v>0</v>
      </c>
      <c r="AD6" s="242">
        <f xml:space="preserve">
TRUNC(IF($A$4&lt;=12,SUMIFS('ON Data'!AI:AI,'ON Data'!$D:$D,$A$4,'ON Data'!$E:$E,1),SUMIFS('ON Data'!AI:AI,'ON Data'!$E:$E,1)/'ON Data'!$D$3),1)</f>
        <v>3.2</v>
      </c>
      <c r="AE6" s="242">
        <f xml:space="preserve">
TRUNC(IF($A$4&lt;=12,SUMIFS('ON Data'!AJ:AJ,'ON Data'!$D:$D,$A$4,'ON Data'!$E:$E,1),SUMIFS('ON Data'!AJ:AJ,'ON Data'!$E:$E,1)/'ON Data'!$D$3),1)</f>
        <v>0</v>
      </c>
      <c r="AF6" s="242">
        <f xml:space="preserve">
TRUNC(IF($A$4&lt;=12,SUMIFS('ON Data'!AK:AK,'ON Data'!$D:$D,$A$4,'ON Data'!$E:$E,1),SUMIFS('ON Data'!AK:AK,'ON Data'!$E:$E,1)/'ON Data'!$D$3),1)</f>
        <v>0</v>
      </c>
      <c r="AG6" s="374">
        <f xml:space="preserve">
TRUNC(IF($A$4&lt;=12,SUMIFS('ON Data'!AM:AM,'ON Data'!$D:$D,$A$4,'ON Data'!$E:$E,1),SUMIFS('ON Data'!AM:AM,'ON Data'!$E:$E,1)/'ON Data'!$D$3),1)</f>
        <v>1</v>
      </c>
      <c r="AH6" s="387"/>
    </row>
    <row r="7" spans="1:34" ht="15" hidden="1" outlineLevel="1" thickBot="1" x14ac:dyDescent="0.35">
      <c r="A7" s="202" t="s">
        <v>85</v>
      </c>
      <c r="B7" s="240"/>
      <c r="C7" s="243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374"/>
      <c r="AH7" s="387"/>
    </row>
    <row r="8" spans="1:34" ht="15" hidden="1" outlineLevel="1" thickBot="1" x14ac:dyDescent="0.35">
      <c r="A8" s="202" t="s">
        <v>52</v>
      </c>
      <c r="B8" s="240"/>
      <c r="C8" s="243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374"/>
      <c r="AH8" s="387"/>
    </row>
    <row r="9" spans="1:34" ht="15" hidden="1" outlineLevel="1" thickBot="1" x14ac:dyDescent="0.35">
      <c r="A9" s="203" t="s">
        <v>45</v>
      </c>
      <c r="B9" s="244"/>
      <c r="C9" s="245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375"/>
      <c r="AH9" s="387"/>
    </row>
    <row r="10" spans="1:34" x14ac:dyDescent="0.3">
      <c r="A10" s="204" t="s">
        <v>164</v>
      </c>
      <c r="B10" s="219"/>
      <c r="C10" s="220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376"/>
      <c r="AH10" s="387"/>
    </row>
    <row r="11" spans="1:34" x14ac:dyDescent="0.3">
      <c r="A11" s="205" t="s">
        <v>165</v>
      </c>
      <c r="B11" s="222">
        <f xml:space="preserve">
IF($A$4&lt;=12,SUMIFS('ON Data'!F:F,'ON Data'!$D:$D,$A$4,'ON Data'!$E:$E,2),SUMIFS('ON Data'!F:F,'ON Data'!$E:$E,2))</f>
        <v>24554.400000000001</v>
      </c>
      <c r="C11" s="223">
        <f xml:space="preserve">
IF($A$4&lt;=12,SUMIFS('ON Data'!G:G,'ON Data'!$D:$D,$A$4,'ON Data'!$E:$E,2),SUMIFS('ON Data'!G:G,'ON Data'!$E:$E,2))</f>
        <v>0</v>
      </c>
      <c r="D11" s="224">
        <f xml:space="preserve">
IF($A$4&lt;=12,SUMIFS('ON Data'!H:H,'ON Data'!$D:$D,$A$4,'ON Data'!$E:$E,2),SUMIFS('ON Data'!H:H,'ON Data'!$E:$E,2))</f>
        <v>0</v>
      </c>
      <c r="E11" s="224">
        <f xml:space="preserve">
IF($A$4&lt;=12,SUMIFS('ON Data'!I:I,'ON Data'!$D:$D,$A$4,'ON Data'!$E:$E,2),SUMIFS('ON Data'!I:I,'ON Data'!$E:$E,2))</f>
        <v>0</v>
      </c>
      <c r="F11" s="224">
        <f xml:space="preserve">
IF($A$4&lt;=12,SUMIFS('ON Data'!K:K,'ON Data'!$D:$D,$A$4,'ON Data'!$E:$E,2),SUMIFS('ON Data'!K:K,'ON Data'!$E:$E,2))</f>
        <v>0</v>
      </c>
      <c r="G11" s="224">
        <f xml:space="preserve">
IF($A$4&lt;=12,SUMIFS('ON Data'!L:L,'ON Data'!$D:$D,$A$4,'ON Data'!$E:$E,2),SUMIFS('ON Data'!L:L,'ON Data'!$E:$E,2))</f>
        <v>0</v>
      </c>
      <c r="H11" s="224">
        <f xml:space="preserve">
IF($A$4&lt;=12,SUMIFS('ON Data'!M:M,'ON Data'!$D:$D,$A$4,'ON Data'!$E:$E,2),SUMIFS('ON Data'!M:M,'ON Data'!$E:$E,2))</f>
        <v>0</v>
      </c>
      <c r="I11" s="224">
        <f xml:space="preserve">
IF($A$4&lt;=12,SUMIFS('ON Data'!N:N,'ON Data'!$D:$D,$A$4,'ON Data'!$E:$E,2),SUMIFS('ON Data'!N:N,'ON Data'!$E:$E,2))</f>
        <v>0</v>
      </c>
      <c r="J11" s="224">
        <f xml:space="preserve">
IF($A$4&lt;=12,SUMIFS('ON Data'!O:O,'ON Data'!$D:$D,$A$4,'ON Data'!$E:$E,2),SUMIFS('ON Data'!O:O,'ON Data'!$E:$E,2))</f>
        <v>0</v>
      </c>
      <c r="K11" s="224">
        <f xml:space="preserve">
IF($A$4&lt;=12,SUMIFS('ON Data'!P:P,'ON Data'!$D:$D,$A$4,'ON Data'!$E:$E,2),SUMIFS('ON Data'!P:P,'ON Data'!$E:$E,2))</f>
        <v>0</v>
      </c>
      <c r="L11" s="224">
        <f xml:space="preserve">
IF($A$4&lt;=12,SUMIFS('ON Data'!Q:Q,'ON Data'!$D:$D,$A$4,'ON Data'!$E:$E,2),SUMIFS('ON Data'!Q:Q,'ON Data'!$E:$E,2))</f>
        <v>0</v>
      </c>
      <c r="M11" s="224">
        <f xml:space="preserve">
IF($A$4&lt;=12,SUMIFS('ON Data'!R:R,'ON Data'!$D:$D,$A$4,'ON Data'!$E:$E,2),SUMIFS('ON Data'!R:R,'ON Data'!$E:$E,2))</f>
        <v>0</v>
      </c>
      <c r="N11" s="224">
        <f xml:space="preserve">
IF($A$4&lt;=12,SUMIFS('ON Data'!S:S,'ON Data'!$D:$D,$A$4,'ON Data'!$E:$E,2),SUMIFS('ON Data'!S:S,'ON Data'!$E:$E,2))</f>
        <v>0</v>
      </c>
      <c r="O11" s="224">
        <f xml:space="preserve">
IF($A$4&lt;=12,SUMIFS('ON Data'!T:T,'ON Data'!$D:$D,$A$4,'ON Data'!$E:$E,2),SUMIFS('ON Data'!T:T,'ON Data'!$E:$E,2))</f>
        <v>0</v>
      </c>
      <c r="P11" s="224">
        <f xml:space="preserve">
IF($A$4&lt;=12,SUMIFS('ON Data'!U:U,'ON Data'!$D:$D,$A$4,'ON Data'!$E:$E,2),SUMIFS('ON Data'!U:U,'ON Data'!$E:$E,2))</f>
        <v>0</v>
      </c>
      <c r="Q11" s="224">
        <f xml:space="preserve">
IF($A$4&lt;=12,SUMIFS('ON Data'!V:V,'ON Data'!$D:$D,$A$4,'ON Data'!$E:$E,2),SUMIFS('ON Data'!V:V,'ON Data'!$E:$E,2))</f>
        <v>16706.400000000001</v>
      </c>
      <c r="R11" s="224">
        <f xml:space="preserve">
IF($A$4&lt;=12,SUMIFS('ON Data'!W:W,'ON Data'!$D:$D,$A$4,'ON Data'!$E:$E,2),SUMIFS('ON Data'!W:W,'ON Data'!$E:$E,2))</f>
        <v>0</v>
      </c>
      <c r="S11" s="224">
        <f xml:space="preserve">
IF($A$4&lt;=12,SUMIFS('ON Data'!X:X,'ON Data'!$D:$D,$A$4,'ON Data'!$E:$E,2),SUMIFS('ON Data'!X:X,'ON Data'!$E:$E,2))</f>
        <v>0</v>
      </c>
      <c r="T11" s="224">
        <f xml:space="preserve">
IF($A$4&lt;=12,SUMIFS('ON Data'!Y:Y,'ON Data'!$D:$D,$A$4,'ON Data'!$E:$E,2),SUMIFS('ON Data'!Y:Y,'ON Data'!$E:$E,2))</f>
        <v>0</v>
      </c>
      <c r="U11" s="224">
        <f xml:space="preserve">
IF($A$4&lt;=12,SUMIFS('ON Data'!Z:Z,'ON Data'!$D:$D,$A$4,'ON Data'!$E:$E,2),SUMIFS('ON Data'!Z:Z,'ON Data'!$E:$E,2))</f>
        <v>0</v>
      </c>
      <c r="V11" s="224">
        <f xml:space="preserve">
IF($A$4&lt;=12,SUMIFS('ON Data'!AA:AA,'ON Data'!$D:$D,$A$4,'ON Data'!$E:$E,2),SUMIFS('ON Data'!AA:AA,'ON Data'!$E:$E,2))</f>
        <v>0</v>
      </c>
      <c r="W11" s="224">
        <f xml:space="preserve">
IF($A$4&lt;=12,SUMIFS('ON Data'!AB:AB,'ON Data'!$D:$D,$A$4,'ON Data'!$E:$E,2),SUMIFS('ON Data'!AB:AB,'ON Data'!$E:$E,2))</f>
        <v>0</v>
      </c>
      <c r="X11" s="224">
        <f xml:space="preserve">
IF($A$4&lt;=12,SUMIFS('ON Data'!AC:AC,'ON Data'!$D:$D,$A$4,'ON Data'!$E:$E,2),SUMIFS('ON Data'!AC:AC,'ON Data'!$E:$E,2))</f>
        <v>0</v>
      </c>
      <c r="Y11" s="224">
        <f xml:space="preserve">
IF($A$4&lt;=12,SUMIFS('ON Data'!AD:AD,'ON Data'!$D:$D,$A$4,'ON Data'!$E:$E,2),SUMIFS('ON Data'!AD:AD,'ON Data'!$E:$E,2))</f>
        <v>0</v>
      </c>
      <c r="Z11" s="224">
        <f xml:space="preserve">
IF($A$4&lt;=12,SUMIFS('ON Data'!AE:AE,'ON Data'!$D:$D,$A$4,'ON Data'!$E:$E,2),SUMIFS('ON Data'!AE:AE,'ON Data'!$E:$E,2))</f>
        <v>0</v>
      </c>
      <c r="AA11" s="224">
        <f xml:space="preserve">
IF($A$4&lt;=12,SUMIFS('ON Data'!AF:AF,'ON Data'!$D:$D,$A$4,'ON Data'!$E:$E,2),SUMIFS('ON Data'!AF:AF,'ON Data'!$E:$E,2))</f>
        <v>0</v>
      </c>
      <c r="AB11" s="224">
        <f xml:space="preserve">
IF($A$4&lt;=12,SUMIFS('ON Data'!AG:AG,'ON Data'!$D:$D,$A$4,'ON Data'!$E:$E,2),SUMIFS('ON Data'!AG:AG,'ON Data'!$E:$E,2))</f>
        <v>0</v>
      </c>
      <c r="AC11" s="224">
        <f xml:space="preserve">
IF($A$4&lt;=12,SUMIFS('ON Data'!AH:AH,'ON Data'!$D:$D,$A$4,'ON Data'!$E:$E,2),SUMIFS('ON Data'!AH:AH,'ON Data'!$E:$E,2))</f>
        <v>0</v>
      </c>
      <c r="AD11" s="224">
        <f xml:space="preserve">
IF($A$4&lt;=12,SUMIFS('ON Data'!AI:AI,'ON Data'!$D:$D,$A$4,'ON Data'!$E:$E,2),SUMIFS('ON Data'!AI:AI,'ON Data'!$E:$E,2))</f>
        <v>6032</v>
      </c>
      <c r="AE11" s="224">
        <f xml:space="preserve">
IF($A$4&lt;=12,SUMIFS('ON Data'!AJ:AJ,'ON Data'!$D:$D,$A$4,'ON Data'!$E:$E,2),SUMIFS('ON Data'!AJ:AJ,'ON Data'!$E:$E,2))</f>
        <v>0</v>
      </c>
      <c r="AF11" s="224">
        <f xml:space="preserve">
IF($A$4&lt;=12,SUMIFS('ON Data'!AK:AK,'ON Data'!$D:$D,$A$4,'ON Data'!$E:$E,2),SUMIFS('ON Data'!AK:AK,'ON Data'!$E:$E,2))</f>
        <v>0</v>
      </c>
      <c r="AG11" s="377">
        <f xml:space="preserve">
IF($A$4&lt;=12,SUMIFS('ON Data'!AM:AM,'ON Data'!$D:$D,$A$4,'ON Data'!$E:$E,2),SUMIFS('ON Data'!AM:AM,'ON Data'!$E:$E,2))</f>
        <v>1816</v>
      </c>
      <c r="AH11" s="387"/>
    </row>
    <row r="12" spans="1:34" x14ac:dyDescent="0.3">
      <c r="A12" s="205" t="s">
        <v>166</v>
      </c>
      <c r="B12" s="222">
        <f xml:space="preserve">
IF($A$4&lt;=12,SUMIFS('ON Data'!F:F,'ON Data'!$D:$D,$A$4,'ON Data'!$E:$E,3),SUMIFS('ON Data'!F:F,'ON Data'!$E:$E,3))</f>
        <v>0</v>
      </c>
      <c r="C12" s="223">
        <f xml:space="preserve">
IF($A$4&lt;=12,SUMIFS('ON Data'!G:G,'ON Data'!$D:$D,$A$4,'ON Data'!$E:$E,3),SUMIFS('ON Data'!G:G,'ON Data'!$E:$E,3))</f>
        <v>0</v>
      </c>
      <c r="D12" s="224">
        <f xml:space="preserve">
IF($A$4&lt;=12,SUMIFS('ON Data'!H:H,'ON Data'!$D:$D,$A$4,'ON Data'!$E:$E,3),SUMIFS('ON Data'!H:H,'ON Data'!$E:$E,3))</f>
        <v>0</v>
      </c>
      <c r="E12" s="224">
        <f xml:space="preserve">
IF($A$4&lt;=12,SUMIFS('ON Data'!I:I,'ON Data'!$D:$D,$A$4,'ON Data'!$E:$E,3),SUMIFS('ON Data'!I:I,'ON Data'!$E:$E,3))</f>
        <v>0</v>
      </c>
      <c r="F12" s="224">
        <f xml:space="preserve">
IF($A$4&lt;=12,SUMIFS('ON Data'!K:K,'ON Data'!$D:$D,$A$4,'ON Data'!$E:$E,3),SUMIFS('ON Data'!K:K,'ON Data'!$E:$E,3))</f>
        <v>0</v>
      </c>
      <c r="G12" s="224">
        <f xml:space="preserve">
IF($A$4&lt;=12,SUMIFS('ON Data'!L:L,'ON Data'!$D:$D,$A$4,'ON Data'!$E:$E,3),SUMIFS('ON Data'!L:L,'ON Data'!$E:$E,3))</f>
        <v>0</v>
      </c>
      <c r="H12" s="224">
        <f xml:space="preserve">
IF($A$4&lt;=12,SUMIFS('ON Data'!M:M,'ON Data'!$D:$D,$A$4,'ON Data'!$E:$E,3),SUMIFS('ON Data'!M:M,'ON Data'!$E:$E,3))</f>
        <v>0</v>
      </c>
      <c r="I12" s="224">
        <f xml:space="preserve">
IF($A$4&lt;=12,SUMIFS('ON Data'!N:N,'ON Data'!$D:$D,$A$4,'ON Data'!$E:$E,3),SUMIFS('ON Data'!N:N,'ON Data'!$E:$E,3))</f>
        <v>0</v>
      </c>
      <c r="J12" s="224">
        <f xml:space="preserve">
IF($A$4&lt;=12,SUMIFS('ON Data'!O:O,'ON Data'!$D:$D,$A$4,'ON Data'!$E:$E,3),SUMIFS('ON Data'!O:O,'ON Data'!$E:$E,3))</f>
        <v>0</v>
      </c>
      <c r="K12" s="224">
        <f xml:space="preserve">
IF($A$4&lt;=12,SUMIFS('ON Data'!P:P,'ON Data'!$D:$D,$A$4,'ON Data'!$E:$E,3),SUMIFS('ON Data'!P:P,'ON Data'!$E:$E,3))</f>
        <v>0</v>
      </c>
      <c r="L12" s="224">
        <f xml:space="preserve">
IF($A$4&lt;=12,SUMIFS('ON Data'!Q:Q,'ON Data'!$D:$D,$A$4,'ON Data'!$E:$E,3),SUMIFS('ON Data'!Q:Q,'ON Data'!$E:$E,3))</f>
        <v>0</v>
      </c>
      <c r="M12" s="224">
        <f xml:space="preserve">
IF($A$4&lt;=12,SUMIFS('ON Data'!R:R,'ON Data'!$D:$D,$A$4,'ON Data'!$E:$E,3),SUMIFS('ON Data'!R:R,'ON Data'!$E:$E,3))</f>
        <v>0</v>
      </c>
      <c r="N12" s="224">
        <f xml:space="preserve">
IF($A$4&lt;=12,SUMIFS('ON Data'!S:S,'ON Data'!$D:$D,$A$4,'ON Data'!$E:$E,3),SUMIFS('ON Data'!S:S,'ON Data'!$E:$E,3))</f>
        <v>0</v>
      </c>
      <c r="O12" s="224">
        <f xml:space="preserve">
IF($A$4&lt;=12,SUMIFS('ON Data'!T:T,'ON Data'!$D:$D,$A$4,'ON Data'!$E:$E,3),SUMIFS('ON Data'!T:T,'ON Data'!$E:$E,3))</f>
        <v>0</v>
      </c>
      <c r="P12" s="224">
        <f xml:space="preserve">
IF($A$4&lt;=12,SUMIFS('ON Data'!U:U,'ON Data'!$D:$D,$A$4,'ON Data'!$E:$E,3),SUMIFS('ON Data'!U:U,'ON Data'!$E:$E,3))</f>
        <v>0</v>
      </c>
      <c r="Q12" s="224">
        <f xml:space="preserve">
IF($A$4&lt;=12,SUMIFS('ON Data'!V:V,'ON Data'!$D:$D,$A$4,'ON Data'!$E:$E,3),SUMIFS('ON Data'!V:V,'ON Data'!$E:$E,3))</f>
        <v>0</v>
      </c>
      <c r="R12" s="224">
        <f xml:space="preserve">
IF($A$4&lt;=12,SUMIFS('ON Data'!W:W,'ON Data'!$D:$D,$A$4,'ON Data'!$E:$E,3),SUMIFS('ON Data'!W:W,'ON Data'!$E:$E,3))</f>
        <v>0</v>
      </c>
      <c r="S12" s="224">
        <f xml:space="preserve">
IF($A$4&lt;=12,SUMIFS('ON Data'!X:X,'ON Data'!$D:$D,$A$4,'ON Data'!$E:$E,3),SUMIFS('ON Data'!X:X,'ON Data'!$E:$E,3))</f>
        <v>0</v>
      </c>
      <c r="T12" s="224">
        <f xml:space="preserve">
IF($A$4&lt;=12,SUMIFS('ON Data'!Y:Y,'ON Data'!$D:$D,$A$4,'ON Data'!$E:$E,3),SUMIFS('ON Data'!Y:Y,'ON Data'!$E:$E,3))</f>
        <v>0</v>
      </c>
      <c r="U12" s="224">
        <f xml:space="preserve">
IF($A$4&lt;=12,SUMIFS('ON Data'!Z:Z,'ON Data'!$D:$D,$A$4,'ON Data'!$E:$E,3),SUMIFS('ON Data'!Z:Z,'ON Data'!$E:$E,3))</f>
        <v>0</v>
      </c>
      <c r="V12" s="224">
        <f xml:space="preserve">
IF($A$4&lt;=12,SUMIFS('ON Data'!AA:AA,'ON Data'!$D:$D,$A$4,'ON Data'!$E:$E,3),SUMIFS('ON Data'!AA:AA,'ON Data'!$E:$E,3))</f>
        <v>0</v>
      </c>
      <c r="W12" s="224">
        <f xml:space="preserve">
IF($A$4&lt;=12,SUMIFS('ON Data'!AB:AB,'ON Data'!$D:$D,$A$4,'ON Data'!$E:$E,3),SUMIFS('ON Data'!AB:AB,'ON Data'!$E:$E,3))</f>
        <v>0</v>
      </c>
      <c r="X12" s="224">
        <f xml:space="preserve">
IF($A$4&lt;=12,SUMIFS('ON Data'!AC:AC,'ON Data'!$D:$D,$A$4,'ON Data'!$E:$E,3),SUMIFS('ON Data'!AC:AC,'ON Data'!$E:$E,3))</f>
        <v>0</v>
      </c>
      <c r="Y12" s="224">
        <f xml:space="preserve">
IF($A$4&lt;=12,SUMIFS('ON Data'!AD:AD,'ON Data'!$D:$D,$A$4,'ON Data'!$E:$E,3),SUMIFS('ON Data'!AD:AD,'ON Data'!$E:$E,3))</f>
        <v>0</v>
      </c>
      <c r="Z12" s="224">
        <f xml:space="preserve">
IF($A$4&lt;=12,SUMIFS('ON Data'!AE:AE,'ON Data'!$D:$D,$A$4,'ON Data'!$E:$E,3),SUMIFS('ON Data'!AE:AE,'ON Data'!$E:$E,3))</f>
        <v>0</v>
      </c>
      <c r="AA12" s="224">
        <f xml:space="preserve">
IF($A$4&lt;=12,SUMIFS('ON Data'!AF:AF,'ON Data'!$D:$D,$A$4,'ON Data'!$E:$E,3),SUMIFS('ON Data'!AF:AF,'ON Data'!$E:$E,3))</f>
        <v>0</v>
      </c>
      <c r="AB12" s="224">
        <f xml:space="preserve">
IF($A$4&lt;=12,SUMIFS('ON Data'!AG:AG,'ON Data'!$D:$D,$A$4,'ON Data'!$E:$E,3),SUMIFS('ON Data'!AG:AG,'ON Data'!$E:$E,3))</f>
        <v>0</v>
      </c>
      <c r="AC12" s="224">
        <f xml:space="preserve">
IF($A$4&lt;=12,SUMIFS('ON Data'!AH:AH,'ON Data'!$D:$D,$A$4,'ON Data'!$E:$E,3),SUMIFS('ON Data'!AH:AH,'ON Data'!$E:$E,3))</f>
        <v>0</v>
      </c>
      <c r="AD12" s="224">
        <f xml:space="preserve">
IF($A$4&lt;=12,SUMIFS('ON Data'!AI:AI,'ON Data'!$D:$D,$A$4,'ON Data'!$E:$E,3),SUMIFS('ON Data'!AI:AI,'ON Data'!$E:$E,3))</f>
        <v>0</v>
      </c>
      <c r="AE12" s="224">
        <f xml:space="preserve">
IF($A$4&lt;=12,SUMIFS('ON Data'!AJ:AJ,'ON Data'!$D:$D,$A$4,'ON Data'!$E:$E,3),SUMIFS('ON Data'!AJ:AJ,'ON Data'!$E:$E,3))</f>
        <v>0</v>
      </c>
      <c r="AF12" s="224">
        <f xml:space="preserve">
IF($A$4&lt;=12,SUMIFS('ON Data'!AK:AK,'ON Data'!$D:$D,$A$4,'ON Data'!$E:$E,3),SUMIFS('ON Data'!AK:AK,'ON Data'!$E:$E,3))</f>
        <v>0</v>
      </c>
      <c r="AG12" s="377">
        <f xml:space="preserve">
IF($A$4&lt;=12,SUMIFS('ON Data'!AM:AM,'ON Data'!$D:$D,$A$4,'ON Data'!$E:$E,3),SUMIFS('ON Data'!AM:AM,'ON Data'!$E:$E,3))</f>
        <v>0</v>
      </c>
      <c r="AH12" s="387"/>
    </row>
    <row r="13" spans="1:34" x14ac:dyDescent="0.3">
      <c r="A13" s="205" t="s">
        <v>173</v>
      </c>
      <c r="B13" s="222">
        <f xml:space="preserve">
IF($A$4&lt;=12,SUMIFS('ON Data'!F:F,'ON Data'!$D:$D,$A$4,'ON Data'!$E:$E,4),SUMIFS('ON Data'!F:F,'ON Data'!$E:$E,4))</f>
        <v>0</v>
      </c>
      <c r="C13" s="223">
        <f xml:space="preserve">
IF($A$4&lt;=12,SUMIFS('ON Data'!G:G,'ON Data'!$D:$D,$A$4,'ON Data'!$E:$E,4),SUMIFS('ON Data'!G:G,'ON Data'!$E:$E,4))</f>
        <v>0</v>
      </c>
      <c r="D13" s="224">
        <f xml:space="preserve">
IF($A$4&lt;=12,SUMIFS('ON Data'!H:H,'ON Data'!$D:$D,$A$4,'ON Data'!$E:$E,4),SUMIFS('ON Data'!H:H,'ON Data'!$E:$E,4))</f>
        <v>0</v>
      </c>
      <c r="E13" s="224">
        <f xml:space="preserve">
IF($A$4&lt;=12,SUMIFS('ON Data'!I:I,'ON Data'!$D:$D,$A$4,'ON Data'!$E:$E,4),SUMIFS('ON Data'!I:I,'ON Data'!$E:$E,4))</f>
        <v>0</v>
      </c>
      <c r="F13" s="224">
        <f xml:space="preserve">
IF($A$4&lt;=12,SUMIFS('ON Data'!K:K,'ON Data'!$D:$D,$A$4,'ON Data'!$E:$E,4),SUMIFS('ON Data'!K:K,'ON Data'!$E:$E,4))</f>
        <v>0</v>
      </c>
      <c r="G13" s="224">
        <f xml:space="preserve">
IF($A$4&lt;=12,SUMIFS('ON Data'!L:L,'ON Data'!$D:$D,$A$4,'ON Data'!$E:$E,4),SUMIFS('ON Data'!L:L,'ON Data'!$E:$E,4))</f>
        <v>0</v>
      </c>
      <c r="H13" s="224">
        <f xml:space="preserve">
IF($A$4&lt;=12,SUMIFS('ON Data'!M:M,'ON Data'!$D:$D,$A$4,'ON Data'!$E:$E,4),SUMIFS('ON Data'!M:M,'ON Data'!$E:$E,4))</f>
        <v>0</v>
      </c>
      <c r="I13" s="224">
        <f xml:space="preserve">
IF($A$4&lt;=12,SUMIFS('ON Data'!N:N,'ON Data'!$D:$D,$A$4,'ON Data'!$E:$E,4),SUMIFS('ON Data'!N:N,'ON Data'!$E:$E,4))</f>
        <v>0</v>
      </c>
      <c r="J13" s="224">
        <f xml:space="preserve">
IF($A$4&lt;=12,SUMIFS('ON Data'!O:O,'ON Data'!$D:$D,$A$4,'ON Data'!$E:$E,4),SUMIFS('ON Data'!O:O,'ON Data'!$E:$E,4))</f>
        <v>0</v>
      </c>
      <c r="K13" s="224">
        <f xml:space="preserve">
IF($A$4&lt;=12,SUMIFS('ON Data'!P:P,'ON Data'!$D:$D,$A$4,'ON Data'!$E:$E,4),SUMIFS('ON Data'!P:P,'ON Data'!$E:$E,4))</f>
        <v>0</v>
      </c>
      <c r="L13" s="224">
        <f xml:space="preserve">
IF($A$4&lt;=12,SUMIFS('ON Data'!Q:Q,'ON Data'!$D:$D,$A$4,'ON Data'!$E:$E,4),SUMIFS('ON Data'!Q:Q,'ON Data'!$E:$E,4))</f>
        <v>0</v>
      </c>
      <c r="M13" s="224">
        <f xml:space="preserve">
IF($A$4&lt;=12,SUMIFS('ON Data'!R:R,'ON Data'!$D:$D,$A$4,'ON Data'!$E:$E,4),SUMIFS('ON Data'!R:R,'ON Data'!$E:$E,4))</f>
        <v>0</v>
      </c>
      <c r="N13" s="224">
        <f xml:space="preserve">
IF($A$4&lt;=12,SUMIFS('ON Data'!S:S,'ON Data'!$D:$D,$A$4,'ON Data'!$E:$E,4),SUMIFS('ON Data'!S:S,'ON Data'!$E:$E,4))</f>
        <v>0</v>
      </c>
      <c r="O13" s="224">
        <f xml:space="preserve">
IF($A$4&lt;=12,SUMIFS('ON Data'!T:T,'ON Data'!$D:$D,$A$4,'ON Data'!$E:$E,4),SUMIFS('ON Data'!T:T,'ON Data'!$E:$E,4))</f>
        <v>0</v>
      </c>
      <c r="P13" s="224">
        <f xml:space="preserve">
IF($A$4&lt;=12,SUMIFS('ON Data'!U:U,'ON Data'!$D:$D,$A$4,'ON Data'!$E:$E,4),SUMIFS('ON Data'!U:U,'ON Data'!$E:$E,4))</f>
        <v>0</v>
      </c>
      <c r="Q13" s="224">
        <f xml:space="preserve">
IF($A$4&lt;=12,SUMIFS('ON Data'!V:V,'ON Data'!$D:$D,$A$4,'ON Data'!$E:$E,4),SUMIFS('ON Data'!V:V,'ON Data'!$E:$E,4))</f>
        <v>0</v>
      </c>
      <c r="R13" s="224">
        <f xml:space="preserve">
IF($A$4&lt;=12,SUMIFS('ON Data'!W:W,'ON Data'!$D:$D,$A$4,'ON Data'!$E:$E,4),SUMIFS('ON Data'!W:W,'ON Data'!$E:$E,4))</f>
        <v>0</v>
      </c>
      <c r="S13" s="224">
        <f xml:space="preserve">
IF($A$4&lt;=12,SUMIFS('ON Data'!X:X,'ON Data'!$D:$D,$A$4,'ON Data'!$E:$E,4),SUMIFS('ON Data'!X:X,'ON Data'!$E:$E,4))</f>
        <v>0</v>
      </c>
      <c r="T13" s="224">
        <f xml:space="preserve">
IF($A$4&lt;=12,SUMIFS('ON Data'!Y:Y,'ON Data'!$D:$D,$A$4,'ON Data'!$E:$E,4),SUMIFS('ON Data'!Y:Y,'ON Data'!$E:$E,4))</f>
        <v>0</v>
      </c>
      <c r="U13" s="224">
        <f xml:space="preserve">
IF($A$4&lt;=12,SUMIFS('ON Data'!Z:Z,'ON Data'!$D:$D,$A$4,'ON Data'!$E:$E,4),SUMIFS('ON Data'!Z:Z,'ON Data'!$E:$E,4))</f>
        <v>0</v>
      </c>
      <c r="V13" s="224">
        <f xml:space="preserve">
IF($A$4&lt;=12,SUMIFS('ON Data'!AA:AA,'ON Data'!$D:$D,$A$4,'ON Data'!$E:$E,4),SUMIFS('ON Data'!AA:AA,'ON Data'!$E:$E,4))</f>
        <v>0</v>
      </c>
      <c r="W13" s="224">
        <f xml:space="preserve">
IF($A$4&lt;=12,SUMIFS('ON Data'!AB:AB,'ON Data'!$D:$D,$A$4,'ON Data'!$E:$E,4),SUMIFS('ON Data'!AB:AB,'ON Data'!$E:$E,4))</f>
        <v>0</v>
      </c>
      <c r="X13" s="224">
        <f xml:space="preserve">
IF($A$4&lt;=12,SUMIFS('ON Data'!AC:AC,'ON Data'!$D:$D,$A$4,'ON Data'!$E:$E,4),SUMIFS('ON Data'!AC:AC,'ON Data'!$E:$E,4))</f>
        <v>0</v>
      </c>
      <c r="Y13" s="224">
        <f xml:space="preserve">
IF($A$4&lt;=12,SUMIFS('ON Data'!AD:AD,'ON Data'!$D:$D,$A$4,'ON Data'!$E:$E,4),SUMIFS('ON Data'!AD:AD,'ON Data'!$E:$E,4))</f>
        <v>0</v>
      </c>
      <c r="Z13" s="224">
        <f xml:space="preserve">
IF($A$4&lt;=12,SUMIFS('ON Data'!AE:AE,'ON Data'!$D:$D,$A$4,'ON Data'!$E:$E,4),SUMIFS('ON Data'!AE:AE,'ON Data'!$E:$E,4))</f>
        <v>0</v>
      </c>
      <c r="AA13" s="224">
        <f xml:space="preserve">
IF($A$4&lt;=12,SUMIFS('ON Data'!AF:AF,'ON Data'!$D:$D,$A$4,'ON Data'!$E:$E,4),SUMIFS('ON Data'!AF:AF,'ON Data'!$E:$E,4))</f>
        <v>0</v>
      </c>
      <c r="AB13" s="224">
        <f xml:space="preserve">
IF($A$4&lt;=12,SUMIFS('ON Data'!AG:AG,'ON Data'!$D:$D,$A$4,'ON Data'!$E:$E,4),SUMIFS('ON Data'!AG:AG,'ON Data'!$E:$E,4))</f>
        <v>0</v>
      </c>
      <c r="AC13" s="224">
        <f xml:space="preserve">
IF($A$4&lt;=12,SUMIFS('ON Data'!AH:AH,'ON Data'!$D:$D,$A$4,'ON Data'!$E:$E,4),SUMIFS('ON Data'!AH:AH,'ON Data'!$E:$E,4))</f>
        <v>0</v>
      </c>
      <c r="AD13" s="224">
        <f xml:space="preserve">
IF($A$4&lt;=12,SUMIFS('ON Data'!AI:AI,'ON Data'!$D:$D,$A$4,'ON Data'!$E:$E,4),SUMIFS('ON Data'!AI:AI,'ON Data'!$E:$E,4))</f>
        <v>0</v>
      </c>
      <c r="AE13" s="224">
        <f xml:space="preserve">
IF($A$4&lt;=12,SUMIFS('ON Data'!AJ:AJ,'ON Data'!$D:$D,$A$4,'ON Data'!$E:$E,4),SUMIFS('ON Data'!AJ:AJ,'ON Data'!$E:$E,4))</f>
        <v>0</v>
      </c>
      <c r="AF13" s="224">
        <f xml:space="preserve">
IF($A$4&lt;=12,SUMIFS('ON Data'!AK:AK,'ON Data'!$D:$D,$A$4,'ON Data'!$E:$E,4),SUMIFS('ON Data'!AK:AK,'ON Data'!$E:$E,4))</f>
        <v>0</v>
      </c>
      <c r="AG13" s="377">
        <f xml:space="preserve">
IF($A$4&lt;=12,SUMIFS('ON Data'!AM:AM,'ON Data'!$D:$D,$A$4,'ON Data'!$E:$E,4),SUMIFS('ON Data'!AM:AM,'ON Data'!$E:$E,4))</f>
        <v>0</v>
      </c>
      <c r="AH13" s="387"/>
    </row>
    <row r="14" spans="1:34" ht="15" thickBot="1" x14ac:dyDescent="0.35">
      <c r="A14" s="206" t="s">
        <v>167</v>
      </c>
      <c r="B14" s="225">
        <f xml:space="preserve">
IF($A$4&lt;=12,SUMIFS('ON Data'!F:F,'ON Data'!$D:$D,$A$4,'ON Data'!$E:$E,5),SUMIFS('ON Data'!F:F,'ON Data'!$E:$E,5))</f>
        <v>0</v>
      </c>
      <c r="C14" s="226">
        <f xml:space="preserve">
IF($A$4&lt;=12,SUMIFS('ON Data'!G:G,'ON Data'!$D:$D,$A$4,'ON Data'!$E:$E,5),SUMIFS('ON Data'!G:G,'ON Data'!$E:$E,5))</f>
        <v>0</v>
      </c>
      <c r="D14" s="227">
        <f xml:space="preserve">
IF($A$4&lt;=12,SUMIFS('ON Data'!H:H,'ON Data'!$D:$D,$A$4,'ON Data'!$E:$E,5),SUMIFS('ON Data'!H:H,'ON Data'!$E:$E,5))</f>
        <v>0</v>
      </c>
      <c r="E14" s="227">
        <f xml:space="preserve">
IF($A$4&lt;=12,SUMIFS('ON Data'!I:I,'ON Data'!$D:$D,$A$4,'ON Data'!$E:$E,5),SUMIFS('ON Data'!I:I,'ON Data'!$E:$E,5))</f>
        <v>0</v>
      </c>
      <c r="F14" s="227">
        <f xml:space="preserve">
IF($A$4&lt;=12,SUMIFS('ON Data'!K:K,'ON Data'!$D:$D,$A$4,'ON Data'!$E:$E,5),SUMIFS('ON Data'!K:K,'ON Data'!$E:$E,5))</f>
        <v>0</v>
      </c>
      <c r="G14" s="227">
        <f xml:space="preserve">
IF($A$4&lt;=12,SUMIFS('ON Data'!L:L,'ON Data'!$D:$D,$A$4,'ON Data'!$E:$E,5),SUMIFS('ON Data'!L:L,'ON Data'!$E:$E,5))</f>
        <v>0</v>
      </c>
      <c r="H14" s="227">
        <f xml:space="preserve">
IF($A$4&lt;=12,SUMIFS('ON Data'!M:M,'ON Data'!$D:$D,$A$4,'ON Data'!$E:$E,5),SUMIFS('ON Data'!M:M,'ON Data'!$E:$E,5))</f>
        <v>0</v>
      </c>
      <c r="I14" s="227">
        <f xml:space="preserve">
IF($A$4&lt;=12,SUMIFS('ON Data'!N:N,'ON Data'!$D:$D,$A$4,'ON Data'!$E:$E,5),SUMIFS('ON Data'!N:N,'ON Data'!$E:$E,5))</f>
        <v>0</v>
      </c>
      <c r="J14" s="227">
        <f xml:space="preserve">
IF($A$4&lt;=12,SUMIFS('ON Data'!O:O,'ON Data'!$D:$D,$A$4,'ON Data'!$E:$E,5),SUMIFS('ON Data'!O:O,'ON Data'!$E:$E,5))</f>
        <v>0</v>
      </c>
      <c r="K14" s="227">
        <f xml:space="preserve">
IF($A$4&lt;=12,SUMIFS('ON Data'!P:P,'ON Data'!$D:$D,$A$4,'ON Data'!$E:$E,5),SUMIFS('ON Data'!P:P,'ON Data'!$E:$E,5))</f>
        <v>0</v>
      </c>
      <c r="L14" s="227">
        <f xml:space="preserve">
IF($A$4&lt;=12,SUMIFS('ON Data'!Q:Q,'ON Data'!$D:$D,$A$4,'ON Data'!$E:$E,5),SUMIFS('ON Data'!Q:Q,'ON Data'!$E:$E,5))</f>
        <v>0</v>
      </c>
      <c r="M14" s="227">
        <f xml:space="preserve">
IF($A$4&lt;=12,SUMIFS('ON Data'!R:R,'ON Data'!$D:$D,$A$4,'ON Data'!$E:$E,5),SUMIFS('ON Data'!R:R,'ON Data'!$E:$E,5))</f>
        <v>0</v>
      </c>
      <c r="N14" s="227">
        <f xml:space="preserve">
IF($A$4&lt;=12,SUMIFS('ON Data'!S:S,'ON Data'!$D:$D,$A$4,'ON Data'!$E:$E,5),SUMIFS('ON Data'!S:S,'ON Data'!$E:$E,5))</f>
        <v>0</v>
      </c>
      <c r="O14" s="227">
        <f xml:space="preserve">
IF($A$4&lt;=12,SUMIFS('ON Data'!T:T,'ON Data'!$D:$D,$A$4,'ON Data'!$E:$E,5),SUMIFS('ON Data'!T:T,'ON Data'!$E:$E,5))</f>
        <v>0</v>
      </c>
      <c r="P14" s="227">
        <f xml:space="preserve">
IF($A$4&lt;=12,SUMIFS('ON Data'!U:U,'ON Data'!$D:$D,$A$4,'ON Data'!$E:$E,5),SUMIFS('ON Data'!U:U,'ON Data'!$E:$E,5))</f>
        <v>0</v>
      </c>
      <c r="Q14" s="227">
        <f xml:space="preserve">
IF($A$4&lt;=12,SUMIFS('ON Data'!V:V,'ON Data'!$D:$D,$A$4,'ON Data'!$E:$E,5),SUMIFS('ON Data'!V:V,'ON Data'!$E:$E,5))</f>
        <v>0</v>
      </c>
      <c r="R14" s="227">
        <f xml:space="preserve">
IF($A$4&lt;=12,SUMIFS('ON Data'!W:W,'ON Data'!$D:$D,$A$4,'ON Data'!$E:$E,5),SUMIFS('ON Data'!W:W,'ON Data'!$E:$E,5))</f>
        <v>0</v>
      </c>
      <c r="S14" s="227">
        <f xml:space="preserve">
IF($A$4&lt;=12,SUMIFS('ON Data'!X:X,'ON Data'!$D:$D,$A$4,'ON Data'!$E:$E,5),SUMIFS('ON Data'!X:X,'ON Data'!$E:$E,5))</f>
        <v>0</v>
      </c>
      <c r="T14" s="227">
        <f xml:space="preserve">
IF($A$4&lt;=12,SUMIFS('ON Data'!Y:Y,'ON Data'!$D:$D,$A$4,'ON Data'!$E:$E,5),SUMIFS('ON Data'!Y:Y,'ON Data'!$E:$E,5))</f>
        <v>0</v>
      </c>
      <c r="U14" s="227">
        <f xml:space="preserve">
IF($A$4&lt;=12,SUMIFS('ON Data'!Z:Z,'ON Data'!$D:$D,$A$4,'ON Data'!$E:$E,5),SUMIFS('ON Data'!Z:Z,'ON Data'!$E:$E,5))</f>
        <v>0</v>
      </c>
      <c r="V14" s="227">
        <f xml:space="preserve">
IF($A$4&lt;=12,SUMIFS('ON Data'!AA:AA,'ON Data'!$D:$D,$A$4,'ON Data'!$E:$E,5),SUMIFS('ON Data'!AA:AA,'ON Data'!$E:$E,5))</f>
        <v>0</v>
      </c>
      <c r="W14" s="227">
        <f xml:space="preserve">
IF($A$4&lt;=12,SUMIFS('ON Data'!AB:AB,'ON Data'!$D:$D,$A$4,'ON Data'!$E:$E,5),SUMIFS('ON Data'!AB:AB,'ON Data'!$E:$E,5))</f>
        <v>0</v>
      </c>
      <c r="X14" s="227">
        <f xml:space="preserve">
IF($A$4&lt;=12,SUMIFS('ON Data'!AC:AC,'ON Data'!$D:$D,$A$4,'ON Data'!$E:$E,5),SUMIFS('ON Data'!AC:AC,'ON Data'!$E:$E,5))</f>
        <v>0</v>
      </c>
      <c r="Y14" s="227">
        <f xml:space="preserve">
IF($A$4&lt;=12,SUMIFS('ON Data'!AD:AD,'ON Data'!$D:$D,$A$4,'ON Data'!$E:$E,5),SUMIFS('ON Data'!AD:AD,'ON Data'!$E:$E,5))</f>
        <v>0</v>
      </c>
      <c r="Z14" s="227">
        <f xml:space="preserve">
IF($A$4&lt;=12,SUMIFS('ON Data'!AE:AE,'ON Data'!$D:$D,$A$4,'ON Data'!$E:$E,5),SUMIFS('ON Data'!AE:AE,'ON Data'!$E:$E,5))</f>
        <v>0</v>
      </c>
      <c r="AA14" s="227">
        <f xml:space="preserve">
IF($A$4&lt;=12,SUMIFS('ON Data'!AF:AF,'ON Data'!$D:$D,$A$4,'ON Data'!$E:$E,5),SUMIFS('ON Data'!AF:AF,'ON Data'!$E:$E,5))</f>
        <v>0</v>
      </c>
      <c r="AB14" s="227">
        <f xml:space="preserve">
IF($A$4&lt;=12,SUMIFS('ON Data'!AG:AG,'ON Data'!$D:$D,$A$4,'ON Data'!$E:$E,5),SUMIFS('ON Data'!AG:AG,'ON Data'!$E:$E,5))</f>
        <v>0</v>
      </c>
      <c r="AC14" s="227">
        <f xml:space="preserve">
IF($A$4&lt;=12,SUMIFS('ON Data'!AH:AH,'ON Data'!$D:$D,$A$4,'ON Data'!$E:$E,5),SUMIFS('ON Data'!AH:AH,'ON Data'!$E:$E,5))</f>
        <v>0</v>
      </c>
      <c r="AD14" s="227">
        <f xml:space="preserve">
IF($A$4&lt;=12,SUMIFS('ON Data'!AI:AI,'ON Data'!$D:$D,$A$4,'ON Data'!$E:$E,5),SUMIFS('ON Data'!AI:AI,'ON Data'!$E:$E,5))</f>
        <v>0</v>
      </c>
      <c r="AE14" s="227">
        <f xml:space="preserve">
IF($A$4&lt;=12,SUMIFS('ON Data'!AJ:AJ,'ON Data'!$D:$D,$A$4,'ON Data'!$E:$E,5),SUMIFS('ON Data'!AJ:AJ,'ON Data'!$E:$E,5))</f>
        <v>0</v>
      </c>
      <c r="AF14" s="227">
        <f xml:space="preserve">
IF($A$4&lt;=12,SUMIFS('ON Data'!AK:AK,'ON Data'!$D:$D,$A$4,'ON Data'!$E:$E,5),SUMIFS('ON Data'!AK:AK,'ON Data'!$E:$E,5))</f>
        <v>0</v>
      </c>
      <c r="AG14" s="378">
        <f xml:space="preserve">
IF($A$4&lt;=12,SUMIFS('ON Data'!AM:AM,'ON Data'!$D:$D,$A$4,'ON Data'!$E:$E,5),SUMIFS('ON Data'!AM:AM,'ON Data'!$E:$E,5))</f>
        <v>0</v>
      </c>
      <c r="AH14" s="387"/>
    </row>
    <row r="15" spans="1:34" x14ac:dyDescent="0.3">
      <c r="A15" s="132" t="s">
        <v>177</v>
      </c>
      <c r="B15" s="228"/>
      <c r="C15" s="229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379"/>
      <c r="AH15" s="387"/>
    </row>
    <row r="16" spans="1:34" x14ac:dyDescent="0.3">
      <c r="A16" s="207" t="s">
        <v>168</v>
      </c>
      <c r="B16" s="222">
        <f xml:space="preserve">
IF($A$4&lt;=12,SUMIFS('ON Data'!F:F,'ON Data'!$D:$D,$A$4,'ON Data'!$E:$E,7),SUMIFS('ON Data'!F:F,'ON Data'!$E:$E,7))</f>
        <v>0</v>
      </c>
      <c r="C16" s="223">
        <f xml:space="preserve">
IF($A$4&lt;=12,SUMIFS('ON Data'!G:G,'ON Data'!$D:$D,$A$4,'ON Data'!$E:$E,7),SUMIFS('ON Data'!G:G,'ON Data'!$E:$E,7))</f>
        <v>0</v>
      </c>
      <c r="D16" s="224">
        <f xml:space="preserve">
IF($A$4&lt;=12,SUMIFS('ON Data'!H:H,'ON Data'!$D:$D,$A$4,'ON Data'!$E:$E,7),SUMIFS('ON Data'!H:H,'ON Data'!$E:$E,7))</f>
        <v>0</v>
      </c>
      <c r="E16" s="224">
        <f xml:space="preserve">
IF($A$4&lt;=12,SUMIFS('ON Data'!I:I,'ON Data'!$D:$D,$A$4,'ON Data'!$E:$E,7),SUMIFS('ON Data'!I:I,'ON Data'!$E:$E,7))</f>
        <v>0</v>
      </c>
      <c r="F16" s="224">
        <f xml:space="preserve">
IF($A$4&lt;=12,SUMIFS('ON Data'!K:K,'ON Data'!$D:$D,$A$4,'ON Data'!$E:$E,7),SUMIFS('ON Data'!K:K,'ON Data'!$E:$E,7))</f>
        <v>0</v>
      </c>
      <c r="G16" s="224">
        <f xml:space="preserve">
IF($A$4&lt;=12,SUMIFS('ON Data'!L:L,'ON Data'!$D:$D,$A$4,'ON Data'!$E:$E,7),SUMIFS('ON Data'!L:L,'ON Data'!$E:$E,7))</f>
        <v>0</v>
      </c>
      <c r="H16" s="224">
        <f xml:space="preserve">
IF($A$4&lt;=12,SUMIFS('ON Data'!M:M,'ON Data'!$D:$D,$A$4,'ON Data'!$E:$E,7),SUMIFS('ON Data'!M:M,'ON Data'!$E:$E,7))</f>
        <v>0</v>
      </c>
      <c r="I16" s="224">
        <f xml:space="preserve">
IF($A$4&lt;=12,SUMIFS('ON Data'!N:N,'ON Data'!$D:$D,$A$4,'ON Data'!$E:$E,7),SUMIFS('ON Data'!N:N,'ON Data'!$E:$E,7))</f>
        <v>0</v>
      </c>
      <c r="J16" s="224">
        <f xml:space="preserve">
IF($A$4&lt;=12,SUMIFS('ON Data'!O:O,'ON Data'!$D:$D,$A$4,'ON Data'!$E:$E,7),SUMIFS('ON Data'!O:O,'ON Data'!$E:$E,7))</f>
        <v>0</v>
      </c>
      <c r="K16" s="224">
        <f xml:space="preserve">
IF($A$4&lt;=12,SUMIFS('ON Data'!P:P,'ON Data'!$D:$D,$A$4,'ON Data'!$E:$E,7),SUMIFS('ON Data'!P:P,'ON Data'!$E:$E,7))</f>
        <v>0</v>
      </c>
      <c r="L16" s="224">
        <f xml:space="preserve">
IF($A$4&lt;=12,SUMIFS('ON Data'!Q:Q,'ON Data'!$D:$D,$A$4,'ON Data'!$E:$E,7),SUMIFS('ON Data'!Q:Q,'ON Data'!$E:$E,7))</f>
        <v>0</v>
      </c>
      <c r="M16" s="224">
        <f xml:space="preserve">
IF($A$4&lt;=12,SUMIFS('ON Data'!R:R,'ON Data'!$D:$D,$A$4,'ON Data'!$E:$E,7),SUMIFS('ON Data'!R:R,'ON Data'!$E:$E,7))</f>
        <v>0</v>
      </c>
      <c r="N16" s="224">
        <f xml:space="preserve">
IF($A$4&lt;=12,SUMIFS('ON Data'!S:S,'ON Data'!$D:$D,$A$4,'ON Data'!$E:$E,7),SUMIFS('ON Data'!S:S,'ON Data'!$E:$E,7))</f>
        <v>0</v>
      </c>
      <c r="O16" s="224">
        <f xml:space="preserve">
IF($A$4&lt;=12,SUMIFS('ON Data'!T:T,'ON Data'!$D:$D,$A$4,'ON Data'!$E:$E,7),SUMIFS('ON Data'!T:T,'ON Data'!$E:$E,7))</f>
        <v>0</v>
      </c>
      <c r="P16" s="224">
        <f xml:space="preserve">
IF($A$4&lt;=12,SUMIFS('ON Data'!U:U,'ON Data'!$D:$D,$A$4,'ON Data'!$E:$E,7),SUMIFS('ON Data'!U:U,'ON Data'!$E:$E,7))</f>
        <v>0</v>
      </c>
      <c r="Q16" s="224">
        <f xml:space="preserve">
IF($A$4&lt;=12,SUMIFS('ON Data'!V:V,'ON Data'!$D:$D,$A$4,'ON Data'!$E:$E,7),SUMIFS('ON Data'!V:V,'ON Data'!$E:$E,7))</f>
        <v>0</v>
      </c>
      <c r="R16" s="224">
        <f xml:space="preserve">
IF($A$4&lt;=12,SUMIFS('ON Data'!W:W,'ON Data'!$D:$D,$A$4,'ON Data'!$E:$E,7),SUMIFS('ON Data'!W:W,'ON Data'!$E:$E,7))</f>
        <v>0</v>
      </c>
      <c r="S16" s="224">
        <f xml:space="preserve">
IF($A$4&lt;=12,SUMIFS('ON Data'!X:X,'ON Data'!$D:$D,$A$4,'ON Data'!$E:$E,7),SUMIFS('ON Data'!X:X,'ON Data'!$E:$E,7))</f>
        <v>0</v>
      </c>
      <c r="T16" s="224">
        <f xml:space="preserve">
IF($A$4&lt;=12,SUMIFS('ON Data'!Y:Y,'ON Data'!$D:$D,$A$4,'ON Data'!$E:$E,7),SUMIFS('ON Data'!Y:Y,'ON Data'!$E:$E,7))</f>
        <v>0</v>
      </c>
      <c r="U16" s="224">
        <f xml:space="preserve">
IF($A$4&lt;=12,SUMIFS('ON Data'!Z:Z,'ON Data'!$D:$D,$A$4,'ON Data'!$E:$E,7),SUMIFS('ON Data'!Z:Z,'ON Data'!$E:$E,7))</f>
        <v>0</v>
      </c>
      <c r="V16" s="224">
        <f xml:space="preserve">
IF($A$4&lt;=12,SUMIFS('ON Data'!AA:AA,'ON Data'!$D:$D,$A$4,'ON Data'!$E:$E,7),SUMIFS('ON Data'!AA:AA,'ON Data'!$E:$E,7))</f>
        <v>0</v>
      </c>
      <c r="W16" s="224">
        <f xml:space="preserve">
IF($A$4&lt;=12,SUMIFS('ON Data'!AB:AB,'ON Data'!$D:$D,$A$4,'ON Data'!$E:$E,7),SUMIFS('ON Data'!AB:AB,'ON Data'!$E:$E,7))</f>
        <v>0</v>
      </c>
      <c r="X16" s="224">
        <f xml:space="preserve">
IF($A$4&lt;=12,SUMIFS('ON Data'!AC:AC,'ON Data'!$D:$D,$A$4,'ON Data'!$E:$E,7),SUMIFS('ON Data'!AC:AC,'ON Data'!$E:$E,7))</f>
        <v>0</v>
      </c>
      <c r="Y16" s="224">
        <f xml:space="preserve">
IF($A$4&lt;=12,SUMIFS('ON Data'!AD:AD,'ON Data'!$D:$D,$A$4,'ON Data'!$E:$E,7),SUMIFS('ON Data'!AD:AD,'ON Data'!$E:$E,7))</f>
        <v>0</v>
      </c>
      <c r="Z16" s="224">
        <f xml:space="preserve">
IF($A$4&lt;=12,SUMIFS('ON Data'!AE:AE,'ON Data'!$D:$D,$A$4,'ON Data'!$E:$E,7),SUMIFS('ON Data'!AE:AE,'ON Data'!$E:$E,7))</f>
        <v>0</v>
      </c>
      <c r="AA16" s="224">
        <f xml:space="preserve">
IF($A$4&lt;=12,SUMIFS('ON Data'!AF:AF,'ON Data'!$D:$D,$A$4,'ON Data'!$E:$E,7),SUMIFS('ON Data'!AF:AF,'ON Data'!$E:$E,7))</f>
        <v>0</v>
      </c>
      <c r="AB16" s="224">
        <f xml:space="preserve">
IF($A$4&lt;=12,SUMIFS('ON Data'!AG:AG,'ON Data'!$D:$D,$A$4,'ON Data'!$E:$E,7),SUMIFS('ON Data'!AG:AG,'ON Data'!$E:$E,7))</f>
        <v>0</v>
      </c>
      <c r="AC16" s="224">
        <f xml:space="preserve">
IF($A$4&lt;=12,SUMIFS('ON Data'!AH:AH,'ON Data'!$D:$D,$A$4,'ON Data'!$E:$E,7),SUMIFS('ON Data'!AH:AH,'ON Data'!$E:$E,7))</f>
        <v>0</v>
      </c>
      <c r="AD16" s="224">
        <f xml:space="preserve">
IF($A$4&lt;=12,SUMIFS('ON Data'!AI:AI,'ON Data'!$D:$D,$A$4,'ON Data'!$E:$E,7),SUMIFS('ON Data'!AI:AI,'ON Data'!$E:$E,7))</f>
        <v>0</v>
      </c>
      <c r="AE16" s="224">
        <f xml:space="preserve">
IF($A$4&lt;=12,SUMIFS('ON Data'!AJ:AJ,'ON Data'!$D:$D,$A$4,'ON Data'!$E:$E,7),SUMIFS('ON Data'!AJ:AJ,'ON Data'!$E:$E,7))</f>
        <v>0</v>
      </c>
      <c r="AF16" s="224">
        <f xml:space="preserve">
IF($A$4&lt;=12,SUMIFS('ON Data'!AK:AK,'ON Data'!$D:$D,$A$4,'ON Data'!$E:$E,7),SUMIFS('ON Data'!AK:AK,'ON Data'!$E:$E,7))</f>
        <v>0</v>
      </c>
      <c r="AG16" s="377">
        <f xml:space="preserve">
IF($A$4&lt;=12,SUMIFS('ON Data'!AM:AM,'ON Data'!$D:$D,$A$4,'ON Data'!$E:$E,7),SUMIFS('ON Data'!AM:AM,'ON Data'!$E:$E,7))</f>
        <v>0</v>
      </c>
      <c r="AH16" s="387"/>
    </row>
    <row r="17" spans="1:34" x14ac:dyDescent="0.3">
      <c r="A17" s="207" t="s">
        <v>169</v>
      </c>
      <c r="B17" s="222">
        <f xml:space="preserve">
IF($A$4&lt;=12,SUMIFS('ON Data'!F:F,'ON Data'!$D:$D,$A$4,'ON Data'!$E:$E,8),SUMIFS('ON Data'!F:F,'ON Data'!$E:$E,8))</f>
        <v>0</v>
      </c>
      <c r="C17" s="223">
        <f xml:space="preserve">
IF($A$4&lt;=12,SUMIFS('ON Data'!G:G,'ON Data'!$D:$D,$A$4,'ON Data'!$E:$E,8),SUMIFS('ON Data'!G:G,'ON Data'!$E:$E,8))</f>
        <v>0</v>
      </c>
      <c r="D17" s="224">
        <f xml:space="preserve">
IF($A$4&lt;=12,SUMIFS('ON Data'!H:H,'ON Data'!$D:$D,$A$4,'ON Data'!$E:$E,8),SUMIFS('ON Data'!H:H,'ON Data'!$E:$E,8))</f>
        <v>0</v>
      </c>
      <c r="E17" s="224">
        <f xml:space="preserve">
IF($A$4&lt;=12,SUMIFS('ON Data'!I:I,'ON Data'!$D:$D,$A$4,'ON Data'!$E:$E,8),SUMIFS('ON Data'!I:I,'ON Data'!$E:$E,8))</f>
        <v>0</v>
      </c>
      <c r="F17" s="224">
        <f xml:space="preserve">
IF($A$4&lt;=12,SUMIFS('ON Data'!K:K,'ON Data'!$D:$D,$A$4,'ON Data'!$E:$E,8),SUMIFS('ON Data'!K:K,'ON Data'!$E:$E,8))</f>
        <v>0</v>
      </c>
      <c r="G17" s="224">
        <f xml:space="preserve">
IF($A$4&lt;=12,SUMIFS('ON Data'!L:L,'ON Data'!$D:$D,$A$4,'ON Data'!$E:$E,8),SUMIFS('ON Data'!L:L,'ON Data'!$E:$E,8))</f>
        <v>0</v>
      </c>
      <c r="H17" s="224">
        <f xml:space="preserve">
IF($A$4&lt;=12,SUMIFS('ON Data'!M:M,'ON Data'!$D:$D,$A$4,'ON Data'!$E:$E,8),SUMIFS('ON Data'!M:M,'ON Data'!$E:$E,8))</f>
        <v>0</v>
      </c>
      <c r="I17" s="224">
        <f xml:space="preserve">
IF($A$4&lt;=12,SUMIFS('ON Data'!N:N,'ON Data'!$D:$D,$A$4,'ON Data'!$E:$E,8),SUMIFS('ON Data'!N:N,'ON Data'!$E:$E,8))</f>
        <v>0</v>
      </c>
      <c r="J17" s="224">
        <f xml:space="preserve">
IF($A$4&lt;=12,SUMIFS('ON Data'!O:O,'ON Data'!$D:$D,$A$4,'ON Data'!$E:$E,8),SUMIFS('ON Data'!O:O,'ON Data'!$E:$E,8))</f>
        <v>0</v>
      </c>
      <c r="K17" s="224">
        <f xml:space="preserve">
IF($A$4&lt;=12,SUMIFS('ON Data'!P:P,'ON Data'!$D:$D,$A$4,'ON Data'!$E:$E,8),SUMIFS('ON Data'!P:P,'ON Data'!$E:$E,8))</f>
        <v>0</v>
      </c>
      <c r="L17" s="224">
        <f xml:space="preserve">
IF($A$4&lt;=12,SUMIFS('ON Data'!Q:Q,'ON Data'!$D:$D,$A$4,'ON Data'!$E:$E,8),SUMIFS('ON Data'!Q:Q,'ON Data'!$E:$E,8))</f>
        <v>0</v>
      </c>
      <c r="M17" s="224">
        <f xml:space="preserve">
IF($A$4&lt;=12,SUMIFS('ON Data'!R:R,'ON Data'!$D:$D,$A$4,'ON Data'!$E:$E,8),SUMIFS('ON Data'!R:R,'ON Data'!$E:$E,8))</f>
        <v>0</v>
      </c>
      <c r="N17" s="224">
        <f xml:space="preserve">
IF($A$4&lt;=12,SUMIFS('ON Data'!S:S,'ON Data'!$D:$D,$A$4,'ON Data'!$E:$E,8),SUMIFS('ON Data'!S:S,'ON Data'!$E:$E,8))</f>
        <v>0</v>
      </c>
      <c r="O17" s="224">
        <f xml:space="preserve">
IF($A$4&lt;=12,SUMIFS('ON Data'!T:T,'ON Data'!$D:$D,$A$4,'ON Data'!$E:$E,8),SUMIFS('ON Data'!T:T,'ON Data'!$E:$E,8))</f>
        <v>0</v>
      </c>
      <c r="P17" s="224">
        <f xml:space="preserve">
IF($A$4&lt;=12,SUMIFS('ON Data'!U:U,'ON Data'!$D:$D,$A$4,'ON Data'!$E:$E,8),SUMIFS('ON Data'!U:U,'ON Data'!$E:$E,8))</f>
        <v>0</v>
      </c>
      <c r="Q17" s="224">
        <f xml:space="preserve">
IF($A$4&lt;=12,SUMIFS('ON Data'!V:V,'ON Data'!$D:$D,$A$4,'ON Data'!$E:$E,8),SUMIFS('ON Data'!V:V,'ON Data'!$E:$E,8))</f>
        <v>0</v>
      </c>
      <c r="R17" s="224">
        <f xml:space="preserve">
IF($A$4&lt;=12,SUMIFS('ON Data'!W:W,'ON Data'!$D:$D,$A$4,'ON Data'!$E:$E,8),SUMIFS('ON Data'!W:W,'ON Data'!$E:$E,8))</f>
        <v>0</v>
      </c>
      <c r="S17" s="224">
        <f xml:space="preserve">
IF($A$4&lt;=12,SUMIFS('ON Data'!X:X,'ON Data'!$D:$D,$A$4,'ON Data'!$E:$E,8),SUMIFS('ON Data'!X:X,'ON Data'!$E:$E,8))</f>
        <v>0</v>
      </c>
      <c r="T17" s="224">
        <f xml:space="preserve">
IF($A$4&lt;=12,SUMIFS('ON Data'!Y:Y,'ON Data'!$D:$D,$A$4,'ON Data'!$E:$E,8),SUMIFS('ON Data'!Y:Y,'ON Data'!$E:$E,8))</f>
        <v>0</v>
      </c>
      <c r="U17" s="224">
        <f xml:space="preserve">
IF($A$4&lt;=12,SUMIFS('ON Data'!Z:Z,'ON Data'!$D:$D,$A$4,'ON Data'!$E:$E,8),SUMIFS('ON Data'!Z:Z,'ON Data'!$E:$E,8))</f>
        <v>0</v>
      </c>
      <c r="V17" s="224">
        <f xml:space="preserve">
IF($A$4&lt;=12,SUMIFS('ON Data'!AA:AA,'ON Data'!$D:$D,$A$4,'ON Data'!$E:$E,8),SUMIFS('ON Data'!AA:AA,'ON Data'!$E:$E,8))</f>
        <v>0</v>
      </c>
      <c r="W17" s="224">
        <f xml:space="preserve">
IF($A$4&lt;=12,SUMIFS('ON Data'!AB:AB,'ON Data'!$D:$D,$A$4,'ON Data'!$E:$E,8),SUMIFS('ON Data'!AB:AB,'ON Data'!$E:$E,8))</f>
        <v>0</v>
      </c>
      <c r="X17" s="224">
        <f xml:space="preserve">
IF($A$4&lt;=12,SUMIFS('ON Data'!AC:AC,'ON Data'!$D:$D,$A$4,'ON Data'!$E:$E,8),SUMIFS('ON Data'!AC:AC,'ON Data'!$E:$E,8))</f>
        <v>0</v>
      </c>
      <c r="Y17" s="224">
        <f xml:space="preserve">
IF($A$4&lt;=12,SUMIFS('ON Data'!AD:AD,'ON Data'!$D:$D,$A$4,'ON Data'!$E:$E,8),SUMIFS('ON Data'!AD:AD,'ON Data'!$E:$E,8))</f>
        <v>0</v>
      </c>
      <c r="Z17" s="224">
        <f xml:space="preserve">
IF($A$4&lt;=12,SUMIFS('ON Data'!AE:AE,'ON Data'!$D:$D,$A$4,'ON Data'!$E:$E,8),SUMIFS('ON Data'!AE:AE,'ON Data'!$E:$E,8))</f>
        <v>0</v>
      </c>
      <c r="AA17" s="224">
        <f xml:space="preserve">
IF($A$4&lt;=12,SUMIFS('ON Data'!AF:AF,'ON Data'!$D:$D,$A$4,'ON Data'!$E:$E,8),SUMIFS('ON Data'!AF:AF,'ON Data'!$E:$E,8))</f>
        <v>0</v>
      </c>
      <c r="AB17" s="224">
        <f xml:space="preserve">
IF($A$4&lt;=12,SUMIFS('ON Data'!AG:AG,'ON Data'!$D:$D,$A$4,'ON Data'!$E:$E,8),SUMIFS('ON Data'!AG:AG,'ON Data'!$E:$E,8))</f>
        <v>0</v>
      </c>
      <c r="AC17" s="224">
        <f xml:space="preserve">
IF($A$4&lt;=12,SUMIFS('ON Data'!AH:AH,'ON Data'!$D:$D,$A$4,'ON Data'!$E:$E,8),SUMIFS('ON Data'!AH:AH,'ON Data'!$E:$E,8))</f>
        <v>0</v>
      </c>
      <c r="AD17" s="224">
        <f xml:space="preserve">
IF($A$4&lt;=12,SUMIFS('ON Data'!AI:AI,'ON Data'!$D:$D,$A$4,'ON Data'!$E:$E,8),SUMIFS('ON Data'!AI:AI,'ON Data'!$E:$E,8))</f>
        <v>0</v>
      </c>
      <c r="AE17" s="224">
        <f xml:space="preserve">
IF($A$4&lt;=12,SUMIFS('ON Data'!AJ:AJ,'ON Data'!$D:$D,$A$4,'ON Data'!$E:$E,8),SUMIFS('ON Data'!AJ:AJ,'ON Data'!$E:$E,8))</f>
        <v>0</v>
      </c>
      <c r="AF17" s="224">
        <f xml:space="preserve">
IF($A$4&lt;=12,SUMIFS('ON Data'!AK:AK,'ON Data'!$D:$D,$A$4,'ON Data'!$E:$E,8),SUMIFS('ON Data'!AK:AK,'ON Data'!$E:$E,8))</f>
        <v>0</v>
      </c>
      <c r="AG17" s="377">
        <f xml:space="preserve">
IF($A$4&lt;=12,SUMIFS('ON Data'!AM:AM,'ON Data'!$D:$D,$A$4,'ON Data'!$E:$E,8),SUMIFS('ON Data'!AM:AM,'ON Data'!$E:$E,8))</f>
        <v>0</v>
      </c>
      <c r="AH17" s="387"/>
    </row>
    <row r="18" spans="1:34" x14ac:dyDescent="0.3">
      <c r="A18" s="207" t="s">
        <v>170</v>
      </c>
      <c r="B18" s="222">
        <f xml:space="preserve">
B19-B16-B17</f>
        <v>380187</v>
      </c>
      <c r="C18" s="223">
        <f t="shared" ref="C18" si="0" xml:space="preserve">
C19-C16-C17</f>
        <v>0</v>
      </c>
      <c r="D18" s="224">
        <f t="shared" ref="D18:AG18" si="1" xml:space="preserve">
D19-D16-D17</f>
        <v>0</v>
      </c>
      <c r="E18" s="224">
        <f t="shared" si="1"/>
        <v>0</v>
      </c>
      <c r="F18" s="224">
        <f t="shared" si="1"/>
        <v>0</v>
      </c>
      <c r="G18" s="224">
        <f t="shared" si="1"/>
        <v>0</v>
      </c>
      <c r="H18" s="224">
        <f t="shared" si="1"/>
        <v>0</v>
      </c>
      <c r="I18" s="224">
        <f t="shared" si="1"/>
        <v>0</v>
      </c>
      <c r="J18" s="224">
        <f t="shared" si="1"/>
        <v>0</v>
      </c>
      <c r="K18" s="224">
        <f t="shared" si="1"/>
        <v>0</v>
      </c>
      <c r="L18" s="224">
        <f t="shared" si="1"/>
        <v>0</v>
      </c>
      <c r="M18" s="224">
        <f t="shared" si="1"/>
        <v>0</v>
      </c>
      <c r="N18" s="224">
        <f t="shared" si="1"/>
        <v>0</v>
      </c>
      <c r="O18" s="224">
        <f t="shared" si="1"/>
        <v>0</v>
      </c>
      <c r="P18" s="224">
        <f t="shared" si="1"/>
        <v>0</v>
      </c>
      <c r="Q18" s="224">
        <f t="shared" si="1"/>
        <v>284122</v>
      </c>
      <c r="R18" s="224">
        <f t="shared" si="1"/>
        <v>0</v>
      </c>
      <c r="S18" s="224">
        <f t="shared" si="1"/>
        <v>0</v>
      </c>
      <c r="T18" s="224">
        <f t="shared" si="1"/>
        <v>0</v>
      </c>
      <c r="U18" s="224">
        <f t="shared" si="1"/>
        <v>0</v>
      </c>
      <c r="V18" s="224">
        <f t="shared" si="1"/>
        <v>0</v>
      </c>
      <c r="W18" s="224">
        <f t="shared" si="1"/>
        <v>0</v>
      </c>
      <c r="X18" s="224">
        <f t="shared" si="1"/>
        <v>0</v>
      </c>
      <c r="Y18" s="224">
        <f t="shared" si="1"/>
        <v>0</v>
      </c>
      <c r="Z18" s="224">
        <f t="shared" si="1"/>
        <v>0</v>
      </c>
      <c r="AA18" s="224">
        <f t="shared" si="1"/>
        <v>0</v>
      </c>
      <c r="AB18" s="224">
        <f t="shared" si="1"/>
        <v>0</v>
      </c>
      <c r="AC18" s="224">
        <f t="shared" si="1"/>
        <v>0</v>
      </c>
      <c r="AD18" s="224">
        <f t="shared" si="1"/>
        <v>77614</v>
      </c>
      <c r="AE18" s="224">
        <f t="shared" si="1"/>
        <v>0</v>
      </c>
      <c r="AF18" s="224">
        <f t="shared" si="1"/>
        <v>0</v>
      </c>
      <c r="AG18" s="377">
        <f t="shared" si="1"/>
        <v>18451</v>
      </c>
      <c r="AH18" s="387"/>
    </row>
    <row r="19" spans="1:34" ht="15" thickBot="1" x14ac:dyDescent="0.35">
      <c r="A19" s="208" t="s">
        <v>171</v>
      </c>
      <c r="B19" s="231">
        <f xml:space="preserve">
IF($A$4&lt;=12,SUMIFS('ON Data'!F:F,'ON Data'!$D:$D,$A$4,'ON Data'!$E:$E,9),SUMIFS('ON Data'!F:F,'ON Data'!$E:$E,9))</f>
        <v>380187</v>
      </c>
      <c r="C19" s="232">
        <f xml:space="preserve">
IF($A$4&lt;=12,SUMIFS('ON Data'!G:G,'ON Data'!$D:$D,$A$4,'ON Data'!$E:$E,9),SUMIFS('ON Data'!G:G,'ON Data'!$E:$E,9))</f>
        <v>0</v>
      </c>
      <c r="D19" s="233">
        <f xml:space="preserve">
IF($A$4&lt;=12,SUMIFS('ON Data'!H:H,'ON Data'!$D:$D,$A$4,'ON Data'!$E:$E,9),SUMIFS('ON Data'!H:H,'ON Data'!$E:$E,9))</f>
        <v>0</v>
      </c>
      <c r="E19" s="233">
        <f xml:space="preserve">
IF($A$4&lt;=12,SUMIFS('ON Data'!I:I,'ON Data'!$D:$D,$A$4,'ON Data'!$E:$E,9),SUMIFS('ON Data'!I:I,'ON Data'!$E:$E,9))</f>
        <v>0</v>
      </c>
      <c r="F19" s="233">
        <f xml:space="preserve">
IF($A$4&lt;=12,SUMIFS('ON Data'!K:K,'ON Data'!$D:$D,$A$4,'ON Data'!$E:$E,9),SUMIFS('ON Data'!K:K,'ON Data'!$E:$E,9))</f>
        <v>0</v>
      </c>
      <c r="G19" s="233">
        <f xml:space="preserve">
IF($A$4&lt;=12,SUMIFS('ON Data'!L:L,'ON Data'!$D:$D,$A$4,'ON Data'!$E:$E,9),SUMIFS('ON Data'!L:L,'ON Data'!$E:$E,9))</f>
        <v>0</v>
      </c>
      <c r="H19" s="233">
        <f xml:space="preserve">
IF($A$4&lt;=12,SUMIFS('ON Data'!M:M,'ON Data'!$D:$D,$A$4,'ON Data'!$E:$E,9),SUMIFS('ON Data'!M:M,'ON Data'!$E:$E,9))</f>
        <v>0</v>
      </c>
      <c r="I19" s="233">
        <f xml:space="preserve">
IF($A$4&lt;=12,SUMIFS('ON Data'!N:N,'ON Data'!$D:$D,$A$4,'ON Data'!$E:$E,9),SUMIFS('ON Data'!N:N,'ON Data'!$E:$E,9))</f>
        <v>0</v>
      </c>
      <c r="J19" s="233">
        <f xml:space="preserve">
IF($A$4&lt;=12,SUMIFS('ON Data'!O:O,'ON Data'!$D:$D,$A$4,'ON Data'!$E:$E,9),SUMIFS('ON Data'!O:O,'ON Data'!$E:$E,9))</f>
        <v>0</v>
      </c>
      <c r="K19" s="233">
        <f xml:space="preserve">
IF($A$4&lt;=12,SUMIFS('ON Data'!P:P,'ON Data'!$D:$D,$A$4,'ON Data'!$E:$E,9),SUMIFS('ON Data'!P:P,'ON Data'!$E:$E,9))</f>
        <v>0</v>
      </c>
      <c r="L19" s="233">
        <f xml:space="preserve">
IF($A$4&lt;=12,SUMIFS('ON Data'!Q:Q,'ON Data'!$D:$D,$A$4,'ON Data'!$E:$E,9),SUMIFS('ON Data'!Q:Q,'ON Data'!$E:$E,9))</f>
        <v>0</v>
      </c>
      <c r="M19" s="233">
        <f xml:space="preserve">
IF($A$4&lt;=12,SUMIFS('ON Data'!R:R,'ON Data'!$D:$D,$A$4,'ON Data'!$E:$E,9),SUMIFS('ON Data'!R:R,'ON Data'!$E:$E,9))</f>
        <v>0</v>
      </c>
      <c r="N19" s="233">
        <f xml:space="preserve">
IF($A$4&lt;=12,SUMIFS('ON Data'!S:S,'ON Data'!$D:$D,$A$4,'ON Data'!$E:$E,9),SUMIFS('ON Data'!S:S,'ON Data'!$E:$E,9))</f>
        <v>0</v>
      </c>
      <c r="O19" s="233">
        <f xml:space="preserve">
IF($A$4&lt;=12,SUMIFS('ON Data'!T:T,'ON Data'!$D:$D,$A$4,'ON Data'!$E:$E,9),SUMIFS('ON Data'!T:T,'ON Data'!$E:$E,9))</f>
        <v>0</v>
      </c>
      <c r="P19" s="233">
        <f xml:space="preserve">
IF($A$4&lt;=12,SUMIFS('ON Data'!U:U,'ON Data'!$D:$D,$A$4,'ON Data'!$E:$E,9),SUMIFS('ON Data'!U:U,'ON Data'!$E:$E,9))</f>
        <v>0</v>
      </c>
      <c r="Q19" s="233">
        <f xml:space="preserve">
IF($A$4&lt;=12,SUMIFS('ON Data'!V:V,'ON Data'!$D:$D,$A$4,'ON Data'!$E:$E,9),SUMIFS('ON Data'!V:V,'ON Data'!$E:$E,9))</f>
        <v>284122</v>
      </c>
      <c r="R19" s="233">
        <f xml:space="preserve">
IF($A$4&lt;=12,SUMIFS('ON Data'!W:W,'ON Data'!$D:$D,$A$4,'ON Data'!$E:$E,9),SUMIFS('ON Data'!W:W,'ON Data'!$E:$E,9))</f>
        <v>0</v>
      </c>
      <c r="S19" s="233">
        <f xml:space="preserve">
IF($A$4&lt;=12,SUMIFS('ON Data'!X:X,'ON Data'!$D:$D,$A$4,'ON Data'!$E:$E,9),SUMIFS('ON Data'!X:X,'ON Data'!$E:$E,9))</f>
        <v>0</v>
      </c>
      <c r="T19" s="233">
        <f xml:space="preserve">
IF($A$4&lt;=12,SUMIFS('ON Data'!Y:Y,'ON Data'!$D:$D,$A$4,'ON Data'!$E:$E,9),SUMIFS('ON Data'!Y:Y,'ON Data'!$E:$E,9))</f>
        <v>0</v>
      </c>
      <c r="U19" s="233">
        <f xml:space="preserve">
IF($A$4&lt;=12,SUMIFS('ON Data'!Z:Z,'ON Data'!$D:$D,$A$4,'ON Data'!$E:$E,9),SUMIFS('ON Data'!Z:Z,'ON Data'!$E:$E,9))</f>
        <v>0</v>
      </c>
      <c r="V19" s="233">
        <f xml:space="preserve">
IF($A$4&lt;=12,SUMIFS('ON Data'!AA:AA,'ON Data'!$D:$D,$A$4,'ON Data'!$E:$E,9),SUMIFS('ON Data'!AA:AA,'ON Data'!$E:$E,9))</f>
        <v>0</v>
      </c>
      <c r="W19" s="233">
        <f xml:space="preserve">
IF($A$4&lt;=12,SUMIFS('ON Data'!AB:AB,'ON Data'!$D:$D,$A$4,'ON Data'!$E:$E,9),SUMIFS('ON Data'!AB:AB,'ON Data'!$E:$E,9))</f>
        <v>0</v>
      </c>
      <c r="X19" s="233">
        <f xml:space="preserve">
IF($A$4&lt;=12,SUMIFS('ON Data'!AC:AC,'ON Data'!$D:$D,$A$4,'ON Data'!$E:$E,9),SUMIFS('ON Data'!AC:AC,'ON Data'!$E:$E,9))</f>
        <v>0</v>
      </c>
      <c r="Y19" s="233">
        <f xml:space="preserve">
IF($A$4&lt;=12,SUMIFS('ON Data'!AD:AD,'ON Data'!$D:$D,$A$4,'ON Data'!$E:$E,9),SUMIFS('ON Data'!AD:AD,'ON Data'!$E:$E,9))</f>
        <v>0</v>
      </c>
      <c r="Z19" s="233">
        <f xml:space="preserve">
IF($A$4&lt;=12,SUMIFS('ON Data'!AE:AE,'ON Data'!$D:$D,$A$4,'ON Data'!$E:$E,9),SUMIFS('ON Data'!AE:AE,'ON Data'!$E:$E,9))</f>
        <v>0</v>
      </c>
      <c r="AA19" s="233">
        <f xml:space="preserve">
IF($A$4&lt;=12,SUMIFS('ON Data'!AF:AF,'ON Data'!$D:$D,$A$4,'ON Data'!$E:$E,9),SUMIFS('ON Data'!AF:AF,'ON Data'!$E:$E,9))</f>
        <v>0</v>
      </c>
      <c r="AB19" s="233">
        <f xml:space="preserve">
IF($A$4&lt;=12,SUMIFS('ON Data'!AG:AG,'ON Data'!$D:$D,$A$4,'ON Data'!$E:$E,9),SUMIFS('ON Data'!AG:AG,'ON Data'!$E:$E,9))</f>
        <v>0</v>
      </c>
      <c r="AC19" s="233">
        <f xml:space="preserve">
IF($A$4&lt;=12,SUMIFS('ON Data'!AH:AH,'ON Data'!$D:$D,$A$4,'ON Data'!$E:$E,9),SUMIFS('ON Data'!AH:AH,'ON Data'!$E:$E,9))</f>
        <v>0</v>
      </c>
      <c r="AD19" s="233">
        <f xml:space="preserve">
IF($A$4&lt;=12,SUMIFS('ON Data'!AI:AI,'ON Data'!$D:$D,$A$4,'ON Data'!$E:$E,9),SUMIFS('ON Data'!AI:AI,'ON Data'!$E:$E,9))</f>
        <v>77614</v>
      </c>
      <c r="AE19" s="233">
        <f xml:space="preserve">
IF($A$4&lt;=12,SUMIFS('ON Data'!AJ:AJ,'ON Data'!$D:$D,$A$4,'ON Data'!$E:$E,9),SUMIFS('ON Data'!AJ:AJ,'ON Data'!$E:$E,9))</f>
        <v>0</v>
      </c>
      <c r="AF19" s="233">
        <f xml:space="preserve">
IF($A$4&lt;=12,SUMIFS('ON Data'!AK:AK,'ON Data'!$D:$D,$A$4,'ON Data'!$E:$E,9),SUMIFS('ON Data'!AK:AK,'ON Data'!$E:$E,9))</f>
        <v>0</v>
      </c>
      <c r="AG19" s="380">
        <f xml:space="preserve">
IF($A$4&lt;=12,SUMIFS('ON Data'!AM:AM,'ON Data'!$D:$D,$A$4,'ON Data'!$E:$E,9),SUMIFS('ON Data'!AM:AM,'ON Data'!$E:$E,9))</f>
        <v>18451</v>
      </c>
      <c r="AH19" s="387"/>
    </row>
    <row r="20" spans="1:34" ht="15" collapsed="1" thickBot="1" x14ac:dyDescent="0.35">
      <c r="A20" s="209" t="s">
        <v>50</v>
      </c>
      <c r="B20" s="234">
        <f xml:space="preserve">
IF($A$4&lt;=12,SUMIFS('ON Data'!F:F,'ON Data'!$D:$D,$A$4,'ON Data'!$E:$E,6),SUMIFS('ON Data'!F:F,'ON Data'!$E:$E,6))</f>
        <v>5050060</v>
      </c>
      <c r="C20" s="235">
        <f xml:space="preserve">
IF($A$4&lt;=12,SUMIFS('ON Data'!G:G,'ON Data'!$D:$D,$A$4,'ON Data'!$E:$E,6),SUMIFS('ON Data'!G:G,'ON Data'!$E:$E,6))</f>
        <v>0</v>
      </c>
      <c r="D20" s="236">
        <f xml:space="preserve">
IF($A$4&lt;=12,SUMIFS('ON Data'!H:H,'ON Data'!$D:$D,$A$4,'ON Data'!$E:$E,6),SUMIFS('ON Data'!H:H,'ON Data'!$E:$E,6))</f>
        <v>0</v>
      </c>
      <c r="E20" s="236">
        <f xml:space="preserve">
IF($A$4&lt;=12,SUMIFS('ON Data'!I:I,'ON Data'!$D:$D,$A$4,'ON Data'!$E:$E,6),SUMIFS('ON Data'!I:I,'ON Data'!$E:$E,6))</f>
        <v>0</v>
      </c>
      <c r="F20" s="236">
        <f xml:space="preserve">
IF($A$4&lt;=12,SUMIFS('ON Data'!K:K,'ON Data'!$D:$D,$A$4,'ON Data'!$E:$E,6),SUMIFS('ON Data'!K:K,'ON Data'!$E:$E,6))</f>
        <v>0</v>
      </c>
      <c r="G20" s="236">
        <f xml:space="preserve">
IF($A$4&lt;=12,SUMIFS('ON Data'!L:L,'ON Data'!$D:$D,$A$4,'ON Data'!$E:$E,6),SUMIFS('ON Data'!L:L,'ON Data'!$E:$E,6))</f>
        <v>0</v>
      </c>
      <c r="H20" s="236">
        <f xml:space="preserve">
IF($A$4&lt;=12,SUMIFS('ON Data'!M:M,'ON Data'!$D:$D,$A$4,'ON Data'!$E:$E,6),SUMIFS('ON Data'!M:M,'ON Data'!$E:$E,6))</f>
        <v>0</v>
      </c>
      <c r="I20" s="236">
        <f xml:space="preserve">
IF($A$4&lt;=12,SUMIFS('ON Data'!N:N,'ON Data'!$D:$D,$A$4,'ON Data'!$E:$E,6),SUMIFS('ON Data'!N:N,'ON Data'!$E:$E,6))</f>
        <v>0</v>
      </c>
      <c r="J20" s="236">
        <f xml:space="preserve">
IF($A$4&lt;=12,SUMIFS('ON Data'!O:O,'ON Data'!$D:$D,$A$4,'ON Data'!$E:$E,6),SUMIFS('ON Data'!O:O,'ON Data'!$E:$E,6))</f>
        <v>0</v>
      </c>
      <c r="K20" s="236">
        <f xml:space="preserve">
IF($A$4&lt;=12,SUMIFS('ON Data'!P:P,'ON Data'!$D:$D,$A$4,'ON Data'!$E:$E,6),SUMIFS('ON Data'!P:P,'ON Data'!$E:$E,6))</f>
        <v>0</v>
      </c>
      <c r="L20" s="236">
        <f xml:space="preserve">
IF($A$4&lt;=12,SUMIFS('ON Data'!Q:Q,'ON Data'!$D:$D,$A$4,'ON Data'!$E:$E,6),SUMIFS('ON Data'!Q:Q,'ON Data'!$E:$E,6))</f>
        <v>0</v>
      </c>
      <c r="M20" s="236">
        <f xml:space="preserve">
IF($A$4&lt;=12,SUMIFS('ON Data'!R:R,'ON Data'!$D:$D,$A$4,'ON Data'!$E:$E,6),SUMIFS('ON Data'!R:R,'ON Data'!$E:$E,6))</f>
        <v>0</v>
      </c>
      <c r="N20" s="236">
        <f xml:space="preserve">
IF($A$4&lt;=12,SUMIFS('ON Data'!S:S,'ON Data'!$D:$D,$A$4,'ON Data'!$E:$E,6),SUMIFS('ON Data'!S:S,'ON Data'!$E:$E,6))</f>
        <v>0</v>
      </c>
      <c r="O20" s="236">
        <f xml:space="preserve">
IF($A$4&lt;=12,SUMIFS('ON Data'!T:T,'ON Data'!$D:$D,$A$4,'ON Data'!$E:$E,6),SUMIFS('ON Data'!T:T,'ON Data'!$E:$E,6))</f>
        <v>0</v>
      </c>
      <c r="P20" s="236">
        <f xml:space="preserve">
IF($A$4&lt;=12,SUMIFS('ON Data'!U:U,'ON Data'!$D:$D,$A$4,'ON Data'!$E:$E,6),SUMIFS('ON Data'!U:U,'ON Data'!$E:$E,6))</f>
        <v>0</v>
      </c>
      <c r="Q20" s="236">
        <f xml:space="preserve">
IF($A$4&lt;=12,SUMIFS('ON Data'!V:V,'ON Data'!$D:$D,$A$4,'ON Data'!$E:$E,6),SUMIFS('ON Data'!V:V,'ON Data'!$E:$E,6))</f>
        <v>3751384</v>
      </c>
      <c r="R20" s="236">
        <f xml:space="preserve">
IF($A$4&lt;=12,SUMIFS('ON Data'!W:W,'ON Data'!$D:$D,$A$4,'ON Data'!$E:$E,6),SUMIFS('ON Data'!W:W,'ON Data'!$E:$E,6))</f>
        <v>0</v>
      </c>
      <c r="S20" s="236">
        <f xml:space="preserve">
IF($A$4&lt;=12,SUMIFS('ON Data'!X:X,'ON Data'!$D:$D,$A$4,'ON Data'!$E:$E,6),SUMIFS('ON Data'!X:X,'ON Data'!$E:$E,6))</f>
        <v>0</v>
      </c>
      <c r="T20" s="236">
        <f xml:space="preserve">
IF($A$4&lt;=12,SUMIFS('ON Data'!Y:Y,'ON Data'!$D:$D,$A$4,'ON Data'!$E:$E,6),SUMIFS('ON Data'!Y:Y,'ON Data'!$E:$E,6))</f>
        <v>0</v>
      </c>
      <c r="U20" s="236">
        <f xml:space="preserve">
IF($A$4&lt;=12,SUMIFS('ON Data'!Z:Z,'ON Data'!$D:$D,$A$4,'ON Data'!$E:$E,6),SUMIFS('ON Data'!Z:Z,'ON Data'!$E:$E,6))</f>
        <v>0</v>
      </c>
      <c r="V20" s="236">
        <f xml:space="preserve">
IF($A$4&lt;=12,SUMIFS('ON Data'!AA:AA,'ON Data'!$D:$D,$A$4,'ON Data'!$E:$E,6),SUMIFS('ON Data'!AA:AA,'ON Data'!$E:$E,6))</f>
        <v>0</v>
      </c>
      <c r="W20" s="236">
        <f xml:space="preserve">
IF($A$4&lt;=12,SUMIFS('ON Data'!AB:AB,'ON Data'!$D:$D,$A$4,'ON Data'!$E:$E,6),SUMIFS('ON Data'!AB:AB,'ON Data'!$E:$E,6))</f>
        <v>0</v>
      </c>
      <c r="X20" s="236">
        <f xml:space="preserve">
IF($A$4&lt;=12,SUMIFS('ON Data'!AC:AC,'ON Data'!$D:$D,$A$4,'ON Data'!$E:$E,6),SUMIFS('ON Data'!AC:AC,'ON Data'!$E:$E,6))</f>
        <v>0</v>
      </c>
      <c r="Y20" s="236">
        <f xml:space="preserve">
IF($A$4&lt;=12,SUMIFS('ON Data'!AD:AD,'ON Data'!$D:$D,$A$4,'ON Data'!$E:$E,6),SUMIFS('ON Data'!AD:AD,'ON Data'!$E:$E,6))</f>
        <v>0</v>
      </c>
      <c r="Z20" s="236">
        <f xml:space="preserve">
IF($A$4&lt;=12,SUMIFS('ON Data'!AE:AE,'ON Data'!$D:$D,$A$4,'ON Data'!$E:$E,6),SUMIFS('ON Data'!AE:AE,'ON Data'!$E:$E,6))</f>
        <v>0</v>
      </c>
      <c r="AA20" s="236">
        <f xml:space="preserve">
IF($A$4&lt;=12,SUMIFS('ON Data'!AF:AF,'ON Data'!$D:$D,$A$4,'ON Data'!$E:$E,6),SUMIFS('ON Data'!AF:AF,'ON Data'!$E:$E,6))</f>
        <v>0</v>
      </c>
      <c r="AB20" s="236">
        <f xml:space="preserve">
IF($A$4&lt;=12,SUMIFS('ON Data'!AG:AG,'ON Data'!$D:$D,$A$4,'ON Data'!$E:$E,6),SUMIFS('ON Data'!AG:AG,'ON Data'!$E:$E,6))</f>
        <v>0</v>
      </c>
      <c r="AC20" s="236">
        <f xml:space="preserve">
IF($A$4&lt;=12,SUMIFS('ON Data'!AH:AH,'ON Data'!$D:$D,$A$4,'ON Data'!$E:$E,6),SUMIFS('ON Data'!AH:AH,'ON Data'!$E:$E,6))</f>
        <v>0</v>
      </c>
      <c r="AD20" s="236">
        <f xml:space="preserve">
IF($A$4&lt;=12,SUMIFS('ON Data'!AI:AI,'ON Data'!$D:$D,$A$4,'ON Data'!$E:$E,6),SUMIFS('ON Data'!AI:AI,'ON Data'!$E:$E,6))</f>
        <v>1071834</v>
      </c>
      <c r="AE20" s="236">
        <f xml:space="preserve">
IF($A$4&lt;=12,SUMIFS('ON Data'!AJ:AJ,'ON Data'!$D:$D,$A$4,'ON Data'!$E:$E,6),SUMIFS('ON Data'!AJ:AJ,'ON Data'!$E:$E,6))</f>
        <v>0</v>
      </c>
      <c r="AF20" s="236">
        <f xml:space="preserve">
IF($A$4&lt;=12,SUMIFS('ON Data'!AK:AK,'ON Data'!$D:$D,$A$4,'ON Data'!$E:$E,6),SUMIFS('ON Data'!AK:AK,'ON Data'!$E:$E,6))</f>
        <v>0</v>
      </c>
      <c r="AG20" s="381">
        <f xml:space="preserve">
IF($A$4&lt;=12,SUMIFS('ON Data'!AM:AM,'ON Data'!$D:$D,$A$4,'ON Data'!$E:$E,6),SUMIFS('ON Data'!AM:AM,'ON Data'!$E:$E,6))</f>
        <v>226842</v>
      </c>
      <c r="AH20" s="387"/>
    </row>
    <row r="21" spans="1:34" ht="15" hidden="1" outlineLevel="1" thickBot="1" x14ac:dyDescent="0.35">
      <c r="A21" s="202" t="s">
        <v>85</v>
      </c>
      <c r="B21" s="222">
        <f xml:space="preserve">
IF($A$4&lt;=12,SUMIFS('ON Data'!F:F,'ON Data'!$D:$D,$A$4,'ON Data'!$E:$E,12),SUMIFS('ON Data'!F:F,'ON Data'!$E:$E,12))</f>
        <v>0</v>
      </c>
      <c r="C21" s="223">
        <f xml:space="preserve">
IF($A$4&lt;=12,SUMIFS('ON Data'!G:G,'ON Data'!$D:$D,$A$4,'ON Data'!$E:$E,12),SUMIFS('ON Data'!G:G,'ON Data'!$E:$E,12))</f>
        <v>0</v>
      </c>
      <c r="D21" s="224">
        <f xml:space="preserve">
IF($A$4&lt;=12,SUMIFS('ON Data'!H:H,'ON Data'!$D:$D,$A$4,'ON Data'!$E:$E,12),SUMIFS('ON Data'!H:H,'ON Data'!$E:$E,12))</f>
        <v>0</v>
      </c>
      <c r="E21" s="224">
        <f xml:space="preserve">
IF($A$4&lt;=12,SUMIFS('ON Data'!I:I,'ON Data'!$D:$D,$A$4,'ON Data'!$E:$E,12),SUMIFS('ON Data'!I:I,'ON Data'!$E:$E,12))</f>
        <v>0</v>
      </c>
      <c r="F21" s="224">
        <f xml:space="preserve">
IF($A$4&lt;=12,SUMIFS('ON Data'!K:K,'ON Data'!$D:$D,$A$4,'ON Data'!$E:$E,12),SUMIFS('ON Data'!K:K,'ON Data'!$E:$E,12))</f>
        <v>0</v>
      </c>
      <c r="G21" s="224">
        <f xml:space="preserve">
IF($A$4&lt;=12,SUMIFS('ON Data'!L:L,'ON Data'!$D:$D,$A$4,'ON Data'!$E:$E,12),SUMIFS('ON Data'!L:L,'ON Data'!$E:$E,12))</f>
        <v>0</v>
      </c>
      <c r="H21" s="224">
        <f xml:space="preserve">
IF($A$4&lt;=12,SUMIFS('ON Data'!M:M,'ON Data'!$D:$D,$A$4,'ON Data'!$E:$E,12),SUMIFS('ON Data'!M:M,'ON Data'!$E:$E,12))</f>
        <v>0</v>
      </c>
      <c r="I21" s="224">
        <f xml:space="preserve">
IF($A$4&lt;=12,SUMIFS('ON Data'!N:N,'ON Data'!$D:$D,$A$4,'ON Data'!$E:$E,12),SUMIFS('ON Data'!N:N,'ON Data'!$E:$E,12))</f>
        <v>0</v>
      </c>
      <c r="J21" s="224">
        <f xml:space="preserve">
IF($A$4&lt;=12,SUMIFS('ON Data'!O:O,'ON Data'!$D:$D,$A$4,'ON Data'!$E:$E,12),SUMIFS('ON Data'!O:O,'ON Data'!$E:$E,12))</f>
        <v>0</v>
      </c>
      <c r="K21" s="224">
        <f xml:space="preserve">
IF($A$4&lt;=12,SUMIFS('ON Data'!P:P,'ON Data'!$D:$D,$A$4,'ON Data'!$E:$E,12),SUMIFS('ON Data'!P:P,'ON Data'!$E:$E,12))</f>
        <v>0</v>
      </c>
      <c r="L21" s="224">
        <f xml:space="preserve">
IF($A$4&lt;=12,SUMIFS('ON Data'!Q:Q,'ON Data'!$D:$D,$A$4,'ON Data'!$E:$E,12),SUMIFS('ON Data'!Q:Q,'ON Data'!$E:$E,12))</f>
        <v>0</v>
      </c>
      <c r="M21" s="224">
        <f xml:space="preserve">
IF($A$4&lt;=12,SUMIFS('ON Data'!R:R,'ON Data'!$D:$D,$A$4,'ON Data'!$E:$E,12),SUMIFS('ON Data'!R:R,'ON Data'!$E:$E,12))</f>
        <v>0</v>
      </c>
      <c r="N21" s="224">
        <f xml:space="preserve">
IF($A$4&lt;=12,SUMIFS('ON Data'!S:S,'ON Data'!$D:$D,$A$4,'ON Data'!$E:$E,12),SUMIFS('ON Data'!S:S,'ON Data'!$E:$E,12))</f>
        <v>0</v>
      </c>
      <c r="O21" s="224">
        <f xml:space="preserve">
IF($A$4&lt;=12,SUMIFS('ON Data'!T:T,'ON Data'!$D:$D,$A$4,'ON Data'!$E:$E,12),SUMIFS('ON Data'!T:T,'ON Data'!$E:$E,12))</f>
        <v>0</v>
      </c>
      <c r="P21" s="224">
        <f xml:space="preserve">
IF($A$4&lt;=12,SUMIFS('ON Data'!U:U,'ON Data'!$D:$D,$A$4,'ON Data'!$E:$E,12),SUMIFS('ON Data'!U:U,'ON Data'!$E:$E,12))</f>
        <v>0</v>
      </c>
      <c r="Q21" s="224">
        <f xml:space="preserve">
IF($A$4&lt;=12,SUMIFS('ON Data'!V:V,'ON Data'!$D:$D,$A$4,'ON Data'!$E:$E,12),SUMIFS('ON Data'!V:V,'ON Data'!$E:$E,12))</f>
        <v>0</v>
      </c>
      <c r="R21" s="224">
        <f xml:space="preserve">
IF($A$4&lt;=12,SUMIFS('ON Data'!W:W,'ON Data'!$D:$D,$A$4,'ON Data'!$E:$E,12),SUMIFS('ON Data'!W:W,'ON Data'!$E:$E,12))</f>
        <v>0</v>
      </c>
      <c r="S21" s="224">
        <f xml:space="preserve">
IF($A$4&lt;=12,SUMIFS('ON Data'!X:X,'ON Data'!$D:$D,$A$4,'ON Data'!$E:$E,12),SUMIFS('ON Data'!X:X,'ON Data'!$E:$E,12))</f>
        <v>0</v>
      </c>
      <c r="T21" s="224">
        <f xml:space="preserve">
IF($A$4&lt;=12,SUMIFS('ON Data'!Y:Y,'ON Data'!$D:$D,$A$4,'ON Data'!$E:$E,12),SUMIFS('ON Data'!Y:Y,'ON Data'!$E:$E,12))</f>
        <v>0</v>
      </c>
      <c r="U21" s="224">
        <f xml:space="preserve">
IF($A$4&lt;=12,SUMIFS('ON Data'!Z:Z,'ON Data'!$D:$D,$A$4,'ON Data'!$E:$E,12),SUMIFS('ON Data'!Z:Z,'ON Data'!$E:$E,12))</f>
        <v>0</v>
      </c>
      <c r="V21" s="224">
        <f xml:space="preserve">
IF($A$4&lt;=12,SUMIFS('ON Data'!AA:AA,'ON Data'!$D:$D,$A$4,'ON Data'!$E:$E,12),SUMIFS('ON Data'!AA:AA,'ON Data'!$E:$E,12))</f>
        <v>0</v>
      </c>
      <c r="W21" s="224">
        <f xml:space="preserve">
IF($A$4&lt;=12,SUMIFS('ON Data'!AB:AB,'ON Data'!$D:$D,$A$4,'ON Data'!$E:$E,12),SUMIFS('ON Data'!AB:AB,'ON Data'!$E:$E,12))</f>
        <v>0</v>
      </c>
      <c r="X21" s="224">
        <f xml:space="preserve">
IF($A$4&lt;=12,SUMIFS('ON Data'!AC:AC,'ON Data'!$D:$D,$A$4,'ON Data'!$E:$E,12),SUMIFS('ON Data'!AC:AC,'ON Data'!$E:$E,12))</f>
        <v>0</v>
      </c>
      <c r="Y21" s="224">
        <f xml:space="preserve">
IF($A$4&lt;=12,SUMIFS('ON Data'!AD:AD,'ON Data'!$D:$D,$A$4,'ON Data'!$E:$E,12),SUMIFS('ON Data'!AD:AD,'ON Data'!$E:$E,12))</f>
        <v>0</v>
      </c>
      <c r="Z21" s="224">
        <f xml:space="preserve">
IF($A$4&lt;=12,SUMIFS('ON Data'!AE:AE,'ON Data'!$D:$D,$A$4,'ON Data'!$E:$E,12),SUMIFS('ON Data'!AE:AE,'ON Data'!$E:$E,12))</f>
        <v>0</v>
      </c>
      <c r="AA21" s="224">
        <f xml:space="preserve">
IF($A$4&lt;=12,SUMIFS('ON Data'!AF:AF,'ON Data'!$D:$D,$A$4,'ON Data'!$E:$E,12),SUMIFS('ON Data'!AF:AF,'ON Data'!$E:$E,12))</f>
        <v>0</v>
      </c>
      <c r="AB21" s="224">
        <f xml:space="preserve">
IF($A$4&lt;=12,SUMIFS('ON Data'!AG:AG,'ON Data'!$D:$D,$A$4,'ON Data'!$E:$E,12),SUMIFS('ON Data'!AG:AG,'ON Data'!$E:$E,12))</f>
        <v>0</v>
      </c>
      <c r="AC21" s="224">
        <f xml:space="preserve">
IF($A$4&lt;=12,SUMIFS('ON Data'!AH:AH,'ON Data'!$D:$D,$A$4,'ON Data'!$E:$E,12),SUMIFS('ON Data'!AH:AH,'ON Data'!$E:$E,12))</f>
        <v>0</v>
      </c>
      <c r="AD21" s="224">
        <f xml:space="preserve">
IF($A$4&lt;=12,SUMIFS('ON Data'!AI:AI,'ON Data'!$D:$D,$A$4,'ON Data'!$E:$E,12),SUMIFS('ON Data'!AI:AI,'ON Data'!$E:$E,12))</f>
        <v>0</v>
      </c>
      <c r="AE21" s="224">
        <f xml:space="preserve">
IF($A$4&lt;=12,SUMIFS('ON Data'!AJ:AJ,'ON Data'!$D:$D,$A$4,'ON Data'!$E:$E,12),SUMIFS('ON Data'!AJ:AJ,'ON Data'!$E:$E,12))</f>
        <v>0</v>
      </c>
      <c r="AF21" s="224">
        <f xml:space="preserve">
IF($A$4&lt;=12,SUMIFS('ON Data'!AK:AK,'ON Data'!$D:$D,$A$4,'ON Data'!$E:$E,12),SUMIFS('ON Data'!AK:AK,'ON Data'!$E:$E,12))</f>
        <v>0</v>
      </c>
      <c r="AG21" s="377">
        <f xml:space="preserve">
IF($A$4&lt;=12,SUMIFS('ON Data'!AM:AM,'ON Data'!$D:$D,$A$4,'ON Data'!$E:$E,12),SUMIFS('ON Data'!AM:AM,'ON Data'!$E:$E,12))</f>
        <v>0</v>
      </c>
      <c r="AH21" s="387"/>
    </row>
    <row r="22" spans="1:34" ht="15" hidden="1" outlineLevel="1" thickBot="1" x14ac:dyDescent="0.35">
      <c r="A22" s="202" t="s">
        <v>52</v>
      </c>
      <c r="B22" s="267" t="str">
        <f xml:space="preserve">
IF(OR(B21="",B21=0),"",B20/B21)</f>
        <v/>
      </c>
      <c r="C22" s="268" t="str">
        <f t="shared" ref="C22:AG22" si="2" xml:space="preserve">
IF(OR(C21="",C21=0),"",C20/C21)</f>
        <v/>
      </c>
      <c r="D22" s="269" t="str">
        <f t="shared" si="2"/>
        <v/>
      </c>
      <c r="E22" s="269" t="str">
        <f t="shared" si="2"/>
        <v/>
      </c>
      <c r="F22" s="269" t="str">
        <f t="shared" si="2"/>
        <v/>
      </c>
      <c r="G22" s="269" t="str">
        <f t="shared" si="2"/>
        <v/>
      </c>
      <c r="H22" s="269" t="str">
        <f t="shared" si="2"/>
        <v/>
      </c>
      <c r="I22" s="269" t="str">
        <f t="shared" si="2"/>
        <v/>
      </c>
      <c r="J22" s="269" t="str">
        <f t="shared" si="2"/>
        <v/>
      </c>
      <c r="K22" s="269" t="str">
        <f t="shared" si="2"/>
        <v/>
      </c>
      <c r="L22" s="269" t="str">
        <f t="shared" si="2"/>
        <v/>
      </c>
      <c r="M22" s="269" t="str">
        <f t="shared" si="2"/>
        <v/>
      </c>
      <c r="N22" s="269" t="str">
        <f t="shared" si="2"/>
        <v/>
      </c>
      <c r="O22" s="269" t="str">
        <f t="shared" si="2"/>
        <v/>
      </c>
      <c r="P22" s="269" t="str">
        <f t="shared" si="2"/>
        <v/>
      </c>
      <c r="Q22" s="269" t="str">
        <f t="shared" si="2"/>
        <v/>
      </c>
      <c r="R22" s="269" t="str">
        <f t="shared" si="2"/>
        <v/>
      </c>
      <c r="S22" s="269" t="str">
        <f t="shared" si="2"/>
        <v/>
      </c>
      <c r="T22" s="269" t="str">
        <f t="shared" si="2"/>
        <v/>
      </c>
      <c r="U22" s="269" t="str">
        <f t="shared" si="2"/>
        <v/>
      </c>
      <c r="V22" s="269" t="str">
        <f t="shared" si="2"/>
        <v/>
      </c>
      <c r="W22" s="269" t="str">
        <f t="shared" si="2"/>
        <v/>
      </c>
      <c r="X22" s="269" t="str">
        <f t="shared" si="2"/>
        <v/>
      </c>
      <c r="Y22" s="269" t="str">
        <f t="shared" si="2"/>
        <v/>
      </c>
      <c r="Z22" s="269" t="str">
        <f t="shared" si="2"/>
        <v/>
      </c>
      <c r="AA22" s="269" t="str">
        <f t="shared" si="2"/>
        <v/>
      </c>
      <c r="AB22" s="269" t="str">
        <f t="shared" si="2"/>
        <v/>
      </c>
      <c r="AC22" s="269" t="str">
        <f t="shared" si="2"/>
        <v/>
      </c>
      <c r="AD22" s="269" t="str">
        <f t="shared" si="2"/>
        <v/>
      </c>
      <c r="AE22" s="269" t="str">
        <f t="shared" si="2"/>
        <v/>
      </c>
      <c r="AF22" s="269" t="str">
        <f t="shared" si="2"/>
        <v/>
      </c>
      <c r="AG22" s="382" t="str">
        <f t="shared" si="2"/>
        <v/>
      </c>
      <c r="AH22" s="387"/>
    </row>
    <row r="23" spans="1:34" ht="15" hidden="1" outlineLevel="1" thickBot="1" x14ac:dyDescent="0.35">
      <c r="A23" s="210" t="s">
        <v>45</v>
      </c>
      <c r="B23" s="225">
        <f xml:space="preserve">
IF(B21="","",B20-B21)</f>
        <v>5050060</v>
      </c>
      <c r="C23" s="226">
        <f t="shared" ref="C23:AG23" si="3" xml:space="preserve">
IF(C21="","",C20-C21)</f>
        <v>0</v>
      </c>
      <c r="D23" s="227">
        <f t="shared" si="3"/>
        <v>0</v>
      </c>
      <c r="E23" s="227">
        <f t="shared" si="3"/>
        <v>0</v>
      </c>
      <c r="F23" s="227">
        <f t="shared" si="3"/>
        <v>0</v>
      </c>
      <c r="G23" s="227">
        <f t="shared" si="3"/>
        <v>0</v>
      </c>
      <c r="H23" s="227">
        <f t="shared" si="3"/>
        <v>0</v>
      </c>
      <c r="I23" s="227">
        <f t="shared" si="3"/>
        <v>0</v>
      </c>
      <c r="J23" s="227">
        <f t="shared" si="3"/>
        <v>0</v>
      </c>
      <c r="K23" s="227">
        <f t="shared" si="3"/>
        <v>0</v>
      </c>
      <c r="L23" s="227">
        <f t="shared" si="3"/>
        <v>0</v>
      </c>
      <c r="M23" s="227">
        <f t="shared" si="3"/>
        <v>0</v>
      </c>
      <c r="N23" s="227">
        <f t="shared" si="3"/>
        <v>0</v>
      </c>
      <c r="O23" s="227">
        <f t="shared" si="3"/>
        <v>0</v>
      </c>
      <c r="P23" s="227">
        <f t="shared" si="3"/>
        <v>0</v>
      </c>
      <c r="Q23" s="227">
        <f t="shared" si="3"/>
        <v>3751384</v>
      </c>
      <c r="R23" s="227">
        <f t="shared" si="3"/>
        <v>0</v>
      </c>
      <c r="S23" s="227">
        <f t="shared" si="3"/>
        <v>0</v>
      </c>
      <c r="T23" s="227">
        <f t="shared" si="3"/>
        <v>0</v>
      </c>
      <c r="U23" s="227">
        <f t="shared" si="3"/>
        <v>0</v>
      </c>
      <c r="V23" s="227">
        <f t="shared" si="3"/>
        <v>0</v>
      </c>
      <c r="W23" s="227">
        <f t="shared" si="3"/>
        <v>0</v>
      </c>
      <c r="X23" s="227">
        <f t="shared" si="3"/>
        <v>0</v>
      </c>
      <c r="Y23" s="227">
        <f t="shared" si="3"/>
        <v>0</v>
      </c>
      <c r="Z23" s="227">
        <f t="shared" si="3"/>
        <v>0</v>
      </c>
      <c r="AA23" s="227">
        <f t="shared" si="3"/>
        <v>0</v>
      </c>
      <c r="AB23" s="227">
        <f t="shared" si="3"/>
        <v>0</v>
      </c>
      <c r="AC23" s="227">
        <f t="shared" si="3"/>
        <v>0</v>
      </c>
      <c r="AD23" s="227">
        <f t="shared" si="3"/>
        <v>1071834</v>
      </c>
      <c r="AE23" s="227">
        <f t="shared" si="3"/>
        <v>0</v>
      </c>
      <c r="AF23" s="227">
        <f t="shared" si="3"/>
        <v>0</v>
      </c>
      <c r="AG23" s="378">
        <f t="shared" si="3"/>
        <v>226842</v>
      </c>
      <c r="AH23" s="387"/>
    </row>
    <row r="24" spans="1:34" x14ac:dyDescent="0.3">
      <c r="A24" s="204" t="s">
        <v>172</v>
      </c>
      <c r="B24" s="251" t="s">
        <v>3</v>
      </c>
      <c r="C24" s="388" t="s">
        <v>183</v>
      </c>
      <c r="D24" s="362"/>
      <c r="E24" s="363"/>
      <c r="F24" s="363" t="s">
        <v>184</v>
      </c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83" t="s">
        <v>185</v>
      </c>
      <c r="AH24" s="387"/>
    </row>
    <row r="25" spans="1:34" x14ac:dyDescent="0.3">
      <c r="A25" s="205" t="s">
        <v>50</v>
      </c>
      <c r="B25" s="222">
        <f xml:space="preserve">
SUM(C25:AG25)</f>
        <v>15900</v>
      </c>
      <c r="C25" s="389">
        <f xml:space="preserve">
IF($A$4&lt;=12,SUMIFS('ON Data'!H:H,'ON Data'!$D:$D,$A$4,'ON Data'!$E:$E,10),SUMIFS('ON Data'!H:H,'ON Data'!$E:$E,10))</f>
        <v>5000</v>
      </c>
      <c r="D25" s="364"/>
      <c r="E25" s="365"/>
      <c r="F25" s="365">
        <f xml:space="preserve">
IF($A$4&lt;=12,SUMIFS('ON Data'!K:K,'ON Data'!$D:$D,$A$4,'ON Data'!$E:$E,10),SUMIFS('ON Data'!K:K,'ON Data'!$E:$E,10))</f>
        <v>10900</v>
      </c>
      <c r="G25" s="365"/>
      <c r="H25" s="365"/>
      <c r="I25" s="365"/>
      <c r="J25" s="365"/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65"/>
      <c r="AE25" s="365"/>
      <c r="AF25" s="365"/>
      <c r="AG25" s="384">
        <f xml:space="preserve">
IF($A$4&lt;=12,SUMIFS('ON Data'!AM:AM,'ON Data'!$D:$D,$A$4,'ON Data'!$E:$E,10),SUMIFS('ON Data'!AM:AM,'ON Data'!$E:$E,10))</f>
        <v>0</v>
      </c>
      <c r="AH25" s="387"/>
    </row>
    <row r="26" spans="1:34" x14ac:dyDescent="0.3">
      <c r="A26" s="211" t="s">
        <v>182</v>
      </c>
      <c r="B26" s="231">
        <f xml:space="preserve">
SUM(C26:AG26)</f>
        <v>13999.999999999998</v>
      </c>
      <c r="C26" s="389">
        <f xml:space="preserve">
IF($A$4&lt;=12,SUMIFS('ON Data'!H:H,'ON Data'!$D:$D,$A$4,'ON Data'!$E:$E,11),SUMIFS('ON Data'!H:H,'ON Data'!$E:$E,11))</f>
        <v>0</v>
      </c>
      <c r="D26" s="364"/>
      <c r="E26" s="365"/>
      <c r="F26" s="366">
        <f xml:space="preserve">
IF($A$4&lt;=12,SUMIFS('ON Data'!K:K,'ON Data'!$D:$D,$A$4,'ON Data'!$E:$E,11),SUMIFS('ON Data'!K:K,'ON Data'!$E:$E,11))</f>
        <v>13999.999999999998</v>
      </c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366"/>
      <c r="AA26" s="366"/>
      <c r="AB26" s="366"/>
      <c r="AC26" s="366"/>
      <c r="AD26" s="366"/>
      <c r="AE26" s="366"/>
      <c r="AF26" s="366"/>
      <c r="AG26" s="384">
        <f xml:space="preserve">
IF($A$4&lt;=12,SUMIFS('ON Data'!AM:AM,'ON Data'!$D:$D,$A$4,'ON Data'!$E:$E,11),SUMIFS('ON Data'!AM:AM,'ON Data'!$E:$E,11))</f>
        <v>0</v>
      </c>
      <c r="AH26" s="387"/>
    </row>
    <row r="27" spans="1:34" x14ac:dyDescent="0.3">
      <c r="A27" s="211" t="s">
        <v>52</v>
      </c>
      <c r="B27" s="252">
        <f xml:space="preserve">
IF(B26=0,0,B25/B26)</f>
        <v>1.1357142857142859</v>
      </c>
      <c r="C27" s="390">
        <f xml:space="preserve">
IF(C26=0,0,C25/C26)</f>
        <v>0</v>
      </c>
      <c r="D27" s="367"/>
      <c r="E27" s="368"/>
      <c r="F27" s="368">
        <f xml:space="preserve">
IF(F26=0,0,F25/F26)</f>
        <v>0.77857142857142869</v>
      </c>
      <c r="G27" s="368"/>
      <c r="H27" s="368"/>
      <c r="I27" s="368"/>
      <c r="J27" s="368"/>
      <c r="K27" s="368"/>
      <c r="L27" s="368"/>
      <c r="M27" s="368"/>
      <c r="N27" s="368"/>
      <c r="O27" s="368"/>
      <c r="P27" s="368"/>
      <c r="Q27" s="368"/>
      <c r="R27" s="368"/>
      <c r="S27" s="368"/>
      <c r="T27" s="368"/>
      <c r="U27" s="368"/>
      <c r="V27" s="368"/>
      <c r="W27" s="368"/>
      <c r="X27" s="368"/>
      <c r="Y27" s="368"/>
      <c r="Z27" s="368"/>
      <c r="AA27" s="368"/>
      <c r="AB27" s="368"/>
      <c r="AC27" s="368"/>
      <c r="AD27" s="368"/>
      <c r="AE27" s="368"/>
      <c r="AF27" s="368"/>
      <c r="AG27" s="385">
        <f xml:space="preserve">
IF(AG26=0,0,AG25/AG26)</f>
        <v>0</v>
      </c>
      <c r="AH27" s="387"/>
    </row>
    <row r="28" spans="1:34" ht="15" thickBot="1" x14ac:dyDescent="0.35">
      <c r="A28" s="211" t="s">
        <v>181</v>
      </c>
      <c r="B28" s="231">
        <f xml:space="preserve">
SUM(C28:AG28)</f>
        <v>-1900.0000000000018</v>
      </c>
      <c r="C28" s="391">
        <f xml:space="preserve">
C26-C25</f>
        <v>-5000</v>
      </c>
      <c r="D28" s="369"/>
      <c r="E28" s="370"/>
      <c r="F28" s="370">
        <f xml:space="preserve">
F26-F25</f>
        <v>3099.9999999999982</v>
      </c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370"/>
      <c r="AC28" s="370"/>
      <c r="AD28" s="370"/>
      <c r="AE28" s="370"/>
      <c r="AF28" s="370"/>
      <c r="AG28" s="386">
        <f xml:space="preserve">
AG26-AG25</f>
        <v>0</v>
      </c>
      <c r="AH28" s="387"/>
    </row>
    <row r="29" spans="1:34" x14ac:dyDescent="0.3">
      <c r="A29" s="212"/>
      <c r="B29" s="212"/>
      <c r="C29" s="213"/>
      <c r="D29" s="212"/>
      <c r="E29" s="212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2"/>
      <c r="AF29" s="212"/>
      <c r="AG29" s="212"/>
    </row>
    <row r="30" spans="1:34" x14ac:dyDescent="0.3">
      <c r="A30" s="85" t="s">
        <v>116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20"/>
    </row>
    <row r="31" spans="1:34" x14ac:dyDescent="0.3">
      <c r="A31" s="86" t="s">
        <v>179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20"/>
    </row>
    <row r="32" spans="1:34" ht="14.4" customHeight="1" x14ac:dyDescent="0.3">
      <c r="A32" s="248" t="s">
        <v>176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</row>
    <row r="33" spans="1:1" x14ac:dyDescent="0.3">
      <c r="A33" s="250" t="s">
        <v>186</v>
      </c>
    </row>
    <row r="34" spans="1:1" x14ac:dyDescent="0.3">
      <c r="A34" s="250" t="s">
        <v>187</v>
      </c>
    </row>
    <row r="35" spans="1:1" x14ac:dyDescent="0.3">
      <c r="A35" s="250" t="s">
        <v>188</v>
      </c>
    </row>
    <row r="36" spans="1:1" x14ac:dyDescent="0.3">
      <c r="A36" s="250" t="s">
        <v>189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2015-01-30T11:14:07Z</dcterms:modified>
</cp:coreProperties>
</file>