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Osobní náklady" sheetId="419" r:id="rId9"/>
    <sheet name="ON Data" sheetId="418" state="hidden" r:id="rId10"/>
    <sheet name="ZV Vykáz.-A" sheetId="344" r:id="rId11"/>
    <sheet name="ZV Vykáz.-A Lékaři" sheetId="429" r:id="rId12"/>
    <sheet name="ZV Vykáz.-A Detail" sheetId="345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12" hidden="1">'ZV Vykáz.-A Detail'!$A$5:$P$5</definedName>
    <definedName name="_xlnm._FilterDatabase" localSheetId="11" hidden="1">'ZV Vykáz.-A Lékaři'!$A$4:$A$5</definedName>
    <definedName name="_xlnm._FilterDatabase" localSheetId="1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17" i="383"/>
  <c r="G3" i="429"/>
  <c r="F3" i="429"/>
  <c r="E3" i="429"/>
  <c r="D3" i="429"/>
  <c r="C3" i="429"/>
  <c r="B3" i="429"/>
  <c r="AG26" i="419" l="1"/>
  <c r="AG25" i="419"/>
  <c r="C11" i="340" l="1"/>
  <c r="A12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4" i="414"/>
  <c r="D15" i="414"/>
  <c r="D12" i="414"/>
  <c r="C15" i="414"/>
  <c r="C12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D18" i="414"/>
  <c r="C18" i="414"/>
  <c r="Q3" i="377" l="1"/>
  <c r="F13" i="339"/>
  <c r="E13" i="339"/>
  <c r="E15" i="339" s="1"/>
  <c r="H12" i="339"/>
  <c r="G12" i="339"/>
  <c r="A4" i="383"/>
  <c r="A20" i="383"/>
  <c r="A19" i="383"/>
  <c r="A18" i="383"/>
  <c r="A16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<sst xmlns="http://schemas.openxmlformats.org/spreadsheetml/2006/main" count="1003" uniqueCount="438">
  <si>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</si>
  <si>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</si>
  <si>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</si>
  <si>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</si>
  <si>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</si>
  <si>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</si>
  <si>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</si>
  <si>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</si>
  <si>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</si>
  <si>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</si>
  <si>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</si>
  <si>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</si>
  <si>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</si>
  <si>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</si>
  <si>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</si>
  <si>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</si>
  <si>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</si>
  <si>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</si>
  <si>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</si>
  <si>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</si>
  <si>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</si>
  <si>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</si>
  <si>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</si>
  <si>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</si>
  <si>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</si>
  <si>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</si>
  <si>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</si>
  <si>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</si>
  <si>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</si>
  <si>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</si>
  <si>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</si>
  <si>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</si>
  <si>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</si>
  <si>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</si>
  <si>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</si>
  <si>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</si>
  <si>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</si>
  <si>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</si>
  <si>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</si>
  <si>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</si>
  <si>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</si>
  <si>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</si>
  <si>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</si>
  <si>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</si>
  <si>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</si>
  <si>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</si>
  <si>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</si>
  <si>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</si>
  <si>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</si>
  <si>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</si>
  <si>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</si>
  <si>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</si>
  <si>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</si>
  <si>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</si>
  <si>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</si>
  <si>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</si>
  <si>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</si>
  <si>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</si>
  <si>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</si>
  <si>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</si>
  <si>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</si>
  <si>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</si>
  <si>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</si>
  <si>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</si>
  <si>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</si>
  <si>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</si>
  <si>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</si>
  <si>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</si>
  <si>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</si>
  <si>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</si>
  <si>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</si>
  <si>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</si>
  <si>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</si>
  <si>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</si>
  <si>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</si>
  <si>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</si>
  <si>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</si>
  <si>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</si>
  <si>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</si>
  <si>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</si>
  <si>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</si>
  <si>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</si>
  <si>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</si>
  <si>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</si>
  <si>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</si>
  <si>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</si>
  <si>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</si>
  <si>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</si>
  <si>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</si>
  <si>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</si>
  <si>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</si>
  <si>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</si>
  <si>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</si>
  <si>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</si>
  <si>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</si>
  <si>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</si>
  <si>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</si>
  <si>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</si>
  <si>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</si>
  <si>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</si>
  <si>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</si>
  <si>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</si>
  <si>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</si>
  <si>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</si>
  <si>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</si>
  <si>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</si>
  <si>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</si>
  <si>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</si>
  <si>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</si>
  <si>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</si>
  <si>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</si>
  <si>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</si>
  <si>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</si>
  <si>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</si>
  <si>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</si>
  <si>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</si>
  <si>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</si>
  <si>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</si>
  <si>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</si>
  <si>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</si>
  <si>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</si>
  <si>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</si>
  <si>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</si>
  <si>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</si>
  <si>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</si>
  <si>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</si>
  <si>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</si>
  <si>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</si>
  <si>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</si>
  <si>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</si>
  <si>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</si>
  <si>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</si>
  <si>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</si>
  <si>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</si>
  <si>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</si>
  <si>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</si>
  <si>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</si>
  <si>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</si>
  <si>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</si>
  <si>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</si>
  <si>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</si>
  <si>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</si>
  <si>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</si>
  <si>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</si>
  <si>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</si>
  <si>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</si>
  <si>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</si>
  <si>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</si>
  <si>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</si>
  <si>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</si>
  <si>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</si>
  <si>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</si>
  <si>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</si>
  <si>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</si>
  <si>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</si>
  <si>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</si>
  <si>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</si>
  <si>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</si>
  <si>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</si>
  <si>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</si>
  <si>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</si>
  <si>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</si>
  <si>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</si>
  <si>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</si>
  <si>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</si>
  <si>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</si>
  <si>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</si>
  <si>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</si>
  <si>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</si>
  <si>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</si>
  <si>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</si>
  <si>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</si>
  <si>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</si>
  <si>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</si>
  <si>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</si>
  <si>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</si>
  <si>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</si>
  <si>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</si>
  <si>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</si>
  <si>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</si>
  <si>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</si>
  <si>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</si>
  <si>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</si>
  <si>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</si>
  <si>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</si>
  <si>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</si>
  <si>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</si>
  <si>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</si>
  <si>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</si>
  <si>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</si>
  <si>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</si>
  <si>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</si>
  <si>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</si>
  <si>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</si>
  <si>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</si>
  <si>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</si>
  <si>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</si>
  <si>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</si>
  <si>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</si>
  <si>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</si>
  <si>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</si>
  <si>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</si>
  <si>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</si>
  <si>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</si>
  <si>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</si>
  <si>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</si>
  <si>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</si>
  <si>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</si>
  <si>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</si>
  <si>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</si>
  <si>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</si>
  <si>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</si>
  <si>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</si>
  <si>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</si>
  <si>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</si>
  <si>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</si>
  <si>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</si>
  <si>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</si>
  <si>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</si>
  <si>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</si>
  <si>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</si>
  <si>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</si>
  <si>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</si>
  <si>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</si>
  <si>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</si>
  <si>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</si>
  <si>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</si>
  <si>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</si>
  <si>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nákup zdravotnické techniky (Z 524, Z 510)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</si>
  <si>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</si>
  <si>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</si>
  <si>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</si>
  <si>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</si>
  <si>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</si>
  <si>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</si>
  <si>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</si>
  <si>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</si>
  <si>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</si>
  <si>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</si>
  <si>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</si>
  <si>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</si>
  <si>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</si>
  <si>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</si>
  <si>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</si>
  <si>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</si>
  <si>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--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</si>
  <si>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</si>
  <si>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</si>
  <si>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</si>
  <si>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</si>
  <si>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</si>
  <si>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</si>
  <si>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</si>
  <si>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</si>
  <si>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</si>
  <si>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</si>
  <si>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</si>
  <si>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</si>
  <si>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</si>
  <si>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</si>
  <si>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</si>
  <si>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</si>
  <si>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</si>
  <si>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</si>
  <si>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</si>
  <si>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</si>
  <si>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</si>
  <si>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</si>
  <si>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</si>
  <si>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</si>
  <si>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</si>
  <si>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</si>
  <si>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</si>
  <si>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</si>
  <si>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</si>
  <si>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</si>
  <si>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</si>
  <si>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</si>
  <si>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</si>
  <si>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</si>
  <si>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</si>
  <si>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</si>
  <si>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</si>
  <si>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</si>
  <si>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</si>
  <si>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</si>
  <si>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</si>
  <si>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</si>
  <si>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</si>
  <si>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</si>
  <si>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</si>
  <si>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</si>
  <si>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</si>
  <si>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</si>
  <si>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</si>
  <si>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</si>
  <si>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</si>
  <si>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</si>
  <si>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</si>
  <si>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</si>
  <si>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</si>
  <si>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</si>
  <si>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</si>
  <si>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</si>
  <si>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</si>
  <si>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</si>
  <si>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</si>
  <si>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</si>
  <si>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</si>
  <si>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</si>
  <si>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</si>
  <si>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</si>
  <si>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</si>
  <si>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64924446     Teoretické ústavy - poplatky za vjezd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</si>
  <si>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</si>
  <si>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</si>
  <si>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</si>
  <si>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</si>
  <si>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</si>
  <si>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</si>
  <si>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</si>
  <si>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</si>
  <si>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</si>
  <si>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</si>
  <si>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</si>
  <si>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</si>
  <si>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</si>
  <si>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</si>
  <si>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</si>
  <si>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</si>
  <si>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</si>
  <si>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50113001     léky - paušál+TISS (LEK)</t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</si>
  <si>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</si>
  <si>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</si>
  <si>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</si>
  <si>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</si>
  <si>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</si>
  <si>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</si>
  <si>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</si>
  <si>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50115050     obvazový materiál (sk.Z_502)</t>
  </si>
  <si>
    <t>50115060     ostatní ZPr - mimo níže uvedené (sk.Z_503)</t>
  </si>
  <si>
    <t>ON Data</t>
  </si>
  <si>
    <t>901 - Pracoviště klinické psychologie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</si>
  <si>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</si>
  <si>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</si>
  <si>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</si>
  <si>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</si>
  <si>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</si>
  <si>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Dařílková Naděžda</t>
  </si>
  <si>
    <t>Dlabačová Marie</t>
  </si>
  <si>
    <t>Halířová Monika</t>
  </si>
  <si>
    <t>Hradilová Michaela</t>
  </si>
  <si>
    <t>Hubáčková Lia</t>
  </si>
  <si>
    <t>Kolářová Jana</t>
  </si>
  <si>
    <t>Kreiselová Silvie</t>
  </si>
  <si>
    <t>Kubíček Zdenek</t>
  </si>
  <si>
    <t>Machová Karolína</t>
  </si>
  <si>
    <t>Škrobánková Alexandra</t>
  </si>
  <si>
    <t>Šmídová Magdaléna</t>
  </si>
  <si>
    <t>Štecková Tereza</t>
  </si>
  <si>
    <t>Tenglerová Petra</t>
  </si>
  <si>
    <t>Zdravotní výkony vykázané na pracovišti v rámci ambulantní péče dle lékařů *</t>
  </si>
  <si>
    <t>901</t>
  </si>
  <si>
    <t>V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</si>
  <si>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</si>
  <si>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</si>
  <si>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</si>
  <si>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</si>
  <si>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</si>
  <si>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</si>
  <si>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</si>
  <si>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</si>
  <si>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</si>
  <si>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</si>
  <si>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</si>
  <si>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SIGNÁLNÍ VÝKON KLINICKÉHO VYŠETŘENÍ / DO 31.12.201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</si>
  <si>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</si>
  <si>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</si>
  <si>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</si>
  <si>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</si>
  <si>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</si>
  <si>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</si>
  <si>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</si>
  <si>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</si>
  <si>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</si>
  <si>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</si>
  <si>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</si>
  <si>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</si>
  <si>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</si>
  <si>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</si>
  <si>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</si>
  <si>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</si>
  <si>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</si>
  <si>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</si>
  <si>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</si>
  <si>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</si>
  <si>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</si>
  <si>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</si>
  <si>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</si>
  <si>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</si>
  <si>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</si>
  <si>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</si>
  <si>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</si>
  <si>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</si>
  <si>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</si>
  <si>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</si>
  <si>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</si>
  <si>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</si>
  <si>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</si>
  <si>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</si>
  <si>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</si>
  <si>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</si>
  <si>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</si>
  <si>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</si>
  <si>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</si>
  <si>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</si>
  <si>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</si>
  <si>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08</t>
  </si>
  <si>
    <t>09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</si>
  <si>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</si>
  <si>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</si>
  <si>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</si>
  <si>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</si>
  <si>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</si>
  <si>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</si>
  <si>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</si>
  <si>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</si>
  <si>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</si>
  <si>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37125</t>
  </si>
  <si>
    <t>EMERGENTNÍ PSYCHOTERAPIE Á 60 MINUT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</si>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</sst>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3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7" xfId="1" applyFont="1" applyFill="1" applyBorder="1"/>
    <xf numFmtId="0" fontId="44" fillId="2" borderId="3" xfId="1" applyFont="1" applyFill="1" applyBorder="1"/>
    <xf numFmtId="0" fontId="44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3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90" xfId="74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2" fillId="0" borderId="84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0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91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2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2" fillId="2" borderId="42" xfId="0" applyNumberFormat="1" applyFont="1" applyFill="1" applyBorder="1" applyAlignment="1">
      <alignment horizontal="center" vertical="top"/>
    </xf>
    <xf numFmtId="3" fontId="33" fillId="9" borderId="93" xfId="0" applyNumberFormat="1" applyFont="1" applyFill="1" applyBorder="1" applyAlignment="1">
      <alignment horizontal="right" vertical="top"/>
    </xf>
    <xf numFmtId="3" fontId="33" fillId="9" borderId="94" xfId="0" applyNumberFormat="1" applyFont="1" applyFill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3" fillId="0" borderId="93" xfId="0" applyNumberFormat="1" applyFont="1" applyBorder="1" applyAlignment="1">
      <alignment horizontal="right" vertical="top"/>
    </xf>
    <xf numFmtId="176" fontId="33" fillId="9" borderId="96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3" fontId="35" fillId="9" borderId="99" xfId="0" applyNumberFormat="1" applyFont="1" applyFill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176" fontId="35" fillId="9" borderId="101" xfId="0" applyNumberFormat="1" applyFont="1" applyFill="1" applyBorder="1" applyAlignment="1">
      <alignment horizontal="right" vertical="top"/>
    </xf>
    <xf numFmtId="0" fontId="33" fillId="9" borderId="96" xfId="0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0" fontId="35" fillId="9" borderId="101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0" fontId="37" fillId="10" borderId="92" xfId="0" applyFont="1" applyFill="1" applyBorder="1" applyAlignment="1">
      <alignment vertical="top"/>
    </xf>
    <xf numFmtId="0" fontId="37" fillId="10" borderId="92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 indent="6"/>
    </xf>
    <xf numFmtId="0" fontId="37" fillId="10" borderId="92" xfId="0" applyFont="1" applyFill="1" applyBorder="1" applyAlignment="1">
      <alignment vertical="top" indent="8"/>
    </xf>
    <xf numFmtId="0" fontId="38" fillId="10" borderId="97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6"/>
    </xf>
    <xf numFmtId="0" fontId="38" fillId="10" borderId="97" xfId="0" applyFont="1" applyFill="1" applyBorder="1" applyAlignment="1">
      <alignment vertical="top" indent="4"/>
    </xf>
    <xf numFmtId="0" fontId="32" fillId="10" borderId="9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3" fontId="39" fillId="4" borderId="106" xfId="0" applyNumberFormat="1" applyFont="1" applyFill="1" applyBorder="1" applyAlignment="1">
      <alignment horizontal="center"/>
    </xf>
    <xf numFmtId="173" fontId="39" fillId="4" borderId="107" xfId="0" applyNumberFormat="1" applyFont="1" applyFill="1" applyBorder="1" applyAlignment="1">
      <alignment horizontal="center"/>
    </xf>
    <xf numFmtId="173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 wrapText="1"/>
    </xf>
    <xf numFmtId="175" fontId="32" fillId="0" borderId="108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173" fontId="32" fillId="0" borderId="111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3" fillId="2" borderId="86" xfId="0" applyFont="1" applyFill="1" applyBorder="1" applyAlignment="1">
      <alignment horizontal="center" vertical="center" wrapText="1"/>
    </xf>
    <xf numFmtId="174" fontId="32" fillId="2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112" xfId="0" applyNumberFormat="1" applyFont="1" applyBorder="1"/>
    <xf numFmtId="173" fontId="39" fillId="4" borderId="87" xfId="0" applyNumberFormat="1" applyFont="1" applyFill="1" applyBorder="1" applyAlignment="1"/>
    <xf numFmtId="173" fontId="32" fillId="0" borderId="85" xfId="0" applyNumberFormat="1" applyFont="1" applyBorder="1"/>
    <xf numFmtId="173" fontId="32" fillId="0" borderId="86" xfId="0" applyNumberFormat="1" applyFont="1" applyBorder="1"/>
    <xf numFmtId="173" fontId="39" fillId="2" borderId="87" xfId="0" applyNumberFormat="1" applyFont="1" applyFill="1" applyBorder="1" applyAlignment="1"/>
    <xf numFmtId="173" fontId="32" fillId="0" borderId="112" xfId="0" applyNumberFormat="1" applyFont="1" applyBorder="1"/>
    <xf numFmtId="173" fontId="32" fillId="0" borderId="87" xfId="0" applyNumberFormat="1" applyFont="1" applyBorder="1"/>
    <xf numFmtId="9" fontId="32" fillId="0" borderId="85" xfId="0" applyNumberFormat="1" applyFont="1" applyBorder="1"/>
    <xf numFmtId="173" fontId="39" fillId="4" borderId="113" xfId="0" applyNumberFormat="1" applyFont="1" applyFill="1" applyBorder="1" applyAlignment="1">
      <alignment horizontal="center"/>
    </xf>
    <xf numFmtId="173" fontId="32" fillId="0" borderId="114" xfId="0" applyNumberFormat="1" applyFont="1" applyBorder="1" applyAlignment="1">
      <alignment horizontal="right"/>
    </xf>
    <xf numFmtId="175" fontId="32" fillId="0" borderId="114" xfId="0" applyNumberFormat="1" applyFont="1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79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1" fillId="2" borderId="15" xfId="26" applyNumberFormat="1" applyFont="1" applyFill="1" applyBorder="1"/>
    <xf numFmtId="0" fontId="32" fillId="0" borderId="23" xfId="0" applyFont="1" applyFill="1" applyBorder="1"/>
    <xf numFmtId="3" fontId="32" fillId="0" borderId="62" xfId="0" applyNumberFormat="1" applyFont="1" applyFill="1" applyBorder="1"/>
    <xf numFmtId="169" fontId="32" fillId="0" borderId="62" xfId="0" applyNumberFormat="1" applyFont="1" applyFill="1" applyBorder="1"/>
    <xf numFmtId="169" fontId="32" fillId="0" borderId="63" xfId="0" applyNumberFormat="1" applyFont="1" applyFill="1" applyBorder="1"/>
    <xf numFmtId="0" fontId="32" fillId="0" borderId="71" xfId="0" applyFont="1" applyFill="1" applyBorder="1"/>
    <xf numFmtId="3" fontId="32" fillId="0" borderId="72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0" fontId="39" fillId="0" borderId="23" xfId="0" applyFont="1" applyFill="1" applyBorder="1"/>
    <xf numFmtId="0" fontId="39" fillId="0" borderId="71" xfId="0" applyFont="1" applyFill="1" applyBorder="1"/>
    <xf numFmtId="0" fontId="39" fillId="0" borderId="64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0" fontId="32" fillId="0" borderId="62" xfId="0" applyFont="1" applyFill="1" applyBorder="1"/>
    <xf numFmtId="9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2" fillId="0" borderId="72" xfId="0" applyFont="1" applyFill="1" applyBorder="1"/>
    <xf numFmtId="9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9" fontId="32" fillId="0" borderId="63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0.58202605353723247</c:v>
                </c:pt>
                <c:pt idx="1">
                  <c:v>0.5332286520334335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946272"/>
        <c:axId val="12009458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0.51686976890033709</c:v>
                </c:pt>
                <c:pt idx="1">
                  <c:v>0.51686976890033709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943528"/>
        <c:axId val="1200944312"/>
      </c:scatterChart>
      <c:catAx>
        <c:axId val="120094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0945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945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00946272"/>
        <c:crosses val="autoZero"/>
        <c:crossBetween val="between"/>
      </c:valAx>
      <c:valAx>
        <c:axId val="1200943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00944312"/>
        <c:crosses val="max"/>
        <c:crossBetween val="midCat"/>
      </c:valAx>
      <c:valAx>
        <c:axId val="12009443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009435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74" t="s">
        <v>86</v>
      </c>
      <c r="B1" s="274"/>
    </row>
    <row r="2" spans="1:3" ht="14.4" customHeight="1" thickBot="1" x14ac:dyDescent="0.35">
      <c r="A2" s="195" t="s">
        <v>221</v>
      </c>
      <c r="B2" s="41"/>
    </row>
    <row r="3" spans="1:3" ht="14.4" customHeight="1" thickBot="1" x14ac:dyDescent="0.35">
      <c r="A3" s="270" t="s">
        <v>107</v>
      </c>
      <c r="B3" s="271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95</v>
      </c>
      <c r="C4" s="42" t="s">
        <v>96</v>
      </c>
    </row>
    <row r="5" spans="1:3" ht="14.4" customHeight="1" x14ac:dyDescent="0.3">
      <c r="A5" s="115" t="str">
        <f t="shared" si="0"/>
        <v>HI</v>
      </c>
      <c r="B5" s="64" t="s">
        <v>104</v>
      </c>
      <c r="C5" s="42" t="s">
        <v>89</v>
      </c>
    </row>
    <row r="6" spans="1:3" ht="14.4" customHeight="1" x14ac:dyDescent="0.3">
      <c r="A6" s="116" t="str">
        <f t="shared" si="0"/>
        <v>HI Graf</v>
      </c>
      <c r="B6" s="65" t="s">
        <v>82</v>
      </c>
      <c r="C6" s="42" t="s">
        <v>90</v>
      </c>
    </row>
    <row r="7" spans="1:3" ht="14.4" customHeight="1" x14ac:dyDescent="0.3">
      <c r="A7" s="116" t="str">
        <f t="shared" si="0"/>
        <v>Man Tab</v>
      </c>
      <c r="B7" s="65" t="s">
        <v>223</v>
      </c>
      <c r="C7" s="42" t="s">
        <v>91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72" t="s">
        <v>87</v>
      </c>
      <c r="B10" s="271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105</v>
      </c>
      <c r="C11" s="42" t="s">
        <v>92</v>
      </c>
    </row>
    <row r="12" spans="1:3" ht="14.4" customHeight="1" x14ac:dyDescent="0.3">
      <c r="A12" s="118" t="str">
        <f t="shared" ref="A12" si="2">HYPERLINK("#'"&amp;C12&amp;"'!A1",C12)</f>
        <v>Materiál Žádanky</v>
      </c>
      <c r="B12" s="65" t="s">
        <v>106</v>
      </c>
      <c r="C12" s="42" t="s">
        <v>93</v>
      </c>
    </row>
    <row r="13" spans="1:3" ht="14.4" customHeight="1" thickBot="1" x14ac:dyDescent="0.35">
      <c r="A13" s="118" t="str">
        <f t="shared" ref="A13" si="3">HYPERLINK("#'"&amp;C13&amp;"'!A1",C13)</f>
        <v>Osobní náklady</v>
      </c>
      <c r="B13" s="65" t="s">
        <v>84</v>
      </c>
      <c r="C13" s="42" t="s">
        <v>94</v>
      </c>
    </row>
    <row r="14" spans="1:3" ht="14.4" customHeight="1" thickBot="1" x14ac:dyDescent="0.35">
      <c r="A14" s="68"/>
      <c r="B14" s="68"/>
    </row>
    <row r="15" spans="1:3" ht="14.4" customHeight="1" thickBot="1" x14ac:dyDescent="0.35">
      <c r="A15" s="273" t="s">
        <v>88</v>
      </c>
      <c r="B15" s="271"/>
    </row>
    <row r="16" spans="1:3" ht="14.4" customHeight="1" x14ac:dyDescent="0.3">
      <c r="A16" s="119" t="str">
        <f t="shared" ref="A16:A20" si="4">HYPERLINK("#'"&amp;C16&amp;"'!A1",C16)</f>
        <v>ZV Vykáz.-A</v>
      </c>
      <c r="B16" s="64" t="s">
        <v>346</v>
      </c>
      <c r="C16" s="42" t="s">
        <v>97</v>
      </c>
    </row>
    <row r="17" spans="1:3" ht="14.4" customHeight="1" x14ac:dyDescent="0.3">
      <c r="A17" s="116" t="str">
        <f t="shared" ref="A17" si="5">HYPERLINK("#'"&amp;C17&amp;"'!A1",C17)</f>
        <v>ZV Vykáz.-A Lékaři</v>
      </c>
      <c r="B17" s="65" t="s">
        <v>361</v>
      </c>
      <c r="C17" s="42" t="s">
        <v>199</v>
      </c>
    </row>
    <row r="18" spans="1:3" ht="14.4" customHeight="1" x14ac:dyDescent="0.3">
      <c r="A18" s="116" t="str">
        <f t="shared" si="4"/>
        <v>ZV Vykáz.-A Detail</v>
      </c>
      <c r="B18" s="65" t="s">
        <v>388</v>
      </c>
      <c r="C18" s="42" t="s">
        <v>98</v>
      </c>
    </row>
    <row r="19" spans="1:3" ht="14.4" customHeight="1" x14ac:dyDescent="0.3">
      <c r="A19" s="116" t="str">
        <f t="shared" si="4"/>
        <v>ZV Vykáz.-H</v>
      </c>
      <c r="B19" s="65" t="s">
        <v>101</v>
      </c>
      <c r="C19" s="42" t="s">
        <v>99</v>
      </c>
    </row>
    <row r="20" spans="1:3" ht="14.4" customHeight="1" x14ac:dyDescent="0.3">
      <c r="A20" s="116" t="str">
        <f t="shared" si="4"/>
        <v>ZV Vykáz.-H Detail</v>
      </c>
      <c r="B20" s="65" t="s">
        <v>437</v>
      </c>
      <c r="C20" s="42" t="s">
        <v>100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6"/>
  <sheetViews>
    <sheetView showGridLines="0" showRowColHeaders="0" workbookViewId="0"/>
  </sheetViews>
  <sheetFormatPr defaultRowHeight="14.4" x14ac:dyDescent="0.3"/>
  <cols>
    <col min="1" max="16384" width="8.88671875" style="191"/>
  </cols>
  <sheetData>
    <row r="1" spans="1:40" x14ac:dyDescent="0.3">
      <c r="A1" s="191" t="s">
        <v>341</v>
      </c>
    </row>
    <row r="2" spans="1:40" x14ac:dyDescent="0.3">
      <c r="A2" s="195" t="s">
        <v>221</v>
      </c>
    </row>
    <row r="3" spans="1:40" x14ac:dyDescent="0.3">
      <c r="A3" s="191" t="s">
        <v>125</v>
      </c>
      <c r="B3" s="216">
        <v>2015</v>
      </c>
      <c r="D3" s="192">
        <f>MAX(D5:D1048576)</f>
        <v>2</v>
      </c>
      <c r="F3" s="192">
        <f>SUMIF($E5:$E1048576,"&lt;10",F5:F1048576)</f>
        <v>856675.64999999991</v>
      </c>
      <c r="G3" s="192">
        <f t="shared" ref="G3:AN3" si="0">SUMIF($E5:$E1048576,"&lt;10",G5:G1048576)</f>
        <v>0</v>
      </c>
      <c r="H3" s="192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2">
        <f t="shared" si="0"/>
        <v>0</v>
      </c>
      <c r="N3" s="192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2">
        <f t="shared" si="0"/>
        <v>0</v>
      </c>
      <c r="T3" s="192">
        <f t="shared" si="0"/>
        <v>0</v>
      </c>
      <c r="U3" s="192">
        <f t="shared" si="0"/>
        <v>0</v>
      </c>
      <c r="V3" s="192">
        <f t="shared" si="0"/>
        <v>624295.4</v>
      </c>
      <c r="W3" s="192">
        <f t="shared" si="0"/>
        <v>0</v>
      </c>
      <c r="X3" s="192">
        <f t="shared" si="0"/>
        <v>0</v>
      </c>
      <c r="Y3" s="192">
        <f t="shared" si="0"/>
        <v>0</v>
      </c>
      <c r="Z3" s="192">
        <f t="shared" si="0"/>
        <v>0</v>
      </c>
      <c r="AA3" s="192">
        <f t="shared" si="0"/>
        <v>0</v>
      </c>
      <c r="AB3" s="192">
        <f t="shared" si="0"/>
        <v>0</v>
      </c>
      <c r="AC3" s="192">
        <f t="shared" si="0"/>
        <v>0</v>
      </c>
      <c r="AD3" s="192">
        <f t="shared" si="0"/>
        <v>0</v>
      </c>
      <c r="AE3" s="192">
        <f t="shared" si="0"/>
        <v>0</v>
      </c>
      <c r="AF3" s="192">
        <f t="shared" si="0"/>
        <v>0</v>
      </c>
      <c r="AG3" s="192">
        <f t="shared" si="0"/>
        <v>0</v>
      </c>
      <c r="AH3" s="192">
        <f t="shared" si="0"/>
        <v>0</v>
      </c>
      <c r="AI3" s="192">
        <f t="shared" si="0"/>
        <v>194213</v>
      </c>
      <c r="AJ3" s="192">
        <f t="shared" si="0"/>
        <v>0</v>
      </c>
      <c r="AK3" s="192">
        <f t="shared" si="0"/>
        <v>0</v>
      </c>
      <c r="AL3" s="192">
        <f t="shared" si="0"/>
        <v>0</v>
      </c>
      <c r="AM3" s="192">
        <f t="shared" si="0"/>
        <v>38167.25</v>
      </c>
      <c r="AN3" s="192">
        <f t="shared" si="0"/>
        <v>0</v>
      </c>
    </row>
    <row r="4" spans="1:40" x14ac:dyDescent="0.3">
      <c r="A4" s="191" t="s">
        <v>126</v>
      </c>
      <c r="B4" s="216">
        <v>1</v>
      </c>
      <c r="C4" s="193" t="s">
        <v>4</v>
      </c>
      <c r="D4" s="194" t="s">
        <v>44</v>
      </c>
      <c r="E4" s="194" t="s">
        <v>120</v>
      </c>
      <c r="F4" s="194" t="s">
        <v>3</v>
      </c>
      <c r="G4" s="194" t="s">
        <v>121</v>
      </c>
      <c r="H4" s="194" t="s">
        <v>122</v>
      </c>
      <c r="I4" s="194" t="s">
        <v>123</v>
      </c>
      <c r="J4" s="194" t="s">
        <v>124</v>
      </c>
      <c r="K4" s="194">
        <v>305</v>
      </c>
      <c r="L4" s="194">
        <v>306</v>
      </c>
      <c r="M4" s="194">
        <v>408</v>
      </c>
      <c r="N4" s="194">
        <v>409</v>
      </c>
      <c r="O4" s="194">
        <v>410</v>
      </c>
      <c r="P4" s="194">
        <v>415</v>
      </c>
      <c r="Q4" s="194">
        <v>416</v>
      </c>
      <c r="R4" s="194">
        <v>418</v>
      </c>
      <c r="S4" s="194">
        <v>419</v>
      </c>
      <c r="T4" s="194">
        <v>420</v>
      </c>
      <c r="U4" s="194">
        <v>421</v>
      </c>
      <c r="V4" s="194">
        <v>522</v>
      </c>
      <c r="W4" s="194">
        <v>523</v>
      </c>
      <c r="X4" s="194">
        <v>524</v>
      </c>
      <c r="Y4" s="194">
        <v>525</v>
      </c>
      <c r="Z4" s="194">
        <v>526</v>
      </c>
      <c r="AA4" s="194">
        <v>527</v>
      </c>
      <c r="AB4" s="194">
        <v>528</v>
      </c>
      <c r="AC4" s="194">
        <v>629</v>
      </c>
      <c r="AD4" s="194">
        <v>630</v>
      </c>
      <c r="AE4" s="194">
        <v>636</v>
      </c>
      <c r="AF4" s="194">
        <v>637</v>
      </c>
      <c r="AG4" s="194">
        <v>640</v>
      </c>
      <c r="AH4" s="194">
        <v>642</v>
      </c>
      <c r="AI4" s="194">
        <v>743</v>
      </c>
      <c r="AJ4" s="194">
        <v>745</v>
      </c>
      <c r="AK4" s="194">
        <v>746</v>
      </c>
      <c r="AL4" s="194">
        <v>747</v>
      </c>
      <c r="AM4" s="194">
        <v>930</v>
      </c>
      <c r="AN4" s="194">
        <v>940</v>
      </c>
    </row>
    <row r="5" spans="1:40" x14ac:dyDescent="0.3">
      <c r="A5" s="191" t="s">
        <v>127</v>
      </c>
      <c r="B5" s="216">
        <v>2</v>
      </c>
      <c r="C5" s="191">
        <v>39</v>
      </c>
      <c r="D5" s="191">
        <v>1</v>
      </c>
      <c r="E5" s="191">
        <v>1</v>
      </c>
      <c r="F5" s="191">
        <v>13.8</v>
      </c>
      <c r="G5" s="191">
        <v>0</v>
      </c>
      <c r="H5" s="191">
        <v>0</v>
      </c>
      <c r="I5" s="191">
        <v>0</v>
      </c>
      <c r="J5" s="191">
        <v>0</v>
      </c>
      <c r="K5" s="191">
        <v>0</v>
      </c>
      <c r="L5" s="191">
        <v>0</v>
      </c>
      <c r="M5" s="191">
        <v>0</v>
      </c>
      <c r="N5" s="191">
        <v>0</v>
      </c>
      <c r="O5" s="191">
        <v>0</v>
      </c>
      <c r="P5" s="191">
        <v>0</v>
      </c>
      <c r="Q5" s="191">
        <v>0</v>
      </c>
      <c r="R5" s="191">
        <v>0</v>
      </c>
      <c r="S5" s="191">
        <v>0</v>
      </c>
      <c r="T5" s="191">
        <v>0</v>
      </c>
      <c r="U5" s="191">
        <v>0</v>
      </c>
      <c r="V5" s="191">
        <v>9.1999999999999993</v>
      </c>
      <c r="W5" s="191">
        <v>0</v>
      </c>
      <c r="X5" s="191">
        <v>0</v>
      </c>
      <c r="Y5" s="191">
        <v>0</v>
      </c>
      <c r="Z5" s="191">
        <v>0</v>
      </c>
      <c r="AA5" s="191">
        <v>0</v>
      </c>
      <c r="AB5" s="191">
        <v>0</v>
      </c>
      <c r="AC5" s="191">
        <v>0</v>
      </c>
      <c r="AD5" s="191">
        <v>0</v>
      </c>
      <c r="AE5" s="191">
        <v>0</v>
      </c>
      <c r="AF5" s="191">
        <v>0</v>
      </c>
      <c r="AG5" s="191">
        <v>0</v>
      </c>
      <c r="AH5" s="191">
        <v>0</v>
      </c>
      <c r="AI5" s="191">
        <v>3.6</v>
      </c>
      <c r="AJ5" s="191">
        <v>0</v>
      </c>
      <c r="AK5" s="191">
        <v>0</v>
      </c>
      <c r="AL5" s="191">
        <v>0</v>
      </c>
      <c r="AM5" s="191">
        <v>1</v>
      </c>
      <c r="AN5" s="191">
        <v>0</v>
      </c>
    </row>
    <row r="6" spans="1:40" x14ac:dyDescent="0.3">
      <c r="A6" s="191" t="s">
        <v>128</v>
      </c>
      <c r="B6" s="216">
        <v>3</v>
      </c>
      <c r="C6" s="191">
        <v>39</v>
      </c>
      <c r="D6" s="191">
        <v>1</v>
      </c>
      <c r="E6" s="191">
        <v>2</v>
      </c>
      <c r="F6" s="191">
        <v>2221.75</v>
      </c>
      <c r="G6" s="191">
        <v>0</v>
      </c>
      <c r="H6" s="191">
        <v>0</v>
      </c>
      <c r="I6" s="191">
        <v>0</v>
      </c>
      <c r="J6" s="191">
        <v>0</v>
      </c>
      <c r="K6" s="191">
        <v>0</v>
      </c>
      <c r="L6" s="191">
        <v>0</v>
      </c>
      <c r="M6" s="191">
        <v>0</v>
      </c>
      <c r="N6" s="191">
        <v>0</v>
      </c>
      <c r="O6" s="191">
        <v>0</v>
      </c>
      <c r="P6" s="191">
        <v>0</v>
      </c>
      <c r="Q6" s="191">
        <v>0</v>
      </c>
      <c r="R6" s="191">
        <v>0</v>
      </c>
      <c r="S6" s="191">
        <v>0</v>
      </c>
      <c r="T6" s="191">
        <v>0</v>
      </c>
      <c r="U6" s="191">
        <v>0</v>
      </c>
      <c r="V6" s="191">
        <v>1464</v>
      </c>
      <c r="W6" s="191">
        <v>0</v>
      </c>
      <c r="X6" s="191">
        <v>0</v>
      </c>
      <c r="Y6" s="191">
        <v>0</v>
      </c>
      <c r="Z6" s="191">
        <v>0</v>
      </c>
      <c r="AA6" s="191">
        <v>0</v>
      </c>
      <c r="AB6" s="191">
        <v>0</v>
      </c>
      <c r="AC6" s="191">
        <v>0</v>
      </c>
      <c r="AD6" s="191">
        <v>0</v>
      </c>
      <c r="AE6" s="191">
        <v>0</v>
      </c>
      <c r="AF6" s="191">
        <v>0</v>
      </c>
      <c r="AG6" s="191">
        <v>0</v>
      </c>
      <c r="AH6" s="191">
        <v>0</v>
      </c>
      <c r="AI6" s="191">
        <v>597</v>
      </c>
      <c r="AJ6" s="191">
        <v>0</v>
      </c>
      <c r="AK6" s="191">
        <v>0</v>
      </c>
      <c r="AL6" s="191">
        <v>0</v>
      </c>
      <c r="AM6" s="191">
        <v>160.75</v>
      </c>
      <c r="AN6" s="191">
        <v>0</v>
      </c>
    </row>
    <row r="7" spans="1:40" x14ac:dyDescent="0.3">
      <c r="A7" s="191" t="s">
        <v>129</v>
      </c>
      <c r="B7" s="216">
        <v>4</v>
      </c>
      <c r="C7" s="191">
        <v>39</v>
      </c>
      <c r="D7" s="191">
        <v>1</v>
      </c>
      <c r="E7" s="191">
        <v>6</v>
      </c>
      <c r="F7" s="191">
        <v>425407</v>
      </c>
      <c r="G7" s="191">
        <v>0</v>
      </c>
      <c r="H7" s="191">
        <v>0</v>
      </c>
      <c r="I7" s="191">
        <v>0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0</v>
      </c>
      <c r="S7" s="191">
        <v>0</v>
      </c>
      <c r="T7" s="191">
        <v>0</v>
      </c>
      <c r="U7" s="191">
        <v>0</v>
      </c>
      <c r="V7" s="191">
        <v>309585</v>
      </c>
      <c r="W7" s="191">
        <v>0</v>
      </c>
      <c r="X7" s="191">
        <v>0</v>
      </c>
      <c r="Y7" s="191">
        <v>0</v>
      </c>
      <c r="Z7" s="191">
        <v>0</v>
      </c>
      <c r="AA7" s="191">
        <v>0</v>
      </c>
      <c r="AB7" s="191">
        <v>0</v>
      </c>
      <c r="AC7" s="191">
        <v>0</v>
      </c>
      <c r="AD7" s="191">
        <v>0</v>
      </c>
      <c r="AE7" s="191">
        <v>0</v>
      </c>
      <c r="AF7" s="191">
        <v>0</v>
      </c>
      <c r="AG7" s="191">
        <v>0</v>
      </c>
      <c r="AH7" s="191">
        <v>0</v>
      </c>
      <c r="AI7" s="191">
        <v>96843</v>
      </c>
      <c r="AJ7" s="191">
        <v>0</v>
      </c>
      <c r="AK7" s="191">
        <v>0</v>
      </c>
      <c r="AL7" s="191">
        <v>0</v>
      </c>
      <c r="AM7" s="191">
        <v>18979</v>
      </c>
      <c r="AN7" s="191">
        <v>0</v>
      </c>
    </row>
    <row r="8" spans="1:40" x14ac:dyDescent="0.3">
      <c r="A8" s="191" t="s">
        <v>130</v>
      </c>
      <c r="B8" s="216">
        <v>5</v>
      </c>
      <c r="C8" s="191">
        <v>39</v>
      </c>
      <c r="D8" s="191">
        <v>1</v>
      </c>
      <c r="E8" s="191">
        <v>9</v>
      </c>
      <c r="F8" s="191">
        <v>10000</v>
      </c>
      <c r="G8" s="191">
        <v>0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0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  <c r="U8" s="191">
        <v>0</v>
      </c>
      <c r="V8" s="191">
        <v>10000</v>
      </c>
      <c r="W8" s="191">
        <v>0</v>
      </c>
      <c r="X8" s="191">
        <v>0</v>
      </c>
      <c r="Y8" s="191">
        <v>0</v>
      </c>
      <c r="Z8" s="191">
        <v>0</v>
      </c>
      <c r="AA8" s="191">
        <v>0</v>
      </c>
      <c r="AB8" s="191">
        <v>0</v>
      </c>
      <c r="AC8" s="191">
        <v>0</v>
      </c>
      <c r="AD8" s="191">
        <v>0</v>
      </c>
      <c r="AE8" s="191">
        <v>0</v>
      </c>
      <c r="AF8" s="191">
        <v>0</v>
      </c>
      <c r="AG8" s="191">
        <v>0</v>
      </c>
      <c r="AH8" s="191">
        <v>0</v>
      </c>
      <c r="AI8" s="191">
        <v>0</v>
      </c>
      <c r="AJ8" s="191">
        <v>0</v>
      </c>
      <c r="AK8" s="191">
        <v>0</v>
      </c>
      <c r="AL8" s="191">
        <v>0</v>
      </c>
      <c r="AM8" s="191">
        <v>0</v>
      </c>
      <c r="AN8" s="191">
        <v>0</v>
      </c>
    </row>
    <row r="9" spans="1:40" x14ac:dyDescent="0.3">
      <c r="A9" s="191" t="s">
        <v>131</v>
      </c>
      <c r="B9" s="216">
        <v>6</v>
      </c>
      <c r="C9" s="191">
        <v>39</v>
      </c>
      <c r="D9" s="191">
        <v>1</v>
      </c>
      <c r="E9" s="191">
        <v>10</v>
      </c>
      <c r="F9" s="191">
        <v>5500</v>
      </c>
      <c r="G9" s="191">
        <v>0</v>
      </c>
      <c r="H9" s="191">
        <v>0</v>
      </c>
      <c r="I9" s="191">
        <v>0</v>
      </c>
      <c r="J9" s="191">
        <v>0</v>
      </c>
      <c r="K9" s="191">
        <v>5500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</v>
      </c>
      <c r="V9" s="191">
        <v>0</v>
      </c>
      <c r="W9" s="191">
        <v>0</v>
      </c>
      <c r="X9" s="191">
        <v>0</v>
      </c>
      <c r="Y9" s="191">
        <v>0</v>
      </c>
      <c r="Z9" s="191">
        <v>0</v>
      </c>
      <c r="AA9" s="191">
        <v>0</v>
      </c>
      <c r="AB9" s="191">
        <v>0</v>
      </c>
      <c r="AC9" s="191">
        <v>0</v>
      </c>
      <c r="AD9" s="191">
        <v>0</v>
      </c>
      <c r="AE9" s="191">
        <v>0</v>
      </c>
      <c r="AF9" s="191">
        <v>0</v>
      </c>
      <c r="AG9" s="191">
        <v>0</v>
      </c>
      <c r="AH9" s="191">
        <v>0</v>
      </c>
      <c r="AI9" s="191">
        <v>0</v>
      </c>
      <c r="AJ9" s="191">
        <v>0</v>
      </c>
      <c r="AK9" s="191">
        <v>0</v>
      </c>
      <c r="AL9" s="191">
        <v>0</v>
      </c>
      <c r="AM9" s="191">
        <v>0</v>
      </c>
      <c r="AN9" s="191">
        <v>0</v>
      </c>
    </row>
    <row r="10" spans="1:40" x14ac:dyDescent="0.3">
      <c r="A10" s="191" t="s">
        <v>132</v>
      </c>
      <c r="B10" s="216">
        <v>7</v>
      </c>
      <c r="C10" s="191">
        <v>39</v>
      </c>
      <c r="D10" s="191">
        <v>1</v>
      </c>
      <c r="E10" s="191">
        <v>11</v>
      </c>
      <c r="F10" s="191">
        <v>1166.6666666666667</v>
      </c>
      <c r="G10" s="191">
        <v>0</v>
      </c>
      <c r="H10" s="191">
        <v>0</v>
      </c>
      <c r="I10" s="191">
        <v>0</v>
      </c>
      <c r="J10" s="191">
        <v>0</v>
      </c>
      <c r="K10" s="191">
        <v>1166.6666666666667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  <c r="AC10" s="191">
        <v>0</v>
      </c>
      <c r="AD10" s="191">
        <v>0</v>
      </c>
      <c r="AE10" s="191">
        <v>0</v>
      </c>
      <c r="AF10" s="191">
        <v>0</v>
      </c>
      <c r="AG10" s="191">
        <v>0</v>
      </c>
      <c r="AH10" s="191">
        <v>0</v>
      </c>
      <c r="AI10" s="191">
        <v>0</v>
      </c>
      <c r="AJ10" s="191">
        <v>0</v>
      </c>
      <c r="AK10" s="191">
        <v>0</v>
      </c>
      <c r="AL10" s="191">
        <v>0</v>
      </c>
      <c r="AM10" s="191">
        <v>0</v>
      </c>
      <c r="AN10" s="191">
        <v>0</v>
      </c>
    </row>
    <row r="11" spans="1:40" x14ac:dyDescent="0.3">
      <c r="A11" s="191" t="s">
        <v>133</v>
      </c>
      <c r="B11" s="216">
        <v>8</v>
      </c>
      <c r="C11" s="191">
        <v>39</v>
      </c>
      <c r="D11" s="191">
        <v>2</v>
      </c>
      <c r="E11" s="191">
        <v>1</v>
      </c>
      <c r="F11" s="191">
        <v>13.8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</v>
      </c>
      <c r="U11" s="191">
        <v>0</v>
      </c>
      <c r="V11" s="191">
        <v>9.1999999999999993</v>
      </c>
      <c r="W11" s="191">
        <v>0</v>
      </c>
      <c r="X11" s="191">
        <v>0</v>
      </c>
      <c r="Y11" s="191">
        <v>0</v>
      </c>
      <c r="Z11" s="191">
        <v>0</v>
      </c>
      <c r="AA11" s="191">
        <v>0</v>
      </c>
      <c r="AB11" s="191">
        <v>0</v>
      </c>
      <c r="AC11" s="191">
        <v>0</v>
      </c>
      <c r="AD11" s="191">
        <v>0</v>
      </c>
      <c r="AE11" s="191">
        <v>0</v>
      </c>
      <c r="AF11" s="191">
        <v>0</v>
      </c>
      <c r="AG11" s="191">
        <v>0</v>
      </c>
      <c r="AH11" s="191">
        <v>0</v>
      </c>
      <c r="AI11" s="191">
        <v>3.6</v>
      </c>
      <c r="AJ11" s="191">
        <v>0</v>
      </c>
      <c r="AK11" s="191">
        <v>0</v>
      </c>
      <c r="AL11" s="191">
        <v>0</v>
      </c>
      <c r="AM11" s="191">
        <v>1</v>
      </c>
      <c r="AN11" s="191">
        <v>0</v>
      </c>
    </row>
    <row r="12" spans="1:40" x14ac:dyDescent="0.3">
      <c r="A12" s="191" t="s">
        <v>134</v>
      </c>
      <c r="B12" s="216">
        <v>9</v>
      </c>
      <c r="C12" s="191">
        <v>39</v>
      </c>
      <c r="D12" s="191">
        <v>2</v>
      </c>
      <c r="E12" s="191">
        <v>2</v>
      </c>
      <c r="F12" s="191">
        <v>1920.3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0</v>
      </c>
      <c r="P12" s="191">
        <v>0</v>
      </c>
      <c r="Q12" s="191">
        <v>0</v>
      </c>
      <c r="R12" s="191">
        <v>0</v>
      </c>
      <c r="S12" s="191">
        <v>0</v>
      </c>
      <c r="T12" s="191">
        <v>0</v>
      </c>
      <c r="U12" s="191">
        <v>0</v>
      </c>
      <c r="V12" s="191">
        <v>1240</v>
      </c>
      <c r="W12" s="191">
        <v>0</v>
      </c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0</v>
      </c>
      <c r="AG12" s="191">
        <v>0</v>
      </c>
      <c r="AH12" s="191">
        <v>0</v>
      </c>
      <c r="AI12" s="191">
        <v>554.79999999999995</v>
      </c>
      <c r="AJ12" s="191">
        <v>0</v>
      </c>
      <c r="AK12" s="191">
        <v>0</v>
      </c>
      <c r="AL12" s="191">
        <v>0</v>
      </c>
      <c r="AM12" s="191">
        <v>125.5</v>
      </c>
      <c r="AN12" s="191">
        <v>0</v>
      </c>
    </row>
    <row r="13" spans="1:40" x14ac:dyDescent="0.3">
      <c r="A13" s="191" t="s">
        <v>135</v>
      </c>
      <c r="B13" s="216">
        <v>10</v>
      </c>
      <c r="C13" s="191">
        <v>39</v>
      </c>
      <c r="D13" s="191">
        <v>2</v>
      </c>
      <c r="E13" s="191">
        <v>6</v>
      </c>
      <c r="F13" s="191">
        <v>417099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301988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0</v>
      </c>
      <c r="AH13" s="191">
        <v>0</v>
      </c>
      <c r="AI13" s="191">
        <v>96211</v>
      </c>
      <c r="AJ13" s="191">
        <v>0</v>
      </c>
      <c r="AK13" s="191">
        <v>0</v>
      </c>
      <c r="AL13" s="191">
        <v>0</v>
      </c>
      <c r="AM13" s="191">
        <v>18900</v>
      </c>
      <c r="AN13" s="191">
        <v>0</v>
      </c>
    </row>
    <row r="14" spans="1:40" x14ac:dyDescent="0.3">
      <c r="A14" s="191" t="s">
        <v>136</v>
      </c>
      <c r="B14" s="216">
        <v>11</v>
      </c>
      <c r="C14" s="191">
        <v>39</v>
      </c>
      <c r="D14" s="191">
        <v>2</v>
      </c>
      <c r="E14" s="191">
        <v>11</v>
      </c>
      <c r="F14" s="191">
        <v>1166.6666666666667</v>
      </c>
      <c r="G14" s="191">
        <v>0</v>
      </c>
      <c r="H14" s="191">
        <v>0</v>
      </c>
      <c r="I14" s="191">
        <v>0</v>
      </c>
      <c r="J14" s="191">
        <v>0</v>
      </c>
      <c r="K14" s="191">
        <v>1166.6666666666667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</row>
    <row r="15" spans="1:40" x14ac:dyDescent="0.3">
      <c r="A15" s="191" t="s">
        <v>137</v>
      </c>
      <c r="B15" s="216">
        <v>12</v>
      </c>
    </row>
    <row r="16" spans="1:40" x14ac:dyDescent="0.3">
      <c r="A16" s="191" t="s">
        <v>125</v>
      </c>
      <c r="B16" s="216">
        <v>2015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309" t="s">
        <v>346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ht="14.4" customHeight="1" thickBot="1" x14ac:dyDescent="0.35">
      <c r="A2" s="195" t="s">
        <v>221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1" t="s">
        <v>102</v>
      </c>
      <c r="B3" s="182">
        <f>SUBTOTAL(9,B6:B1048576)</f>
        <v>628910</v>
      </c>
      <c r="C3" s="183">
        <f t="shared" ref="C3:R3" si="0">SUBTOTAL(9,C6:C1048576)</f>
        <v>1</v>
      </c>
      <c r="D3" s="183">
        <f t="shared" si="0"/>
        <v>661330</v>
      </c>
      <c r="E3" s="183">
        <f t="shared" si="0"/>
        <v>1.0515495062886582</v>
      </c>
      <c r="F3" s="183">
        <f t="shared" si="0"/>
        <v>627845</v>
      </c>
      <c r="G3" s="184">
        <f>IF(B3&lt;&gt;0,F3/B3,"")</f>
        <v>0.99830659394825971</v>
      </c>
      <c r="H3" s="185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6" t="str">
        <f>IF(H3&lt;&gt;0,L3/H3,"")</f>
        <v/>
      </c>
      <c r="N3" s="182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0" t="s">
        <v>76</v>
      </c>
      <c r="B4" s="311" t="s">
        <v>77</v>
      </c>
      <c r="C4" s="312"/>
      <c r="D4" s="312"/>
      <c r="E4" s="312"/>
      <c r="F4" s="312"/>
      <c r="G4" s="313"/>
      <c r="H4" s="311" t="s">
        <v>78</v>
      </c>
      <c r="I4" s="312"/>
      <c r="J4" s="312"/>
      <c r="K4" s="312"/>
      <c r="L4" s="312"/>
      <c r="M4" s="313"/>
      <c r="N4" s="311" t="s">
        <v>79</v>
      </c>
      <c r="O4" s="312"/>
      <c r="P4" s="312"/>
      <c r="Q4" s="312"/>
      <c r="R4" s="312"/>
      <c r="S4" s="313"/>
    </row>
    <row r="5" spans="1:19" ht="14.4" customHeight="1" thickBot="1" x14ac:dyDescent="0.35">
      <c r="A5" s="392"/>
      <c r="B5" s="393">
        <v>2013</v>
      </c>
      <c r="C5" s="394"/>
      <c r="D5" s="394">
        <v>2014</v>
      </c>
      <c r="E5" s="394"/>
      <c r="F5" s="394">
        <v>2015</v>
      </c>
      <c r="G5" s="395" t="s">
        <v>2</v>
      </c>
      <c r="H5" s="393">
        <v>2013</v>
      </c>
      <c r="I5" s="394"/>
      <c r="J5" s="394">
        <v>2014</v>
      </c>
      <c r="K5" s="394"/>
      <c r="L5" s="394">
        <v>2015</v>
      </c>
      <c r="M5" s="395" t="s">
        <v>2</v>
      </c>
      <c r="N5" s="393">
        <v>2013</v>
      </c>
      <c r="O5" s="394"/>
      <c r="P5" s="394">
        <v>2014</v>
      </c>
      <c r="Q5" s="394"/>
      <c r="R5" s="394">
        <v>2015</v>
      </c>
      <c r="S5" s="395" t="s">
        <v>2</v>
      </c>
    </row>
    <row r="6" spans="1:19" ht="14.4" customHeight="1" thickBot="1" x14ac:dyDescent="0.35">
      <c r="A6" s="398" t="s">
        <v>342</v>
      </c>
      <c r="B6" s="396">
        <v>628910</v>
      </c>
      <c r="C6" s="397">
        <v>1</v>
      </c>
      <c r="D6" s="396">
        <v>661330</v>
      </c>
      <c r="E6" s="397">
        <v>1.0515495062886582</v>
      </c>
      <c r="F6" s="396">
        <v>627845</v>
      </c>
      <c r="G6" s="261">
        <v>0.99830659394825971</v>
      </c>
      <c r="H6" s="396"/>
      <c r="I6" s="397"/>
      <c r="J6" s="396"/>
      <c r="K6" s="397"/>
      <c r="L6" s="396"/>
      <c r="M6" s="261"/>
      <c r="N6" s="396"/>
      <c r="O6" s="397"/>
      <c r="P6" s="396"/>
      <c r="Q6" s="397"/>
      <c r="R6" s="396"/>
      <c r="S6" s="262"/>
    </row>
    <row r="7" spans="1:19" ht="14.4" customHeight="1" x14ac:dyDescent="0.3">
      <c r="A7" s="399" t="s">
        <v>343</v>
      </c>
    </row>
    <row r="8" spans="1:19" ht="14.4" customHeight="1" x14ac:dyDescent="0.3">
      <c r="A8" s="400" t="s">
        <v>344</v>
      </c>
    </row>
    <row r="9" spans="1:19" ht="14.4" customHeight="1" x14ac:dyDescent="0.3">
      <c r="A9" s="399" t="s">
        <v>345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7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309" t="s">
        <v>361</v>
      </c>
      <c r="B1" s="274"/>
      <c r="C1" s="274"/>
      <c r="D1" s="274"/>
      <c r="E1" s="274"/>
      <c r="F1" s="274"/>
      <c r="G1" s="274"/>
    </row>
    <row r="2" spans="1:7" ht="14.4" customHeight="1" thickBot="1" x14ac:dyDescent="0.35">
      <c r="A2" s="195" t="s">
        <v>221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81" t="s">
        <v>102</v>
      </c>
      <c r="B3" s="264">
        <f t="shared" ref="B3:G3" si="0">SUBTOTAL(9,B6:B1048576)</f>
        <v>1794</v>
      </c>
      <c r="C3" s="265">
        <f t="shared" si="0"/>
        <v>1906</v>
      </c>
      <c r="D3" s="265">
        <f t="shared" si="0"/>
        <v>1707</v>
      </c>
      <c r="E3" s="185">
        <f t="shared" si="0"/>
        <v>628910</v>
      </c>
      <c r="F3" s="183">
        <f t="shared" si="0"/>
        <v>661330</v>
      </c>
      <c r="G3" s="266">
        <f t="shared" si="0"/>
        <v>627845</v>
      </c>
    </row>
    <row r="4" spans="1:7" ht="14.4" customHeight="1" x14ac:dyDescent="0.3">
      <c r="A4" s="310" t="s">
        <v>103</v>
      </c>
      <c r="B4" s="311" t="s">
        <v>198</v>
      </c>
      <c r="C4" s="312"/>
      <c r="D4" s="312"/>
      <c r="E4" s="314" t="s">
        <v>77</v>
      </c>
      <c r="F4" s="315"/>
      <c r="G4" s="316"/>
    </row>
    <row r="5" spans="1:7" ht="14.4" customHeight="1" thickBot="1" x14ac:dyDescent="0.35">
      <c r="A5" s="392"/>
      <c r="B5" s="393">
        <v>2013</v>
      </c>
      <c r="C5" s="394">
        <v>2014</v>
      </c>
      <c r="D5" s="394">
        <v>2015</v>
      </c>
      <c r="E5" s="393">
        <v>2013</v>
      </c>
      <c r="F5" s="394">
        <v>2014</v>
      </c>
      <c r="G5" s="401">
        <v>2015</v>
      </c>
    </row>
    <row r="6" spans="1:7" ht="14.4" customHeight="1" x14ac:dyDescent="0.3">
      <c r="A6" s="414" t="s">
        <v>347</v>
      </c>
      <c r="B6" s="403">
        <v>12</v>
      </c>
      <c r="C6" s="403"/>
      <c r="D6" s="403">
        <v>26</v>
      </c>
      <c r="E6" s="404">
        <v>3828</v>
      </c>
      <c r="F6" s="404"/>
      <c r="G6" s="405">
        <v>12412</v>
      </c>
    </row>
    <row r="7" spans="1:7" ht="14.4" customHeight="1" x14ac:dyDescent="0.3">
      <c r="A7" s="415" t="s">
        <v>348</v>
      </c>
      <c r="B7" s="407">
        <v>133</v>
      </c>
      <c r="C7" s="407">
        <v>143</v>
      </c>
      <c r="D7" s="407">
        <v>96</v>
      </c>
      <c r="E7" s="408">
        <v>48136</v>
      </c>
      <c r="F7" s="408">
        <v>48108</v>
      </c>
      <c r="G7" s="409">
        <v>32932</v>
      </c>
    </row>
    <row r="8" spans="1:7" ht="14.4" customHeight="1" x14ac:dyDescent="0.3">
      <c r="A8" s="415" t="s">
        <v>349</v>
      </c>
      <c r="B8" s="407">
        <v>96</v>
      </c>
      <c r="C8" s="407">
        <v>94</v>
      </c>
      <c r="D8" s="407">
        <v>76</v>
      </c>
      <c r="E8" s="408">
        <v>31376</v>
      </c>
      <c r="F8" s="408">
        <v>33052</v>
      </c>
      <c r="G8" s="409">
        <v>29900</v>
      </c>
    </row>
    <row r="9" spans="1:7" ht="14.4" customHeight="1" x14ac:dyDescent="0.3">
      <c r="A9" s="415" t="s">
        <v>350</v>
      </c>
      <c r="B9" s="407">
        <v>248</v>
      </c>
      <c r="C9" s="407">
        <v>294</v>
      </c>
      <c r="D9" s="407">
        <v>267</v>
      </c>
      <c r="E9" s="408">
        <v>88429</v>
      </c>
      <c r="F9" s="408">
        <v>111958</v>
      </c>
      <c r="G9" s="409">
        <v>106791</v>
      </c>
    </row>
    <row r="10" spans="1:7" ht="14.4" customHeight="1" x14ac:dyDescent="0.3">
      <c r="A10" s="415" t="s">
        <v>351</v>
      </c>
      <c r="B10" s="407">
        <v>165</v>
      </c>
      <c r="C10" s="407">
        <v>134</v>
      </c>
      <c r="D10" s="407">
        <v>152</v>
      </c>
      <c r="E10" s="408">
        <v>60099</v>
      </c>
      <c r="F10" s="408">
        <v>51227</v>
      </c>
      <c r="G10" s="409">
        <v>68808</v>
      </c>
    </row>
    <row r="11" spans="1:7" ht="14.4" customHeight="1" x14ac:dyDescent="0.3">
      <c r="A11" s="415" t="s">
        <v>352</v>
      </c>
      <c r="B11" s="407">
        <v>47</v>
      </c>
      <c r="C11" s="407">
        <v>218</v>
      </c>
      <c r="D11" s="407">
        <v>158</v>
      </c>
      <c r="E11" s="408">
        <v>15550</v>
      </c>
      <c r="F11" s="408">
        <v>69661</v>
      </c>
      <c r="G11" s="409">
        <v>52818</v>
      </c>
    </row>
    <row r="12" spans="1:7" ht="14.4" customHeight="1" x14ac:dyDescent="0.3">
      <c r="A12" s="415" t="s">
        <v>353</v>
      </c>
      <c r="B12" s="407">
        <v>172</v>
      </c>
      <c r="C12" s="407">
        <v>201</v>
      </c>
      <c r="D12" s="407">
        <v>213</v>
      </c>
      <c r="E12" s="408">
        <v>55677</v>
      </c>
      <c r="F12" s="408">
        <v>66506</v>
      </c>
      <c r="G12" s="409">
        <v>76191</v>
      </c>
    </row>
    <row r="13" spans="1:7" ht="14.4" customHeight="1" x14ac:dyDescent="0.3">
      <c r="A13" s="415" t="s">
        <v>354</v>
      </c>
      <c r="B13" s="407">
        <v>6</v>
      </c>
      <c r="C13" s="407">
        <v>52</v>
      </c>
      <c r="D13" s="407">
        <v>33</v>
      </c>
      <c r="E13" s="408">
        <v>1914</v>
      </c>
      <c r="F13" s="408">
        <v>16588</v>
      </c>
      <c r="G13" s="409">
        <v>10659</v>
      </c>
    </row>
    <row r="14" spans="1:7" ht="14.4" customHeight="1" x14ac:dyDescent="0.3">
      <c r="A14" s="415" t="s">
        <v>355</v>
      </c>
      <c r="B14" s="407">
        <v>197</v>
      </c>
      <c r="C14" s="407">
        <v>49</v>
      </c>
      <c r="D14" s="407">
        <v>134</v>
      </c>
      <c r="E14" s="408">
        <v>66918</v>
      </c>
      <c r="F14" s="408">
        <v>17302</v>
      </c>
      <c r="G14" s="409">
        <v>41764</v>
      </c>
    </row>
    <row r="15" spans="1:7" ht="14.4" customHeight="1" x14ac:dyDescent="0.3">
      <c r="A15" s="415" t="s">
        <v>356</v>
      </c>
      <c r="B15" s="407">
        <v>260</v>
      </c>
      <c r="C15" s="407">
        <v>197</v>
      </c>
      <c r="D15" s="407">
        <v>217</v>
      </c>
      <c r="E15" s="408">
        <v>85687</v>
      </c>
      <c r="F15" s="408">
        <v>61843</v>
      </c>
      <c r="G15" s="409">
        <v>69079</v>
      </c>
    </row>
    <row r="16" spans="1:7" ht="14.4" customHeight="1" x14ac:dyDescent="0.3">
      <c r="A16" s="415" t="s">
        <v>357</v>
      </c>
      <c r="B16" s="407">
        <v>8</v>
      </c>
      <c r="C16" s="407">
        <v>22</v>
      </c>
      <c r="D16" s="407">
        <v>16</v>
      </c>
      <c r="E16" s="408">
        <v>2552</v>
      </c>
      <c r="F16" s="408">
        <v>6518</v>
      </c>
      <c r="G16" s="409">
        <v>5168</v>
      </c>
    </row>
    <row r="17" spans="1:7" ht="14.4" customHeight="1" x14ac:dyDescent="0.3">
      <c r="A17" s="415" t="s">
        <v>358</v>
      </c>
      <c r="B17" s="407">
        <v>222</v>
      </c>
      <c r="C17" s="407">
        <v>240</v>
      </c>
      <c r="D17" s="407">
        <v>156</v>
      </c>
      <c r="E17" s="408">
        <v>84391</v>
      </c>
      <c r="F17" s="408">
        <v>84839</v>
      </c>
      <c r="G17" s="409">
        <v>62430</v>
      </c>
    </row>
    <row r="18" spans="1:7" ht="14.4" customHeight="1" x14ac:dyDescent="0.3">
      <c r="A18" s="415" t="s">
        <v>359</v>
      </c>
      <c r="B18" s="407">
        <v>168</v>
      </c>
      <c r="C18" s="407">
        <v>178</v>
      </c>
      <c r="D18" s="407">
        <v>68</v>
      </c>
      <c r="E18" s="408">
        <v>65213</v>
      </c>
      <c r="F18" s="408">
        <v>66932</v>
      </c>
      <c r="G18" s="409">
        <v>28208</v>
      </c>
    </row>
    <row r="19" spans="1:7" ht="14.4" customHeight="1" thickBot="1" x14ac:dyDescent="0.35">
      <c r="A19" s="416" t="s">
        <v>360</v>
      </c>
      <c r="B19" s="411">
        <v>60</v>
      </c>
      <c r="C19" s="411">
        <v>84</v>
      </c>
      <c r="D19" s="411">
        <v>95</v>
      </c>
      <c r="E19" s="412">
        <v>19140</v>
      </c>
      <c r="F19" s="412">
        <v>26796</v>
      </c>
      <c r="G19" s="413">
        <v>30685</v>
      </c>
    </row>
    <row r="20" spans="1:7" ht="14.4" customHeight="1" x14ac:dyDescent="0.3">
      <c r="A20" s="399" t="s">
        <v>343</v>
      </c>
    </row>
    <row r="21" spans="1:7" ht="14.4" customHeight="1" x14ac:dyDescent="0.3">
      <c r="A21" s="400" t="s">
        <v>344</v>
      </c>
    </row>
    <row r="22" spans="1:7" ht="14.4" customHeight="1" x14ac:dyDescent="0.3">
      <c r="A22" s="399" t="s">
        <v>345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7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8" style="102" customWidth="1"/>
    <col min="4" max="4" width="50.88671875" style="102" bestFit="1" customWidth="1"/>
    <col min="5" max="6" width="11.109375" style="177" customWidth="1"/>
    <col min="7" max="8" width="9.33203125" style="102" hidden="1" customWidth="1"/>
    <col min="9" max="10" width="11.109375" style="177" customWidth="1"/>
    <col min="11" max="12" width="9.33203125" style="102" hidden="1" customWidth="1"/>
    <col min="13" max="14" width="11.109375" style="177" customWidth="1"/>
    <col min="15" max="15" width="11.109375" style="180" customWidth="1"/>
    <col min="16" max="16" width="11.109375" style="177" customWidth="1"/>
    <col min="17" max="16384" width="8.88671875" style="102"/>
  </cols>
  <sheetData>
    <row r="1" spans="1:16" ht="18.600000000000001" customHeight="1" thickBot="1" x14ac:dyDescent="0.4">
      <c r="A1" s="274" t="s">
        <v>388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14.4" customHeight="1" thickBot="1" x14ac:dyDescent="0.35">
      <c r="A2" s="195" t="s">
        <v>221</v>
      </c>
      <c r="B2" s="103"/>
      <c r="C2" s="263"/>
      <c r="D2" s="103"/>
      <c r="E2" s="189"/>
      <c r="F2" s="189"/>
      <c r="G2" s="103"/>
      <c r="H2" s="103"/>
      <c r="I2" s="189"/>
      <c r="J2" s="189"/>
      <c r="K2" s="103"/>
      <c r="L2" s="103"/>
      <c r="M2" s="189"/>
      <c r="N2" s="189"/>
      <c r="O2" s="190"/>
      <c r="P2" s="189"/>
    </row>
    <row r="3" spans="1:16" ht="14.4" customHeight="1" thickBot="1" x14ac:dyDescent="0.35">
      <c r="D3" s="62" t="s">
        <v>102</v>
      </c>
      <c r="E3" s="74">
        <f t="shared" ref="E3:N3" si="0">SUBTOTAL(9,E6:E1048576)</f>
        <v>1794</v>
      </c>
      <c r="F3" s="75">
        <f t="shared" si="0"/>
        <v>628910</v>
      </c>
      <c r="G3" s="57"/>
      <c r="H3" s="57"/>
      <c r="I3" s="75">
        <f t="shared" si="0"/>
        <v>1906</v>
      </c>
      <c r="J3" s="75">
        <f t="shared" si="0"/>
        <v>661330</v>
      </c>
      <c r="K3" s="57"/>
      <c r="L3" s="57"/>
      <c r="M3" s="75">
        <f t="shared" si="0"/>
        <v>1707</v>
      </c>
      <c r="N3" s="75">
        <f t="shared" si="0"/>
        <v>627845</v>
      </c>
      <c r="O3" s="58">
        <f>IF(F3=0,0,N3/F3)</f>
        <v>0.99830659394825971</v>
      </c>
      <c r="P3" s="76">
        <f>IF(M3=0,0,N3/M3)</f>
        <v>367.80609256004686</v>
      </c>
    </row>
    <row r="4" spans="1:16" ht="14.4" customHeight="1" x14ac:dyDescent="0.3">
      <c r="A4" s="318" t="s">
        <v>72</v>
      </c>
      <c r="B4" s="319" t="s">
        <v>73</v>
      </c>
      <c r="C4" s="324" t="s">
        <v>48</v>
      </c>
      <c r="D4" s="320" t="s">
        <v>47</v>
      </c>
      <c r="E4" s="321">
        <v>2013</v>
      </c>
      <c r="F4" s="322"/>
      <c r="G4" s="73"/>
      <c r="H4" s="73"/>
      <c r="I4" s="321">
        <v>2014</v>
      </c>
      <c r="J4" s="322"/>
      <c r="K4" s="73"/>
      <c r="L4" s="73"/>
      <c r="M4" s="321">
        <v>2015</v>
      </c>
      <c r="N4" s="322"/>
      <c r="O4" s="323" t="s">
        <v>2</v>
      </c>
      <c r="P4" s="317" t="s">
        <v>75</v>
      </c>
    </row>
    <row r="5" spans="1:16" ht="14.4" customHeight="1" thickBot="1" x14ac:dyDescent="0.35">
      <c r="A5" s="417"/>
      <c r="B5" s="418"/>
      <c r="C5" s="419"/>
      <c r="D5" s="420"/>
      <c r="E5" s="421" t="s">
        <v>49</v>
      </c>
      <c r="F5" s="422" t="s">
        <v>5</v>
      </c>
      <c r="G5" s="423"/>
      <c r="H5" s="423"/>
      <c r="I5" s="421" t="s">
        <v>49</v>
      </c>
      <c r="J5" s="422" t="s">
        <v>5</v>
      </c>
      <c r="K5" s="423"/>
      <c r="L5" s="423"/>
      <c r="M5" s="421" t="s">
        <v>49</v>
      </c>
      <c r="N5" s="422" t="s">
        <v>5</v>
      </c>
      <c r="O5" s="424"/>
      <c r="P5" s="425"/>
    </row>
    <row r="6" spans="1:16" ht="14.4" customHeight="1" x14ac:dyDescent="0.3">
      <c r="A6" s="402" t="s">
        <v>362</v>
      </c>
      <c r="B6" s="426" t="s">
        <v>363</v>
      </c>
      <c r="C6" s="426" t="s">
        <v>364</v>
      </c>
      <c r="D6" s="426" t="s">
        <v>365</v>
      </c>
      <c r="E6" s="403">
        <v>10</v>
      </c>
      <c r="F6" s="403">
        <v>690</v>
      </c>
      <c r="G6" s="426">
        <v>1</v>
      </c>
      <c r="H6" s="426">
        <v>69</v>
      </c>
      <c r="I6" s="403">
        <v>12</v>
      </c>
      <c r="J6" s="403">
        <v>828</v>
      </c>
      <c r="K6" s="426">
        <v>1.2</v>
      </c>
      <c r="L6" s="426">
        <v>69</v>
      </c>
      <c r="M6" s="403">
        <v>16</v>
      </c>
      <c r="N6" s="403">
        <v>1120</v>
      </c>
      <c r="O6" s="427">
        <v>1.6231884057971016</v>
      </c>
      <c r="P6" s="428">
        <v>70</v>
      </c>
    </row>
    <row r="7" spans="1:16" ht="14.4" customHeight="1" x14ac:dyDescent="0.3">
      <c r="A7" s="406" t="s">
        <v>362</v>
      </c>
      <c r="B7" s="429" t="s">
        <v>363</v>
      </c>
      <c r="C7" s="429" t="s">
        <v>366</v>
      </c>
      <c r="D7" s="429" t="s">
        <v>367</v>
      </c>
      <c r="E7" s="407">
        <v>1098</v>
      </c>
      <c r="F7" s="407">
        <v>350262</v>
      </c>
      <c r="G7" s="429">
        <v>1</v>
      </c>
      <c r="H7" s="429">
        <v>319</v>
      </c>
      <c r="I7" s="407">
        <v>1159</v>
      </c>
      <c r="J7" s="407">
        <v>369721</v>
      </c>
      <c r="K7" s="429">
        <v>1.0555555555555556</v>
      </c>
      <c r="L7" s="429">
        <v>319</v>
      </c>
      <c r="M7" s="407">
        <v>1021</v>
      </c>
      <c r="N7" s="407">
        <v>329783</v>
      </c>
      <c r="O7" s="430">
        <v>0.94153233864935393</v>
      </c>
      <c r="P7" s="431">
        <v>323</v>
      </c>
    </row>
    <row r="8" spans="1:16" ht="14.4" customHeight="1" x14ac:dyDescent="0.3">
      <c r="A8" s="406" t="s">
        <v>362</v>
      </c>
      <c r="B8" s="429" t="s">
        <v>363</v>
      </c>
      <c r="C8" s="429" t="s">
        <v>368</v>
      </c>
      <c r="D8" s="429" t="s">
        <v>369</v>
      </c>
      <c r="E8" s="407">
        <v>104</v>
      </c>
      <c r="F8" s="407">
        <v>33176</v>
      </c>
      <c r="G8" s="429">
        <v>1</v>
      </c>
      <c r="H8" s="429">
        <v>319</v>
      </c>
      <c r="I8" s="407">
        <v>157</v>
      </c>
      <c r="J8" s="407">
        <v>50083</v>
      </c>
      <c r="K8" s="429">
        <v>1.5096153846153846</v>
      </c>
      <c r="L8" s="429">
        <v>319</v>
      </c>
      <c r="M8" s="407">
        <v>227</v>
      </c>
      <c r="N8" s="407">
        <v>73321</v>
      </c>
      <c r="O8" s="430">
        <v>2.2100614902339042</v>
      </c>
      <c r="P8" s="431">
        <v>323</v>
      </c>
    </row>
    <row r="9" spans="1:16" ht="14.4" customHeight="1" x14ac:dyDescent="0.3">
      <c r="A9" s="406" t="s">
        <v>362</v>
      </c>
      <c r="B9" s="429" t="s">
        <v>363</v>
      </c>
      <c r="C9" s="429" t="s">
        <v>370</v>
      </c>
      <c r="D9" s="429" t="s">
        <v>371</v>
      </c>
      <c r="E9" s="407">
        <v>82</v>
      </c>
      <c r="F9" s="407">
        <v>26158</v>
      </c>
      <c r="G9" s="429">
        <v>1</v>
      </c>
      <c r="H9" s="429">
        <v>319</v>
      </c>
      <c r="I9" s="407">
        <v>96</v>
      </c>
      <c r="J9" s="407">
        <v>30624</v>
      </c>
      <c r="K9" s="429">
        <v>1.1707317073170731</v>
      </c>
      <c r="L9" s="429">
        <v>319</v>
      </c>
      <c r="M9" s="407">
        <v>78</v>
      </c>
      <c r="N9" s="407">
        <v>25194</v>
      </c>
      <c r="O9" s="430">
        <v>0.96314702958941811</v>
      </c>
      <c r="P9" s="431">
        <v>323</v>
      </c>
    </row>
    <row r="10" spans="1:16" ht="14.4" customHeight="1" x14ac:dyDescent="0.3">
      <c r="A10" s="406" t="s">
        <v>362</v>
      </c>
      <c r="B10" s="429" t="s">
        <v>363</v>
      </c>
      <c r="C10" s="429" t="s">
        <v>372</v>
      </c>
      <c r="D10" s="429" t="s">
        <v>373</v>
      </c>
      <c r="E10" s="407"/>
      <c r="F10" s="407"/>
      <c r="G10" s="429"/>
      <c r="H10" s="429"/>
      <c r="I10" s="407">
        <v>1</v>
      </c>
      <c r="J10" s="407">
        <v>0</v>
      </c>
      <c r="K10" s="429"/>
      <c r="L10" s="429">
        <v>0</v>
      </c>
      <c r="M10" s="407"/>
      <c r="N10" s="407"/>
      <c r="O10" s="430"/>
      <c r="P10" s="431"/>
    </row>
    <row r="11" spans="1:16" ht="14.4" customHeight="1" x14ac:dyDescent="0.3">
      <c r="A11" s="406" t="s">
        <v>362</v>
      </c>
      <c r="B11" s="429" t="s">
        <v>363</v>
      </c>
      <c r="C11" s="429" t="s">
        <v>374</v>
      </c>
      <c r="D11" s="429" t="s">
        <v>375</v>
      </c>
      <c r="E11" s="407">
        <v>94</v>
      </c>
      <c r="F11" s="407">
        <v>0</v>
      </c>
      <c r="G11" s="429"/>
      <c r="H11" s="429">
        <v>0</v>
      </c>
      <c r="I11" s="407">
        <v>89</v>
      </c>
      <c r="J11" s="407">
        <v>0</v>
      </c>
      <c r="K11" s="429"/>
      <c r="L11" s="429">
        <v>0</v>
      </c>
      <c r="M11" s="407"/>
      <c r="N11" s="407"/>
      <c r="O11" s="430"/>
      <c r="P11" s="431"/>
    </row>
    <row r="12" spans="1:16" ht="14.4" customHeight="1" x14ac:dyDescent="0.3">
      <c r="A12" s="406" t="s">
        <v>362</v>
      </c>
      <c r="B12" s="429" t="s">
        <v>363</v>
      </c>
      <c r="C12" s="429" t="s">
        <v>376</v>
      </c>
      <c r="D12" s="429" t="s">
        <v>377</v>
      </c>
      <c r="E12" s="407">
        <v>154</v>
      </c>
      <c r="F12" s="407">
        <v>82852</v>
      </c>
      <c r="G12" s="429">
        <v>1</v>
      </c>
      <c r="H12" s="429">
        <v>538</v>
      </c>
      <c r="I12" s="407">
        <v>104</v>
      </c>
      <c r="J12" s="407">
        <v>55952</v>
      </c>
      <c r="K12" s="429">
        <v>0.67532467532467533</v>
      </c>
      <c r="L12" s="429">
        <v>538</v>
      </c>
      <c r="M12" s="407">
        <v>100</v>
      </c>
      <c r="N12" s="407">
        <v>54600</v>
      </c>
      <c r="O12" s="430">
        <v>0.65900642108820551</v>
      </c>
      <c r="P12" s="431">
        <v>546</v>
      </c>
    </row>
    <row r="13" spans="1:16" ht="14.4" customHeight="1" x14ac:dyDescent="0.3">
      <c r="A13" s="406" t="s">
        <v>362</v>
      </c>
      <c r="B13" s="429" t="s">
        <v>363</v>
      </c>
      <c r="C13" s="429" t="s">
        <v>378</v>
      </c>
      <c r="D13" s="429" t="s">
        <v>379</v>
      </c>
      <c r="E13" s="407">
        <v>155</v>
      </c>
      <c r="F13" s="407">
        <v>83545</v>
      </c>
      <c r="G13" s="429">
        <v>1</v>
      </c>
      <c r="H13" s="429">
        <v>539</v>
      </c>
      <c r="I13" s="407">
        <v>188</v>
      </c>
      <c r="J13" s="407">
        <v>101332</v>
      </c>
      <c r="K13" s="429">
        <v>1.2129032258064516</v>
      </c>
      <c r="L13" s="429">
        <v>539</v>
      </c>
      <c r="M13" s="407">
        <v>132</v>
      </c>
      <c r="N13" s="407">
        <v>72204</v>
      </c>
      <c r="O13" s="430">
        <v>0.86425279789335085</v>
      </c>
      <c r="P13" s="431">
        <v>547</v>
      </c>
    </row>
    <row r="14" spans="1:16" ht="14.4" customHeight="1" x14ac:dyDescent="0.3">
      <c r="A14" s="406" t="s">
        <v>362</v>
      </c>
      <c r="B14" s="429" t="s">
        <v>363</v>
      </c>
      <c r="C14" s="429" t="s">
        <v>380</v>
      </c>
      <c r="D14" s="429" t="s">
        <v>381</v>
      </c>
      <c r="E14" s="407"/>
      <c r="F14" s="407"/>
      <c r="G14" s="429"/>
      <c r="H14" s="429"/>
      <c r="I14" s="407"/>
      <c r="J14" s="407"/>
      <c r="K14" s="429"/>
      <c r="L14" s="429"/>
      <c r="M14" s="407">
        <v>4</v>
      </c>
      <c r="N14" s="407">
        <v>1092</v>
      </c>
      <c r="O14" s="430"/>
      <c r="P14" s="431">
        <v>273</v>
      </c>
    </row>
    <row r="15" spans="1:16" ht="14.4" customHeight="1" x14ac:dyDescent="0.3">
      <c r="A15" s="406" t="s">
        <v>362</v>
      </c>
      <c r="B15" s="429" t="s">
        <v>363</v>
      </c>
      <c r="C15" s="429" t="s">
        <v>382</v>
      </c>
      <c r="D15" s="429" t="s">
        <v>383</v>
      </c>
      <c r="E15" s="407">
        <v>41</v>
      </c>
      <c r="F15" s="407">
        <v>22099</v>
      </c>
      <c r="G15" s="429">
        <v>1</v>
      </c>
      <c r="H15" s="429">
        <v>539</v>
      </c>
      <c r="I15" s="407">
        <v>66</v>
      </c>
      <c r="J15" s="407">
        <v>35574</v>
      </c>
      <c r="K15" s="429">
        <v>1.6097560975609757</v>
      </c>
      <c r="L15" s="429">
        <v>539</v>
      </c>
      <c r="M15" s="407">
        <v>97</v>
      </c>
      <c r="N15" s="407">
        <v>53059</v>
      </c>
      <c r="O15" s="430">
        <v>2.4009683696094846</v>
      </c>
      <c r="P15" s="431">
        <v>547</v>
      </c>
    </row>
    <row r="16" spans="1:16" ht="14.4" customHeight="1" x14ac:dyDescent="0.3">
      <c r="A16" s="406" t="s">
        <v>362</v>
      </c>
      <c r="B16" s="429" t="s">
        <v>363</v>
      </c>
      <c r="C16" s="429" t="s">
        <v>384</v>
      </c>
      <c r="D16" s="429" t="s">
        <v>385</v>
      </c>
      <c r="E16" s="407">
        <v>56</v>
      </c>
      <c r="F16" s="407">
        <v>30128</v>
      </c>
      <c r="G16" s="429">
        <v>1</v>
      </c>
      <c r="H16" s="429">
        <v>538</v>
      </c>
      <c r="I16" s="407">
        <v>30</v>
      </c>
      <c r="J16" s="407">
        <v>16140</v>
      </c>
      <c r="K16" s="429">
        <v>0.5357142857142857</v>
      </c>
      <c r="L16" s="429">
        <v>538</v>
      </c>
      <c r="M16" s="407">
        <v>32</v>
      </c>
      <c r="N16" s="407">
        <v>17472</v>
      </c>
      <c r="O16" s="430">
        <v>0.5799256505576208</v>
      </c>
      <c r="P16" s="431">
        <v>546</v>
      </c>
    </row>
    <row r="17" spans="1:16" ht="14.4" customHeight="1" thickBot="1" x14ac:dyDescent="0.35">
      <c r="A17" s="410" t="s">
        <v>362</v>
      </c>
      <c r="B17" s="432" t="s">
        <v>363</v>
      </c>
      <c r="C17" s="432" t="s">
        <v>386</v>
      </c>
      <c r="D17" s="432" t="s">
        <v>387</v>
      </c>
      <c r="E17" s="411"/>
      <c r="F17" s="411"/>
      <c r="G17" s="432"/>
      <c r="H17" s="432"/>
      <c r="I17" s="411">
        <v>4</v>
      </c>
      <c r="J17" s="411">
        <v>1076</v>
      </c>
      <c r="K17" s="432"/>
      <c r="L17" s="432">
        <v>269</v>
      </c>
      <c r="M17" s="411"/>
      <c r="N17" s="411"/>
      <c r="O17" s="433"/>
      <c r="P17" s="434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283" t="s">
        <v>101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ht="14.4" customHeight="1" thickBot="1" x14ac:dyDescent="0.35">
      <c r="A2" s="195" t="s">
        <v>221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102</v>
      </c>
      <c r="B3" s="182">
        <f>SUBTOTAL(9,B6:B1048576)</f>
        <v>753050</v>
      </c>
      <c r="C3" s="183">
        <f t="shared" ref="C3:R3" si="0">SUBTOTAL(9,C6:C1048576)</f>
        <v>16</v>
      </c>
      <c r="D3" s="183">
        <f t="shared" si="0"/>
        <v>703622</v>
      </c>
      <c r="E3" s="183">
        <f t="shared" si="0"/>
        <v>17.489124137928133</v>
      </c>
      <c r="F3" s="183">
        <f t="shared" si="0"/>
        <v>809002</v>
      </c>
      <c r="G3" s="186">
        <f>IF(B3&lt;&gt;0,F3/B3,"")</f>
        <v>1.0743005112542328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IF(H3&lt;&gt;0,L3/H3,"")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0" t="s">
        <v>83</v>
      </c>
      <c r="B4" s="311" t="s">
        <v>77</v>
      </c>
      <c r="C4" s="312"/>
      <c r="D4" s="312"/>
      <c r="E4" s="312"/>
      <c r="F4" s="312"/>
      <c r="G4" s="313"/>
      <c r="H4" s="311" t="s">
        <v>78</v>
      </c>
      <c r="I4" s="312"/>
      <c r="J4" s="312"/>
      <c r="K4" s="312"/>
      <c r="L4" s="312"/>
      <c r="M4" s="313"/>
      <c r="N4" s="311" t="s">
        <v>79</v>
      </c>
      <c r="O4" s="312"/>
      <c r="P4" s="312"/>
      <c r="Q4" s="312"/>
      <c r="R4" s="312"/>
      <c r="S4" s="313"/>
    </row>
    <row r="5" spans="1:19" ht="14.4" customHeight="1" thickBot="1" x14ac:dyDescent="0.35">
      <c r="A5" s="392"/>
      <c r="B5" s="393">
        <v>2013</v>
      </c>
      <c r="C5" s="394"/>
      <c r="D5" s="394">
        <v>2014</v>
      </c>
      <c r="E5" s="394"/>
      <c r="F5" s="394">
        <v>2015</v>
      </c>
      <c r="G5" s="395" t="s">
        <v>2</v>
      </c>
      <c r="H5" s="393">
        <v>2013</v>
      </c>
      <c r="I5" s="394"/>
      <c r="J5" s="394">
        <v>2014</v>
      </c>
      <c r="K5" s="394"/>
      <c r="L5" s="394">
        <v>2015</v>
      </c>
      <c r="M5" s="395" t="s">
        <v>2</v>
      </c>
      <c r="N5" s="393">
        <v>2013</v>
      </c>
      <c r="O5" s="394"/>
      <c r="P5" s="394">
        <v>2014</v>
      </c>
      <c r="Q5" s="394"/>
      <c r="R5" s="394">
        <v>2015</v>
      </c>
      <c r="S5" s="395" t="s">
        <v>2</v>
      </c>
    </row>
    <row r="6" spans="1:19" ht="14.4" customHeight="1" x14ac:dyDescent="0.3">
      <c r="A6" s="414" t="s">
        <v>389</v>
      </c>
      <c r="B6" s="404">
        <v>9808</v>
      </c>
      <c r="C6" s="426">
        <v>1</v>
      </c>
      <c r="D6" s="404">
        <v>5104</v>
      </c>
      <c r="E6" s="426">
        <v>0.52039151712887444</v>
      </c>
      <c r="F6" s="404"/>
      <c r="G6" s="427"/>
      <c r="H6" s="404"/>
      <c r="I6" s="426"/>
      <c r="J6" s="404"/>
      <c r="K6" s="426"/>
      <c r="L6" s="404"/>
      <c r="M6" s="427"/>
      <c r="N6" s="404"/>
      <c r="O6" s="426"/>
      <c r="P6" s="404"/>
      <c r="Q6" s="426"/>
      <c r="R6" s="404"/>
      <c r="S6" s="435"/>
    </row>
    <row r="7" spans="1:19" ht="14.4" customHeight="1" x14ac:dyDescent="0.3">
      <c r="A7" s="415" t="s">
        <v>390</v>
      </c>
      <c r="B7" s="408">
        <v>1276</v>
      </c>
      <c r="C7" s="429">
        <v>1</v>
      </c>
      <c r="D7" s="408">
        <v>1914</v>
      </c>
      <c r="E7" s="429">
        <v>1.5</v>
      </c>
      <c r="F7" s="408"/>
      <c r="G7" s="430"/>
      <c r="H7" s="408"/>
      <c r="I7" s="429"/>
      <c r="J7" s="408"/>
      <c r="K7" s="429"/>
      <c r="L7" s="408"/>
      <c r="M7" s="430"/>
      <c r="N7" s="408"/>
      <c r="O7" s="429"/>
      <c r="P7" s="408"/>
      <c r="Q7" s="429"/>
      <c r="R7" s="408"/>
      <c r="S7" s="436"/>
    </row>
    <row r="8" spans="1:19" ht="14.4" customHeight="1" x14ac:dyDescent="0.3">
      <c r="A8" s="415" t="s">
        <v>391</v>
      </c>
      <c r="B8" s="408">
        <v>5980</v>
      </c>
      <c r="C8" s="429">
        <v>1</v>
      </c>
      <c r="D8" s="408">
        <v>28010</v>
      </c>
      <c r="E8" s="429">
        <v>4.683946488294314</v>
      </c>
      <c r="F8" s="408">
        <v>30723</v>
      </c>
      <c r="G8" s="430">
        <v>5.1376254180602006</v>
      </c>
      <c r="H8" s="408"/>
      <c r="I8" s="429"/>
      <c r="J8" s="408"/>
      <c r="K8" s="429"/>
      <c r="L8" s="408"/>
      <c r="M8" s="430"/>
      <c r="N8" s="408"/>
      <c r="O8" s="429"/>
      <c r="P8" s="408"/>
      <c r="Q8" s="429"/>
      <c r="R8" s="408"/>
      <c r="S8" s="436"/>
    </row>
    <row r="9" spans="1:19" ht="14.4" customHeight="1" x14ac:dyDescent="0.3">
      <c r="A9" s="415" t="s">
        <v>392</v>
      </c>
      <c r="B9" s="408">
        <v>14036</v>
      </c>
      <c r="C9" s="429">
        <v>1</v>
      </c>
      <c r="D9" s="408">
        <v>5104</v>
      </c>
      <c r="E9" s="429">
        <v>0.36363636363636365</v>
      </c>
      <c r="F9" s="408">
        <v>11628</v>
      </c>
      <c r="G9" s="430">
        <v>0.82844115132516383</v>
      </c>
      <c r="H9" s="408"/>
      <c r="I9" s="429"/>
      <c r="J9" s="408"/>
      <c r="K9" s="429"/>
      <c r="L9" s="408"/>
      <c r="M9" s="430"/>
      <c r="N9" s="408"/>
      <c r="O9" s="429"/>
      <c r="P9" s="408"/>
      <c r="Q9" s="429"/>
      <c r="R9" s="408"/>
      <c r="S9" s="436"/>
    </row>
    <row r="10" spans="1:19" ht="14.4" customHeight="1" x14ac:dyDescent="0.3">
      <c r="A10" s="415" t="s">
        <v>393</v>
      </c>
      <c r="B10" s="408"/>
      <c r="C10" s="429"/>
      <c r="D10" s="408">
        <v>7018</v>
      </c>
      <c r="E10" s="429"/>
      <c r="F10" s="408">
        <v>3876</v>
      </c>
      <c r="G10" s="430"/>
      <c r="H10" s="408"/>
      <c r="I10" s="429"/>
      <c r="J10" s="408"/>
      <c r="K10" s="429"/>
      <c r="L10" s="408"/>
      <c r="M10" s="430"/>
      <c r="N10" s="408"/>
      <c r="O10" s="429"/>
      <c r="P10" s="408"/>
      <c r="Q10" s="429"/>
      <c r="R10" s="408"/>
      <c r="S10" s="436"/>
    </row>
    <row r="11" spans="1:19" ht="14.4" customHeight="1" x14ac:dyDescent="0.3">
      <c r="A11" s="415" t="s">
        <v>394</v>
      </c>
      <c r="B11" s="408">
        <v>79112</v>
      </c>
      <c r="C11" s="429">
        <v>1</v>
      </c>
      <c r="D11" s="408">
        <v>91234</v>
      </c>
      <c r="E11" s="429">
        <v>1.153225806451613</v>
      </c>
      <c r="F11" s="408">
        <v>103360</v>
      </c>
      <c r="G11" s="430">
        <v>1.3065021741328748</v>
      </c>
      <c r="H11" s="408"/>
      <c r="I11" s="429"/>
      <c r="J11" s="408"/>
      <c r="K11" s="429"/>
      <c r="L11" s="408"/>
      <c r="M11" s="430"/>
      <c r="N11" s="408"/>
      <c r="O11" s="429"/>
      <c r="P11" s="408"/>
      <c r="Q11" s="429"/>
      <c r="R11" s="408"/>
      <c r="S11" s="436"/>
    </row>
    <row r="12" spans="1:19" ht="14.4" customHeight="1" x14ac:dyDescent="0.3">
      <c r="A12" s="415" t="s">
        <v>395</v>
      </c>
      <c r="B12" s="408"/>
      <c r="C12" s="429"/>
      <c r="D12" s="408">
        <v>2552</v>
      </c>
      <c r="E12" s="429"/>
      <c r="F12" s="408"/>
      <c r="G12" s="430"/>
      <c r="H12" s="408"/>
      <c r="I12" s="429"/>
      <c r="J12" s="408"/>
      <c r="K12" s="429"/>
      <c r="L12" s="408"/>
      <c r="M12" s="430"/>
      <c r="N12" s="408"/>
      <c r="O12" s="429"/>
      <c r="P12" s="408"/>
      <c r="Q12" s="429"/>
      <c r="R12" s="408"/>
      <c r="S12" s="436"/>
    </row>
    <row r="13" spans="1:19" ht="14.4" customHeight="1" x14ac:dyDescent="0.3">
      <c r="A13" s="415" t="s">
        <v>396</v>
      </c>
      <c r="B13" s="408">
        <v>126214</v>
      </c>
      <c r="C13" s="429">
        <v>1</v>
      </c>
      <c r="D13" s="408">
        <v>102344</v>
      </c>
      <c r="E13" s="429">
        <v>0.81087676485968274</v>
      </c>
      <c r="F13" s="408">
        <v>103771</v>
      </c>
      <c r="G13" s="430">
        <v>0.82218295910120909</v>
      </c>
      <c r="H13" s="408"/>
      <c r="I13" s="429"/>
      <c r="J13" s="408"/>
      <c r="K13" s="429"/>
      <c r="L13" s="408"/>
      <c r="M13" s="430"/>
      <c r="N13" s="408"/>
      <c r="O13" s="429"/>
      <c r="P13" s="408"/>
      <c r="Q13" s="429"/>
      <c r="R13" s="408"/>
      <c r="S13" s="436"/>
    </row>
    <row r="14" spans="1:19" ht="14.4" customHeight="1" x14ac:dyDescent="0.3">
      <c r="A14" s="415" t="s">
        <v>397</v>
      </c>
      <c r="B14" s="408"/>
      <c r="C14" s="429"/>
      <c r="D14" s="408"/>
      <c r="E14" s="429"/>
      <c r="F14" s="408">
        <v>11628</v>
      </c>
      <c r="G14" s="430"/>
      <c r="H14" s="408"/>
      <c r="I14" s="429"/>
      <c r="J14" s="408"/>
      <c r="K14" s="429"/>
      <c r="L14" s="408"/>
      <c r="M14" s="430"/>
      <c r="N14" s="408"/>
      <c r="O14" s="429"/>
      <c r="P14" s="408"/>
      <c r="Q14" s="429"/>
      <c r="R14" s="408"/>
      <c r="S14" s="436"/>
    </row>
    <row r="15" spans="1:19" ht="14.4" customHeight="1" x14ac:dyDescent="0.3">
      <c r="A15" s="415" t="s">
        <v>398</v>
      </c>
      <c r="B15" s="408"/>
      <c r="C15" s="429"/>
      <c r="D15" s="408"/>
      <c r="E15" s="429"/>
      <c r="F15" s="408">
        <v>3876</v>
      </c>
      <c r="G15" s="430"/>
      <c r="H15" s="408"/>
      <c r="I15" s="429"/>
      <c r="J15" s="408"/>
      <c r="K15" s="429"/>
      <c r="L15" s="408"/>
      <c r="M15" s="430"/>
      <c r="N15" s="408"/>
      <c r="O15" s="429"/>
      <c r="P15" s="408"/>
      <c r="Q15" s="429"/>
      <c r="R15" s="408"/>
      <c r="S15" s="436"/>
    </row>
    <row r="16" spans="1:19" ht="14.4" customHeight="1" x14ac:dyDescent="0.3">
      <c r="A16" s="415" t="s">
        <v>399</v>
      </c>
      <c r="B16" s="408">
        <v>4466</v>
      </c>
      <c r="C16" s="429">
        <v>1</v>
      </c>
      <c r="D16" s="408"/>
      <c r="E16" s="429"/>
      <c r="F16" s="408">
        <v>3876</v>
      </c>
      <c r="G16" s="430">
        <v>0.86789072995969552</v>
      </c>
      <c r="H16" s="408"/>
      <c r="I16" s="429"/>
      <c r="J16" s="408"/>
      <c r="K16" s="429"/>
      <c r="L16" s="408"/>
      <c r="M16" s="430"/>
      <c r="N16" s="408"/>
      <c r="O16" s="429"/>
      <c r="P16" s="408"/>
      <c r="Q16" s="429"/>
      <c r="R16" s="408"/>
      <c r="S16" s="436"/>
    </row>
    <row r="17" spans="1:19" ht="14.4" customHeight="1" x14ac:dyDescent="0.3">
      <c r="A17" s="415" t="s">
        <v>400</v>
      </c>
      <c r="B17" s="408">
        <v>236493</v>
      </c>
      <c r="C17" s="429">
        <v>1</v>
      </c>
      <c r="D17" s="408">
        <v>162247</v>
      </c>
      <c r="E17" s="429">
        <v>0.68605413268045989</v>
      </c>
      <c r="F17" s="408">
        <v>135706</v>
      </c>
      <c r="G17" s="430">
        <v>0.5738267094586309</v>
      </c>
      <c r="H17" s="408"/>
      <c r="I17" s="429"/>
      <c r="J17" s="408"/>
      <c r="K17" s="429"/>
      <c r="L17" s="408"/>
      <c r="M17" s="430"/>
      <c r="N17" s="408"/>
      <c r="O17" s="429"/>
      <c r="P17" s="408"/>
      <c r="Q17" s="429"/>
      <c r="R17" s="408"/>
      <c r="S17" s="436"/>
    </row>
    <row r="18" spans="1:19" ht="14.4" customHeight="1" x14ac:dyDescent="0.3">
      <c r="A18" s="415" t="s">
        <v>401</v>
      </c>
      <c r="B18" s="408">
        <v>118084</v>
      </c>
      <c r="C18" s="429">
        <v>1</v>
      </c>
      <c r="D18" s="408">
        <v>133934</v>
      </c>
      <c r="E18" s="429">
        <v>1.1342264828427222</v>
      </c>
      <c r="F18" s="408">
        <v>134578</v>
      </c>
      <c r="G18" s="430">
        <v>1.1396802276345652</v>
      </c>
      <c r="H18" s="408"/>
      <c r="I18" s="429"/>
      <c r="J18" s="408"/>
      <c r="K18" s="429"/>
      <c r="L18" s="408"/>
      <c r="M18" s="430"/>
      <c r="N18" s="408"/>
      <c r="O18" s="429"/>
      <c r="P18" s="408"/>
      <c r="Q18" s="429"/>
      <c r="R18" s="408"/>
      <c r="S18" s="436"/>
    </row>
    <row r="19" spans="1:19" ht="14.4" customHeight="1" x14ac:dyDescent="0.3">
      <c r="A19" s="415" t="s">
        <v>402</v>
      </c>
      <c r="B19" s="408">
        <v>6456</v>
      </c>
      <c r="C19" s="429">
        <v>1</v>
      </c>
      <c r="D19" s="408"/>
      <c r="E19" s="429"/>
      <c r="F19" s="408">
        <v>14719</v>
      </c>
      <c r="G19" s="430">
        <v>2.2798946716232962</v>
      </c>
      <c r="H19" s="408"/>
      <c r="I19" s="429"/>
      <c r="J19" s="408"/>
      <c r="K19" s="429"/>
      <c r="L19" s="408"/>
      <c r="M19" s="430"/>
      <c r="N19" s="408"/>
      <c r="O19" s="429"/>
      <c r="P19" s="408"/>
      <c r="Q19" s="429"/>
      <c r="R19" s="408"/>
      <c r="S19" s="436"/>
    </row>
    <row r="20" spans="1:19" ht="14.4" customHeight="1" x14ac:dyDescent="0.3">
      <c r="A20" s="415" t="s">
        <v>403</v>
      </c>
      <c r="B20" s="408"/>
      <c r="C20" s="429"/>
      <c r="D20" s="408"/>
      <c r="E20" s="429"/>
      <c r="F20" s="408">
        <v>6460</v>
      </c>
      <c r="G20" s="430"/>
      <c r="H20" s="408"/>
      <c r="I20" s="429"/>
      <c r="J20" s="408"/>
      <c r="K20" s="429"/>
      <c r="L20" s="408"/>
      <c r="M20" s="430"/>
      <c r="N20" s="408"/>
      <c r="O20" s="429"/>
      <c r="P20" s="408"/>
      <c r="Q20" s="429"/>
      <c r="R20" s="408"/>
      <c r="S20" s="436"/>
    </row>
    <row r="21" spans="1:19" ht="14.4" customHeight="1" x14ac:dyDescent="0.3">
      <c r="A21" s="415" t="s">
        <v>404</v>
      </c>
      <c r="B21" s="408">
        <v>26477</v>
      </c>
      <c r="C21" s="429">
        <v>1</v>
      </c>
      <c r="D21" s="408">
        <v>52454</v>
      </c>
      <c r="E21" s="429">
        <v>1.98111568531178</v>
      </c>
      <c r="F21" s="408">
        <v>49417</v>
      </c>
      <c r="G21" s="430">
        <v>1.8664123578955321</v>
      </c>
      <c r="H21" s="408"/>
      <c r="I21" s="429"/>
      <c r="J21" s="408"/>
      <c r="K21" s="429"/>
      <c r="L21" s="408"/>
      <c r="M21" s="430"/>
      <c r="N21" s="408"/>
      <c r="O21" s="429"/>
      <c r="P21" s="408"/>
      <c r="Q21" s="429"/>
      <c r="R21" s="408"/>
      <c r="S21" s="436"/>
    </row>
    <row r="22" spans="1:19" ht="14.4" customHeight="1" x14ac:dyDescent="0.3">
      <c r="A22" s="415" t="s">
        <v>405</v>
      </c>
      <c r="B22" s="408"/>
      <c r="C22" s="429"/>
      <c r="D22" s="408">
        <v>2552</v>
      </c>
      <c r="E22" s="429"/>
      <c r="F22" s="408">
        <v>7752</v>
      </c>
      <c r="G22" s="430"/>
      <c r="H22" s="408"/>
      <c r="I22" s="429"/>
      <c r="J22" s="408"/>
      <c r="K22" s="429"/>
      <c r="L22" s="408"/>
      <c r="M22" s="430"/>
      <c r="N22" s="408"/>
      <c r="O22" s="429"/>
      <c r="P22" s="408"/>
      <c r="Q22" s="429"/>
      <c r="R22" s="408"/>
      <c r="S22" s="436"/>
    </row>
    <row r="23" spans="1:19" ht="14.4" customHeight="1" x14ac:dyDescent="0.3">
      <c r="A23" s="415" t="s">
        <v>406</v>
      </c>
      <c r="B23" s="408"/>
      <c r="C23" s="429"/>
      <c r="D23" s="408">
        <v>5580</v>
      </c>
      <c r="E23" s="429"/>
      <c r="F23" s="408">
        <v>28716</v>
      </c>
      <c r="G23" s="430"/>
      <c r="H23" s="408"/>
      <c r="I23" s="429"/>
      <c r="J23" s="408"/>
      <c r="K23" s="429"/>
      <c r="L23" s="408"/>
      <c r="M23" s="430"/>
      <c r="N23" s="408"/>
      <c r="O23" s="429"/>
      <c r="P23" s="408"/>
      <c r="Q23" s="429"/>
      <c r="R23" s="408"/>
      <c r="S23" s="436"/>
    </row>
    <row r="24" spans="1:19" ht="14.4" customHeight="1" x14ac:dyDescent="0.3">
      <c r="A24" s="415" t="s">
        <v>407</v>
      </c>
      <c r="B24" s="408">
        <v>4704</v>
      </c>
      <c r="C24" s="429">
        <v>1</v>
      </c>
      <c r="D24" s="408">
        <v>1814</v>
      </c>
      <c r="E24" s="429">
        <v>0.3856292517006803</v>
      </c>
      <c r="F24" s="408">
        <v>7752</v>
      </c>
      <c r="G24" s="430">
        <v>1.6479591836734695</v>
      </c>
      <c r="H24" s="408"/>
      <c r="I24" s="429"/>
      <c r="J24" s="408"/>
      <c r="K24" s="429"/>
      <c r="L24" s="408"/>
      <c r="M24" s="430"/>
      <c r="N24" s="408"/>
      <c r="O24" s="429"/>
      <c r="P24" s="408"/>
      <c r="Q24" s="429"/>
      <c r="R24" s="408"/>
      <c r="S24" s="436"/>
    </row>
    <row r="25" spans="1:19" ht="14.4" customHeight="1" x14ac:dyDescent="0.3">
      <c r="A25" s="415" t="s">
        <v>408</v>
      </c>
      <c r="B25" s="408">
        <v>7656</v>
      </c>
      <c r="C25" s="429">
        <v>1</v>
      </c>
      <c r="D25" s="408">
        <v>14036</v>
      </c>
      <c r="E25" s="429">
        <v>1.8333333333333333</v>
      </c>
      <c r="F25" s="408">
        <v>40052</v>
      </c>
      <c r="G25" s="430">
        <v>5.2314524555903867</v>
      </c>
      <c r="H25" s="408"/>
      <c r="I25" s="429"/>
      <c r="J25" s="408"/>
      <c r="K25" s="429"/>
      <c r="L25" s="408"/>
      <c r="M25" s="430"/>
      <c r="N25" s="408"/>
      <c r="O25" s="429"/>
      <c r="P25" s="408"/>
      <c r="Q25" s="429"/>
      <c r="R25" s="408"/>
      <c r="S25" s="436"/>
    </row>
    <row r="26" spans="1:19" ht="14.4" customHeight="1" x14ac:dyDescent="0.3">
      <c r="A26" s="415" t="s">
        <v>409</v>
      </c>
      <c r="B26" s="408">
        <v>98252</v>
      </c>
      <c r="C26" s="429">
        <v>1</v>
      </c>
      <c r="D26" s="408">
        <v>76241</v>
      </c>
      <c r="E26" s="429">
        <v>0.77597402597402598</v>
      </c>
      <c r="F26" s="408">
        <v>108528</v>
      </c>
      <c r="G26" s="430">
        <v>1.1045882017668851</v>
      </c>
      <c r="H26" s="408"/>
      <c r="I26" s="429"/>
      <c r="J26" s="408"/>
      <c r="K26" s="429"/>
      <c r="L26" s="408"/>
      <c r="M26" s="430"/>
      <c r="N26" s="408"/>
      <c r="O26" s="429"/>
      <c r="P26" s="408"/>
      <c r="Q26" s="429"/>
      <c r="R26" s="408"/>
      <c r="S26" s="436"/>
    </row>
    <row r="27" spans="1:19" ht="14.4" customHeight="1" x14ac:dyDescent="0.3">
      <c r="A27" s="415" t="s">
        <v>410</v>
      </c>
      <c r="B27" s="408">
        <v>5104</v>
      </c>
      <c r="C27" s="429">
        <v>1</v>
      </c>
      <c r="D27" s="408">
        <v>4466</v>
      </c>
      <c r="E27" s="429">
        <v>0.875</v>
      </c>
      <c r="F27" s="408"/>
      <c r="G27" s="430"/>
      <c r="H27" s="408"/>
      <c r="I27" s="429"/>
      <c r="J27" s="408"/>
      <c r="K27" s="429"/>
      <c r="L27" s="408"/>
      <c r="M27" s="430"/>
      <c r="N27" s="408"/>
      <c r="O27" s="429"/>
      <c r="P27" s="408"/>
      <c r="Q27" s="429"/>
      <c r="R27" s="408"/>
      <c r="S27" s="436"/>
    </row>
    <row r="28" spans="1:19" ht="14.4" customHeight="1" thickBot="1" x14ac:dyDescent="0.35">
      <c r="A28" s="416" t="s">
        <v>411</v>
      </c>
      <c r="B28" s="412">
        <v>8932</v>
      </c>
      <c r="C28" s="432">
        <v>1</v>
      </c>
      <c r="D28" s="412">
        <v>7018</v>
      </c>
      <c r="E28" s="432">
        <v>0.7857142857142857</v>
      </c>
      <c r="F28" s="412">
        <v>2584</v>
      </c>
      <c r="G28" s="433">
        <v>0.28929690998656515</v>
      </c>
      <c r="H28" s="412"/>
      <c r="I28" s="432"/>
      <c r="J28" s="412"/>
      <c r="K28" s="432"/>
      <c r="L28" s="412"/>
      <c r="M28" s="433"/>
      <c r="N28" s="412"/>
      <c r="O28" s="432"/>
      <c r="P28" s="412"/>
      <c r="Q28" s="432"/>
      <c r="R28" s="412"/>
      <c r="S28" s="43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7" customWidth="1"/>
    <col min="8" max="9" width="9.33203125" style="177" hidden="1" customWidth="1"/>
    <col min="10" max="11" width="11.109375" style="177" customWidth="1"/>
    <col min="12" max="13" width="9.33203125" style="177" hidden="1" customWidth="1"/>
    <col min="14" max="15" width="11.109375" style="177" customWidth="1"/>
    <col min="16" max="16" width="11.109375" style="180" customWidth="1"/>
    <col min="17" max="17" width="11.109375" style="177" customWidth="1"/>
    <col min="18" max="16384" width="8.88671875" style="102"/>
  </cols>
  <sheetData>
    <row r="1" spans="1:17" ht="18.600000000000001" customHeight="1" thickBot="1" x14ac:dyDescent="0.4">
      <c r="A1" s="274" t="s">
        <v>437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ht="14.4" customHeight="1" thickBot="1" x14ac:dyDescent="0.35">
      <c r="A2" s="195" t="s">
        <v>221</v>
      </c>
      <c r="B2" s="103"/>
      <c r="C2" s="103"/>
      <c r="D2" s="103"/>
      <c r="E2" s="103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102</v>
      </c>
      <c r="F3" s="74">
        <f t="shared" ref="F3:O3" si="0">SUBTOTAL(9,F6:F1048576)</f>
        <v>2159</v>
      </c>
      <c r="G3" s="75">
        <f t="shared" si="0"/>
        <v>753050</v>
      </c>
      <c r="H3" s="75"/>
      <c r="I3" s="75"/>
      <c r="J3" s="75">
        <f t="shared" si="0"/>
        <v>2017</v>
      </c>
      <c r="K3" s="75">
        <f t="shared" si="0"/>
        <v>703622</v>
      </c>
      <c r="L3" s="75"/>
      <c r="M3" s="75"/>
      <c r="N3" s="75">
        <f t="shared" si="0"/>
        <v>2289</v>
      </c>
      <c r="O3" s="75">
        <f t="shared" si="0"/>
        <v>809002</v>
      </c>
      <c r="P3" s="58">
        <f>IF(G3=0,0,O3/G3)</f>
        <v>1.0743005112542328</v>
      </c>
      <c r="Q3" s="76">
        <f>IF(N3=0,0,O3/N3)</f>
        <v>353.43031891655744</v>
      </c>
    </row>
    <row r="4" spans="1:17" ht="14.4" customHeight="1" x14ac:dyDescent="0.3">
      <c r="A4" s="319" t="s">
        <v>46</v>
      </c>
      <c r="B4" s="318" t="s">
        <v>72</v>
      </c>
      <c r="C4" s="319" t="s">
        <v>73</v>
      </c>
      <c r="D4" s="327" t="s">
        <v>74</v>
      </c>
      <c r="E4" s="320" t="s">
        <v>47</v>
      </c>
      <c r="F4" s="325">
        <v>2013</v>
      </c>
      <c r="G4" s="326"/>
      <c r="H4" s="77"/>
      <c r="I4" s="77"/>
      <c r="J4" s="325">
        <v>2014</v>
      </c>
      <c r="K4" s="326"/>
      <c r="L4" s="77"/>
      <c r="M4" s="77"/>
      <c r="N4" s="325">
        <v>2015</v>
      </c>
      <c r="O4" s="326"/>
      <c r="P4" s="328" t="s">
        <v>2</v>
      </c>
      <c r="Q4" s="317" t="s">
        <v>75</v>
      </c>
    </row>
    <row r="5" spans="1:17" ht="14.4" customHeight="1" thickBot="1" x14ac:dyDescent="0.35">
      <c r="A5" s="418"/>
      <c r="B5" s="417"/>
      <c r="C5" s="418"/>
      <c r="D5" s="438"/>
      <c r="E5" s="420"/>
      <c r="F5" s="439" t="s">
        <v>49</v>
      </c>
      <c r="G5" s="440" t="s">
        <v>5</v>
      </c>
      <c r="H5" s="441"/>
      <c r="I5" s="441"/>
      <c r="J5" s="439" t="s">
        <v>49</v>
      </c>
      <c r="K5" s="440" t="s">
        <v>5</v>
      </c>
      <c r="L5" s="441"/>
      <c r="M5" s="441"/>
      <c r="N5" s="439" t="s">
        <v>49</v>
      </c>
      <c r="O5" s="440" t="s">
        <v>5</v>
      </c>
      <c r="P5" s="442"/>
      <c r="Q5" s="425"/>
    </row>
    <row r="6" spans="1:17" ht="14.4" customHeight="1" x14ac:dyDescent="0.3">
      <c r="A6" s="402" t="s">
        <v>412</v>
      </c>
      <c r="B6" s="426" t="s">
        <v>362</v>
      </c>
      <c r="C6" s="426" t="s">
        <v>363</v>
      </c>
      <c r="D6" s="426" t="s">
        <v>366</v>
      </c>
      <c r="E6" s="426" t="s">
        <v>367</v>
      </c>
      <c r="F6" s="403">
        <v>24</v>
      </c>
      <c r="G6" s="403">
        <v>7656</v>
      </c>
      <c r="H6" s="403">
        <v>1</v>
      </c>
      <c r="I6" s="403">
        <v>319</v>
      </c>
      <c r="J6" s="403">
        <v>16</v>
      </c>
      <c r="K6" s="403">
        <v>5104</v>
      </c>
      <c r="L6" s="403">
        <v>0.66666666666666663</v>
      </c>
      <c r="M6" s="403">
        <v>319</v>
      </c>
      <c r="N6" s="403"/>
      <c r="O6" s="403"/>
      <c r="P6" s="427"/>
      <c r="Q6" s="428"/>
    </row>
    <row r="7" spans="1:17" ht="14.4" customHeight="1" x14ac:dyDescent="0.3">
      <c r="A7" s="406" t="s">
        <v>412</v>
      </c>
      <c r="B7" s="429" t="s">
        <v>362</v>
      </c>
      <c r="C7" s="429" t="s">
        <v>363</v>
      </c>
      <c r="D7" s="429" t="s">
        <v>376</v>
      </c>
      <c r="E7" s="429" t="s">
        <v>377</v>
      </c>
      <c r="F7" s="407">
        <v>4</v>
      </c>
      <c r="G7" s="407">
        <v>2152</v>
      </c>
      <c r="H7" s="407">
        <v>1</v>
      </c>
      <c r="I7" s="407">
        <v>538</v>
      </c>
      <c r="J7" s="407"/>
      <c r="K7" s="407"/>
      <c r="L7" s="407"/>
      <c r="M7" s="407"/>
      <c r="N7" s="407"/>
      <c r="O7" s="407"/>
      <c r="P7" s="430"/>
      <c r="Q7" s="431"/>
    </row>
    <row r="8" spans="1:17" ht="14.4" customHeight="1" x14ac:dyDescent="0.3">
      <c r="A8" s="406" t="s">
        <v>413</v>
      </c>
      <c r="B8" s="429" t="s">
        <v>362</v>
      </c>
      <c r="C8" s="429" t="s">
        <v>363</v>
      </c>
      <c r="D8" s="429" t="s">
        <v>366</v>
      </c>
      <c r="E8" s="429" t="s">
        <v>367</v>
      </c>
      <c r="F8" s="407">
        <v>4</v>
      </c>
      <c r="G8" s="407">
        <v>1276</v>
      </c>
      <c r="H8" s="407">
        <v>1</v>
      </c>
      <c r="I8" s="407">
        <v>319</v>
      </c>
      <c r="J8" s="407">
        <v>6</v>
      </c>
      <c r="K8" s="407">
        <v>1914</v>
      </c>
      <c r="L8" s="407">
        <v>1.5</v>
      </c>
      <c r="M8" s="407">
        <v>319</v>
      </c>
      <c r="N8" s="407"/>
      <c r="O8" s="407"/>
      <c r="P8" s="430"/>
      <c r="Q8" s="431"/>
    </row>
    <row r="9" spans="1:17" ht="14.4" customHeight="1" x14ac:dyDescent="0.3">
      <c r="A9" s="406" t="s">
        <v>414</v>
      </c>
      <c r="B9" s="429" t="s">
        <v>362</v>
      </c>
      <c r="C9" s="429" t="s">
        <v>363</v>
      </c>
      <c r="D9" s="429" t="s">
        <v>366</v>
      </c>
      <c r="E9" s="429" t="s">
        <v>367</v>
      </c>
      <c r="F9" s="407">
        <v>12</v>
      </c>
      <c r="G9" s="407">
        <v>3828</v>
      </c>
      <c r="H9" s="407">
        <v>1</v>
      </c>
      <c r="I9" s="407">
        <v>319</v>
      </c>
      <c r="J9" s="407">
        <v>76</v>
      </c>
      <c r="K9" s="407">
        <v>24244</v>
      </c>
      <c r="L9" s="407">
        <v>6.333333333333333</v>
      </c>
      <c r="M9" s="407">
        <v>319</v>
      </c>
      <c r="N9" s="407">
        <v>59</v>
      </c>
      <c r="O9" s="407">
        <v>19057</v>
      </c>
      <c r="P9" s="430">
        <v>4.9783176593521423</v>
      </c>
      <c r="Q9" s="431">
        <v>323</v>
      </c>
    </row>
    <row r="10" spans="1:17" ht="14.4" customHeight="1" x14ac:dyDescent="0.3">
      <c r="A10" s="406" t="s">
        <v>414</v>
      </c>
      <c r="B10" s="429" t="s">
        <v>362</v>
      </c>
      <c r="C10" s="429" t="s">
        <v>363</v>
      </c>
      <c r="D10" s="429" t="s">
        <v>368</v>
      </c>
      <c r="E10" s="429" t="s">
        <v>369</v>
      </c>
      <c r="F10" s="407"/>
      <c r="G10" s="407"/>
      <c r="H10" s="407"/>
      <c r="I10" s="407"/>
      <c r="J10" s="407"/>
      <c r="K10" s="407"/>
      <c r="L10" s="407"/>
      <c r="M10" s="407"/>
      <c r="N10" s="407">
        <v>4</v>
      </c>
      <c r="O10" s="407">
        <v>1292</v>
      </c>
      <c r="P10" s="430"/>
      <c r="Q10" s="431">
        <v>323</v>
      </c>
    </row>
    <row r="11" spans="1:17" ht="14.4" customHeight="1" x14ac:dyDescent="0.3">
      <c r="A11" s="406" t="s">
        <v>414</v>
      </c>
      <c r="B11" s="429" t="s">
        <v>362</v>
      </c>
      <c r="C11" s="429" t="s">
        <v>363</v>
      </c>
      <c r="D11" s="429" t="s">
        <v>376</v>
      </c>
      <c r="E11" s="429" t="s">
        <v>377</v>
      </c>
      <c r="F11" s="407">
        <v>4</v>
      </c>
      <c r="G11" s="407">
        <v>2152</v>
      </c>
      <c r="H11" s="407">
        <v>1</v>
      </c>
      <c r="I11" s="407">
        <v>538</v>
      </c>
      <c r="J11" s="407">
        <v>7</v>
      </c>
      <c r="K11" s="407">
        <v>3766</v>
      </c>
      <c r="L11" s="407">
        <v>1.75</v>
      </c>
      <c r="M11" s="407">
        <v>538</v>
      </c>
      <c r="N11" s="407">
        <v>19</v>
      </c>
      <c r="O11" s="407">
        <v>10374</v>
      </c>
      <c r="P11" s="430">
        <v>4.8206319702602229</v>
      </c>
      <c r="Q11" s="431">
        <v>546</v>
      </c>
    </row>
    <row r="12" spans="1:17" ht="14.4" customHeight="1" x14ac:dyDescent="0.3">
      <c r="A12" s="406" t="s">
        <v>415</v>
      </c>
      <c r="B12" s="429" t="s">
        <v>362</v>
      </c>
      <c r="C12" s="429" t="s">
        <v>363</v>
      </c>
      <c r="D12" s="429" t="s">
        <v>366</v>
      </c>
      <c r="E12" s="429" t="s">
        <v>367</v>
      </c>
      <c r="F12" s="407">
        <v>44</v>
      </c>
      <c r="G12" s="407">
        <v>14036</v>
      </c>
      <c r="H12" s="407">
        <v>1</v>
      </c>
      <c r="I12" s="407">
        <v>319</v>
      </c>
      <c r="J12" s="407">
        <v>16</v>
      </c>
      <c r="K12" s="407">
        <v>5104</v>
      </c>
      <c r="L12" s="407">
        <v>0.36363636363636365</v>
      </c>
      <c r="M12" s="407">
        <v>319</v>
      </c>
      <c r="N12" s="407">
        <v>36</v>
      </c>
      <c r="O12" s="407">
        <v>11628</v>
      </c>
      <c r="P12" s="430">
        <v>0.82844115132516383</v>
      </c>
      <c r="Q12" s="431">
        <v>323</v>
      </c>
    </row>
    <row r="13" spans="1:17" ht="14.4" customHeight="1" x14ac:dyDescent="0.3">
      <c r="A13" s="406" t="s">
        <v>416</v>
      </c>
      <c r="B13" s="429" t="s">
        <v>362</v>
      </c>
      <c r="C13" s="429" t="s">
        <v>363</v>
      </c>
      <c r="D13" s="429" t="s">
        <v>366</v>
      </c>
      <c r="E13" s="429" t="s">
        <v>367</v>
      </c>
      <c r="F13" s="407"/>
      <c r="G13" s="407"/>
      <c r="H13" s="407"/>
      <c r="I13" s="407"/>
      <c r="J13" s="407">
        <v>22</v>
      </c>
      <c r="K13" s="407">
        <v>7018</v>
      </c>
      <c r="L13" s="407"/>
      <c r="M13" s="407">
        <v>319</v>
      </c>
      <c r="N13" s="407">
        <v>12</v>
      </c>
      <c r="O13" s="407">
        <v>3876</v>
      </c>
      <c r="P13" s="430"/>
      <c r="Q13" s="431">
        <v>323</v>
      </c>
    </row>
    <row r="14" spans="1:17" ht="14.4" customHeight="1" x14ac:dyDescent="0.3">
      <c r="A14" s="406" t="s">
        <v>417</v>
      </c>
      <c r="B14" s="429" t="s">
        <v>362</v>
      </c>
      <c r="C14" s="429" t="s">
        <v>363</v>
      </c>
      <c r="D14" s="429" t="s">
        <v>366</v>
      </c>
      <c r="E14" s="429" t="s">
        <v>367</v>
      </c>
      <c r="F14" s="407">
        <v>140</v>
      </c>
      <c r="G14" s="407">
        <v>44660</v>
      </c>
      <c r="H14" s="407">
        <v>1</v>
      </c>
      <c r="I14" s="407">
        <v>319</v>
      </c>
      <c r="J14" s="407">
        <v>94</v>
      </c>
      <c r="K14" s="407">
        <v>29986</v>
      </c>
      <c r="L14" s="407">
        <v>0.67142857142857137</v>
      </c>
      <c r="M14" s="407">
        <v>319</v>
      </c>
      <c r="N14" s="407">
        <v>148</v>
      </c>
      <c r="O14" s="407">
        <v>47804</v>
      </c>
      <c r="P14" s="430">
        <v>1.0703985669502911</v>
      </c>
      <c r="Q14" s="431">
        <v>323</v>
      </c>
    </row>
    <row r="15" spans="1:17" ht="14.4" customHeight="1" x14ac:dyDescent="0.3">
      <c r="A15" s="406" t="s">
        <v>417</v>
      </c>
      <c r="B15" s="429" t="s">
        <v>362</v>
      </c>
      <c r="C15" s="429" t="s">
        <v>363</v>
      </c>
      <c r="D15" s="429" t="s">
        <v>370</v>
      </c>
      <c r="E15" s="429" t="s">
        <v>371</v>
      </c>
      <c r="F15" s="407">
        <v>108</v>
      </c>
      <c r="G15" s="407">
        <v>34452</v>
      </c>
      <c r="H15" s="407">
        <v>1</v>
      </c>
      <c r="I15" s="407">
        <v>319</v>
      </c>
      <c r="J15" s="407">
        <v>192</v>
      </c>
      <c r="K15" s="407">
        <v>61248</v>
      </c>
      <c r="L15" s="407">
        <v>1.7777777777777777</v>
      </c>
      <c r="M15" s="407">
        <v>319</v>
      </c>
      <c r="N15" s="407">
        <v>172</v>
      </c>
      <c r="O15" s="407">
        <v>55556</v>
      </c>
      <c r="P15" s="430">
        <v>1.6125624056658538</v>
      </c>
      <c r="Q15" s="431">
        <v>323</v>
      </c>
    </row>
    <row r="16" spans="1:17" ht="14.4" customHeight="1" x14ac:dyDescent="0.3">
      <c r="A16" s="406" t="s">
        <v>418</v>
      </c>
      <c r="B16" s="429" t="s">
        <v>362</v>
      </c>
      <c r="C16" s="429" t="s">
        <v>363</v>
      </c>
      <c r="D16" s="429" t="s">
        <v>370</v>
      </c>
      <c r="E16" s="429" t="s">
        <v>371</v>
      </c>
      <c r="F16" s="407"/>
      <c r="G16" s="407"/>
      <c r="H16" s="407"/>
      <c r="I16" s="407"/>
      <c r="J16" s="407">
        <v>8</v>
      </c>
      <c r="K16" s="407">
        <v>2552</v>
      </c>
      <c r="L16" s="407"/>
      <c r="M16" s="407">
        <v>319</v>
      </c>
      <c r="N16" s="407"/>
      <c r="O16" s="407"/>
      <c r="P16" s="430"/>
      <c r="Q16" s="431"/>
    </row>
    <row r="17" spans="1:17" ht="14.4" customHeight="1" x14ac:dyDescent="0.3">
      <c r="A17" s="406" t="s">
        <v>419</v>
      </c>
      <c r="B17" s="429" t="s">
        <v>362</v>
      </c>
      <c r="C17" s="429" t="s">
        <v>363</v>
      </c>
      <c r="D17" s="429" t="s">
        <v>366</v>
      </c>
      <c r="E17" s="429" t="s">
        <v>367</v>
      </c>
      <c r="F17" s="407">
        <v>213</v>
      </c>
      <c r="G17" s="407">
        <v>67947</v>
      </c>
      <c r="H17" s="407">
        <v>1</v>
      </c>
      <c r="I17" s="407">
        <v>319</v>
      </c>
      <c r="J17" s="407">
        <v>163</v>
      </c>
      <c r="K17" s="407">
        <v>51997</v>
      </c>
      <c r="L17" s="407">
        <v>0.76525821596244137</v>
      </c>
      <c r="M17" s="407">
        <v>319</v>
      </c>
      <c r="N17" s="407">
        <v>109</v>
      </c>
      <c r="O17" s="407">
        <v>35207</v>
      </c>
      <c r="P17" s="430">
        <v>0.51815385521067892</v>
      </c>
      <c r="Q17" s="431">
        <v>323</v>
      </c>
    </row>
    <row r="18" spans="1:17" ht="14.4" customHeight="1" x14ac:dyDescent="0.3">
      <c r="A18" s="406" t="s">
        <v>419</v>
      </c>
      <c r="B18" s="429" t="s">
        <v>362</v>
      </c>
      <c r="C18" s="429" t="s">
        <v>363</v>
      </c>
      <c r="D18" s="429" t="s">
        <v>368</v>
      </c>
      <c r="E18" s="429" t="s">
        <v>369</v>
      </c>
      <c r="F18" s="407">
        <v>28</v>
      </c>
      <c r="G18" s="407">
        <v>8932</v>
      </c>
      <c r="H18" s="407">
        <v>1</v>
      </c>
      <c r="I18" s="407">
        <v>319</v>
      </c>
      <c r="J18" s="407">
        <v>38</v>
      </c>
      <c r="K18" s="407">
        <v>12122</v>
      </c>
      <c r="L18" s="407">
        <v>1.3571428571428572</v>
      </c>
      <c r="M18" s="407">
        <v>319</v>
      </c>
      <c r="N18" s="407">
        <v>85</v>
      </c>
      <c r="O18" s="407">
        <v>27455</v>
      </c>
      <c r="P18" s="430">
        <v>3.0737796686072549</v>
      </c>
      <c r="Q18" s="431">
        <v>323</v>
      </c>
    </row>
    <row r="19" spans="1:17" ht="14.4" customHeight="1" x14ac:dyDescent="0.3">
      <c r="A19" s="406" t="s">
        <v>419</v>
      </c>
      <c r="B19" s="429" t="s">
        <v>362</v>
      </c>
      <c r="C19" s="429" t="s">
        <v>363</v>
      </c>
      <c r="D19" s="429" t="s">
        <v>370</v>
      </c>
      <c r="E19" s="429" t="s">
        <v>371</v>
      </c>
      <c r="F19" s="407">
        <v>82</v>
      </c>
      <c r="G19" s="407">
        <v>26158</v>
      </c>
      <c r="H19" s="407">
        <v>1</v>
      </c>
      <c r="I19" s="407">
        <v>319</v>
      </c>
      <c r="J19" s="407">
        <v>59</v>
      </c>
      <c r="K19" s="407">
        <v>18821</v>
      </c>
      <c r="L19" s="407">
        <v>0.71951219512195119</v>
      </c>
      <c r="M19" s="407">
        <v>319</v>
      </c>
      <c r="N19" s="407">
        <v>68</v>
      </c>
      <c r="O19" s="407">
        <v>21964</v>
      </c>
      <c r="P19" s="430">
        <v>0.83966664118051837</v>
      </c>
      <c r="Q19" s="431">
        <v>323</v>
      </c>
    </row>
    <row r="20" spans="1:17" ht="14.4" customHeight="1" x14ac:dyDescent="0.3">
      <c r="A20" s="406" t="s">
        <v>419</v>
      </c>
      <c r="B20" s="429" t="s">
        <v>362</v>
      </c>
      <c r="C20" s="429" t="s">
        <v>363</v>
      </c>
      <c r="D20" s="429" t="s">
        <v>374</v>
      </c>
      <c r="E20" s="429" t="s">
        <v>375</v>
      </c>
      <c r="F20" s="407">
        <v>1</v>
      </c>
      <c r="G20" s="407">
        <v>0</v>
      </c>
      <c r="H20" s="407"/>
      <c r="I20" s="407">
        <v>0</v>
      </c>
      <c r="J20" s="407"/>
      <c r="K20" s="407"/>
      <c r="L20" s="407"/>
      <c r="M20" s="407"/>
      <c r="N20" s="407"/>
      <c r="O20" s="407"/>
      <c r="P20" s="430"/>
      <c r="Q20" s="431"/>
    </row>
    <row r="21" spans="1:17" ht="14.4" customHeight="1" x14ac:dyDescent="0.3">
      <c r="A21" s="406" t="s">
        <v>419</v>
      </c>
      <c r="B21" s="429" t="s">
        <v>362</v>
      </c>
      <c r="C21" s="429" t="s">
        <v>363</v>
      </c>
      <c r="D21" s="429" t="s">
        <v>378</v>
      </c>
      <c r="E21" s="429" t="s">
        <v>379</v>
      </c>
      <c r="F21" s="407">
        <v>43</v>
      </c>
      <c r="G21" s="407">
        <v>23177</v>
      </c>
      <c r="H21" s="407">
        <v>1</v>
      </c>
      <c r="I21" s="407">
        <v>539</v>
      </c>
      <c r="J21" s="407">
        <v>24</v>
      </c>
      <c r="K21" s="407">
        <v>12936</v>
      </c>
      <c r="L21" s="407">
        <v>0.55813953488372092</v>
      </c>
      <c r="M21" s="407">
        <v>539</v>
      </c>
      <c r="N21" s="407">
        <v>31</v>
      </c>
      <c r="O21" s="407">
        <v>16957</v>
      </c>
      <c r="P21" s="430">
        <v>0.73163049575009709</v>
      </c>
      <c r="Q21" s="431">
        <v>547</v>
      </c>
    </row>
    <row r="22" spans="1:17" ht="14.4" customHeight="1" x14ac:dyDescent="0.3">
      <c r="A22" s="406" t="s">
        <v>419</v>
      </c>
      <c r="B22" s="429" t="s">
        <v>362</v>
      </c>
      <c r="C22" s="429" t="s">
        <v>363</v>
      </c>
      <c r="D22" s="429" t="s">
        <v>382</v>
      </c>
      <c r="E22" s="429" t="s">
        <v>383</v>
      </c>
      <c r="F22" s="407"/>
      <c r="G22" s="407"/>
      <c r="H22" s="407"/>
      <c r="I22" s="407"/>
      <c r="J22" s="407">
        <v>12</v>
      </c>
      <c r="K22" s="407">
        <v>6468</v>
      </c>
      <c r="L22" s="407"/>
      <c r="M22" s="407">
        <v>539</v>
      </c>
      <c r="N22" s="407">
        <v>4</v>
      </c>
      <c r="O22" s="407">
        <v>2188</v>
      </c>
      <c r="P22" s="430"/>
      <c r="Q22" s="431">
        <v>547</v>
      </c>
    </row>
    <row r="23" spans="1:17" ht="14.4" customHeight="1" x14ac:dyDescent="0.3">
      <c r="A23" s="406" t="s">
        <v>420</v>
      </c>
      <c r="B23" s="429" t="s">
        <v>362</v>
      </c>
      <c r="C23" s="429" t="s">
        <v>363</v>
      </c>
      <c r="D23" s="429" t="s">
        <v>366</v>
      </c>
      <c r="E23" s="429" t="s">
        <v>367</v>
      </c>
      <c r="F23" s="407"/>
      <c r="G23" s="407"/>
      <c r="H23" s="407"/>
      <c r="I23" s="407"/>
      <c r="J23" s="407"/>
      <c r="K23" s="407"/>
      <c r="L23" s="407"/>
      <c r="M23" s="407"/>
      <c r="N23" s="407">
        <v>36</v>
      </c>
      <c r="O23" s="407">
        <v>11628</v>
      </c>
      <c r="P23" s="430"/>
      <c r="Q23" s="431">
        <v>323</v>
      </c>
    </row>
    <row r="24" spans="1:17" ht="14.4" customHeight="1" x14ac:dyDescent="0.3">
      <c r="A24" s="406" t="s">
        <v>421</v>
      </c>
      <c r="B24" s="429" t="s">
        <v>362</v>
      </c>
      <c r="C24" s="429" t="s">
        <v>363</v>
      </c>
      <c r="D24" s="429" t="s">
        <v>366</v>
      </c>
      <c r="E24" s="429" t="s">
        <v>367</v>
      </c>
      <c r="F24" s="407"/>
      <c r="G24" s="407"/>
      <c r="H24" s="407"/>
      <c r="I24" s="407"/>
      <c r="J24" s="407"/>
      <c r="K24" s="407"/>
      <c r="L24" s="407"/>
      <c r="M24" s="407"/>
      <c r="N24" s="407">
        <v>12</v>
      </c>
      <c r="O24" s="407">
        <v>3876</v>
      </c>
      <c r="P24" s="430"/>
      <c r="Q24" s="431">
        <v>323</v>
      </c>
    </row>
    <row r="25" spans="1:17" ht="14.4" customHeight="1" x14ac:dyDescent="0.3">
      <c r="A25" s="406" t="s">
        <v>422</v>
      </c>
      <c r="B25" s="429" t="s">
        <v>362</v>
      </c>
      <c r="C25" s="429" t="s">
        <v>363</v>
      </c>
      <c r="D25" s="429" t="s">
        <v>366</v>
      </c>
      <c r="E25" s="429" t="s">
        <v>367</v>
      </c>
      <c r="F25" s="407">
        <v>10</v>
      </c>
      <c r="G25" s="407">
        <v>3190</v>
      </c>
      <c r="H25" s="407">
        <v>1</v>
      </c>
      <c r="I25" s="407">
        <v>319</v>
      </c>
      <c r="J25" s="407"/>
      <c r="K25" s="407"/>
      <c r="L25" s="407"/>
      <c r="M25" s="407"/>
      <c r="N25" s="407">
        <v>12</v>
      </c>
      <c r="O25" s="407">
        <v>3876</v>
      </c>
      <c r="P25" s="430">
        <v>1.2150470219435736</v>
      </c>
      <c r="Q25" s="431">
        <v>323</v>
      </c>
    </row>
    <row r="26" spans="1:17" ht="14.4" customHeight="1" x14ac:dyDescent="0.3">
      <c r="A26" s="406" t="s">
        <v>422</v>
      </c>
      <c r="B26" s="429" t="s">
        <v>362</v>
      </c>
      <c r="C26" s="429" t="s">
        <v>363</v>
      </c>
      <c r="D26" s="429" t="s">
        <v>368</v>
      </c>
      <c r="E26" s="429" t="s">
        <v>369</v>
      </c>
      <c r="F26" s="407">
        <v>4</v>
      </c>
      <c r="G26" s="407">
        <v>1276</v>
      </c>
      <c r="H26" s="407">
        <v>1</v>
      </c>
      <c r="I26" s="407">
        <v>319</v>
      </c>
      <c r="J26" s="407"/>
      <c r="K26" s="407"/>
      <c r="L26" s="407"/>
      <c r="M26" s="407"/>
      <c r="N26" s="407"/>
      <c r="O26" s="407"/>
      <c r="P26" s="430"/>
      <c r="Q26" s="431"/>
    </row>
    <row r="27" spans="1:17" ht="14.4" customHeight="1" x14ac:dyDescent="0.3">
      <c r="A27" s="406" t="s">
        <v>423</v>
      </c>
      <c r="B27" s="429" t="s">
        <v>362</v>
      </c>
      <c r="C27" s="429" t="s">
        <v>363</v>
      </c>
      <c r="D27" s="429" t="s">
        <v>366</v>
      </c>
      <c r="E27" s="429" t="s">
        <v>367</v>
      </c>
      <c r="F27" s="407">
        <v>711</v>
      </c>
      <c r="G27" s="407">
        <v>226809</v>
      </c>
      <c r="H27" s="407">
        <v>1</v>
      </c>
      <c r="I27" s="407">
        <v>319</v>
      </c>
      <c r="J27" s="407">
        <v>485</v>
      </c>
      <c r="K27" s="407">
        <v>154715</v>
      </c>
      <c r="L27" s="407">
        <v>0.68213783403656825</v>
      </c>
      <c r="M27" s="407">
        <v>319</v>
      </c>
      <c r="N27" s="407">
        <v>410</v>
      </c>
      <c r="O27" s="407">
        <v>132430</v>
      </c>
      <c r="P27" s="430">
        <v>0.5838833555987637</v>
      </c>
      <c r="Q27" s="431">
        <v>323</v>
      </c>
    </row>
    <row r="28" spans="1:17" ht="14.4" customHeight="1" x14ac:dyDescent="0.3">
      <c r="A28" s="406" t="s">
        <v>423</v>
      </c>
      <c r="B28" s="429" t="s">
        <v>362</v>
      </c>
      <c r="C28" s="429" t="s">
        <v>363</v>
      </c>
      <c r="D28" s="429" t="s">
        <v>376</v>
      </c>
      <c r="E28" s="429" t="s">
        <v>377</v>
      </c>
      <c r="F28" s="407">
        <v>18</v>
      </c>
      <c r="G28" s="407">
        <v>9684</v>
      </c>
      <c r="H28" s="407">
        <v>1</v>
      </c>
      <c r="I28" s="407">
        <v>538</v>
      </c>
      <c r="J28" s="407">
        <v>14</v>
      </c>
      <c r="K28" s="407">
        <v>7532</v>
      </c>
      <c r="L28" s="407">
        <v>0.77777777777777779</v>
      </c>
      <c r="M28" s="407">
        <v>538</v>
      </c>
      <c r="N28" s="407">
        <v>6</v>
      </c>
      <c r="O28" s="407">
        <v>3276</v>
      </c>
      <c r="P28" s="430">
        <v>0.33828996282527879</v>
      </c>
      <c r="Q28" s="431">
        <v>546</v>
      </c>
    </row>
    <row r="29" spans="1:17" ht="14.4" customHeight="1" x14ac:dyDescent="0.3">
      <c r="A29" s="406" t="s">
        <v>424</v>
      </c>
      <c r="B29" s="429" t="s">
        <v>362</v>
      </c>
      <c r="C29" s="429" t="s">
        <v>363</v>
      </c>
      <c r="D29" s="429" t="s">
        <v>366</v>
      </c>
      <c r="E29" s="429" t="s">
        <v>367</v>
      </c>
      <c r="F29" s="407">
        <v>16</v>
      </c>
      <c r="G29" s="407">
        <v>5104</v>
      </c>
      <c r="H29" s="407">
        <v>1</v>
      </c>
      <c r="I29" s="407">
        <v>319</v>
      </c>
      <c r="J29" s="407">
        <v>64</v>
      </c>
      <c r="K29" s="407">
        <v>20416</v>
      </c>
      <c r="L29" s="407">
        <v>4</v>
      </c>
      <c r="M29" s="407">
        <v>319</v>
      </c>
      <c r="N29" s="407">
        <v>38</v>
      </c>
      <c r="O29" s="407">
        <v>12274</v>
      </c>
      <c r="P29" s="430">
        <v>2.4047805642633229</v>
      </c>
      <c r="Q29" s="431">
        <v>323</v>
      </c>
    </row>
    <row r="30" spans="1:17" ht="14.4" customHeight="1" x14ac:dyDescent="0.3">
      <c r="A30" s="406" t="s">
        <v>424</v>
      </c>
      <c r="B30" s="429" t="s">
        <v>362</v>
      </c>
      <c r="C30" s="429" t="s">
        <v>363</v>
      </c>
      <c r="D30" s="429" t="s">
        <v>376</v>
      </c>
      <c r="E30" s="429" t="s">
        <v>377</v>
      </c>
      <c r="F30" s="407">
        <v>194</v>
      </c>
      <c r="G30" s="407">
        <v>104372</v>
      </c>
      <c r="H30" s="407">
        <v>1</v>
      </c>
      <c r="I30" s="407">
        <v>538</v>
      </c>
      <c r="J30" s="407">
        <v>187</v>
      </c>
      <c r="K30" s="407">
        <v>100606</v>
      </c>
      <c r="L30" s="407">
        <v>0.96391752577319589</v>
      </c>
      <c r="M30" s="407">
        <v>538</v>
      </c>
      <c r="N30" s="407">
        <v>186</v>
      </c>
      <c r="O30" s="407">
        <v>101556</v>
      </c>
      <c r="P30" s="430">
        <v>0.97301958379642051</v>
      </c>
      <c r="Q30" s="431">
        <v>546</v>
      </c>
    </row>
    <row r="31" spans="1:17" ht="14.4" customHeight="1" x14ac:dyDescent="0.3">
      <c r="A31" s="406" t="s">
        <v>424</v>
      </c>
      <c r="B31" s="429" t="s">
        <v>362</v>
      </c>
      <c r="C31" s="429" t="s">
        <v>363</v>
      </c>
      <c r="D31" s="429" t="s">
        <v>384</v>
      </c>
      <c r="E31" s="429" t="s">
        <v>385</v>
      </c>
      <c r="F31" s="407">
        <v>16</v>
      </c>
      <c r="G31" s="407">
        <v>8608</v>
      </c>
      <c r="H31" s="407">
        <v>1</v>
      </c>
      <c r="I31" s="407">
        <v>538</v>
      </c>
      <c r="J31" s="407">
        <v>24</v>
      </c>
      <c r="K31" s="407">
        <v>12912</v>
      </c>
      <c r="L31" s="407">
        <v>1.5</v>
      </c>
      <c r="M31" s="407">
        <v>538</v>
      </c>
      <c r="N31" s="407">
        <v>32</v>
      </c>
      <c r="O31" s="407">
        <v>17472</v>
      </c>
      <c r="P31" s="430">
        <v>2.029739776951673</v>
      </c>
      <c r="Q31" s="431">
        <v>546</v>
      </c>
    </row>
    <row r="32" spans="1:17" ht="14.4" customHeight="1" x14ac:dyDescent="0.3">
      <c r="A32" s="406" t="s">
        <v>424</v>
      </c>
      <c r="B32" s="429" t="s">
        <v>362</v>
      </c>
      <c r="C32" s="429" t="s">
        <v>363</v>
      </c>
      <c r="D32" s="429" t="s">
        <v>386</v>
      </c>
      <c r="E32" s="429" t="s">
        <v>387</v>
      </c>
      <c r="F32" s="407"/>
      <c r="G32" s="407"/>
      <c r="H32" s="407"/>
      <c r="I32" s="407"/>
      <c r="J32" s="407"/>
      <c r="K32" s="407"/>
      <c r="L32" s="407"/>
      <c r="M32" s="407"/>
      <c r="N32" s="407">
        <v>12</v>
      </c>
      <c r="O32" s="407">
        <v>3276</v>
      </c>
      <c r="P32" s="430"/>
      <c r="Q32" s="431">
        <v>273</v>
      </c>
    </row>
    <row r="33" spans="1:17" ht="14.4" customHeight="1" x14ac:dyDescent="0.3">
      <c r="A33" s="406" t="s">
        <v>425</v>
      </c>
      <c r="B33" s="429" t="s">
        <v>362</v>
      </c>
      <c r="C33" s="429" t="s">
        <v>363</v>
      </c>
      <c r="D33" s="429" t="s">
        <v>366</v>
      </c>
      <c r="E33" s="429" t="s">
        <v>367</v>
      </c>
      <c r="F33" s="407"/>
      <c r="G33" s="407"/>
      <c r="H33" s="407"/>
      <c r="I33" s="407"/>
      <c r="J33" s="407"/>
      <c r="K33" s="407"/>
      <c r="L33" s="407"/>
      <c r="M33" s="407"/>
      <c r="N33" s="407">
        <v>5</v>
      </c>
      <c r="O33" s="407">
        <v>1615</v>
      </c>
      <c r="P33" s="430"/>
      <c r="Q33" s="431">
        <v>323</v>
      </c>
    </row>
    <row r="34" spans="1:17" ht="14.4" customHeight="1" x14ac:dyDescent="0.3">
      <c r="A34" s="406" t="s">
        <v>425</v>
      </c>
      <c r="B34" s="429" t="s">
        <v>362</v>
      </c>
      <c r="C34" s="429" t="s">
        <v>363</v>
      </c>
      <c r="D34" s="429" t="s">
        <v>384</v>
      </c>
      <c r="E34" s="429" t="s">
        <v>385</v>
      </c>
      <c r="F34" s="407">
        <v>12</v>
      </c>
      <c r="G34" s="407">
        <v>6456</v>
      </c>
      <c r="H34" s="407">
        <v>1</v>
      </c>
      <c r="I34" s="407">
        <v>538</v>
      </c>
      <c r="J34" s="407"/>
      <c r="K34" s="407"/>
      <c r="L34" s="407"/>
      <c r="M34" s="407"/>
      <c r="N34" s="407">
        <v>24</v>
      </c>
      <c r="O34" s="407">
        <v>13104</v>
      </c>
      <c r="P34" s="430">
        <v>2.029739776951673</v>
      </c>
      <c r="Q34" s="431">
        <v>546</v>
      </c>
    </row>
    <row r="35" spans="1:17" ht="14.4" customHeight="1" x14ac:dyDescent="0.3">
      <c r="A35" s="406" t="s">
        <v>426</v>
      </c>
      <c r="B35" s="429" t="s">
        <v>362</v>
      </c>
      <c r="C35" s="429" t="s">
        <v>363</v>
      </c>
      <c r="D35" s="429" t="s">
        <v>366</v>
      </c>
      <c r="E35" s="429" t="s">
        <v>367</v>
      </c>
      <c r="F35" s="407"/>
      <c r="G35" s="407"/>
      <c r="H35" s="407"/>
      <c r="I35" s="407"/>
      <c r="J35" s="407"/>
      <c r="K35" s="407"/>
      <c r="L35" s="407"/>
      <c r="M35" s="407"/>
      <c r="N35" s="407">
        <v>20</v>
      </c>
      <c r="O35" s="407">
        <v>6460</v>
      </c>
      <c r="P35" s="430"/>
      <c r="Q35" s="431">
        <v>323</v>
      </c>
    </row>
    <row r="36" spans="1:17" ht="14.4" customHeight="1" x14ac:dyDescent="0.3">
      <c r="A36" s="406" t="s">
        <v>427</v>
      </c>
      <c r="B36" s="429" t="s">
        <v>362</v>
      </c>
      <c r="C36" s="429" t="s">
        <v>363</v>
      </c>
      <c r="D36" s="429" t="s">
        <v>364</v>
      </c>
      <c r="E36" s="429" t="s">
        <v>365</v>
      </c>
      <c r="F36" s="407"/>
      <c r="G36" s="407"/>
      <c r="H36" s="407"/>
      <c r="I36" s="407"/>
      <c r="J36" s="407">
        <v>2</v>
      </c>
      <c r="K36" s="407">
        <v>138</v>
      </c>
      <c r="L36" s="407"/>
      <c r="M36" s="407">
        <v>69</v>
      </c>
      <c r="N36" s="407"/>
      <c r="O36" s="407"/>
      <c r="P36" s="430"/>
      <c r="Q36" s="431"/>
    </row>
    <row r="37" spans="1:17" ht="14.4" customHeight="1" x14ac:dyDescent="0.3">
      <c r="A37" s="406" t="s">
        <v>427</v>
      </c>
      <c r="B37" s="429" t="s">
        <v>362</v>
      </c>
      <c r="C37" s="429" t="s">
        <v>363</v>
      </c>
      <c r="D37" s="429" t="s">
        <v>366</v>
      </c>
      <c r="E37" s="429" t="s">
        <v>367</v>
      </c>
      <c r="F37" s="407">
        <v>69</v>
      </c>
      <c r="G37" s="407">
        <v>22011</v>
      </c>
      <c r="H37" s="407">
        <v>1</v>
      </c>
      <c r="I37" s="407">
        <v>319</v>
      </c>
      <c r="J37" s="407">
        <v>160</v>
      </c>
      <c r="K37" s="407">
        <v>51040</v>
      </c>
      <c r="L37" s="407">
        <v>2.318840579710145</v>
      </c>
      <c r="M37" s="407">
        <v>319</v>
      </c>
      <c r="N37" s="407">
        <v>146</v>
      </c>
      <c r="O37" s="407">
        <v>47158</v>
      </c>
      <c r="P37" s="430">
        <v>2.1424742174367362</v>
      </c>
      <c r="Q37" s="431">
        <v>323</v>
      </c>
    </row>
    <row r="38" spans="1:17" ht="14.4" customHeight="1" x14ac:dyDescent="0.3">
      <c r="A38" s="406" t="s">
        <v>427</v>
      </c>
      <c r="B38" s="429" t="s">
        <v>362</v>
      </c>
      <c r="C38" s="429" t="s">
        <v>363</v>
      </c>
      <c r="D38" s="429" t="s">
        <v>368</v>
      </c>
      <c r="E38" s="429" t="s">
        <v>369</v>
      </c>
      <c r="F38" s="407">
        <v>4</v>
      </c>
      <c r="G38" s="407">
        <v>1276</v>
      </c>
      <c r="H38" s="407">
        <v>1</v>
      </c>
      <c r="I38" s="407">
        <v>319</v>
      </c>
      <c r="J38" s="407"/>
      <c r="K38" s="407"/>
      <c r="L38" s="407"/>
      <c r="M38" s="407"/>
      <c r="N38" s="407"/>
      <c r="O38" s="407"/>
      <c r="P38" s="430"/>
      <c r="Q38" s="431"/>
    </row>
    <row r="39" spans="1:17" ht="14.4" customHeight="1" x14ac:dyDescent="0.3">
      <c r="A39" s="406" t="s">
        <v>427</v>
      </c>
      <c r="B39" s="429" t="s">
        <v>362</v>
      </c>
      <c r="C39" s="429" t="s">
        <v>363</v>
      </c>
      <c r="D39" s="429" t="s">
        <v>370</v>
      </c>
      <c r="E39" s="429" t="s">
        <v>371</v>
      </c>
      <c r="F39" s="407">
        <v>10</v>
      </c>
      <c r="G39" s="407">
        <v>3190</v>
      </c>
      <c r="H39" s="407">
        <v>1</v>
      </c>
      <c r="I39" s="407">
        <v>319</v>
      </c>
      <c r="J39" s="407">
        <v>4</v>
      </c>
      <c r="K39" s="407">
        <v>1276</v>
      </c>
      <c r="L39" s="407">
        <v>0.4</v>
      </c>
      <c r="M39" s="407">
        <v>319</v>
      </c>
      <c r="N39" s="407">
        <v>3</v>
      </c>
      <c r="O39" s="407">
        <v>969</v>
      </c>
      <c r="P39" s="430">
        <v>0.3037617554858934</v>
      </c>
      <c r="Q39" s="431">
        <v>323</v>
      </c>
    </row>
    <row r="40" spans="1:17" ht="14.4" customHeight="1" x14ac:dyDescent="0.3">
      <c r="A40" s="406" t="s">
        <v>427</v>
      </c>
      <c r="B40" s="429" t="s">
        <v>362</v>
      </c>
      <c r="C40" s="429" t="s">
        <v>363</v>
      </c>
      <c r="D40" s="429" t="s">
        <v>428</v>
      </c>
      <c r="E40" s="429" t="s">
        <v>429</v>
      </c>
      <c r="F40" s="407"/>
      <c r="G40" s="407"/>
      <c r="H40" s="407"/>
      <c r="I40" s="407"/>
      <c r="J40" s="407"/>
      <c r="K40" s="407"/>
      <c r="L40" s="407"/>
      <c r="M40" s="407"/>
      <c r="N40" s="407">
        <v>2</v>
      </c>
      <c r="O40" s="407">
        <v>1290</v>
      </c>
      <c r="P40" s="430"/>
      <c r="Q40" s="431">
        <v>645</v>
      </c>
    </row>
    <row r="41" spans="1:17" ht="14.4" customHeight="1" x14ac:dyDescent="0.3">
      <c r="A41" s="406" t="s">
        <v>430</v>
      </c>
      <c r="B41" s="429" t="s">
        <v>362</v>
      </c>
      <c r="C41" s="429" t="s">
        <v>363</v>
      </c>
      <c r="D41" s="429" t="s">
        <v>366</v>
      </c>
      <c r="E41" s="429" t="s">
        <v>367</v>
      </c>
      <c r="F41" s="407"/>
      <c r="G41" s="407"/>
      <c r="H41" s="407"/>
      <c r="I41" s="407"/>
      <c r="J41" s="407">
        <v>8</v>
      </c>
      <c r="K41" s="407">
        <v>2552</v>
      </c>
      <c r="L41" s="407"/>
      <c r="M41" s="407">
        <v>319</v>
      </c>
      <c r="N41" s="407">
        <v>24</v>
      </c>
      <c r="O41" s="407">
        <v>7752</v>
      </c>
      <c r="P41" s="430"/>
      <c r="Q41" s="431">
        <v>323</v>
      </c>
    </row>
    <row r="42" spans="1:17" ht="14.4" customHeight="1" x14ac:dyDescent="0.3">
      <c r="A42" s="406" t="s">
        <v>431</v>
      </c>
      <c r="B42" s="429" t="s">
        <v>362</v>
      </c>
      <c r="C42" s="429" t="s">
        <v>363</v>
      </c>
      <c r="D42" s="429" t="s">
        <v>366</v>
      </c>
      <c r="E42" s="429" t="s">
        <v>367</v>
      </c>
      <c r="F42" s="407"/>
      <c r="G42" s="407"/>
      <c r="H42" s="407"/>
      <c r="I42" s="407"/>
      <c r="J42" s="407">
        <v>4</v>
      </c>
      <c r="K42" s="407">
        <v>1276</v>
      </c>
      <c r="L42" s="407"/>
      <c r="M42" s="407">
        <v>319</v>
      </c>
      <c r="N42" s="407">
        <v>72</v>
      </c>
      <c r="O42" s="407">
        <v>23256</v>
      </c>
      <c r="P42" s="430"/>
      <c r="Q42" s="431">
        <v>323</v>
      </c>
    </row>
    <row r="43" spans="1:17" ht="14.4" customHeight="1" x14ac:dyDescent="0.3">
      <c r="A43" s="406" t="s">
        <v>431</v>
      </c>
      <c r="B43" s="429" t="s">
        <v>362</v>
      </c>
      <c r="C43" s="429" t="s">
        <v>363</v>
      </c>
      <c r="D43" s="429" t="s">
        <v>376</v>
      </c>
      <c r="E43" s="429" t="s">
        <v>377</v>
      </c>
      <c r="F43" s="407"/>
      <c r="G43" s="407"/>
      <c r="H43" s="407"/>
      <c r="I43" s="407"/>
      <c r="J43" s="407">
        <v>8</v>
      </c>
      <c r="K43" s="407">
        <v>4304</v>
      </c>
      <c r="L43" s="407"/>
      <c r="M43" s="407">
        <v>538</v>
      </c>
      <c r="N43" s="407">
        <v>10</v>
      </c>
      <c r="O43" s="407">
        <v>5460</v>
      </c>
      <c r="P43" s="430"/>
      <c r="Q43" s="431">
        <v>546</v>
      </c>
    </row>
    <row r="44" spans="1:17" ht="14.4" customHeight="1" x14ac:dyDescent="0.3">
      <c r="A44" s="406" t="s">
        <v>432</v>
      </c>
      <c r="B44" s="429" t="s">
        <v>362</v>
      </c>
      <c r="C44" s="429" t="s">
        <v>363</v>
      </c>
      <c r="D44" s="429" t="s">
        <v>366</v>
      </c>
      <c r="E44" s="429" t="s">
        <v>367</v>
      </c>
      <c r="F44" s="407">
        <v>8</v>
      </c>
      <c r="G44" s="407">
        <v>2552</v>
      </c>
      <c r="H44" s="407">
        <v>1</v>
      </c>
      <c r="I44" s="407">
        <v>319</v>
      </c>
      <c r="J44" s="407">
        <v>4</v>
      </c>
      <c r="K44" s="407">
        <v>1276</v>
      </c>
      <c r="L44" s="407">
        <v>0.5</v>
      </c>
      <c r="M44" s="407">
        <v>319</v>
      </c>
      <c r="N44" s="407">
        <v>24</v>
      </c>
      <c r="O44" s="407">
        <v>7752</v>
      </c>
      <c r="P44" s="430">
        <v>3.0376175548589344</v>
      </c>
      <c r="Q44" s="431">
        <v>323</v>
      </c>
    </row>
    <row r="45" spans="1:17" ht="14.4" customHeight="1" x14ac:dyDescent="0.3">
      <c r="A45" s="406" t="s">
        <v>432</v>
      </c>
      <c r="B45" s="429" t="s">
        <v>362</v>
      </c>
      <c r="C45" s="429" t="s">
        <v>363</v>
      </c>
      <c r="D45" s="429" t="s">
        <v>376</v>
      </c>
      <c r="E45" s="429" t="s">
        <v>377</v>
      </c>
      <c r="F45" s="407">
        <v>4</v>
      </c>
      <c r="G45" s="407">
        <v>2152</v>
      </c>
      <c r="H45" s="407">
        <v>1</v>
      </c>
      <c r="I45" s="407">
        <v>538</v>
      </c>
      <c r="J45" s="407">
        <v>1</v>
      </c>
      <c r="K45" s="407">
        <v>538</v>
      </c>
      <c r="L45" s="407">
        <v>0.25</v>
      </c>
      <c r="M45" s="407">
        <v>538</v>
      </c>
      <c r="N45" s="407"/>
      <c r="O45" s="407"/>
      <c r="P45" s="430"/>
      <c r="Q45" s="431"/>
    </row>
    <row r="46" spans="1:17" ht="14.4" customHeight="1" x14ac:dyDescent="0.3">
      <c r="A46" s="406" t="s">
        <v>433</v>
      </c>
      <c r="B46" s="429" t="s">
        <v>362</v>
      </c>
      <c r="C46" s="429" t="s">
        <v>363</v>
      </c>
      <c r="D46" s="429" t="s">
        <v>366</v>
      </c>
      <c r="E46" s="429" t="s">
        <v>367</v>
      </c>
      <c r="F46" s="407">
        <v>24</v>
      </c>
      <c r="G46" s="407">
        <v>7656</v>
      </c>
      <c r="H46" s="407">
        <v>1</v>
      </c>
      <c r="I46" s="407">
        <v>319</v>
      </c>
      <c r="J46" s="407">
        <v>44</v>
      </c>
      <c r="K46" s="407">
        <v>14036</v>
      </c>
      <c r="L46" s="407">
        <v>1.8333333333333333</v>
      </c>
      <c r="M46" s="407">
        <v>319</v>
      </c>
      <c r="N46" s="407">
        <v>120</v>
      </c>
      <c r="O46" s="407">
        <v>38760</v>
      </c>
      <c r="P46" s="430">
        <v>5.0626959247648902</v>
      </c>
      <c r="Q46" s="431">
        <v>323</v>
      </c>
    </row>
    <row r="47" spans="1:17" ht="14.4" customHeight="1" x14ac:dyDescent="0.3">
      <c r="A47" s="406" t="s">
        <v>433</v>
      </c>
      <c r="B47" s="429" t="s">
        <v>362</v>
      </c>
      <c r="C47" s="429" t="s">
        <v>363</v>
      </c>
      <c r="D47" s="429" t="s">
        <v>368</v>
      </c>
      <c r="E47" s="429" t="s">
        <v>369</v>
      </c>
      <c r="F47" s="407"/>
      <c r="G47" s="407"/>
      <c r="H47" s="407"/>
      <c r="I47" s="407"/>
      <c r="J47" s="407"/>
      <c r="K47" s="407"/>
      <c r="L47" s="407"/>
      <c r="M47" s="407"/>
      <c r="N47" s="407">
        <v>4</v>
      </c>
      <c r="O47" s="407">
        <v>1292</v>
      </c>
      <c r="P47" s="430"/>
      <c r="Q47" s="431">
        <v>323</v>
      </c>
    </row>
    <row r="48" spans="1:17" ht="14.4" customHeight="1" x14ac:dyDescent="0.3">
      <c r="A48" s="406" t="s">
        <v>434</v>
      </c>
      <c r="B48" s="429" t="s">
        <v>362</v>
      </c>
      <c r="C48" s="429" t="s">
        <v>363</v>
      </c>
      <c r="D48" s="429" t="s">
        <v>366</v>
      </c>
      <c r="E48" s="429" t="s">
        <v>367</v>
      </c>
      <c r="F48" s="407">
        <v>308</v>
      </c>
      <c r="G48" s="407">
        <v>98252</v>
      </c>
      <c r="H48" s="407">
        <v>1</v>
      </c>
      <c r="I48" s="407">
        <v>319</v>
      </c>
      <c r="J48" s="407">
        <v>239</v>
      </c>
      <c r="K48" s="407">
        <v>76241</v>
      </c>
      <c r="L48" s="407">
        <v>0.77597402597402598</v>
      </c>
      <c r="M48" s="407">
        <v>319</v>
      </c>
      <c r="N48" s="407">
        <v>336</v>
      </c>
      <c r="O48" s="407">
        <v>108528</v>
      </c>
      <c r="P48" s="430">
        <v>1.1045882017668851</v>
      </c>
      <c r="Q48" s="431">
        <v>323</v>
      </c>
    </row>
    <row r="49" spans="1:17" ht="14.4" customHeight="1" x14ac:dyDescent="0.3">
      <c r="A49" s="406" t="s">
        <v>435</v>
      </c>
      <c r="B49" s="429" t="s">
        <v>362</v>
      </c>
      <c r="C49" s="429" t="s">
        <v>363</v>
      </c>
      <c r="D49" s="429" t="s">
        <v>366</v>
      </c>
      <c r="E49" s="429" t="s">
        <v>367</v>
      </c>
      <c r="F49" s="407">
        <v>16</v>
      </c>
      <c r="G49" s="407">
        <v>5104</v>
      </c>
      <c r="H49" s="407">
        <v>1</v>
      </c>
      <c r="I49" s="407">
        <v>319</v>
      </c>
      <c r="J49" s="407">
        <v>14</v>
      </c>
      <c r="K49" s="407">
        <v>4466</v>
      </c>
      <c r="L49" s="407">
        <v>0.875</v>
      </c>
      <c r="M49" s="407">
        <v>319</v>
      </c>
      <c r="N49" s="407"/>
      <c r="O49" s="407"/>
      <c r="P49" s="430"/>
      <c r="Q49" s="431"/>
    </row>
    <row r="50" spans="1:17" ht="14.4" customHeight="1" x14ac:dyDescent="0.3">
      <c r="A50" s="406" t="s">
        <v>436</v>
      </c>
      <c r="B50" s="429" t="s">
        <v>362</v>
      </c>
      <c r="C50" s="429" t="s">
        <v>363</v>
      </c>
      <c r="D50" s="429" t="s">
        <v>366</v>
      </c>
      <c r="E50" s="429" t="s">
        <v>367</v>
      </c>
      <c r="F50" s="407">
        <v>16</v>
      </c>
      <c r="G50" s="407">
        <v>5104</v>
      </c>
      <c r="H50" s="407">
        <v>1</v>
      </c>
      <c r="I50" s="407">
        <v>319</v>
      </c>
      <c r="J50" s="407"/>
      <c r="K50" s="407"/>
      <c r="L50" s="407"/>
      <c r="M50" s="407"/>
      <c r="N50" s="407"/>
      <c r="O50" s="407"/>
      <c r="P50" s="430"/>
      <c r="Q50" s="431"/>
    </row>
    <row r="51" spans="1:17" ht="14.4" customHeight="1" thickBot="1" x14ac:dyDescent="0.35">
      <c r="A51" s="410" t="s">
        <v>436</v>
      </c>
      <c r="B51" s="432" t="s">
        <v>362</v>
      </c>
      <c r="C51" s="432" t="s">
        <v>363</v>
      </c>
      <c r="D51" s="432" t="s">
        <v>370</v>
      </c>
      <c r="E51" s="432" t="s">
        <v>371</v>
      </c>
      <c r="F51" s="411">
        <v>12</v>
      </c>
      <c r="G51" s="411">
        <v>3828</v>
      </c>
      <c r="H51" s="411">
        <v>1</v>
      </c>
      <c r="I51" s="411">
        <v>319</v>
      </c>
      <c r="J51" s="411">
        <v>22</v>
      </c>
      <c r="K51" s="411">
        <v>7018</v>
      </c>
      <c r="L51" s="411">
        <v>1.8333333333333333</v>
      </c>
      <c r="M51" s="411">
        <v>319</v>
      </c>
      <c r="N51" s="411">
        <v>8</v>
      </c>
      <c r="O51" s="411">
        <v>2584</v>
      </c>
      <c r="P51" s="433">
        <v>0.67502612330198541</v>
      </c>
      <c r="Q51" s="434">
        <v>323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74" t="s">
        <v>95</v>
      </c>
      <c r="B1" s="274"/>
      <c r="C1" s="275"/>
      <c r="D1" s="275"/>
      <c r="E1" s="275"/>
    </row>
    <row r="2" spans="1:5" ht="14.4" customHeight="1" thickBot="1" x14ac:dyDescent="0.35">
      <c r="A2" s="195" t="s">
        <v>221</v>
      </c>
      <c r="B2" s="121"/>
    </row>
    <row r="3" spans="1:5" ht="14.4" customHeight="1" thickBot="1" x14ac:dyDescent="0.35">
      <c r="A3" s="124"/>
      <c r="C3" s="125" t="s">
        <v>85</v>
      </c>
      <c r="D3" s="126" t="s">
        <v>50</v>
      </c>
      <c r="E3" s="127" t="s">
        <v>52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1216.766848906705</v>
      </c>
      <c r="D4" s="130">
        <f ca="1">IF(ISERROR(VLOOKUP("Náklady celkem",INDIRECT("HI!$A:$G"),5,0)),0,VLOOKUP("Náklady celkem",INDIRECT("HI!$A:$G"),5,0))</f>
        <v>1177.440480000002</v>
      </c>
      <c r="E4" s="131">
        <f ca="1">IF(C4=0,0,D4/C4)</f>
        <v>0.96767961837385796</v>
      </c>
    </row>
    <row r="5" spans="1:5" ht="14.4" customHeight="1" x14ac:dyDescent="0.3">
      <c r="A5" s="132" t="s">
        <v>109</v>
      </c>
      <c r="B5" s="133"/>
      <c r="C5" s="134"/>
      <c r="D5" s="134"/>
      <c r="E5" s="135"/>
    </row>
    <row r="6" spans="1:5" ht="14.4" customHeight="1" x14ac:dyDescent="0.3">
      <c r="A6" s="136" t="s">
        <v>114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89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1" t="s">
        <v>110</v>
      </c>
      <c r="B8" s="137"/>
      <c r="C8" s="138"/>
      <c r="D8" s="138"/>
      <c r="E8" s="135"/>
    </row>
    <row r="9" spans="1:5" ht="14.4" customHeight="1" x14ac:dyDescent="0.3">
      <c r="A9" s="141" t="s">
        <v>111</v>
      </c>
      <c r="B9" s="137"/>
      <c r="C9" s="138"/>
      <c r="D9" s="138"/>
      <c r="E9" s="135"/>
    </row>
    <row r="10" spans="1:5" ht="14.4" customHeight="1" x14ac:dyDescent="0.3">
      <c r="A10" s="142" t="s">
        <v>115</v>
      </c>
      <c r="B10" s="137"/>
      <c r="C10" s="134"/>
      <c r="D10" s="134"/>
      <c r="E10" s="135"/>
    </row>
    <row r="11" spans="1:5" ht="14.4" customHeight="1" x14ac:dyDescent="0.3">
      <c r="A11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89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4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1172.6666297305085</v>
      </c>
      <c r="D12" s="134">
        <f ca="1">IF(ISERROR(VLOOKUP("Osobní náklady (Kč) *",INDIRECT("HI!$A:$G"),5,0)),0,VLOOKUP("Osobní náklady (Kč) *",INDIRECT("HI!$A:$G"),5,0))</f>
        <v>1137.3843100000011</v>
      </c>
      <c r="E12" s="135">
        <f ca="1">IF(C12=0,0,D12/C12)</f>
        <v>0.9699127451604761</v>
      </c>
    </row>
    <row r="13" spans="1:5" ht="14.4" customHeight="1" thickBot="1" x14ac:dyDescent="0.35">
      <c r="A13" s="148"/>
      <c r="B13" s="149"/>
      <c r="C13" s="150"/>
      <c r="D13" s="150"/>
      <c r="E13" s="151"/>
    </row>
    <row r="14" spans="1:5" ht="14.4" customHeight="1" thickBot="1" x14ac:dyDescent="0.35">
      <c r="A14" s="152" t="str">
        <f>HYPERLINK("#HI!A1","VÝNOSY CELKEM (v tisících)")</f>
        <v>VÝNOSY CELKEM (v tisících)</v>
      </c>
      <c r="B14" s="153"/>
      <c r="C14" s="154">
        <f ca="1">IF(ISERROR(VLOOKUP("Výnosy celkem",INDIRECT("HI!$A:$G"),6,0)),0,VLOOKUP("Výnosy celkem",INDIRECT("HI!$A:$G"),6,0))</f>
        <v>628.91</v>
      </c>
      <c r="D14" s="154">
        <f ca="1">IF(ISERROR(VLOOKUP("Výnosy celkem",INDIRECT("HI!$A:$G"),5,0)),0,VLOOKUP("Výnosy celkem",INDIRECT("HI!$A:$G"),5,0))</f>
        <v>627.84500000000003</v>
      </c>
      <c r="E14" s="155">
        <f t="shared" ref="E14:E17" ca="1" si="1">IF(C14=0,0,D14/C14)</f>
        <v>0.99830659394825982</v>
      </c>
    </row>
    <row r="15" spans="1:5" ht="14.4" customHeight="1" x14ac:dyDescent="0.3">
      <c r="A15" s="156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628.91</v>
      </c>
      <c r="D15" s="134">
        <f ca="1">IF(ISERROR(VLOOKUP("Ambulance *",INDIRECT("HI!$A:$G"),5,0)),0,VLOOKUP("Ambulance *",INDIRECT("HI!$A:$G"),5,0))</f>
        <v>627.84500000000003</v>
      </c>
      <c r="E15" s="135">
        <f t="shared" ca="1" si="1"/>
        <v>0.99830659394825982</v>
      </c>
    </row>
    <row r="16" spans="1:5" ht="14.4" customHeight="1" x14ac:dyDescent="0.3">
      <c r="A16" s="157" t="str">
        <f>HYPERLINK("#'ZV Vykáz.-A'!A1","Zdravotní výkony vykázané u ambulantních pacientů (min. 100 %)")</f>
        <v>Zdravotní výkony vykázané u ambulantních pacientů (min. 100 %)</v>
      </c>
      <c r="B16" s="120" t="s">
        <v>97</v>
      </c>
      <c r="C16" s="140">
        <v>1</v>
      </c>
      <c r="D16" s="140">
        <f>IF(ISERROR(VLOOKUP("Celkem:",'ZV Vykáz.-A'!$A:$S,7,0)),"",VLOOKUP("Celkem:",'ZV Vykáz.-A'!$A:$S,7,0))</f>
        <v>0.99830659394825971</v>
      </c>
      <c r="E16" s="135">
        <f t="shared" si="1"/>
        <v>0.99830659394825971</v>
      </c>
    </row>
    <row r="17" spans="1:5" ht="14.4" customHeight="1" x14ac:dyDescent="0.3">
      <c r="A17" s="157" t="str">
        <f>HYPERLINK("#'ZV Vykáz.-H'!A1","Zdravotní výkony vykázané u hospitalizovaných pacientů (max. 85 %)")</f>
        <v>Zdravotní výkony vykázané u hospitalizovaných pacientů (max. 85 %)</v>
      </c>
      <c r="B17" s="120" t="s">
        <v>99</v>
      </c>
      <c r="C17" s="140">
        <v>0.85</v>
      </c>
      <c r="D17" s="140">
        <f>IF(ISERROR(VLOOKUP("Celkem:",'ZV Vykáz.-H'!$A:$S,7,0)),"",VLOOKUP("Celkem:",'ZV Vykáz.-H'!$A:$S,7,0))</f>
        <v>1.0743005112542328</v>
      </c>
      <c r="E17" s="135">
        <f t="shared" si="1"/>
        <v>1.2638829544167445</v>
      </c>
    </row>
    <row r="18" spans="1:5" ht="14.4" customHeight="1" x14ac:dyDescent="0.3">
      <c r="A18" s="158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9" t="s">
        <v>112</v>
      </c>
      <c r="B19" s="145"/>
      <c r="C19" s="146"/>
      <c r="D19" s="146"/>
      <c r="E19" s="147"/>
    </row>
    <row r="20" spans="1:5" ht="14.4" customHeight="1" thickBot="1" x14ac:dyDescent="0.35">
      <c r="A20" s="160"/>
      <c r="B20" s="161"/>
      <c r="C20" s="162"/>
      <c r="D20" s="162"/>
      <c r="E20" s="163"/>
    </row>
    <row r="21" spans="1:5" ht="14.4" customHeight="1" thickBot="1" x14ac:dyDescent="0.35">
      <c r="A21" s="164" t="s">
        <v>113</v>
      </c>
      <c r="B21" s="165"/>
      <c r="C21" s="166"/>
      <c r="D21" s="166"/>
      <c r="E21" s="167"/>
    </row>
  </sheetData>
  <mergeCells count="1">
    <mergeCell ref="A1:E1"/>
  </mergeCells>
  <conditionalFormatting sqref="E5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74" t="s">
        <v>104</v>
      </c>
      <c r="B1" s="274"/>
      <c r="C1" s="274"/>
      <c r="D1" s="274"/>
      <c r="E1" s="274"/>
      <c r="F1" s="274"/>
      <c r="G1" s="275"/>
      <c r="H1" s="275"/>
    </row>
    <row r="2" spans="1:8" ht="14.4" customHeight="1" thickBot="1" x14ac:dyDescent="0.35">
      <c r="A2" s="195" t="s">
        <v>221</v>
      </c>
      <c r="B2" s="83"/>
      <c r="C2" s="83"/>
      <c r="D2" s="83"/>
      <c r="E2" s="83"/>
      <c r="F2" s="83"/>
    </row>
    <row r="3" spans="1:8" ht="14.4" customHeight="1" x14ac:dyDescent="0.3">
      <c r="A3" s="276"/>
      <c r="B3" s="79">
        <v>2013</v>
      </c>
      <c r="C3" s="40">
        <v>2014</v>
      </c>
      <c r="D3" s="7"/>
      <c r="E3" s="280">
        <v>2015</v>
      </c>
      <c r="F3" s="281"/>
      <c r="G3" s="281"/>
      <c r="H3" s="282"/>
    </row>
    <row r="4" spans="1:8" ht="14.4" customHeight="1" thickBot="1" x14ac:dyDescent="0.35">
      <c r="A4" s="277"/>
      <c r="B4" s="278" t="s">
        <v>50</v>
      </c>
      <c r="C4" s="279"/>
      <c r="D4" s="7"/>
      <c r="E4" s="100" t="s">
        <v>50</v>
      </c>
      <c r="F4" s="81" t="s">
        <v>51</v>
      </c>
      <c r="G4" s="81" t="s">
        <v>45</v>
      </c>
      <c r="H4" s="82" t="s">
        <v>52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1020.71189</v>
      </c>
      <c r="C7" s="31">
        <v>1078.9884100000031</v>
      </c>
      <c r="D7" s="8"/>
      <c r="E7" s="90">
        <v>1137.3843100000011</v>
      </c>
      <c r="F7" s="30">
        <v>1172.6666297305085</v>
      </c>
      <c r="G7" s="91">
        <f>E7-F7</f>
        <v>-35.282319730507425</v>
      </c>
      <c r="H7" s="95">
        <f>IF(F7&lt;0.00000001,"",E7/F7)</f>
        <v>0.9699127451604761</v>
      </c>
    </row>
    <row r="8" spans="1:8" ht="14.4" customHeight="1" thickBot="1" x14ac:dyDescent="0.35">
      <c r="A8" s="1" t="s">
        <v>53</v>
      </c>
      <c r="B8" s="11">
        <v>42.301539999999932</v>
      </c>
      <c r="C8" s="33">
        <v>33.854209999999966</v>
      </c>
      <c r="D8" s="8"/>
      <c r="E8" s="92">
        <v>40.056170000000975</v>
      </c>
      <c r="F8" s="32">
        <v>44.100219176196561</v>
      </c>
      <c r="G8" s="93">
        <f>E8-F8</f>
        <v>-4.0440491761955855</v>
      </c>
      <c r="H8" s="96">
        <f>IF(F8&lt;0.00000001,"",E8/F8)</f>
        <v>0.90829866037540252</v>
      </c>
    </row>
    <row r="9" spans="1:8" ht="14.4" customHeight="1" thickBot="1" x14ac:dyDescent="0.35">
      <c r="A9" s="2" t="s">
        <v>54</v>
      </c>
      <c r="B9" s="3">
        <v>1063.01343</v>
      </c>
      <c r="C9" s="35">
        <v>1112.8426200000031</v>
      </c>
      <c r="D9" s="8"/>
      <c r="E9" s="3">
        <v>1177.440480000002</v>
      </c>
      <c r="F9" s="34">
        <v>1216.766848906705</v>
      </c>
      <c r="G9" s="34">
        <f>E9-F9</f>
        <v>-39.32636890670301</v>
      </c>
      <c r="H9" s="97">
        <f>IF(F9&lt;0.00000001,"",E9/F9)</f>
        <v>0.96767961837385796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628.91</v>
      </c>
      <c r="C11" s="29">
        <f>IF(ISERROR(VLOOKUP("Celkem:",'ZV Vykáz.-A'!A:F,4,0)),0,VLOOKUP("Celkem:",'ZV Vykáz.-A'!A:F,4,0)/1000)</f>
        <v>661.33</v>
      </c>
      <c r="D11" s="8"/>
      <c r="E11" s="89">
        <f>IF(ISERROR(VLOOKUP("Celkem:",'ZV Vykáz.-A'!A:F,6,0)),0,VLOOKUP("Celkem:",'ZV Vykáz.-A'!A:F,6,0)/1000)</f>
        <v>627.84500000000003</v>
      </c>
      <c r="F11" s="28">
        <f>B11</f>
        <v>628.91</v>
      </c>
      <c r="G11" s="88">
        <f>E11-F11</f>
        <v>-1.0649999999999409</v>
      </c>
      <c r="H11" s="94">
        <f>IF(F11&lt;0.00000001,"",E11/F11)</f>
        <v>0.99830659394825982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57</v>
      </c>
      <c r="B13" s="5">
        <f>SUM(B11:B12)</f>
        <v>628.91</v>
      </c>
      <c r="C13" s="37">
        <f>SUM(C11:C12)</f>
        <v>661.33</v>
      </c>
      <c r="D13" s="8"/>
      <c r="E13" s="5">
        <f>SUM(E11:E12)</f>
        <v>627.84500000000003</v>
      </c>
      <c r="F13" s="36">
        <f>SUM(F11:F12)</f>
        <v>628.91</v>
      </c>
      <c r="G13" s="36">
        <f>E13-F13</f>
        <v>-1.0649999999999409</v>
      </c>
      <c r="H13" s="98">
        <f>IF(F13&lt;0.00000001,"",E13/F13)</f>
        <v>0.99830659394825982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0.59162940208572901</v>
      </c>
      <c r="C15" s="39">
        <f>IF(C9=0,"",C13/C9)</f>
        <v>0.59427091316829528</v>
      </c>
      <c r="D15" s="8"/>
      <c r="E15" s="6">
        <f>IF(E9=0,"",E13/E9)</f>
        <v>0.5332286520334335</v>
      </c>
      <c r="F15" s="38">
        <f>IF(F9=0,"",F13/F9)</f>
        <v>0.51686976890033709</v>
      </c>
      <c r="G15" s="38">
        <f>IF(ISERROR(F15-E15),"",E15-F15)</f>
        <v>1.6358883133096414E-2</v>
      </c>
      <c r="H15" s="99">
        <f>IF(ISERROR(F15-E15),"",IF(F15&lt;0.00000001,"",E15/F15))</f>
        <v>1.0316499128356851</v>
      </c>
    </row>
    <row r="17" spans="1:8" ht="14.4" customHeight="1" x14ac:dyDescent="0.3">
      <c r="A17" s="85" t="s">
        <v>116</v>
      </c>
    </row>
    <row r="18" spans="1:8" ht="14.4" customHeight="1" x14ac:dyDescent="0.3">
      <c r="A18" s="248" t="s">
        <v>154</v>
      </c>
      <c r="B18" s="249"/>
      <c r="C18" s="249"/>
      <c r="D18" s="249"/>
      <c r="E18" s="249"/>
      <c r="F18" s="249"/>
      <c r="G18" s="249"/>
      <c r="H18" s="249"/>
    </row>
    <row r="19" spans="1:8" x14ac:dyDescent="0.3">
      <c r="A19" s="247" t="s">
        <v>153</v>
      </c>
      <c r="B19" s="249"/>
      <c r="C19" s="249"/>
      <c r="D19" s="249"/>
      <c r="E19" s="249"/>
      <c r="F19" s="249"/>
      <c r="G19" s="249"/>
      <c r="H19" s="249"/>
    </row>
    <row r="20" spans="1:8" ht="14.4" customHeight="1" x14ac:dyDescent="0.3">
      <c r="A20" s="86" t="s">
        <v>197</v>
      </c>
    </row>
    <row r="21" spans="1:8" ht="14.4" customHeight="1" x14ac:dyDescent="0.3">
      <c r="A21" s="86" t="s">
        <v>117</v>
      </c>
    </row>
    <row r="22" spans="1:8" ht="14.4" customHeight="1" x14ac:dyDescent="0.3">
      <c r="A22" s="87" t="s">
        <v>118</v>
      </c>
    </row>
    <row r="23" spans="1:8" ht="14.4" customHeight="1" x14ac:dyDescent="0.3">
      <c r="A23" s="87" t="s">
        <v>119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74" t="s">
        <v>82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3" ht="14.4" customHeight="1" x14ac:dyDescent="0.3">
      <c r="A2" s="195" t="s">
        <v>221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59</v>
      </c>
      <c r="C3" s="170" t="s">
        <v>60</v>
      </c>
      <c r="D3" s="170" t="s">
        <v>61</v>
      </c>
      <c r="E3" s="169" t="s">
        <v>62</v>
      </c>
      <c r="F3" s="170" t="s">
        <v>63</v>
      </c>
      <c r="G3" s="170" t="s">
        <v>64</v>
      </c>
      <c r="H3" s="170" t="s">
        <v>65</v>
      </c>
      <c r="I3" s="170" t="s">
        <v>66</v>
      </c>
      <c r="J3" s="170" t="s">
        <v>67</v>
      </c>
      <c r="K3" s="170" t="s">
        <v>68</v>
      </c>
      <c r="L3" s="170" t="s">
        <v>69</v>
      </c>
      <c r="M3" s="170" t="s">
        <v>70</v>
      </c>
    </row>
    <row r="4" spans="1:13" ht="14.4" customHeight="1" x14ac:dyDescent="0.3">
      <c r="A4" s="168" t="s">
        <v>58</v>
      </c>
      <c r="B4" s="171">
        <f>(B10+B8)/B6</f>
        <v>0.58202605353723247</v>
      </c>
      <c r="C4" s="171">
        <f t="shared" ref="C4:M4" si="0">(C10+C8)/C6</f>
        <v>0.5332286520334335</v>
      </c>
      <c r="D4" s="171">
        <f t="shared" si="0"/>
        <v>0.5332286520334335</v>
      </c>
      <c r="E4" s="171">
        <f t="shared" si="0"/>
        <v>0.5332286520334335</v>
      </c>
      <c r="F4" s="171">
        <f t="shared" si="0"/>
        <v>0.5332286520334335</v>
      </c>
      <c r="G4" s="171">
        <f t="shared" si="0"/>
        <v>0.5332286520334335</v>
      </c>
      <c r="H4" s="171">
        <f t="shared" si="0"/>
        <v>0.5332286520334335</v>
      </c>
      <c r="I4" s="171">
        <f t="shared" si="0"/>
        <v>0.5332286520334335</v>
      </c>
      <c r="J4" s="171">
        <f t="shared" si="0"/>
        <v>0.5332286520334335</v>
      </c>
      <c r="K4" s="171">
        <f t="shared" si="0"/>
        <v>0.5332286520334335</v>
      </c>
      <c r="L4" s="171">
        <f t="shared" si="0"/>
        <v>0.5332286520334335</v>
      </c>
      <c r="M4" s="171">
        <f t="shared" si="0"/>
        <v>0.5332286520334335</v>
      </c>
    </row>
    <row r="5" spans="1:13" ht="14.4" customHeight="1" x14ac:dyDescent="0.3">
      <c r="A5" s="172" t="s">
        <v>30</v>
      </c>
      <c r="B5" s="171">
        <f>IF(ISERROR(VLOOKUP($A5,'Man Tab'!$A:$Q,COLUMN()+2,0)),0,VLOOKUP($A5,'Man Tab'!$A:$Q,COLUMN()+2,0))</f>
        <v>596.21385999999995</v>
      </c>
      <c r="C5" s="171">
        <f>IF(ISERROR(VLOOKUP($A5,'Man Tab'!$A:$Q,COLUMN()+2,0)),0,VLOOKUP($A5,'Man Tab'!$A:$Q,COLUMN()+2,0))</f>
        <v>581.22662000000196</v>
      </c>
      <c r="D5" s="171">
        <f>IF(ISERROR(VLOOKUP($A5,'Man Tab'!$A:$Q,COLUMN()+2,0)),0,VLOOKUP($A5,'Man Tab'!$A:$Q,COLUMN()+2,0))</f>
        <v>0</v>
      </c>
      <c r="E5" s="171">
        <f>IF(ISERROR(VLOOKUP($A5,'Man Tab'!$A:$Q,COLUMN()+2,0)),0,VLOOKUP($A5,'Man Tab'!$A:$Q,COLUMN()+2,0))</f>
        <v>0</v>
      </c>
      <c r="F5" s="171">
        <f>IF(ISERROR(VLOOKUP($A5,'Man Tab'!$A:$Q,COLUMN()+2,0)),0,VLOOKUP($A5,'Man Tab'!$A:$Q,COLUMN()+2,0))</f>
        <v>0</v>
      </c>
      <c r="G5" s="171">
        <f>IF(ISERROR(VLOOKUP($A5,'Man Tab'!$A:$Q,COLUMN()+2,0)),0,VLOOKUP($A5,'Man Tab'!$A:$Q,COLUMN()+2,0))</f>
        <v>0</v>
      </c>
      <c r="H5" s="171">
        <f>IF(ISERROR(VLOOKUP($A5,'Man Tab'!$A:$Q,COLUMN()+2,0)),0,VLOOKUP($A5,'Man Tab'!$A:$Q,COLUMN()+2,0))</f>
        <v>0</v>
      </c>
      <c r="I5" s="171">
        <f>IF(ISERROR(VLOOKUP($A5,'Man Tab'!$A:$Q,COLUMN()+2,0)),0,VLOOKUP($A5,'Man Tab'!$A:$Q,COLUMN()+2,0))</f>
        <v>0</v>
      </c>
      <c r="J5" s="171">
        <f>IF(ISERROR(VLOOKUP($A5,'Man Tab'!$A:$Q,COLUMN()+2,0)),0,VLOOKUP($A5,'Man Tab'!$A:$Q,COLUMN()+2,0))</f>
        <v>0</v>
      </c>
      <c r="K5" s="171">
        <f>IF(ISERROR(VLOOKUP($A5,'Man Tab'!$A:$Q,COLUMN()+2,0)),0,VLOOKUP($A5,'Man Tab'!$A:$Q,COLUMN()+2,0))</f>
        <v>0</v>
      </c>
      <c r="L5" s="171">
        <f>IF(ISERROR(VLOOKUP($A5,'Man Tab'!$A:$Q,COLUMN()+2,0)),0,VLOOKUP($A5,'Man Tab'!$A:$Q,COLUMN()+2,0))</f>
        <v>0</v>
      </c>
      <c r="M5" s="171">
        <f>IF(ISERROR(VLOOKUP($A5,'Man Tab'!$A:$Q,COLUMN()+2,0)),0,VLOOKUP($A5,'Man Tab'!$A:$Q,COLUMN()+2,0))</f>
        <v>0</v>
      </c>
    </row>
    <row r="6" spans="1:13" ht="14.4" customHeight="1" x14ac:dyDescent="0.3">
      <c r="A6" s="172" t="s">
        <v>54</v>
      </c>
      <c r="B6" s="173">
        <f>B5</f>
        <v>596.21385999999995</v>
      </c>
      <c r="C6" s="173">
        <f t="shared" ref="C6:M6" si="1">C5+B6</f>
        <v>1177.440480000002</v>
      </c>
      <c r="D6" s="173">
        <f t="shared" si="1"/>
        <v>1177.440480000002</v>
      </c>
      <c r="E6" s="173">
        <f t="shared" si="1"/>
        <v>1177.440480000002</v>
      </c>
      <c r="F6" s="173">
        <f t="shared" si="1"/>
        <v>1177.440480000002</v>
      </c>
      <c r="G6" s="173">
        <f t="shared" si="1"/>
        <v>1177.440480000002</v>
      </c>
      <c r="H6" s="173">
        <f t="shared" si="1"/>
        <v>1177.440480000002</v>
      </c>
      <c r="I6" s="173">
        <f t="shared" si="1"/>
        <v>1177.440480000002</v>
      </c>
      <c r="J6" s="173">
        <f t="shared" si="1"/>
        <v>1177.440480000002</v>
      </c>
      <c r="K6" s="173">
        <f t="shared" si="1"/>
        <v>1177.440480000002</v>
      </c>
      <c r="L6" s="173">
        <f t="shared" si="1"/>
        <v>1177.440480000002</v>
      </c>
      <c r="M6" s="173">
        <f t="shared" si="1"/>
        <v>1177.440480000002</v>
      </c>
    </row>
    <row r="7" spans="1:13" ht="14.4" customHeight="1" x14ac:dyDescent="0.3">
      <c r="A7" s="172" t="s">
        <v>80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55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81</v>
      </c>
      <c r="B9" s="172">
        <v>347012</v>
      </c>
      <c r="C9" s="172">
        <v>280833</v>
      </c>
      <c r="D9" s="172">
        <v>0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pans="1:13" ht="14.4" customHeight="1" x14ac:dyDescent="0.3">
      <c r="A10" s="172" t="s">
        <v>56</v>
      </c>
      <c r="B10" s="173">
        <f>B9/1000</f>
        <v>347.012</v>
      </c>
      <c r="C10" s="173">
        <f t="shared" ref="C10:M10" si="3">C9/1000+B10</f>
        <v>627.84500000000003</v>
      </c>
      <c r="D10" s="173">
        <f t="shared" si="3"/>
        <v>627.84500000000003</v>
      </c>
      <c r="E10" s="173">
        <f t="shared" si="3"/>
        <v>627.84500000000003</v>
      </c>
      <c r="F10" s="173">
        <f t="shared" si="3"/>
        <v>627.84500000000003</v>
      </c>
      <c r="G10" s="173">
        <f t="shared" si="3"/>
        <v>627.84500000000003</v>
      </c>
      <c r="H10" s="173">
        <f t="shared" si="3"/>
        <v>627.84500000000003</v>
      </c>
      <c r="I10" s="173">
        <f t="shared" si="3"/>
        <v>627.84500000000003</v>
      </c>
      <c r="J10" s="173">
        <f t="shared" si="3"/>
        <v>627.84500000000003</v>
      </c>
      <c r="K10" s="173">
        <f t="shared" si="3"/>
        <v>627.84500000000003</v>
      </c>
      <c r="L10" s="173">
        <f t="shared" si="3"/>
        <v>627.84500000000003</v>
      </c>
      <c r="M10" s="173">
        <f t="shared" si="3"/>
        <v>627.84500000000003</v>
      </c>
    </row>
    <row r="11" spans="1:13" ht="14.4" customHeight="1" x14ac:dyDescent="0.3">
      <c r="A11" s="168"/>
      <c r="B11" s="168" t="s">
        <v>71</v>
      </c>
      <c r="C11" s="168">
        <f ca="1">IF(MONTH(TODAY())=1,12,MONTH(TODAY())-1)</f>
        <v>2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0.51686976890033709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0.51686976890033709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83" t="s">
        <v>223</v>
      </c>
      <c r="B1" s="283"/>
      <c r="C1" s="283"/>
      <c r="D1" s="283"/>
      <c r="E1" s="283"/>
      <c r="F1" s="283"/>
      <c r="G1" s="283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s="174" customFormat="1" ht="14.4" customHeight="1" thickBot="1" x14ac:dyDescent="0.3">
      <c r="A2" s="195" t="s">
        <v>221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84" t="s">
        <v>6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110"/>
      <c r="Q3" s="112"/>
    </row>
    <row r="4" spans="1:17" ht="14.4" customHeight="1" x14ac:dyDescent="0.3">
      <c r="A4" s="60"/>
      <c r="B4" s="20">
        <v>2015</v>
      </c>
      <c r="C4" s="111" t="s">
        <v>7</v>
      </c>
      <c r="D4" s="101" t="s">
        <v>200</v>
      </c>
      <c r="E4" s="101" t="s">
        <v>201</v>
      </c>
      <c r="F4" s="101" t="s">
        <v>202</v>
      </c>
      <c r="G4" s="101" t="s">
        <v>203</v>
      </c>
      <c r="H4" s="101" t="s">
        <v>204</v>
      </c>
      <c r="I4" s="101" t="s">
        <v>205</v>
      </c>
      <c r="J4" s="101" t="s">
        <v>206</v>
      </c>
      <c r="K4" s="101" t="s">
        <v>207</v>
      </c>
      <c r="L4" s="101" t="s">
        <v>208</v>
      </c>
      <c r="M4" s="101" t="s">
        <v>209</v>
      </c>
      <c r="N4" s="101" t="s">
        <v>210</v>
      </c>
      <c r="O4" s="101" t="s">
        <v>211</v>
      </c>
      <c r="P4" s="286" t="s">
        <v>3</v>
      </c>
      <c r="Q4" s="287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222</v>
      </c>
    </row>
    <row r="7" spans="1:17" ht="14.4" customHeight="1" x14ac:dyDescent="0.3">
      <c r="A7" s="15" t="s">
        <v>12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222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222</v>
      </c>
    </row>
    <row r="9" spans="1:17" ht="14.4" customHeight="1" x14ac:dyDescent="0.3">
      <c r="A9" s="15" t="s">
        <v>14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222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222</v>
      </c>
    </row>
    <row r="11" spans="1:17" ht="14.4" customHeight="1" x14ac:dyDescent="0.3">
      <c r="A11" s="15" t="s">
        <v>16</v>
      </c>
      <c r="B11" s="46">
        <v>22.759865528254</v>
      </c>
      <c r="C11" s="47">
        <v>1.8966554606870001</v>
      </c>
      <c r="D11" s="47">
        <v>0.48709999999999998</v>
      </c>
      <c r="E11" s="47">
        <v>1.06237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1.5494699999999999</v>
      </c>
      <c r="Q11" s="70">
        <v>0.40847429385900003</v>
      </c>
    </row>
    <row r="12" spans="1:17" ht="14.4" customHeight="1" x14ac:dyDescent="0.3">
      <c r="A12" s="15" t="s">
        <v>17</v>
      </c>
      <c r="B12" s="46">
        <v>0.99999996850200001</v>
      </c>
      <c r="C12" s="47">
        <v>8.3333330708000003E-2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>
        <v>0</v>
      </c>
    </row>
    <row r="13" spans="1:17" ht="14.4" customHeight="1" x14ac:dyDescent="0.3">
      <c r="A13" s="15" t="s">
        <v>18</v>
      </c>
      <c r="B13" s="46">
        <v>2.9999999055069999</v>
      </c>
      <c r="C13" s="47">
        <v>0.24999999212499999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>
        <v>0</v>
      </c>
    </row>
    <row r="14" spans="1:17" ht="14.4" customHeight="1" x14ac:dyDescent="0.3">
      <c r="A14" s="15" t="s">
        <v>19</v>
      </c>
      <c r="B14" s="46">
        <v>85.694050698287995</v>
      </c>
      <c r="C14" s="47">
        <v>7.1411708915240002</v>
      </c>
      <c r="D14" s="47">
        <v>11.471</v>
      </c>
      <c r="E14" s="47">
        <v>9.6959999999999997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21.167000000000002</v>
      </c>
      <c r="Q14" s="70">
        <v>1.4820398728390001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222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222</v>
      </c>
    </row>
    <row r="17" spans="1:17" ht="14.4" customHeight="1" x14ac:dyDescent="0.3">
      <c r="A17" s="15" t="s">
        <v>22</v>
      </c>
      <c r="B17" s="46">
        <v>24.539564812719998</v>
      </c>
      <c r="C17" s="47">
        <v>2.0449637343929998</v>
      </c>
      <c r="D17" s="47">
        <v>1.8754999999999999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1.8754999999999999</v>
      </c>
      <c r="Q17" s="70">
        <v>0.45856558931899999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222</v>
      </c>
    </row>
    <row r="19" spans="1:17" ht="14.4" customHeight="1" x14ac:dyDescent="0.3">
      <c r="A19" s="15" t="s">
        <v>24</v>
      </c>
      <c r="B19" s="46">
        <v>84.607850376524993</v>
      </c>
      <c r="C19" s="47">
        <v>7.0506541980430004</v>
      </c>
      <c r="D19" s="47">
        <v>4.5395599999999998</v>
      </c>
      <c r="E19" s="47">
        <v>3.8446400000000001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8.3841999999999999</v>
      </c>
      <c r="Q19" s="70">
        <v>0.59456894101500002</v>
      </c>
    </row>
    <row r="20" spans="1:17" ht="14.4" customHeight="1" x14ac:dyDescent="0.3">
      <c r="A20" s="15" t="s">
        <v>25</v>
      </c>
      <c r="B20" s="46">
        <v>7035.9997783830504</v>
      </c>
      <c r="C20" s="47">
        <v>586.33331486525401</v>
      </c>
      <c r="D20" s="47">
        <v>574.30070000000001</v>
      </c>
      <c r="E20" s="47">
        <v>563.08361000000104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1137.3843099999999</v>
      </c>
      <c r="Q20" s="70">
        <v>0.96991274516000003</v>
      </c>
    </row>
    <row r="21" spans="1:17" ht="14.4" customHeight="1" x14ac:dyDescent="0.3">
      <c r="A21" s="16" t="s">
        <v>26</v>
      </c>
      <c r="B21" s="46">
        <v>42.999983767379</v>
      </c>
      <c r="C21" s="47">
        <v>3.583331980614</v>
      </c>
      <c r="D21" s="47">
        <v>3.54</v>
      </c>
      <c r="E21" s="47">
        <v>3.54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7.08</v>
      </c>
      <c r="Q21" s="70">
        <v>0.98790734968100002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222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222</v>
      </c>
    </row>
    <row r="24" spans="1:17" ht="14.4" customHeight="1" x14ac:dyDescent="0.3">
      <c r="A24" s="16" t="s">
        <v>29</v>
      </c>
      <c r="B24" s="46">
        <v>9.0949470177292804E-13</v>
      </c>
      <c r="C24" s="47">
        <v>1.13686837721616E-13</v>
      </c>
      <c r="D24" s="47">
        <v>1.13686837721616E-13</v>
      </c>
      <c r="E24" s="47">
        <v>1.13686837721616E-13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2.2737367544323201E-13</v>
      </c>
      <c r="Q24" s="70"/>
    </row>
    <row r="25" spans="1:17" ht="14.4" customHeight="1" x14ac:dyDescent="0.3">
      <c r="A25" s="17" t="s">
        <v>30</v>
      </c>
      <c r="B25" s="49">
        <v>7300.6010934402302</v>
      </c>
      <c r="C25" s="50">
        <v>608.38342445335297</v>
      </c>
      <c r="D25" s="50">
        <v>596.21385999999995</v>
      </c>
      <c r="E25" s="50">
        <v>581.22662000000196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1177.44048</v>
      </c>
      <c r="Q25" s="71">
        <v>0.96767961837299998</v>
      </c>
    </row>
    <row r="26" spans="1:17" ht="14.4" customHeight="1" x14ac:dyDescent="0.3">
      <c r="A26" s="15" t="s">
        <v>31</v>
      </c>
      <c r="B26" s="46">
        <v>0</v>
      </c>
      <c r="C26" s="47">
        <v>0</v>
      </c>
      <c r="D26" s="47">
        <v>73.693659999999994</v>
      </c>
      <c r="E26" s="47">
        <v>78.450239999999994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152.1439</v>
      </c>
      <c r="Q26" s="70" t="s">
        <v>222</v>
      </c>
    </row>
    <row r="27" spans="1:17" ht="14.4" customHeight="1" x14ac:dyDescent="0.3">
      <c r="A27" s="18" t="s">
        <v>32</v>
      </c>
      <c r="B27" s="49">
        <v>7300.6010934402302</v>
      </c>
      <c r="C27" s="50">
        <v>608.38342445335297</v>
      </c>
      <c r="D27" s="50">
        <v>669.90751999999998</v>
      </c>
      <c r="E27" s="50">
        <v>659.67686000000197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1329.58438</v>
      </c>
      <c r="Q27" s="71">
        <v>1.0927191032479999</v>
      </c>
    </row>
    <row r="28" spans="1:17" ht="14.4" customHeight="1" x14ac:dyDescent="0.3">
      <c r="A28" s="16" t="s">
        <v>33</v>
      </c>
      <c r="B28" s="46">
        <v>21.588098358027001</v>
      </c>
      <c r="C28" s="47">
        <v>1.7990081965019999</v>
      </c>
      <c r="D28" s="47">
        <v>2.2051099999999999</v>
      </c>
      <c r="E28" s="47">
        <v>9.5720100000000006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11.77712</v>
      </c>
      <c r="Q28" s="70">
        <v>3.2732257759849999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222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222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116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220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83" t="s">
        <v>38</v>
      </c>
      <c r="B1" s="283"/>
      <c r="C1" s="283"/>
      <c r="D1" s="283"/>
      <c r="E1" s="283"/>
      <c r="F1" s="283"/>
      <c r="G1" s="283"/>
      <c r="H1" s="288"/>
      <c r="I1" s="288"/>
      <c r="J1" s="288"/>
      <c r="K1" s="288"/>
    </row>
    <row r="2" spans="1:11" s="55" customFormat="1" ht="14.4" customHeight="1" thickBot="1" x14ac:dyDescent="0.35">
      <c r="A2" s="195" t="s">
        <v>221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84" t="s">
        <v>39</v>
      </c>
      <c r="C3" s="285"/>
      <c r="D3" s="285"/>
      <c r="E3" s="285"/>
      <c r="F3" s="291" t="s">
        <v>40</v>
      </c>
      <c r="G3" s="285"/>
      <c r="H3" s="285"/>
      <c r="I3" s="285"/>
      <c r="J3" s="285"/>
      <c r="K3" s="292"/>
    </row>
    <row r="4" spans="1:11" ht="14.4" customHeight="1" x14ac:dyDescent="0.3">
      <c r="A4" s="60"/>
      <c r="B4" s="289"/>
      <c r="C4" s="290"/>
      <c r="D4" s="290"/>
      <c r="E4" s="290"/>
      <c r="F4" s="293" t="s">
        <v>216</v>
      </c>
      <c r="G4" s="295" t="s">
        <v>41</v>
      </c>
      <c r="H4" s="113" t="s">
        <v>108</v>
      </c>
      <c r="I4" s="293" t="s">
        <v>42</v>
      </c>
      <c r="J4" s="295" t="s">
        <v>218</v>
      </c>
      <c r="K4" s="296" t="s">
        <v>219</v>
      </c>
    </row>
    <row r="5" spans="1:11" ht="42" thickBot="1" x14ac:dyDescent="0.35">
      <c r="A5" s="61"/>
      <c r="B5" s="24" t="s">
        <v>212</v>
      </c>
      <c r="C5" s="25" t="s">
        <v>213</v>
      </c>
      <c r="D5" s="26" t="s">
        <v>214</v>
      </c>
      <c r="E5" s="26" t="s">
        <v>215</v>
      </c>
      <c r="F5" s="294"/>
      <c r="G5" s="294"/>
      <c r="H5" s="25" t="s">
        <v>217</v>
      </c>
      <c r="I5" s="294"/>
      <c r="J5" s="294"/>
      <c r="K5" s="297"/>
    </row>
    <row r="6" spans="1:11" ht="14.4" customHeight="1" thickBot="1" x14ac:dyDescent="0.35">
      <c r="A6" s="347" t="s">
        <v>224</v>
      </c>
      <c r="B6" s="329">
        <v>7223.1358573261996</v>
      </c>
      <c r="C6" s="329">
        <v>7190.9583300000004</v>
      </c>
      <c r="D6" s="330">
        <v>-32.177527326198003</v>
      </c>
      <c r="E6" s="331">
        <v>0.99554521360699999</v>
      </c>
      <c r="F6" s="329">
        <v>7300.6010934402302</v>
      </c>
      <c r="G6" s="330">
        <v>1216.76684890671</v>
      </c>
      <c r="H6" s="332">
        <v>581.22662000000196</v>
      </c>
      <c r="I6" s="329">
        <v>1177.44048</v>
      </c>
      <c r="J6" s="330">
        <v>-39.326368906703998</v>
      </c>
      <c r="K6" s="333">
        <v>0.16127993639499999</v>
      </c>
    </row>
    <row r="7" spans="1:11" ht="14.4" customHeight="1" thickBot="1" x14ac:dyDescent="0.35">
      <c r="A7" s="348" t="s">
        <v>225</v>
      </c>
      <c r="B7" s="329">
        <v>148.68150012419201</v>
      </c>
      <c r="C7" s="329">
        <v>124.78225</v>
      </c>
      <c r="D7" s="330">
        <v>-23.899250124192001</v>
      </c>
      <c r="E7" s="331">
        <v>0.83925875038700004</v>
      </c>
      <c r="F7" s="329">
        <v>112.45391610055199</v>
      </c>
      <c r="G7" s="330">
        <v>18.742319350092</v>
      </c>
      <c r="H7" s="332">
        <v>10.758369999999999</v>
      </c>
      <c r="I7" s="329">
        <v>22.716470000000001</v>
      </c>
      <c r="J7" s="330">
        <v>3.9741506499080002</v>
      </c>
      <c r="K7" s="333">
        <v>0.20200692681599999</v>
      </c>
    </row>
    <row r="8" spans="1:11" ht="14.4" customHeight="1" thickBot="1" x14ac:dyDescent="0.35">
      <c r="A8" s="349" t="s">
        <v>226</v>
      </c>
      <c r="B8" s="329">
        <v>58.586599890715</v>
      </c>
      <c r="C8" s="329">
        <v>42.981250000000003</v>
      </c>
      <c r="D8" s="330">
        <v>-15.605349890715001</v>
      </c>
      <c r="E8" s="331">
        <v>0.73363619121300006</v>
      </c>
      <c r="F8" s="329">
        <v>26.759865402264001</v>
      </c>
      <c r="G8" s="330">
        <v>4.4599775670439996</v>
      </c>
      <c r="H8" s="332">
        <v>1.06237</v>
      </c>
      <c r="I8" s="329">
        <v>1.5494699999999999</v>
      </c>
      <c r="J8" s="330">
        <v>-2.9105075670440002</v>
      </c>
      <c r="K8" s="333">
        <v>5.7902757606999998E-2</v>
      </c>
    </row>
    <row r="9" spans="1:11" ht="14.4" customHeight="1" thickBot="1" x14ac:dyDescent="0.35">
      <c r="A9" s="350" t="s">
        <v>227</v>
      </c>
      <c r="B9" s="334">
        <v>55.702476088228998</v>
      </c>
      <c r="C9" s="334">
        <v>39.097790000000003</v>
      </c>
      <c r="D9" s="335">
        <v>-16.604686088228998</v>
      </c>
      <c r="E9" s="336">
        <v>0.70190398606399995</v>
      </c>
      <c r="F9" s="334">
        <v>22.759865528254</v>
      </c>
      <c r="G9" s="335">
        <v>3.7933109213749998</v>
      </c>
      <c r="H9" s="337">
        <v>1.06237</v>
      </c>
      <c r="I9" s="334">
        <v>1.5494699999999999</v>
      </c>
      <c r="J9" s="335">
        <v>-2.2438409213749999</v>
      </c>
      <c r="K9" s="338">
        <v>6.8079048976000006E-2</v>
      </c>
    </row>
    <row r="10" spans="1:11" ht="14.4" customHeight="1" thickBot="1" x14ac:dyDescent="0.35">
      <c r="A10" s="351" t="s">
        <v>228</v>
      </c>
      <c r="B10" s="329">
        <v>1.4830251625590001</v>
      </c>
      <c r="C10" s="329">
        <v>0.17999999999899999</v>
      </c>
      <c r="D10" s="330">
        <v>-1.3030251625589999</v>
      </c>
      <c r="E10" s="331">
        <v>0.121373530634</v>
      </c>
      <c r="F10" s="329">
        <v>0.95715506856300003</v>
      </c>
      <c r="G10" s="330">
        <v>0.15952584476000001</v>
      </c>
      <c r="H10" s="332">
        <v>0</v>
      </c>
      <c r="I10" s="329">
        <v>0</v>
      </c>
      <c r="J10" s="330">
        <v>-0.15952584476000001</v>
      </c>
      <c r="K10" s="333">
        <v>0</v>
      </c>
    </row>
    <row r="11" spans="1:11" ht="14.4" customHeight="1" thickBot="1" x14ac:dyDescent="0.35">
      <c r="A11" s="351" t="s">
        <v>229</v>
      </c>
      <c r="B11" s="329">
        <v>0.24399972333299999</v>
      </c>
      <c r="C11" s="329">
        <v>0.51312000000000002</v>
      </c>
      <c r="D11" s="330">
        <v>0.26912027666600002</v>
      </c>
      <c r="E11" s="331">
        <v>2.1029532041680001</v>
      </c>
      <c r="F11" s="329">
        <v>0.99999996850200001</v>
      </c>
      <c r="G11" s="330">
        <v>0.16666666141700001</v>
      </c>
      <c r="H11" s="332">
        <v>0</v>
      </c>
      <c r="I11" s="329">
        <v>0</v>
      </c>
      <c r="J11" s="330">
        <v>-0.16666666141700001</v>
      </c>
      <c r="K11" s="333">
        <v>0</v>
      </c>
    </row>
    <row r="12" spans="1:11" ht="14.4" customHeight="1" thickBot="1" x14ac:dyDescent="0.35">
      <c r="A12" s="351" t="s">
        <v>230</v>
      </c>
      <c r="B12" s="329">
        <v>46.69464316482</v>
      </c>
      <c r="C12" s="329">
        <v>33.333410000000001</v>
      </c>
      <c r="D12" s="330">
        <v>-13.36123316482</v>
      </c>
      <c r="E12" s="331">
        <v>0.71385940100900003</v>
      </c>
      <c r="F12" s="329">
        <v>14.999999527536</v>
      </c>
      <c r="G12" s="330">
        <v>2.4999999212559998</v>
      </c>
      <c r="H12" s="332">
        <v>0</v>
      </c>
      <c r="I12" s="329">
        <v>0</v>
      </c>
      <c r="J12" s="330">
        <v>-2.4999999212559998</v>
      </c>
      <c r="K12" s="333">
        <v>0</v>
      </c>
    </row>
    <row r="13" spans="1:11" ht="14.4" customHeight="1" thickBot="1" x14ac:dyDescent="0.35">
      <c r="A13" s="351" t="s">
        <v>231</v>
      </c>
      <c r="B13" s="329">
        <v>0.99991897388999995</v>
      </c>
      <c r="C13" s="329">
        <v>0.25402999999999998</v>
      </c>
      <c r="D13" s="330">
        <v>-0.74588897388999997</v>
      </c>
      <c r="E13" s="331">
        <v>0.25405058472999997</v>
      </c>
      <c r="F13" s="329">
        <v>1.999999937004</v>
      </c>
      <c r="G13" s="330">
        <v>0.33333332283400002</v>
      </c>
      <c r="H13" s="332">
        <v>0</v>
      </c>
      <c r="I13" s="329">
        <v>0.28139999999999998</v>
      </c>
      <c r="J13" s="330">
        <v>-5.1933322833999998E-2</v>
      </c>
      <c r="K13" s="333">
        <v>0.140700004431</v>
      </c>
    </row>
    <row r="14" spans="1:11" ht="14.4" customHeight="1" thickBot="1" x14ac:dyDescent="0.35">
      <c r="A14" s="351" t="s">
        <v>232</v>
      </c>
      <c r="B14" s="329">
        <v>3.9017569780520001</v>
      </c>
      <c r="C14" s="329">
        <v>2.7436500000000001</v>
      </c>
      <c r="D14" s="330">
        <v>-1.1581069780519999</v>
      </c>
      <c r="E14" s="331">
        <v>0.70318321090500002</v>
      </c>
      <c r="F14" s="329">
        <v>2.8027110581439998</v>
      </c>
      <c r="G14" s="330">
        <v>0.46711850969000002</v>
      </c>
      <c r="H14" s="332">
        <v>1.06237</v>
      </c>
      <c r="I14" s="329">
        <v>1.26807</v>
      </c>
      <c r="J14" s="330">
        <v>0.80095149030900004</v>
      </c>
      <c r="K14" s="333">
        <v>0.452444070649</v>
      </c>
    </row>
    <row r="15" spans="1:11" ht="14.4" customHeight="1" thickBot="1" x14ac:dyDescent="0.35">
      <c r="A15" s="351" t="s">
        <v>233</v>
      </c>
      <c r="B15" s="329">
        <v>2.379132085573</v>
      </c>
      <c r="C15" s="329">
        <v>2.0735800000000002</v>
      </c>
      <c r="D15" s="330">
        <v>-0.30555208557300001</v>
      </c>
      <c r="E15" s="331">
        <v>0.871569936185</v>
      </c>
      <c r="F15" s="329">
        <v>0.99999996850200001</v>
      </c>
      <c r="G15" s="330">
        <v>0.16666666141700001</v>
      </c>
      <c r="H15" s="332">
        <v>0</v>
      </c>
      <c r="I15" s="329">
        <v>0</v>
      </c>
      <c r="J15" s="330">
        <v>-0.16666666141700001</v>
      </c>
      <c r="K15" s="333">
        <v>0</v>
      </c>
    </row>
    <row r="16" spans="1:11" ht="14.4" customHeight="1" thickBot="1" x14ac:dyDescent="0.35">
      <c r="A16" s="350" t="s">
        <v>234</v>
      </c>
      <c r="B16" s="334">
        <v>1.0001864980149999</v>
      </c>
      <c r="C16" s="334">
        <v>0</v>
      </c>
      <c r="D16" s="335">
        <v>-1.0001864980149999</v>
      </c>
      <c r="E16" s="336">
        <v>0</v>
      </c>
      <c r="F16" s="334">
        <v>0.99999996850200001</v>
      </c>
      <c r="G16" s="335">
        <v>0.16666666141700001</v>
      </c>
      <c r="H16" s="337">
        <v>0</v>
      </c>
      <c r="I16" s="334">
        <v>0</v>
      </c>
      <c r="J16" s="335">
        <v>-0.16666666141700001</v>
      </c>
      <c r="K16" s="338">
        <v>0</v>
      </c>
    </row>
    <row r="17" spans="1:11" ht="14.4" customHeight="1" thickBot="1" x14ac:dyDescent="0.35">
      <c r="A17" s="351" t="s">
        <v>235</v>
      </c>
      <c r="B17" s="329">
        <v>1.0001864980149999</v>
      </c>
      <c r="C17" s="329">
        <v>0</v>
      </c>
      <c r="D17" s="330">
        <v>-1.0001864980149999</v>
      </c>
      <c r="E17" s="331">
        <v>0</v>
      </c>
      <c r="F17" s="329">
        <v>0.99999996850200001</v>
      </c>
      <c r="G17" s="330">
        <v>0.16666666141700001</v>
      </c>
      <c r="H17" s="332">
        <v>0</v>
      </c>
      <c r="I17" s="329">
        <v>0</v>
      </c>
      <c r="J17" s="330">
        <v>-0.16666666141700001</v>
      </c>
      <c r="K17" s="333">
        <v>0</v>
      </c>
    </row>
    <row r="18" spans="1:11" ht="14.4" customHeight="1" thickBot="1" x14ac:dyDescent="0.35">
      <c r="A18" s="350" t="s">
        <v>236</v>
      </c>
      <c r="B18" s="334">
        <v>1.08824989601</v>
      </c>
      <c r="C18" s="334">
        <v>3.8834599999999999</v>
      </c>
      <c r="D18" s="335">
        <v>2.7952101039890001</v>
      </c>
      <c r="E18" s="336">
        <v>3.5685369823930002</v>
      </c>
      <c r="F18" s="334">
        <v>2.9999999055069999</v>
      </c>
      <c r="G18" s="335">
        <v>0.49999998425100001</v>
      </c>
      <c r="H18" s="337">
        <v>0</v>
      </c>
      <c r="I18" s="334">
        <v>0</v>
      </c>
      <c r="J18" s="335">
        <v>-0.49999998425100001</v>
      </c>
      <c r="K18" s="338">
        <v>0</v>
      </c>
    </row>
    <row r="19" spans="1:11" ht="14.4" customHeight="1" thickBot="1" x14ac:dyDescent="0.35">
      <c r="A19" s="351" t="s">
        <v>237</v>
      </c>
      <c r="B19" s="329">
        <v>1.08824989601</v>
      </c>
      <c r="C19" s="329">
        <v>3.8834599999999999</v>
      </c>
      <c r="D19" s="330">
        <v>2.7952101039890001</v>
      </c>
      <c r="E19" s="331">
        <v>3.5685369823930002</v>
      </c>
      <c r="F19" s="329">
        <v>2.9999999055069999</v>
      </c>
      <c r="G19" s="330">
        <v>0.49999998425100001</v>
      </c>
      <c r="H19" s="332">
        <v>0</v>
      </c>
      <c r="I19" s="329">
        <v>0</v>
      </c>
      <c r="J19" s="330">
        <v>-0.49999998425100001</v>
      </c>
      <c r="K19" s="333">
        <v>0</v>
      </c>
    </row>
    <row r="20" spans="1:11" ht="14.4" customHeight="1" thickBot="1" x14ac:dyDescent="0.35">
      <c r="A20" s="349" t="s">
        <v>19</v>
      </c>
      <c r="B20" s="329">
        <v>90.094900233475997</v>
      </c>
      <c r="C20" s="329">
        <v>81.801000000000002</v>
      </c>
      <c r="D20" s="330">
        <v>-8.2939002334760001</v>
      </c>
      <c r="E20" s="331">
        <v>0.90794262259000003</v>
      </c>
      <c r="F20" s="329">
        <v>85.694050698287995</v>
      </c>
      <c r="G20" s="330">
        <v>14.282341783048</v>
      </c>
      <c r="H20" s="332">
        <v>9.6959999999999997</v>
      </c>
      <c r="I20" s="329">
        <v>21.167000000000002</v>
      </c>
      <c r="J20" s="330">
        <v>6.8846582169520003</v>
      </c>
      <c r="K20" s="333">
        <v>0.247006645473</v>
      </c>
    </row>
    <row r="21" spans="1:11" ht="14.4" customHeight="1" thickBot="1" x14ac:dyDescent="0.35">
      <c r="A21" s="350" t="s">
        <v>238</v>
      </c>
      <c r="B21" s="334">
        <v>90.094900233475997</v>
      </c>
      <c r="C21" s="334">
        <v>81.801000000000002</v>
      </c>
      <c r="D21" s="335">
        <v>-8.2939002334760001</v>
      </c>
      <c r="E21" s="336">
        <v>0.90794262259000003</v>
      </c>
      <c r="F21" s="334">
        <v>85.694050698287995</v>
      </c>
      <c r="G21" s="335">
        <v>14.282341783048</v>
      </c>
      <c r="H21" s="337">
        <v>9.6959999999999997</v>
      </c>
      <c r="I21" s="334">
        <v>21.167000000000002</v>
      </c>
      <c r="J21" s="335">
        <v>6.8846582169520003</v>
      </c>
      <c r="K21" s="338">
        <v>0.247006645473</v>
      </c>
    </row>
    <row r="22" spans="1:11" ht="14.4" customHeight="1" thickBot="1" x14ac:dyDescent="0.35">
      <c r="A22" s="351" t="s">
        <v>239</v>
      </c>
      <c r="B22" s="329">
        <v>18.184072720145</v>
      </c>
      <c r="C22" s="329">
        <v>15.28</v>
      </c>
      <c r="D22" s="330">
        <v>-2.9040727201449998</v>
      </c>
      <c r="E22" s="331">
        <v>0.84029580364900003</v>
      </c>
      <c r="F22" s="329">
        <v>15.694052903117999</v>
      </c>
      <c r="G22" s="330">
        <v>2.6156754838529999</v>
      </c>
      <c r="H22" s="332">
        <v>1.2110000000000001</v>
      </c>
      <c r="I22" s="329">
        <v>2.5179999999999998</v>
      </c>
      <c r="J22" s="330">
        <v>-9.7675483852999997E-2</v>
      </c>
      <c r="K22" s="333">
        <v>0.16044294074599999</v>
      </c>
    </row>
    <row r="23" spans="1:11" ht="14.4" customHeight="1" thickBot="1" x14ac:dyDescent="0.35">
      <c r="A23" s="351" t="s">
        <v>240</v>
      </c>
      <c r="B23" s="329">
        <v>15.000101608584</v>
      </c>
      <c r="C23" s="329">
        <v>13.727</v>
      </c>
      <c r="D23" s="330">
        <v>-1.2731016085839999</v>
      </c>
      <c r="E23" s="331">
        <v>0.91512713434799997</v>
      </c>
      <c r="F23" s="329">
        <v>14.999999527536</v>
      </c>
      <c r="G23" s="330">
        <v>2.4999999212559998</v>
      </c>
      <c r="H23" s="332">
        <v>1.07</v>
      </c>
      <c r="I23" s="329">
        <v>2.3940000000000001</v>
      </c>
      <c r="J23" s="330">
        <v>-0.105999921256</v>
      </c>
      <c r="K23" s="333">
        <v>0.159600005027</v>
      </c>
    </row>
    <row r="24" spans="1:11" ht="14.4" customHeight="1" thickBot="1" x14ac:dyDescent="0.35">
      <c r="A24" s="351" t="s">
        <v>241</v>
      </c>
      <c r="B24" s="329">
        <v>56.910725904746002</v>
      </c>
      <c r="C24" s="329">
        <v>52.793999999999997</v>
      </c>
      <c r="D24" s="330">
        <v>-4.1167259047459996</v>
      </c>
      <c r="E24" s="331">
        <v>0.92766344411699997</v>
      </c>
      <c r="F24" s="329">
        <v>54.999998267633003</v>
      </c>
      <c r="G24" s="330">
        <v>9.1666663779380002</v>
      </c>
      <c r="H24" s="332">
        <v>7.415</v>
      </c>
      <c r="I24" s="329">
        <v>16.254999999999999</v>
      </c>
      <c r="J24" s="330">
        <v>7.0883336220609996</v>
      </c>
      <c r="K24" s="333">
        <v>0.29554546385399999</v>
      </c>
    </row>
    <row r="25" spans="1:11" ht="14.4" customHeight="1" thickBot="1" x14ac:dyDescent="0.35">
      <c r="A25" s="352" t="s">
        <v>242</v>
      </c>
      <c r="B25" s="334">
        <v>62.420735164866002</v>
      </c>
      <c r="C25" s="334">
        <v>155.34888000000001</v>
      </c>
      <c r="D25" s="335">
        <v>92.928144835132997</v>
      </c>
      <c r="E25" s="336">
        <v>2.4887383910119998</v>
      </c>
      <c r="F25" s="334">
        <v>109.147415189246</v>
      </c>
      <c r="G25" s="335">
        <v>18.191235864873999</v>
      </c>
      <c r="H25" s="337">
        <v>3.8446400000000001</v>
      </c>
      <c r="I25" s="334">
        <v>10.2597</v>
      </c>
      <c r="J25" s="335">
        <v>-7.9315358648740002</v>
      </c>
      <c r="K25" s="338">
        <v>9.3998561322999996E-2</v>
      </c>
    </row>
    <row r="26" spans="1:11" ht="14.4" customHeight="1" thickBot="1" x14ac:dyDescent="0.35">
      <c r="A26" s="349" t="s">
        <v>22</v>
      </c>
      <c r="B26" s="329">
        <v>5.4329011407929997</v>
      </c>
      <c r="C26" s="329">
        <v>66.10915</v>
      </c>
      <c r="D26" s="330">
        <v>60.676248859205998</v>
      </c>
      <c r="E26" s="331">
        <v>12.168296143586</v>
      </c>
      <c r="F26" s="329">
        <v>24.539564812719998</v>
      </c>
      <c r="G26" s="330">
        <v>4.0899274687859997</v>
      </c>
      <c r="H26" s="332">
        <v>0</v>
      </c>
      <c r="I26" s="329">
        <v>1.8754999999999999</v>
      </c>
      <c r="J26" s="330">
        <v>-2.2144274687859999</v>
      </c>
      <c r="K26" s="333">
        <v>7.6427598218999998E-2</v>
      </c>
    </row>
    <row r="27" spans="1:11" ht="14.4" customHeight="1" thickBot="1" x14ac:dyDescent="0.35">
      <c r="A27" s="353" t="s">
        <v>243</v>
      </c>
      <c r="B27" s="329">
        <v>5.4329011407929997</v>
      </c>
      <c r="C27" s="329">
        <v>66.10915</v>
      </c>
      <c r="D27" s="330">
        <v>60.676248859205998</v>
      </c>
      <c r="E27" s="331">
        <v>12.168296143586</v>
      </c>
      <c r="F27" s="329">
        <v>24.539564812719998</v>
      </c>
      <c r="G27" s="330">
        <v>4.0899274687859997</v>
      </c>
      <c r="H27" s="332">
        <v>0</v>
      </c>
      <c r="I27" s="329">
        <v>1.8754999999999999</v>
      </c>
      <c r="J27" s="330">
        <v>-2.2144274687859999</v>
      </c>
      <c r="K27" s="333">
        <v>7.6427598218999998E-2</v>
      </c>
    </row>
    <row r="28" spans="1:11" ht="14.4" customHeight="1" thickBot="1" x14ac:dyDescent="0.35">
      <c r="A28" s="351" t="s">
        <v>244</v>
      </c>
      <c r="B28" s="329">
        <v>0</v>
      </c>
      <c r="C28" s="329">
        <v>0</v>
      </c>
      <c r="D28" s="330">
        <v>0</v>
      </c>
      <c r="E28" s="331">
        <v>1</v>
      </c>
      <c r="F28" s="329">
        <v>0</v>
      </c>
      <c r="G28" s="330">
        <v>0</v>
      </c>
      <c r="H28" s="332">
        <v>0</v>
      </c>
      <c r="I28" s="329">
        <v>1.8754999999999999</v>
      </c>
      <c r="J28" s="330">
        <v>1.8754999999999999</v>
      </c>
      <c r="K28" s="339" t="s">
        <v>245</v>
      </c>
    </row>
    <row r="29" spans="1:11" ht="14.4" customHeight="1" thickBot="1" x14ac:dyDescent="0.35">
      <c r="A29" s="351" t="s">
        <v>246</v>
      </c>
      <c r="B29" s="329">
        <v>4.9999915584819998</v>
      </c>
      <c r="C29" s="329">
        <v>64.257279999999994</v>
      </c>
      <c r="D29" s="330">
        <v>59.257288441516998</v>
      </c>
      <c r="E29" s="331">
        <v>12.851477697192999</v>
      </c>
      <c r="F29" s="329">
        <v>23.999999244057999</v>
      </c>
      <c r="G29" s="330">
        <v>3.9999998740090001</v>
      </c>
      <c r="H29" s="332">
        <v>0</v>
      </c>
      <c r="I29" s="329">
        <v>0</v>
      </c>
      <c r="J29" s="330">
        <v>-3.9999998740090001</v>
      </c>
      <c r="K29" s="333">
        <v>0</v>
      </c>
    </row>
    <row r="30" spans="1:11" ht="14.4" customHeight="1" thickBot="1" x14ac:dyDescent="0.35">
      <c r="A30" s="351" t="s">
        <v>247</v>
      </c>
      <c r="B30" s="329">
        <v>0.43290958230999999</v>
      </c>
      <c r="C30" s="329">
        <v>1.8518699999999999</v>
      </c>
      <c r="D30" s="330">
        <v>1.4189604176890001</v>
      </c>
      <c r="E30" s="331">
        <v>4.2777292896060004</v>
      </c>
      <c r="F30" s="329">
        <v>0.53956556866200001</v>
      </c>
      <c r="G30" s="330">
        <v>8.9927594777000006E-2</v>
      </c>
      <c r="H30" s="332">
        <v>0</v>
      </c>
      <c r="I30" s="329">
        <v>0</v>
      </c>
      <c r="J30" s="330">
        <v>-8.9927594777000006E-2</v>
      </c>
      <c r="K30" s="333">
        <v>0</v>
      </c>
    </row>
    <row r="31" spans="1:11" ht="14.4" customHeight="1" thickBot="1" x14ac:dyDescent="0.35">
      <c r="A31" s="354" t="s">
        <v>23</v>
      </c>
      <c r="B31" s="334">
        <v>0</v>
      </c>
      <c r="C31" s="334">
        <v>8.7690000000000001</v>
      </c>
      <c r="D31" s="335">
        <v>8.7690000000000001</v>
      </c>
      <c r="E31" s="340" t="s">
        <v>222</v>
      </c>
      <c r="F31" s="334">
        <v>0</v>
      </c>
      <c r="G31" s="335">
        <v>0</v>
      </c>
      <c r="H31" s="337">
        <v>0</v>
      </c>
      <c r="I31" s="334">
        <v>0</v>
      </c>
      <c r="J31" s="335">
        <v>0</v>
      </c>
      <c r="K31" s="341" t="s">
        <v>222</v>
      </c>
    </row>
    <row r="32" spans="1:11" ht="14.4" customHeight="1" thickBot="1" x14ac:dyDescent="0.35">
      <c r="A32" s="350" t="s">
        <v>248</v>
      </c>
      <c r="B32" s="334">
        <v>0</v>
      </c>
      <c r="C32" s="334">
        <v>8.7690000000000001</v>
      </c>
      <c r="D32" s="335">
        <v>8.7690000000000001</v>
      </c>
      <c r="E32" s="340" t="s">
        <v>222</v>
      </c>
      <c r="F32" s="334">
        <v>0</v>
      </c>
      <c r="G32" s="335">
        <v>0</v>
      </c>
      <c r="H32" s="337">
        <v>0</v>
      </c>
      <c r="I32" s="334">
        <v>0</v>
      </c>
      <c r="J32" s="335">
        <v>0</v>
      </c>
      <c r="K32" s="341" t="s">
        <v>222</v>
      </c>
    </row>
    <row r="33" spans="1:11" ht="14.4" customHeight="1" thickBot="1" x14ac:dyDescent="0.35">
      <c r="A33" s="351" t="s">
        <v>249</v>
      </c>
      <c r="B33" s="329">
        <v>0</v>
      </c>
      <c r="C33" s="329">
        <v>8.7690000000000001</v>
      </c>
      <c r="D33" s="330">
        <v>8.7690000000000001</v>
      </c>
      <c r="E33" s="342" t="s">
        <v>222</v>
      </c>
      <c r="F33" s="329">
        <v>0</v>
      </c>
      <c r="G33" s="330">
        <v>0</v>
      </c>
      <c r="H33" s="332">
        <v>0</v>
      </c>
      <c r="I33" s="329">
        <v>0</v>
      </c>
      <c r="J33" s="330">
        <v>0</v>
      </c>
      <c r="K33" s="339" t="s">
        <v>222</v>
      </c>
    </row>
    <row r="34" spans="1:11" ht="14.4" customHeight="1" thickBot="1" x14ac:dyDescent="0.35">
      <c r="A34" s="349" t="s">
        <v>24</v>
      </c>
      <c r="B34" s="329">
        <v>56.987834024073003</v>
      </c>
      <c r="C34" s="329">
        <v>80.470730000000003</v>
      </c>
      <c r="D34" s="330">
        <v>23.482895975925999</v>
      </c>
      <c r="E34" s="331">
        <v>1.4120685823220001</v>
      </c>
      <c r="F34" s="329">
        <v>84.607850376524993</v>
      </c>
      <c r="G34" s="330">
        <v>14.101308396086999</v>
      </c>
      <c r="H34" s="332">
        <v>3.8446400000000001</v>
      </c>
      <c r="I34" s="329">
        <v>8.3841999999999999</v>
      </c>
      <c r="J34" s="330">
        <v>-5.7171083960870002</v>
      </c>
      <c r="K34" s="333">
        <v>9.9094823501999996E-2</v>
      </c>
    </row>
    <row r="35" spans="1:11" ht="14.4" customHeight="1" thickBot="1" x14ac:dyDescent="0.35">
      <c r="A35" s="350" t="s">
        <v>250</v>
      </c>
      <c r="B35" s="334">
        <v>7.4225831352579998</v>
      </c>
      <c r="C35" s="334">
        <v>8.4442500000000003</v>
      </c>
      <c r="D35" s="335">
        <v>1.0216668647410001</v>
      </c>
      <c r="E35" s="336">
        <v>1.137643034254</v>
      </c>
      <c r="F35" s="334">
        <v>8.8563115784110007</v>
      </c>
      <c r="G35" s="335">
        <v>1.4760519297350001</v>
      </c>
      <c r="H35" s="337">
        <v>1.0546500000000001</v>
      </c>
      <c r="I35" s="334">
        <v>1.0299499999999999</v>
      </c>
      <c r="J35" s="335">
        <v>-0.44610192973500001</v>
      </c>
      <c r="K35" s="338">
        <v>0.116295592231</v>
      </c>
    </row>
    <row r="36" spans="1:11" ht="14.4" customHeight="1" thickBot="1" x14ac:dyDescent="0.35">
      <c r="A36" s="351" t="s">
        <v>251</v>
      </c>
      <c r="B36" s="329">
        <v>4.7902353100199999</v>
      </c>
      <c r="C36" s="329">
        <v>6.0629999999999997</v>
      </c>
      <c r="D36" s="330">
        <v>1.2727646899789999</v>
      </c>
      <c r="E36" s="331">
        <v>1.2656998263350001</v>
      </c>
      <c r="F36" s="329">
        <v>6.2557766761220002</v>
      </c>
      <c r="G36" s="330">
        <v>1.0426294460200001</v>
      </c>
      <c r="H36" s="332">
        <v>0.9073</v>
      </c>
      <c r="I36" s="329">
        <v>0.9073</v>
      </c>
      <c r="J36" s="330">
        <v>-0.13532944601999999</v>
      </c>
      <c r="K36" s="333">
        <v>0.145033949735</v>
      </c>
    </row>
    <row r="37" spans="1:11" ht="14.4" customHeight="1" thickBot="1" x14ac:dyDescent="0.35">
      <c r="A37" s="351" t="s">
        <v>252</v>
      </c>
      <c r="B37" s="329">
        <v>2.6323478252379999</v>
      </c>
      <c r="C37" s="329">
        <v>2.3812500000000001</v>
      </c>
      <c r="D37" s="330">
        <v>-0.25109782523800001</v>
      </c>
      <c r="E37" s="331">
        <v>0.90461069664399996</v>
      </c>
      <c r="F37" s="329">
        <v>2.600534902288</v>
      </c>
      <c r="G37" s="330">
        <v>0.433422483714</v>
      </c>
      <c r="H37" s="332">
        <v>0.14735000000000001</v>
      </c>
      <c r="I37" s="329">
        <v>0.12265</v>
      </c>
      <c r="J37" s="330">
        <v>-0.31077248371400001</v>
      </c>
      <c r="K37" s="333">
        <v>4.7163373924000003E-2</v>
      </c>
    </row>
    <row r="38" spans="1:11" ht="14.4" customHeight="1" thickBot="1" x14ac:dyDescent="0.35">
      <c r="A38" s="350" t="s">
        <v>253</v>
      </c>
      <c r="B38" s="334">
        <v>3.915363845471</v>
      </c>
      <c r="C38" s="334">
        <v>4.05</v>
      </c>
      <c r="D38" s="335">
        <v>0.13463615452800001</v>
      </c>
      <c r="E38" s="336">
        <v>1.0343866265920001</v>
      </c>
      <c r="F38" s="334">
        <v>4.9999998425119996</v>
      </c>
      <c r="G38" s="335">
        <v>0.83333330708499997</v>
      </c>
      <c r="H38" s="337">
        <v>0</v>
      </c>
      <c r="I38" s="334">
        <v>1.2150000000000001</v>
      </c>
      <c r="J38" s="335">
        <v>0.38166669291400002</v>
      </c>
      <c r="K38" s="338">
        <v>0.24300000765300001</v>
      </c>
    </row>
    <row r="39" spans="1:11" ht="14.4" customHeight="1" thickBot="1" x14ac:dyDescent="0.35">
      <c r="A39" s="351" t="s">
        <v>254</v>
      </c>
      <c r="B39" s="329">
        <v>3.915363845471</v>
      </c>
      <c r="C39" s="329">
        <v>4.05</v>
      </c>
      <c r="D39" s="330">
        <v>0.13463615452800001</v>
      </c>
      <c r="E39" s="331">
        <v>1.0343866265920001</v>
      </c>
      <c r="F39" s="329">
        <v>4.9999998425119996</v>
      </c>
      <c r="G39" s="330">
        <v>0.83333330708499997</v>
      </c>
      <c r="H39" s="332">
        <v>0</v>
      </c>
      <c r="I39" s="329">
        <v>1.2150000000000001</v>
      </c>
      <c r="J39" s="330">
        <v>0.38166669291400002</v>
      </c>
      <c r="K39" s="333">
        <v>0.24300000765300001</v>
      </c>
    </row>
    <row r="40" spans="1:11" ht="14.4" customHeight="1" thickBot="1" x14ac:dyDescent="0.35">
      <c r="A40" s="350" t="s">
        <v>255</v>
      </c>
      <c r="B40" s="334">
        <v>45.649887043343</v>
      </c>
      <c r="C40" s="334">
        <v>64.668480000000002</v>
      </c>
      <c r="D40" s="335">
        <v>19.018592956656001</v>
      </c>
      <c r="E40" s="336">
        <v>1.416618620295</v>
      </c>
      <c r="F40" s="334">
        <v>70.751538955602001</v>
      </c>
      <c r="G40" s="335">
        <v>11.791923159267</v>
      </c>
      <c r="H40" s="337">
        <v>2.78999</v>
      </c>
      <c r="I40" s="334">
        <v>6.1392499999999997</v>
      </c>
      <c r="J40" s="335">
        <v>-5.6526731592659996</v>
      </c>
      <c r="K40" s="338">
        <v>8.6771964123999998E-2</v>
      </c>
    </row>
    <row r="41" spans="1:11" ht="14.4" customHeight="1" thickBot="1" x14ac:dyDescent="0.35">
      <c r="A41" s="351" t="s">
        <v>256</v>
      </c>
      <c r="B41" s="329">
        <v>45.649887043343</v>
      </c>
      <c r="C41" s="329">
        <v>61.535789999999999</v>
      </c>
      <c r="D41" s="330">
        <v>15.885902956656</v>
      </c>
      <c r="E41" s="331">
        <v>1.3479943541049999</v>
      </c>
      <c r="F41" s="329">
        <v>67.518812293758998</v>
      </c>
      <c r="G41" s="330">
        <v>11.253135382292999</v>
      </c>
      <c r="H41" s="332">
        <v>2.78999</v>
      </c>
      <c r="I41" s="329">
        <v>6.1392499999999997</v>
      </c>
      <c r="J41" s="330">
        <v>-5.1138853822929997</v>
      </c>
      <c r="K41" s="333">
        <v>9.0926510574000002E-2</v>
      </c>
    </row>
    <row r="42" spans="1:11" ht="14.4" customHeight="1" thickBot="1" x14ac:dyDescent="0.35">
      <c r="A42" s="351" t="s">
        <v>257</v>
      </c>
      <c r="B42" s="329">
        <v>0</v>
      </c>
      <c r="C42" s="329">
        <v>3.1326900000000002</v>
      </c>
      <c r="D42" s="330">
        <v>3.1326900000000002</v>
      </c>
      <c r="E42" s="342" t="s">
        <v>245</v>
      </c>
      <c r="F42" s="329">
        <v>3.2327266618419999</v>
      </c>
      <c r="G42" s="330">
        <v>0.53878777697299995</v>
      </c>
      <c r="H42" s="332">
        <v>0</v>
      </c>
      <c r="I42" s="329">
        <v>0</v>
      </c>
      <c r="J42" s="330">
        <v>-0.53878777697299995</v>
      </c>
      <c r="K42" s="333">
        <v>0</v>
      </c>
    </row>
    <row r="43" spans="1:11" ht="14.4" customHeight="1" thickBot="1" x14ac:dyDescent="0.35">
      <c r="A43" s="350" t="s">
        <v>258</v>
      </c>
      <c r="B43" s="334">
        <v>0</v>
      </c>
      <c r="C43" s="334">
        <v>3.3079999999999998</v>
      </c>
      <c r="D43" s="335">
        <v>3.3079999999999998</v>
      </c>
      <c r="E43" s="340" t="s">
        <v>245</v>
      </c>
      <c r="F43" s="334">
        <v>0</v>
      </c>
      <c r="G43" s="335">
        <v>0</v>
      </c>
      <c r="H43" s="337">
        <v>0</v>
      </c>
      <c r="I43" s="334">
        <v>0</v>
      </c>
      <c r="J43" s="335">
        <v>0</v>
      </c>
      <c r="K43" s="341" t="s">
        <v>222</v>
      </c>
    </row>
    <row r="44" spans="1:11" ht="14.4" customHeight="1" thickBot="1" x14ac:dyDescent="0.35">
      <c r="A44" s="351" t="s">
        <v>259</v>
      </c>
      <c r="B44" s="329">
        <v>0</v>
      </c>
      <c r="C44" s="329">
        <v>3.3079999999999998</v>
      </c>
      <c r="D44" s="330">
        <v>3.3079999999999998</v>
      </c>
      <c r="E44" s="342" t="s">
        <v>245</v>
      </c>
      <c r="F44" s="329">
        <v>0</v>
      </c>
      <c r="G44" s="330">
        <v>0</v>
      </c>
      <c r="H44" s="332">
        <v>0</v>
      </c>
      <c r="I44" s="329">
        <v>0</v>
      </c>
      <c r="J44" s="330">
        <v>0</v>
      </c>
      <c r="K44" s="339" t="s">
        <v>222</v>
      </c>
    </row>
    <row r="45" spans="1:11" ht="14.4" customHeight="1" thickBot="1" x14ac:dyDescent="0.35">
      <c r="A45" s="348" t="s">
        <v>25</v>
      </c>
      <c r="B45" s="329">
        <v>6972.0345109704904</v>
      </c>
      <c r="C45" s="329">
        <v>6813.0447800000002</v>
      </c>
      <c r="D45" s="330">
        <v>-158.98973097049</v>
      </c>
      <c r="E45" s="331">
        <v>0.97719607802800001</v>
      </c>
      <c r="F45" s="329">
        <v>7035.9997783830504</v>
      </c>
      <c r="G45" s="330">
        <v>1172.6666297305101</v>
      </c>
      <c r="H45" s="332">
        <v>563.08361000000104</v>
      </c>
      <c r="I45" s="329">
        <v>1137.3843099999999</v>
      </c>
      <c r="J45" s="330">
        <v>-35.282319730506998</v>
      </c>
      <c r="K45" s="333">
        <v>0.16165212419300001</v>
      </c>
    </row>
    <row r="46" spans="1:11" ht="14.4" customHeight="1" thickBot="1" x14ac:dyDescent="0.35">
      <c r="A46" s="354" t="s">
        <v>260</v>
      </c>
      <c r="B46" s="334">
        <v>5167.99999999991</v>
      </c>
      <c r="C46" s="334">
        <v>5050.0600000000004</v>
      </c>
      <c r="D46" s="335">
        <v>-117.939999999904</v>
      </c>
      <c r="E46" s="336">
        <v>0.97717879256899998</v>
      </c>
      <c r="F46" s="334">
        <v>5215.9998357086397</v>
      </c>
      <c r="G46" s="335">
        <v>869.33330595144002</v>
      </c>
      <c r="H46" s="337">
        <v>417.09900000000101</v>
      </c>
      <c r="I46" s="334">
        <v>842.50600000000099</v>
      </c>
      <c r="J46" s="335">
        <v>-26.827305951439001</v>
      </c>
      <c r="K46" s="338">
        <v>0.161523394658</v>
      </c>
    </row>
    <row r="47" spans="1:11" ht="14.4" customHeight="1" thickBot="1" x14ac:dyDescent="0.35">
      <c r="A47" s="350" t="s">
        <v>261</v>
      </c>
      <c r="B47" s="334">
        <v>5149.99999999991</v>
      </c>
      <c r="C47" s="334">
        <v>5036.2550000000001</v>
      </c>
      <c r="D47" s="335">
        <v>-113.744999999904</v>
      </c>
      <c r="E47" s="336">
        <v>0.97791359223300001</v>
      </c>
      <c r="F47" s="334">
        <v>5199.9998362125998</v>
      </c>
      <c r="G47" s="335">
        <v>866.66663936876705</v>
      </c>
      <c r="H47" s="337">
        <v>417.09900000000101</v>
      </c>
      <c r="I47" s="334">
        <v>842.50600000000099</v>
      </c>
      <c r="J47" s="335">
        <v>-24.160639368765999</v>
      </c>
      <c r="K47" s="338">
        <v>0.16202038971800001</v>
      </c>
    </row>
    <row r="48" spans="1:11" ht="14.4" customHeight="1" thickBot="1" x14ac:dyDescent="0.35">
      <c r="A48" s="351" t="s">
        <v>262</v>
      </c>
      <c r="B48" s="329">
        <v>5149.99999999991</v>
      </c>
      <c r="C48" s="329">
        <v>5036.2550000000001</v>
      </c>
      <c r="D48" s="330">
        <v>-113.744999999904</v>
      </c>
      <c r="E48" s="331">
        <v>0.97791359223300001</v>
      </c>
      <c r="F48" s="329">
        <v>5199.9998362125998</v>
      </c>
      <c r="G48" s="330">
        <v>866.66663936876705</v>
      </c>
      <c r="H48" s="332">
        <v>417.09900000000101</v>
      </c>
      <c r="I48" s="329">
        <v>842.50600000000099</v>
      </c>
      <c r="J48" s="330">
        <v>-24.160639368765999</v>
      </c>
      <c r="K48" s="333">
        <v>0.16202038971800001</v>
      </c>
    </row>
    <row r="49" spans="1:11" ht="14.4" customHeight="1" thickBot="1" x14ac:dyDescent="0.35">
      <c r="A49" s="350" t="s">
        <v>263</v>
      </c>
      <c r="B49" s="334">
        <v>17.999999999999002</v>
      </c>
      <c r="C49" s="334">
        <v>13.805</v>
      </c>
      <c r="D49" s="335">
        <v>-4.1949999999990002</v>
      </c>
      <c r="E49" s="336">
        <v>0.76694444444400001</v>
      </c>
      <c r="F49" s="334">
        <v>15.999999496038001</v>
      </c>
      <c r="G49" s="335">
        <v>2.6666665826729998</v>
      </c>
      <c r="H49" s="337">
        <v>0</v>
      </c>
      <c r="I49" s="334">
        <v>0</v>
      </c>
      <c r="J49" s="335">
        <v>-2.6666665826729998</v>
      </c>
      <c r="K49" s="338">
        <v>0</v>
      </c>
    </row>
    <row r="50" spans="1:11" ht="14.4" customHeight="1" thickBot="1" x14ac:dyDescent="0.35">
      <c r="A50" s="351" t="s">
        <v>264</v>
      </c>
      <c r="B50" s="329">
        <v>17.999999999999002</v>
      </c>
      <c r="C50" s="329">
        <v>13.805</v>
      </c>
      <c r="D50" s="330">
        <v>-4.1949999999990002</v>
      </c>
      <c r="E50" s="331">
        <v>0.76694444444400001</v>
      </c>
      <c r="F50" s="329">
        <v>15.999999496038001</v>
      </c>
      <c r="G50" s="330">
        <v>2.6666665826729998</v>
      </c>
      <c r="H50" s="332">
        <v>0</v>
      </c>
      <c r="I50" s="329">
        <v>0</v>
      </c>
      <c r="J50" s="330">
        <v>-2.6666665826729998</v>
      </c>
      <c r="K50" s="333">
        <v>0</v>
      </c>
    </row>
    <row r="51" spans="1:11" ht="14.4" customHeight="1" thickBot="1" x14ac:dyDescent="0.35">
      <c r="A51" s="349" t="s">
        <v>265</v>
      </c>
      <c r="B51" s="329">
        <v>1752.03451097059</v>
      </c>
      <c r="C51" s="329">
        <v>1712.4623200000001</v>
      </c>
      <c r="D51" s="330">
        <v>-39.572190970587002</v>
      </c>
      <c r="E51" s="331">
        <v>0.97741357791500005</v>
      </c>
      <c r="F51" s="329">
        <v>1767.9999443122799</v>
      </c>
      <c r="G51" s="330">
        <v>294.66665738538097</v>
      </c>
      <c r="H51" s="332">
        <v>141.81375</v>
      </c>
      <c r="I51" s="329">
        <v>286.45350000000002</v>
      </c>
      <c r="J51" s="330">
        <v>-8.2131573853800006</v>
      </c>
      <c r="K51" s="333">
        <v>0.16202121551000001</v>
      </c>
    </row>
    <row r="52" spans="1:11" ht="14.4" customHeight="1" thickBot="1" x14ac:dyDescent="0.35">
      <c r="A52" s="350" t="s">
        <v>266</v>
      </c>
      <c r="B52" s="334">
        <v>464.03451097061401</v>
      </c>
      <c r="C52" s="334">
        <v>453.39857000000001</v>
      </c>
      <c r="D52" s="335">
        <v>-10.635940970612999</v>
      </c>
      <c r="E52" s="336">
        <v>0.97707941819099997</v>
      </c>
      <c r="F52" s="334">
        <v>467.99998525913401</v>
      </c>
      <c r="G52" s="335">
        <v>77.999997543188996</v>
      </c>
      <c r="H52" s="337">
        <v>37.539000000000001</v>
      </c>
      <c r="I52" s="334">
        <v>75.826999999999998</v>
      </c>
      <c r="J52" s="335">
        <v>-2.172997543188</v>
      </c>
      <c r="K52" s="338">
        <v>0.16202350937599999</v>
      </c>
    </row>
    <row r="53" spans="1:11" ht="14.4" customHeight="1" thickBot="1" x14ac:dyDescent="0.35">
      <c r="A53" s="351" t="s">
        <v>267</v>
      </c>
      <c r="B53" s="329">
        <v>464.03451097061401</v>
      </c>
      <c r="C53" s="329">
        <v>453.39857000000001</v>
      </c>
      <c r="D53" s="330">
        <v>-10.635940970612999</v>
      </c>
      <c r="E53" s="331">
        <v>0.97707941819099997</v>
      </c>
      <c r="F53" s="329">
        <v>467.99998525913401</v>
      </c>
      <c r="G53" s="330">
        <v>77.999997543188996</v>
      </c>
      <c r="H53" s="332">
        <v>37.539000000000001</v>
      </c>
      <c r="I53" s="329">
        <v>75.826999999999998</v>
      </c>
      <c r="J53" s="330">
        <v>-2.172997543188</v>
      </c>
      <c r="K53" s="333">
        <v>0.16202350937599999</v>
      </c>
    </row>
    <row r="54" spans="1:11" ht="14.4" customHeight="1" thickBot="1" x14ac:dyDescent="0.35">
      <c r="A54" s="350" t="s">
        <v>268</v>
      </c>
      <c r="B54" s="334">
        <v>1287.99999999997</v>
      </c>
      <c r="C54" s="334">
        <v>1259.06375</v>
      </c>
      <c r="D54" s="335">
        <v>-28.936249999973001</v>
      </c>
      <c r="E54" s="336">
        <v>0.97753396739099996</v>
      </c>
      <c r="F54" s="334">
        <v>1299.99995905315</v>
      </c>
      <c r="G54" s="335">
        <v>216.66665984219199</v>
      </c>
      <c r="H54" s="337">
        <v>104.27475</v>
      </c>
      <c r="I54" s="334">
        <v>210.62649999999999</v>
      </c>
      <c r="J54" s="335">
        <v>-6.0401598421909997</v>
      </c>
      <c r="K54" s="338">
        <v>0.16202038971800001</v>
      </c>
    </row>
    <row r="55" spans="1:11" ht="14.4" customHeight="1" thickBot="1" x14ac:dyDescent="0.35">
      <c r="A55" s="351" t="s">
        <v>269</v>
      </c>
      <c r="B55" s="329">
        <v>1287.99999999997</v>
      </c>
      <c r="C55" s="329">
        <v>1259.06375</v>
      </c>
      <c r="D55" s="330">
        <v>-28.936249999973001</v>
      </c>
      <c r="E55" s="331">
        <v>0.97753396739099996</v>
      </c>
      <c r="F55" s="329">
        <v>1299.99995905315</v>
      </c>
      <c r="G55" s="330">
        <v>216.66665984219199</v>
      </c>
      <c r="H55" s="332">
        <v>104.27475</v>
      </c>
      <c r="I55" s="329">
        <v>210.62649999999999</v>
      </c>
      <c r="J55" s="330">
        <v>-6.0401598421909997</v>
      </c>
      <c r="K55" s="333">
        <v>0.16202038971800001</v>
      </c>
    </row>
    <row r="56" spans="1:11" ht="14.4" customHeight="1" thickBot="1" x14ac:dyDescent="0.35">
      <c r="A56" s="349" t="s">
        <v>270</v>
      </c>
      <c r="B56" s="329">
        <v>51.999999999998998</v>
      </c>
      <c r="C56" s="329">
        <v>50.522460000000002</v>
      </c>
      <c r="D56" s="330">
        <v>-1.4775399999979999</v>
      </c>
      <c r="E56" s="331">
        <v>0.97158576922999995</v>
      </c>
      <c r="F56" s="329">
        <v>51.999998362126</v>
      </c>
      <c r="G56" s="330">
        <v>8.6666663936870005</v>
      </c>
      <c r="H56" s="332">
        <v>4.1708600000000002</v>
      </c>
      <c r="I56" s="329">
        <v>8.4248100000000008</v>
      </c>
      <c r="J56" s="330">
        <v>-0.24185639368699999</v>
      </c>
      <c r="K56" s="333">
        <v>0.162015582026</v>
      </c>
    </row>
    <row r="57" spans="1:11" ht="14.4" customHeight="1" thickBot="1" x14ac:dyDescent="0.35">
      <c r="A57" s="350" t="s">
        <v>271</v>
      </c>
      <c r="B57" s="334">
        <v>51.999999999998998</v>
      </c>
      <c r="C57" s="334">
        <v>50.522460000000002</v>
      </c>
      <c r="D57" s="335">
        <v>-1.4775399999979999</v>
      </c>
      <c r="E57" s="336">
        <v>0.97158576922999995</v>
      </c>
      <c r="F57" s="334">
        <v>51.999998362126</v>
      </c>
      <c r="G57" s="335">
        <v>8.6666663936870005</v>
      </c>
      <c r="H57" s="337">
        <v>4.1708600000000002</v>
      </c>
      <c r="I57" s="334">
        <v>8.4248100000000008</v>
      </c>
      <c r="J57" s="335">
        <v>-0.24185639368699999</v>
      </c>
      <c r="K57" s="338">
        <v>0.162015582026</v>
      </c>
    </row>
    <row r="58" spans="1:11" ht="14.4" customHeight="1" thickBot="1" x14ac:dyDescent="0.35">
      <c r="A58" s="351" t="s">
        <v>272</v>
      </c>
      <c r="B58" s="329">
        <v>51.999999999998998</v>
      </c>
      <c r="C58" s="329">
        <v>50.522460000000002</v>
      </c>
      <c r="D58" s="330">
        <v>-1.4775399999979999</v>
      </c>
      <c r="E58" s="331">
        <v>0.97158576922999995</v>
      </c>
      <c r="F58" s="329">
        <v>51.999998362126</v>
      </c>
      <c r="G58" s="330">
        <v>8.6666663936870005</v>
      </c>
      <c r="H58" s="332">
        <v>4.1708600000000002</v>
      </c>
      <c r="I58" s="329">
        <v>8.4248100000000008</v>
      </c>
      <c r="J58" s="330">
        <v>-0.24185639368699999</v>
      </c>
      <c r="K58" s="333">
        <v>0.162015582026</v>
      </c>
    </row>
    <row r="59" spans="1:11" ht="14.4" customHeight="1" thickBot="1" x14ac:dyDescent="0.35">
      <c r="A59" s="348" t="s">
        <v>273</v>
      </c>
      <c r="B59" s="329">
        <v>0</v>
      </c>
      <c r="C59" s="329">
        <v>19.889119999999998</v>
      </c>
      <c r="D59" s="330">
        <v>19.889119999999998</v>
      </c>
      <c r="E59" s="342" t="s">
        <v>222</v>
      </c>
      <c r="F59" s="329">
        <v>0</v>
      </c>
      <c r="G59" s="330">
        <v>0</v>
      </c>
      <c r="H59" s="332">
        <v>0</v>
      </c>
      <c r="I59" s="329">
        <v>0</v>
      </c>
      <c r="J59" s="330">
        <v>0</v>
      </c>
      <c r="K59" s="339" t="s">
        <v>222</v>
      </c>
    </row>
    <row r="60" spans="1:11" ht="14.4" customHeight="1" thickBot="1" x14ac:dyDescent="0.35">
      <c r="A60" s="349" t="s">
        <v>274</v>
      </c>
      <c r="B60" s="329">
        <v>0</v>
      </c>
      <c r="C60" s="329">
        <v>19.889119999999998</v>
      </c>
      <c r="D60" s="330">
        <v>19.889119999999998</v>
      </c>
      <c r="E60" s="342" t="s">
        <v>222</v>
      </c>
      <c r="F60" s="329">
        <v>0</v>
      </c>
      <c r="G60" s="330">
        <v>0</v>
      </c>
      <c r="H60" s="332">
        <v>0</v>
      </c>
      <c r="I60" s="329">
        <v>0</v>
      </c>
      <c r="J60" s="330">
        <v>0</v>
      </c>
      <c r="K60" s="339" t="s">
        <v>222</v>
      </c>
    </row>
    <row r="61" spans="1:11" ht="14.4" customHeight="1" thickBot="1" x14ac:dyDescent="0.35">
      <c r="A61" s="350" t="s">
        <v>275</v>
      </c>
      <c r="B61" s="334">
        <v>0</v>
      </c>
      <c r="C61" s="334">
        <v>6.0819999999999999</v>
      </c>
      <c r="D61" s="335">
        <v>6.0819999999999999</v>
      </c>
      <c r="E61" s="340" t="s">
        <v>245</v>
      </c>
      <c r="F61" s="334">
        <v>0</v>
      </c>
      <c r="G61" s="335">
        <v>0</v>
      </c>
      <c r="H61" s="337">
        <v>0</v>
      </c>
      <c r="I61" s="334">
        <v>0</v>
      </c>
      <c r="J61" s="335">
        <v>0</v>
      </c>
      <c r="K61" s="341" t="s">
        <v>222</v>
      </c>
    </row>
    <row r="62" spans="1:11" ht="14.4" customHeight="1" thickBot="1" x14ac:dyDescent="0.35">
      <c r="A62" s="351" t="s">
        <v>276</v>
      </c>
      <c r="B62" s="329">
        <v>0</v>
      </c>
      <c r="C62" s="329">
        <v>0.182</v>
      </c>
      <c r="D62" s="330">
        <v>0.182</v>
      </c>
      <c r="E62" s="342" t="s">
        <v>245</v>
      </c>
      <c r="F62" s="329">
        <v>0</v>
      </c>
      <c r="G62" s="330">
        <v>0</v>
      </c>
      <c r="H62" s="332">
        <v>0</v>
      </c>
      <c r="I62" s="329">
        <v>0</v>
      </c>
      <c r="J62" s="330">
        <v>0</v>
      </c>
      <c r="K62" s="339" t="s">
        <v>222</v>
      </c>
    </row>
    <row r="63" spans="1:11" ht="14.4" customHeight="1" thickBot="1" x14ac:dyDescent="0.35">
      <c r="A63" s="351" t="s">
        <v>277</v>
      </c>
      <c r="B63" s="329">
        <v>0</v>
      </c>
      <c r="C63" s="329">
        <v>5</v>
      </c>
      <c r="D63" s="330">
        <v>5</v>
      </c>
      <c r="E63" s="342" t="s">
        <v>245</v>
      </c>
      <c r="F63" s="329">
        <v>0</v>
      </c>
      <c r="G63" s="330">
        <v>0</v>
      </c>
      <c r="H63" s="332">
        <v>0</v>
      </c>
      <c r="I63" s="329">
        <v>0</v>
      </c>
      <c r="J63" s="330">
        <v>0</v>
      </c>
      <c r="K63" s="333">
        <v>2</v>
      </c>
    </row>
    <row r="64" spans="1:11" ht="14.4" customHeight="1" thickBot="1" x14ac:dyDescent="0.35">
      <c r="A64" s="351" t="s">
        <v>278</v>
      </c>
      <c r="B64" s="329">
        <v>0</v>
      </c>
      <c r="C64" s="329">
        <v>0.9</v>
      </c>
      <c r="D64" s="330">
        <v>0.9</v>
      </c>
      <c r="E64" s="342" t="s">
        <v>245</v>
      </c>
      <c r="F64" s="329">
        <v>0</v>
      </c>
      <c r="G64" s="330">
        <v>0</v>
      </c>
      <c r="H64" s="332">
        <v>0</v>
      </c>
      <c r="I64" s="329">
        <v>0</v>
      </c>
      <c r="J64" s="330">
        <v>0</v>
      </c>
      <c r="K64" s="339" t="s">
        <v>222</v>
      </c>
    </row>
    <row r="65" spans="1:11" ht="14.4" customHeight="1" thickBot="1" x14ac:dyDescent="0.35">
      <c r="A65" s="350" t="s">
        <v>279</v>
      </c>
      <c r="B65" s="334">
        <v>0</v>
      </c>
      <c r="C65" s="334">
        <v>-0.49287999999999998</v>
      </c>
      <c r="D65" s="335">
        <v>-0.49287999999999998</v>
      </c>
      <c r="E65" s="340" t="s">
        <v>245</v>
      </c>
      <c r="F65" s="334">
        <v>0</v>
      </c>
      <c r="G65" s="335">
        <v>0</v>
      </c>
      <c r="H65" s="337">
        <v>0</v>
      </c>
      <c r="I65" s="334">
        <v>0</v>
      </c>
      <c r="J65" s="335">
        <v>0</v>
      </c>
      <c r="K65" s="341" t="s">
        <v>222</v>
      </c>
    </row>
    <row r="66" spans="1:11" ht="14.4" customHeight="1" thickBot="1" x14ac:dyDescent="0.35">
      <c r="A66" s="351" t="s">
        <v>280</v>
      </c>
      <c r="B66" s="329">
        <v>0</v>
      </c>
      <c r="C66" s="329">
        <v>-0.49287999999999998</v>
      </c>
      <c r="D66" s="330">
        <v>-0.49287999999999998</v>
      </c>
      <c r="E66" s="342" t="s">
        <v>245</v>
      </c>
      <c r="F66" s="329">
        <v>0</v>
      </c>
      <c r="G66" s="330">
        <v>0</v>
      </c>
      <c r="H66" s="332">
        <v>0</v>
      </c>
      <c r="I66" s="329">
        <v>0</v>
      </c>
      <c r="J66" s="330">
        <v>0</v>
      </c>
      <c r="K66" s="339" t="s">
        <v>222</v>
      </c>
    </row>
    <row r="67" spans="1:11" ht="14.4" customHeight="1" thickBot="1" x14ac:dyDescent="0.35">
      <c r="A67" s="353" t="s">
        <v>281</v>
      </c>
      <c r="B67" s="329">
        <v>0</v>
      </c>
      <c r="C67" s="329">
        <v>14.3</v>
      </c>
      <c r="D67" s="330">
        <v>14.3</v>
      </c>
      <c r="E67" s="342" t="s">
        <v>222</v>
      </c>
      <c r="F67" s="329">
        <v>0</v>
      </c>
      <c r="G67" s="330">
        <v>0</v>
      </c>
      <c r="H67" s="332">
        <v>0</v>
      </c>
      <c r="I67" s="329">
        <v>0</v>
      </c>
      <c r="J67" s="330">
        <v>0</v>
      </c>
      <c r="K67" s="339" t="s">
        <v>222</v>
      </c>
    </row>
    <row r="68" spans="1:11" ht="14.4" customHeight="1" thickBot="1" x14ac:dyDescent="0.35">
      <c r="A68" s="351" t="s">
        <v>282</v>
      </c>
      <c r="B68" s="329">
        <v>0</v>
      </c>
      <c r="C68" s="329">
        <v>14.3</v>
      </c>
      <c r="D68" s="330">
        <v>14.3</v>
      </c>
      <c r="E68" s="342" t="s">
        <v>222</v>
      </c>
      <c r="F68" s="329">
        <v>0</v>
      </c>
      <c r="G68" s="330">
        <v>0</v>
      </c>
      <c r="H68" s="332">
        <v>0</v>
      </c>
      <c r="I68" s="329">
        <v>0</v>
      </c>
      <c r="J68" s="330">
        <v>0</v>
      </c>
      <c r="K68" s="339" t="s">
        <v>222</v>
      </c>
    </row>
    <row r="69" spans="1:11" ht="14.4" customHeight="1" thickBot="1" x14ac:dyDescent="0.35">
      <c r="A69" s="348" t="s">
        <v>283</v>
      </c>
      <c r="B69" s="329">
        <v>39.999111066650002</v>
      </c>
      <c r="C69" s="329">
        <v>77.893299999999996</v>
      </c>
      <c r="D69" s="330">
        <v>37.894188933349</v>
      </c>
      <c r="E69" s="331">
        <v>1.9473757771810001</v>
      </c>
      <c r="F69" s="329">
        <v>42.999983767379</v>
      </c>
      <c r="G69" s="330">
        <v>7.1666639612290002</v>
      </c>
      <c r="H69" s="332">
        <v>3.54</v>
      </c>
      <c r="I69" s="329">
        <v>7.08</v>
      </c>
      <c r="J69" s="330">
        <v>-8.6663961228999997E-2</v>
      </c>
      <c r="K69" s="333">
        <v>0.16465122494600001</v>
      </c>
    </row>
    <row r="70" spans="1:11" ht="14.4" customHeight="1" thickBot="1" x14ac:dyDescent="0.35">
      <c r="A70" s="349" t="s">
        <v>284</v>
      </c>
      <c r="B70" s="329">
        <v>39.999111066650002</v>
      </c>
      <c r="C70" s="329">
        <v>40.856000000000002</v>
      </c>
      <c r="D70" s="330">
        <v>0.85688893334899996</v>
      </c>
      <c r="E70" s="331">
        <v>1.0214226994169999</v>
      </c>
      <c r="F70" s="329">
        <v>42.999983767379</v>
      </c>
      <c r="G70" s="330">
        <v>7.1666639612290002</v>
      </c>
      <c r="H70" s="332">
        <v>3.54</v>
      </c>
      <c r="I70" s="329">
        <v>7.08</v>
      </c>
      <c r="J70" s="330">
        <v>-8.6663961228999997E-2</v>
      </c>
      <c r="K70" s="333">
        <v>0.16465122494600001</v>
      </c>
    </row>
    <row r="71" spans="1:11" ht="14.4" customHeight="1" thickBot="1" x14ac:dyDescent="0.35">
      <c r="A71" s="350" t="s">
        <v>285</v>
      </c>
      <c r="B71" s="334">
        <v>39.999111066650002</v>
      </c>
      <c r="C71" s="334">
        <v>40.856000000000002</v>
      </c>
      <c r="D71" s="335">
        <v>0.85688893334899996</v>
      </c>
      <c r="E71" s="336">
        <v>1.0214226994169999</v>
      </c>
      <c r="F71" s="334">
        <v>42.999983767379</v>
      </c>
      <c r="G71" s="335">
        <v>7.1666639612290002</v>
      </c>
      <c r="H71" s="337">
        <v>3.54</v>
      </c>
      <c r="I71" s="334">
        <v>7.08</v>
      </c>
      <c r="J71" s="335">
        <v>-8.6663961228999997E-2</v>
      </c>
      <c r="K71" s="338">
        <v>0.16465122494600001</v>
      </c>
    </row>
    <row r="72" spans="1:11" ht="14.4" customHeight="1" thickBot="1" x14ac:dyDescent="0.35">
      <c r="A72" s="351" t="s">
        <v>286</v>
      </c>
      <c r="B72" s="329">
        <v>21.999125944873999</v>
      </c>
      <c r="C72" s="329">
        <v>23.324000000000002</v>
      </c>
      <c r="D72" s="330">
        <v>1.324874055125</v>
      </c>
      <c r="E72" s="331">
        <v>1.0602239406439999</v>
      </c>
      <c r="F72" s="329">
        <v>24.999999212559999</v>
      </c>
      <c r="G72" s="330">
        <v>4.1666665354259997</v>
      </c>
      <c r="H72" s="332">
        <v>2.0670000000000002</v>
      </c>
      <c r="I72" s="329">
        <v>4.1340000000000003</v>
      </c>
      <c r="J72" s="330">
        <v>-3.2666535426000003E-2</v>
      </c>
      <c r="K72" s="333">
        <v>0.16536000520800001</v>
      </c>
    </row>
    <row r="73" spans="1:11" ht="14.4" customHeight="1" thickBot="1" x14ac:dyDescent="0.35">
      <c r="A73" s="351" t="s">
        <v>287</v>
      </c>
      <c r="B73" s="329">
        <v>10.000083664575</v>
      </c>
      <c r="C73" s="329">
        <v>9.9120000000000008</v>
      </c>
      <c r="D73" s="330">
        <v>-8.8083664574999998E-2</v>
      </c>
      <c r="E73" s="331">
        <v>0.99119170723600003</v>
      </c>
      <c r="F73" s="329">
        <v>10.000083349596</v>
      </c>
      <c r="G73" s="330">
        <v>1.666680558266</v>
      </c>
      <c r="H73" s="332">
        <v>0.82599999999999996</v>
      </c>
      <c r="I73" s="329">
        <v>1.6519999999999999</v>
      </c>
      <c r="J73" s="330">
        <v>-1.4680558266E-2</v>
      </c>
      <c r="K73" s="333">
        <v>0.165198623076</v>
      </c>
    </row>
    <row r="74" spans="1:11" ht="14.4" customHeight="1" thickBot="1" x14ac:dyDescent="0.35">
      <c r="A74" s="351" t="s">
        <v>288</v>
      </c>
      <c r="B74" s="329">
        <v>7.9999014572</v>
      </c>
      <c r="C74" s="329">
        <v>7.62</v>
      </c>
      <c r="D74" s="330">
        <v>-0.37990145720000001</v>
      </c>
      <c r="E74" s="331">
        <v>0.952511732896</v>
      </c>
      <c r="F74" s="329">
        <v>7.9999012052219998</v>
      </c>
      <c r="G74" s="330">
        <v>1.333316867537</v>
      </c>
      <c r="H74" s="332">
        <v>0.64700000000000002</v>
      </c>
      <c r="I74" s="329">
        <v>1.294</v>
      </c>
      <c r="J74" s="330">
        <v>-3.9316867536999998E-2</v>
      </c>
      <c r="K74" s="333">
        <v>0.161751997531</v>
      </c>
    </row>
    <row r="75" spans="1:11" ht="14.4" customHeight="1" thickBot="1" x14ac:dyDescent="0.35">
      <c r="A75" s="349" t="s">
        <v>289</v>
      </c>
      <c r="B75" s="329">
        <v>0</v>
      </c>
      <c r="C75" s="329">
        <v>37.037300000000002</v>
      </c>
      <c r="D75" s="330">
        <v>37.037300000000002</v>
      </c>
      <c r="E75" s="342" t="s">
        <v>222</v>
      </c>
      <c r="F75" s="329">
        <v>0</v>
      </c>
      <c r="G75" s="330">
        <v>0</v>
      </c>
      <c r="H75" s="332">
        <v>0</v>
      </c>
      <c r="I75" s="329">
        <v>0</v>
      </c>
      <c r="J75" s="330">
        <v>0</v>
      </c>
      <c r="K75" s="339" t="s">
        <v>222</v>
      </c>
    </row>
    <row r="76" spans="1:11" ht="14.4" customHeight="1" thickBot="1" x14ac:dyDescent="0.35">
      <c r="A76" s="350" t="s">
        <v>290</v>
      </c>
      <c r="B76" s="334">
        <v>0</v>
      </c>
      <c r="C76" s="334">
        <v>37.037300000000002</v>
      </c>
      <c r="D76" s="335">
        <v>37.037300000000002</v>
      </c>
      <c r="E76" s="340" t="s">
        <v>222</v>
      </c>
      <c r="F76" s="334">
        <v>0</v>
      </c>
      <c r="G76" s="335">
        <v>0</v>
      </c>
      <c r="H76" s="337">
        <v>0</v>
      </c>
      <c r="I76" s="334">
        <v>0</v>
      </c>
      <c r="J76" s="335">
        <v>0</v>
      </c>
      <c r="K76" s="341" t="s">
        <v>222</v>
      </c>
    </row>
    <row r="77" spans="1:11" ht="14.4" customHeight="1" thickBot="1" x14ac:dyDescent="0.35">
      <c r="A77" s="351" t="s">
        <v>291</v>
      </c>
      <c r="B77" s="329">
        <v>0</v>
      </c>
      <c r="C77" s="329">
        <v>37.037300000000002</v>
      </c>
      <c r="D77" s="330">
        <v>37.037300000000002</v>
      </c>
      <c r="E77" s="342" t="s">
        <v>222</v>
      </c>
      <c r="F77" s="329">
        <v>0</v>
      </c>
      <c r="G77" s="330">
        <v>0</v>
      </c>
      <c r="H77" s="332">
        <v>0</v>
      </c>
      <c r="I77" s="329">
        <v>0</v>
      </c>
      <c r="J77" s="330">
        <v>0</v>
      </c>
      <c r="K77" s="339" t="s">
        <v>222</v>
      </c>
    </row>
    <row r="78" spans="1:11" ht="14.4" customHeight="1" thickBot="1" x14ac:dyDescent="0.35">
      <c r="A78" s="347" t="s">
        <v>292</v>
      </c>
      <c r="B78" s="329">
        <v>7065.5011840815296</v>
      </c>
      <c r="C78" s="329">
        <v>7769.9671099999996</v>
      </c>
      <c r="D78" s="330">
        <v>704.465925918469</v>
      </c>
      <c r="E78" s="331">
        <v>1.0997050184499999</v>
      </c>
      <c r="F78" s="329">
        <v>7662.58809836001</v>
      </c>
      <c r="G78" s="330">
        <v>1277.09801639334</v>
      </c>
      <c r="H78" s="332">
        <v>685.24753999999996</v>
      </c>
      <c r="I78" s="329">
        <v>1483.2135599999999</v>
      </c>
      <c r="J78" s="330">
        <v>206.115543606664</v>
      </c>
      <c r="K78" s="333">
        <v>0.19356561268299999</v>
      </c>
    </row>
    <row r="79" spans="1:11" ht="14.4" customHeight="1" thickBot="1" x14ac:dyDescent="0.35">
      <c r="A79" s="348" t="s">
        <v>293</v>
      </c>
      <c r="B79" s="329">
        <v>7019.6462461520096</v>
      </c>
      <c r="C79" s="329">
        <v>7721.4060900000004</v>
      </c>
      <c r="D79" s="330">
        <v>701.75984384798505</v>
      </c>
      <c r="E79" s="331">
        <v>1.09997082748</v>
      </c>
      <c r="F79" s="329">
        <v>7619.58809836001</v>
      </c>
      <c r="G79" s="330">
        <v>1269.9313497266701</v>
      </c>
      <c r="H79" s="332">
        <v>681.27242999999999</v>
      </c>
      <c r="I79" s="329">
        <v>1473.3582100000001</v>
      </c>
      <c r="J79" s="330">
        <v>203.42686027333099</v>
      </c>
      <c r="K79" s="333">
        <v>0.19336454818500001</v>
      </c>
    </row>
    <row r="80" spans="1:11" ht="14.4" customHeight="1" thickBot="1" x14ac:dyDescent="0.35">
      <c r="A80" s="349" t="s">
        <v>294</v>
      </c>
      <c r="B80" s="329">
        <v>7019.6462461520096</v>
      </c>
      <c r="C80" s="329">
        <v>7721.4060900000004</v>
      </c>
      <c r="D80" s="330">
        <v>701.75984384798505</v>
      </c>
      <c r="E80" s="331">
        <v>1.09997082748</v>
      </c>
      <c r="F80" s="329">
        <v>7619.58809836001</v>
      </c>
      <c r="G80" s="330">
        <v>1269.9313497266701</v>
      </c>
      <c r="H80" s="332">
        <v>681.27242999999999</v>
      </c>
      <c r="I80" s="329">
        <v>1473.3582100000001</v>
      </c>
      <c r="J80" s="330">
        <v>203.42686027333099</v>
      </c>
      <c r="K80" s="333">
        <v>0.19336454818500001</v>
      </c>
    </row>
    <row r="81" spans="1:11" ht="14.4" customHeight="1" thickBot="1" x14ac:dyDescent="0.35">
      <c r="A81" s="350" t="s">
        <v>295</v>
      </c>
      <c r="B81" s="334">
        <v>16.646246152012001</v>
      </c>
      <c r="C81" s="334">
        <v>28.110289999999999</v>
      </c>
      <c r="D81" s="335">
        <v>11.464043847988</v>
      </c>
      <c r="E81" s="336">
        <v>1.68868643076</v>
      </c>
      <c r="F81" s="334">
        <v>21.588098358027001</v>
      </c>
      <c r="G81" s="335">
        <v>3.5980163930039999</v>
      </c>
      <c r="H81" s="337">
        <v>9.5720100000000006</v>
      </c>
      <c r="I81" s="334">
        <v>11.77712</v>
      </c>
      <c r="J81" s="335">
        <v>8.1791036069949996</v>
      </c>
      <c r="K81" s="338">
        <v>0.54553762933000005</v>
      </c>
    </row>
    <row r="82" spans="1:11" ht="14.4" customHeight="1" thickBot="1" x14ac:dyDescent="0.35">
      <c r="A82" s="351" t="s">
        <v>296</v>
      </c>
      <c r="B82" s="329">
        <v>16.646246152012001</v>
      </c>
      <c r="C82" s="329">
        <v>28.04748</v>
      </c>
      <c r="D82" s="330">
        <v>11.401233847987999</v>
      </c>
      <c r="E82" s="331">
        <v>1.68491320769</v>
      </c>
      <c r="F82" s="329">
        <v>21.41005050927</v>
      </c>
      <c r="G82" s="330">
        <v>3.5683417515450002</v>
      </c>
      <c r="H82" s="332">
        <v>9.5720100000000006</v>
      </c>
      <c r="I82" s="329">
        <v>11.77712</v>
      </c>
      <c r="J82" s="330">
        <v>8.2087782484539993</v>
      </c>
      <c r="K82" s="333">
        <v>0.55007436787200004</v>
      </c>
    </row>
    <row r="83" spans="1:11" ht="14.4" customHeight="1" thickBot="1" x14ac:dyDescent="0.35">
      <c r="A83" s="351" t="s">
        <v>297</v>
      </c>
      <c r="B83" s="329">
        <v>0</v>
      </c>
      <c r="C83" s="329">
        <v>6.2810000000000005E-2</v>
      </c>
      <c r="D83" s="330">
        <v>6.2810000000000005E-2</v>
      </c>
      <c r="E83" s="342" t="s">
        <v>245</v>
      </c>
      <c r="F83" s="329">
        <v>0.178047848757</v>
      </c>
      <c r="G83" s="330">
        <v>2.9674641458999999E-2</v>
      </c>
      <c r="H83" s="332">
        <v>0</v>
      </c>
      <c r="I83" s="329">
        <v>0</v>
      </c>
      <c r="J83" s="330">
        <v>-2.9674641458999999E-2</v>
      </c>
      <c r="K83" s="333">
        <v>0</v>
      </c>
    </row>
    <row r="84" spans="1:11" ht="14.4" customHeight="1" thickBot="1" x14ac:dyDescent="0.35">
      <c r="A84" s="350" t="s">
        <v>298</v>
      </c>
      <c r="B84" s="334">
        <v>0</v>
      </c>
      <c r="C84" s="334">
        <v>11.79332</v>
      </c>
      <c r="D84" s="335">
        <v>11.79332</v>
      </c>
      <c r="E84" s="340" t="s">
        <v>222</v>
      </c>
      <c r="F84" s="334">
        <v>10.000000000002</v>
      </c>
      <c r="G84" s="335">
        <v>1.666666666667</v>
      </c>
      <c r="H84" s="337">
        <v>1.3376399999999999</v>
      </c>
      <c r="I84" s="334">
        <v>2.6256400000000002</v>
      </c>
      <c r="J84" s="335">
        <v>0.95897333333199997</v>
      </c>
      <c r="K84" s="338">
        <v>0.26256399999899999</v>
      </c>
    </row>
    <row r="85" spans="1:11" ht="14.4" customHeight="1" thickBot="1" x14ac:dyDescent="0.35">
      <c r="A85" s="351" t="s">
        <v>299</v>
      </c>
      <c r="B85" s="329">
        <v>0</v>
      </c>
      <c r="C85" s="329">
        <v>11.79332</v>
      </c>
      <c r="D85" s="330">
        <v>11.79332</v>
      </c>
      <c r="E85" s="342" t="s">
        <v>222</v>
      </c>
      <c r="F85" s="329">
        <v>10.000000000002</v>
      </c>
      <c r="G85" s="330">
        <v>1.666666666667</v>
      </c>
      <c r="H85" s="332">
        <v>1.3376399999999999</v>
      </c>
      <c r="I85" s="329">
        <v>2.6256400000000002</v>
      </c>
      <c r="J85" s="330">
        <v>0.95897333333199997</v>
      </c>
      <c r="K85" s="333">
        <v>0.26256399999899999</v>
      </c>
    </row>
    <row r="86" spans="1:11" ht="14.4" customHeight="1" thickBot="1" x14ac:dyDescent="0.35">
      <c r="A86" s="350" t="s">
        <v>300</v>
      </c>
      <c r="B86" s="334">
        <v>0</v>
      </c>
      <c r="C86" s="334">
        <v>1.1484000000000001</v>
      </c>
      <c r="D86" s="335">
        <v>1.1484000000000001</v>
      </c>
      <c r="E86" s="340" t="s">
        <v>222</v>
      </c>
      <c r="F86" s="334">
        <v>4.0000000000010001</v>
      </c>
      <c r="G86" s="335">
        <v>0.66666666666600005</v>
      </c>
      <c r="H86" s="337">
        <v>0</v>
      </c>
      <c r="I86" s="334">
        <v>0</v>
      </c>
      <c r="J86" s="335">
        <v>-0.66666666666600005</v>
      </c>
      <c r="K86" s="338">
        <v>0</v>
      </c>
    </row>
    <row r="87" spans="1:11" ht="14.4" customHeight="1" thickBot="1" x14ac:dyDescent="0.35">
      <c r="A87" s="351" t="s">
        <v>301</v>
      </c>
      <c r="B87" s="329">
        <v>0</v>
      </c>
      <c r="C87" s="329">
        <v>1.1484000000000001</v>
      </c>
      <c r="D87" s="330">
        <v>1.1484000000000001</v>
      </c>
      <c r="E87" s="342" t="s">
        <v>245</v>
      </c>
      <c r="F87" s="329">
        <v>4.0000000000010001</v>
      </c>
      <c r="G87" s="330">
        <v>0.66666666666600005</v>
      </c>
      <c r="H87" s="332">
        <v>0</v>
      </c>
      <c r="I87" s="329">
        <v>0</v>
      </c>
      <c r="J87" s="330">
        <v>-0.66666666666600005</v>
      </c>
      <c r="K87" s="333">
        <v>0</v>
      </c>
    </row>
    <row r="88" spans="1:11" ht="14.4" customHeight="1" thickBot="1" x14ac:dyDescent="0.35">
      <c r="A88" s="350" t="s">
        <v>302</v>
      </c>
      <c r="B88" s="334">
        <v>7003</v>
      </c>
      <c r="C88" s="334">
        <v>7188.0248499999998</v>
      </c>
      <c r="D88" s="335">
        <v>185.024849999998</v>
      </c>
      <c r="E88" s="336">
        <v>1.0264207982289999</v>
      </c>
      <c r="F88" s="334">
        <v>7584.00000000198</v>
      </c>
      <c r="G88" s="335">
        <v>1264.0000000003299</v>
      </c>
      <c r="H88" s="337">
        <v>670.36278000000004</v>
      </c>
      <c r="I88" s="334">
        <v>1464.5919100000001</v>
      </c>
      <c r="J88" s="335">
        <v>200.59190999967001</v>
      </c>
      <c r="K88" s="338">
        <v>0.19311602188800001</v>
      </c>
    </row>
    <row r="89" spans="1:11" ht="14.4" customHeight="1" thickBot="1" x14ac:dyDescent="0.35">
      <c r="A89" s="351" t="s">
        <v>303</v>
      </c>
      <c r="B89" s="329">
        <v>2495</v>
      </c>
      <c r="C89" s="329">
        <v>2371.9464600000001</v>
      </c>
      <c r="D89" s="330">
        <v>-123.053540000002</v>
      </c>
      <c r="E89" s="331">
        <v>0.95067994388699995</v>
      </c>
      <c r="F89" s="329">
        <v>2646.0000000006899</v>
      </c>
      <c r="G89" s="330">
        <v>441.00000000011499</v>
      </c>
      <c r="H89" s="332">
        <v>238.73801</v>
      </c>
      <c r="I89" s="329">
        <v>520.98469999999998</v>
      </c>
      <c r="J89" s="330">
        <v>79.984699999884</v>
      </c>
      <c r="K89" s="333">
        <v>0.196895200302</v>
      </c>
    </row>
    <row r="90" spans="1:11" ht="14.4" customHeight="1" thickBot="1" x14ac:dyDescent="0.35">
      <c r="A90" s="351" t="s">
        <v>304</v>
      </c>
      <c r="B90" s="329">
        <v>4508</v>
      </c>
      <c r="C90" s="329">
        <v>4816.0783899999997</v>
      </c>
      <c r="D90" s="330">
        <v>308.07839000000001</v>
      </c>
      <c r="E90" s="331">
        <v>1.068340370452</v>
      </c>
      <c r="F90" s="329">
        <v>4938.0000000012897</v>
      </c>
      <c r="G90" s="330">
        <v>823.00000000021498</v>
      </c>
      <c r="H90" s="332">
        <v>431.62477000000001</v>
      </c>
      <c r="I90" s="329">
        <v>943.60721000000001</v>
      </c>
      <c r="J90" s="330">
        <v>120.607209999785</v>
      </c>
      <c r="K90" s="333">
        <v>0.19109097002799999</v>
      </c>
    </row>
    <row r="91" spans="1:11" ht="14.4" customHeight="1" thickBot="1" x14ac:dyDescent="0.35">
      <c r="A91" s="350" t="s">
        <v>305</v>
      </c>
      <c r="B91" s="334">
        <v>0</v>
      </c>
      <c r="C91" s="334">
        <v>492.32923</v>
      </c>
      <c r="D91" s="335">
        <v>492.32923</v>
      </c>
      <c r="E91" s="340" t="s">
        <v>222</v>
      </c>
      <c r="F91" s="334">
        <v>0</v>
      </c>
      <c r="G91" s="335">
        <v>0</v>
      </c>
      <c r="H91" s="337">
        <v>0</v>
      </c>
      <c r="I91" s="334">
        <v>-5.6364599999999996</v>
      </c>
      <c r="J91" s="335">
        <v>-5.6364599999999996</v>
      </c>
      <c r="K91" s="341" t="s">
        <v>222</v>
      </c>
    </row>
    <row r="92" spans="1:11" ht="14.4" customHeight="1" thickBot="1" x14ac:dyDescent="0.35">
      <c r="A92" s="351" t="s">
        <v>306</v>
      </c>
      <c r="B92" s="329">
        <v>0</v>
      </c>
      <c r="C92" s="329">
        <v>17.632930000000002</v>
      </c>
      <c r="D92" s="330">
        <v>17.632930000000002</v>
      </c>
      <c r="E92" s="342" t="s">
        <v>222</v>
      </c>
      <c r="F92" s="329">
        <v>0</v>
      </c>
      <c r="G92" s="330">
        <v>0</v>
      </c>
      <c r="H92" s="332">
        <v>0</v>
      </c>
      <c r="I92" s="329">
        <v>0</v>
      </c>
      <c r="J92" s="330">
        <v>0</v>
      </c>
      <c r="K92" s="339" t="s">
        <v>222</v>
      </c>
    </row>
    <row r="93" spans="1:11" ht="14.4" customHeight="1" thickBot="1" x14ac:dyDescent="0.35">
      <c r="A93" s="351" t="s">
        <v>307</v>
      </c>
      <c r="B93" s="329">
        <v>0</v>
      </c>
      <c r="C93" s="329">
        <v>474.69630000000001</v>
      </c>
      <c r="D93" s="330">
        <v>474.69630000000001</v>
      </c>
      <c r="E93" s="342" t="s">
        <v>222</v>
      </c>
      <c r="F93" s="329">
        <v>0</v>
      </c>
      <c r="G93" s="330">
        <v>0</v>
      </c>
      <c r="H93" s="332">
        <v>0</v>
      </c>
      <c r="I93" s="329">
        <v>-5.6364599999999996</v>
      </c>
      <c r="J93" s="330">
        <v>-5.6364599999999996</v>
      </c>
      <c r="K93" s="339" t="s">
        <v>222</v>
      </c>
    </row>
    <row r="94" spans="1:11" ht="14.4" customHeight="1" thickBot="1" x14ac:dyDescent="0.35">
      <c r="A94" s="348" t="s">
        <v>308</v>
      </c>
      <c r="B94" s="329">
        <v>45.854937929517</v>
      </c>
      <c r="C94" s="329">
        <v>48.561019999999999</v>
      </c>
      <c r="D94" s="330">
        <v>2.7060820704820001</v>
      </c>
      <c r="E94" s="331">
        <v>1.059013973034</v>
      </c>
      <c r="F94" s="329">
        <v>43</v>
      </c>
      <c r="G94" s="330">
        <v>7.1666666666659999</v>
      </c>
      <c r="H94" s="332">
        <v>3.9751099999999999</v>
      </c>
      <c r="I94" s="329">
        <v>9.8553499999999996</v>
      </c>
      <c r="J94" s="330">
        <v>2.688683333333</v>
      </c>
      <c r="K94" s="333">
        <v>0.229194186046</v>
      </c>
    </row>
    <row r="95" spans="1:11" ht="14.4" customHeight="1" thickBot="1" x14ac:dyDescent="0.35">
      <c r="A95" s="354" t="s">
        <v>309</v>
      </c>
      <c r="B95" s="334">
        <v>45.854937929517</v>
      </c>
      <c r="C95" s="334">
        <v>48.561019999999999</v>
      </c>
      <c r="D95" s="335">
        <v>2.7060820704820001</v>
      </c>
      <c r="E95" s="336">
        <v>1.059013973034</v>
      </c>
      <c r="F95" s="334">
        <v>43</v>
      </c>
      <c r="G95" s="335">
        <v>7.1666666666659999</v>
      </c>
      <c r="H95" s="337">
        <v>3.9751099999999999</v>
      </c>
      <c r="I95" s="334">
        <v>9.8553499999999996</v>
      </c>
      <c r="J95" s="335">
        <v>2.688683333333</v>
      </c>
      <c r="K95" s="338">
        <v>0.229194186046</v>
      </c>
    </row>
    <row r="96" spans="1:11" ht="14.4" customHeight="1" thickBot="1" x14ac:dyDescent="0.35">
      <c r="A96" s="350" t="s">
        <v>310</v>
      </c>
      <c r="B96" s="334">
        <v>0</v>
      </c>
      <c r="C96" s="334">
        <v>-1.9000000000000001E-4</v>
      </c>
      <c r="D96" s="335">
        <v>-1.9000000000000001E-4</v>
      </c>
      <c r="E96" s="340" t="s">
        <v>222</v>
      </c>
      <c r="F96" s="334">
        <v>0</v>
      </c>
      <c r="G96" s="335">
        <v>0</v>
      </c>
      <c r="H96" s="337">
        <v>-2.0000000000000002E-5</v>
      </c>
      <c r="I96" s="334">
        <v>9.9999999999999805E-6</v>
      </c>
      <c r="J96" s="335">
        <v>9.9999999999999805E-6</v>
      </c>
      <c r="K96" s="341" t="s">
        <v>222</v>
      </c>
    </row>
    <row r="97" spans="1:11" ht="14.4" customHeight="1" thickBot="1" x14ac:dyDescent="0.35">
      <c r="A97" s="351" t="s">
        <v>311</v>
      </c>
      <c r="B97" s="329">
        <v>0</v>
      </c>
      <c r="C97" s="329">
        <v>-1.9000000000000001E-4</v>
      </c>
      <c r="D97" s="330">
        <v>-1.9000000000000001E-4</v>
      </c>
      <c r="E97" s="342" t="s">
        <v>222</v>
      </c>
      <c r="F97" s="329">
        <v>0</v>
      </c>
      <c r="G97" s="330">
        <v>0</v>
      </c>
      <c r="H97" s="332">
        <v>-2.0000000000000002E-5</v>
      </c>
      <c r="I97" s="329">
        <v>9.9999999999999805E-6</v>
      </c>
      <c r="J97" s="330">
        <v>9.9999999999999805E-6</v>
      </c>
      <c r="K97" s="339" t="s">
        <v>222</v>
      </c>
    </row>
    <row r="98" spans="1:11" ht="14.4" customHeight="1" thickBot="1" x14ac:dyDescent="0.35">
      <c r="A98" s="350" t="s">
        <v>312</v>
      </c>
      <c r="B98" s="334">
        <v>45.854937929517</v>
      </c>
      <c r="C98" s="334">
        <v>48.561210000000003</v>
      </c>
      <c r="D98" s="335">
        <v>2.706272070482</v>
      </c>
      <c r="E98" s="336">
        <v>1.059018116536</v>
      </c>
      <c r="F98" s="334">
        <v>43</v>
      </c>
      <c r="G98" s="335">
        <v>7.1666666666659999</v>
      </c>
      <c r="H98" s="337">
        <v>3.9751300000000001</v>
      </c>
      <c r="I98" s="334">
        <v>9.85534</v>
      </c>
      <c r="J98" s="335">
        <v>2.688673333333</v>
      </c>
      <c r="K98" s="338">
        <v>0.22919395348800001</v>
      </c>
    </row>
    <row r="99" spans="1:11" ht="14.4" customHeight="1" thickBot="1" x14ac:dyDescent="0.35">
      <c r="A99" s="351" t="s">
        <v>313</v>
      </c>
      <c r="B99" s="329">
        <v>0</v>
      </c>
      <c r="C99" s="329">
        <v>-1.48752</v>
      </c>
      <c r="D99" s="330">
        <v>-1.48752</v>
      </c>
      <c r="E99" s="342" t="s">
        <v>245</v>
      </c>
      <c r="F99" s="329">
        <v>0</v>
      </c>
      <c r="G99" s="330">
        <v>0</v>
      </c>
      <c r="H99" s="332">
        <v>0</v>
      </c>
      <c r="I99" s="329">
        <v>0</v>
      </c>
      <c r="J99" s="330">
        <v>0</v>
      </c>
      <c r="K99" s="339" t="s">
        <v>222</v>
      </c>
    </row>
    <row r="100" spans="1:11" ht="14.4" customHeight="1" thickBot="1" x14ac:dyDescent="0.35">
      <c r="A100" s="351" t="s">
        <v>314</v>
      </c>
      <c r="B100" s="329">
        <v>0</v>
      </c>
      <c r="C100" s="329">
        <v>0</v>
      </c>
      <c r="D100" s="330">
        <v>0</v>
      </c>
      <c r="E100" s="331">
        <v>1</v>
      </c>
      <c r="F100" s="329">
        <v>0</v>
      </c>
      <c r="G100" s="330">
        <v>0</v>
      </c>
      <c r="H100" s="332">
        <v>0</v>
      </c>
      <c r="I100" s="329">
        <v>2.9090000000000001E-2</v>
      </c>
      <c r="J100" s="330">
        <v>2.9090000000000001E-2</v>
      </c>
      <c r="K100" s="339" t="s">
        <v>245</v>
      </c>
    </row>
    <row r="101" spans="1:11" ht="14.4" customHeight="1" thickBot="1" x14ac:dyDescent="0.35">
      <c r="A101" s="351" t="s">
        <v>315</v>
      </c>
      <c r="B101" s="329">
        <v>45.854937929517</v>
      </c>
      <c r="C101" s="329">
        <v>50.048729999999999</v>
      </c>
      <c r="D101" s="330">
        <v>4.193792070482</v>
      </c>
      <c r="E101" s="331">
        <v>1.091457807159</v>
      </c>
      <c r="F101" s="329">
        <v>43</v>
      </c>
      <c r="G101" s="330">
        <v>7.1666666666659999</v>
      </c>
      <c r="H101" s="332">
        <v>3.9751300000000001</v>
      </c>
      <c r="I101" s="329">
        <v>9.8262499999999999</v>
      </c>
      <c r="J101" s="330">
        <v>2.6595833333329999</v>
      </c>
      <c r="K101" s="333">
        <v>0.22851744186</v>
      </c>
    </row>
    <row r="102" spans="1:11" ht="14.4" customHeight="1" thickBot="1" x14ac:dyDescent="0.35">
      <c r="A102" s="347" t="s">
        <v>316</v>
      </c>
      <c r="B102" s="329">
        <v>1142.00028352708</v>
      </c>
      <c r="C102" s="329">
        <v>1086.4533200000001</v>
      </c>
      <c r="D102" s="330">
        <v>-55.546963527076002</v>
      </c>
      <c r="E102" s="331">
        <v>0.95135993893399995</v>
      </c>
      <c r="F102" s="329">
        <v>0</v>
      </c>
      <c r="G102" s="330">
        <v>0</v>
      </c>
      <c r="H102" s="332">
        <v>78.450239999999994</v>
      </c>
      <c r="I102" s="329">
        <v>152.1439</v>
      </c>
      <c r="J102" s="330">
        <v>152.1439</v>
      </c>
      <c r="K102" s="339" t="s">
        <v>222</v>
      </c>
    </row>
    <row r="103" spans="1:11" ht="14.4" customHeight="1" thickBot="1" x14ac:dyDescent="0.35">
      <c r="A103" s="352" t="s">
        <v>317</v>
      </c>
      <c r="B103" s="334">
        <v>1142.00028352708</v>
      </c>
      <c r="C103" s="334">
        <v>1086.4533200000001</v>
      </c>
      <c r="D103" s="335">
        <v>-55.546963527076002</v>
      </c>
      <c r="E103" s="336">
        <v>0.95135993893399995</v>
      </c>
      <c r="F103" s="334">
        <v>0</v>
      </c>
      <c r="G103" s="335">
        <v>0</v>
      </c>
      <c r="H103" s="337">
        <v>78.450239999999994</v>
      </c>
      <c r="I103" s="334">
        <v>152.1439</v>
      </c>
      <c r="J103" s="335">
        <v>152.1439</v>
      </c>
      <c r="K103" s="341" t="s">
        <v>222</v>
      </c>
    </row>
    <row r="104" spans="1:11" ht="14.4" customHeight="1" thickBot="1" x14ac:dyDescent="0.35">
      <c r="A104" s="354" t="s">
        <v>31</v>
      </c>
      <c r="B104" s="334">
        <v>1142.00028352708</v>
      </c>
      <c r="C104" s="334">
        <v>1086.4533200000001</v>
      </c>
      <c r="D104" s="335">
        <v>-55.546963527076002</v>
      </c>
      <c r="E104" s="336">
        <v>0.95135993893399995</v>
      </c>
      <c r="F104" s="334">
        <v>0</v>
      </c>
      <c r="G104" s="335">
        <v>0</v>
      </c>
      <c r="H104" s="337">
        <v>78.450239999999994</v>
      </c>
      <c r="I104" s="334">
        <v>152.1439</v>
      </c>
      <c r="J104" s="335">
        <v>152.1439</v>
      </c>
      <c r="K104" s="341" t="s">
        <v>222</v>
      </c>
    </row>
    <row r="105" spans="1:11" ht="14.4" customHeight="1" thickBot="1" x14ac:dyDescent="0.35">
      <c r="A105" s="350" t="s">
        <v>318</v>
      </c>
      <c r="B105" s="334">
        <v>3</v>
      </c>
      <c r="C105" s="334">
        <v>5.1791999999999998</v>
      </c>
      <c r="D105" s="335">
        <v>2.1791999999999998</v>
      </c>
      <c r="E105" s="336">
        <v>1.7263999999999999</v>
      </c>
      <c r="F105" s="334">
        <v>0</v>
      </c>
      <c r="G105" s="335">
        <v>0</v>
      </c>
      <c r="H105" s="337">
        <v>0.49399999999999999</v>
      </c>
      <c r="I105" s="334">
        <v>0.98799999999999999</v>
      </c>
      <c r="J105" s="335">
        <v>0.98799999999999999</v>
      </c>
      <c r="K105" s="341" t="s">
        <v>222</v>
      </c>
    </row>
    <row r="106" spans="1:11" ht="14.4" customHeight="1" thickBot="1" x14ac:dyDescent="0.35">
      <c r="A106" s="351" t="s">
        <v>319</v>
      </c>
      <c r="B106" s="329">
        <v>3</v>
      </c>
      <c r="C106" s="329">
        <v>5.1791999999999998</v>
      </c>
      <c r="D106" s="330">
        <v>2.1791999999999998</v>
      </c>
      <c r="E106" s="331">
        <v>1.7263999999999999</v>
      </c>
      <c r="F106" s="329">
        <v>0</v>
      </c>
      <c r="G106" s="330">
        <v>0</v>
      </c>
      <c r="H106" s="332">
        <v>0.49399999999999999</v>
      </c>
      <c r="I106" s="329">
        <v>0.98799999999999999</v>
      </c>
      <c r="J106" s="330">
        <v>0.98799999999999999</v>
      </c>
      <c r="K106" s="339" t="s">
        <v>222</v>
      </c>
    </row>
    <row r="107" spans="1:11" ht="14.4" customHeight="1" thickBot="1" x14ac:dyDescent="0.35">
      <c r="A107" s="350" t="s">
        <v>320</v>
      </c>
      <c r="B107" s="334">
        <v>2.0002835270760002</v>
      </c>
      <c r="C107" s="334">
        <v>1.7350000000000001</v>
      </c>
      <c r="D107" s="335">
        <v>-0.265283527076</v>
      </c>
      <c r="E107" s="336">
        <v>0.86737703756200002</v>
      </c>
      <c r="F107" s="334">
        <v>0</v>
      </c>
      <c r="G107" s="335">
        <v>0</v>
      </c>
      <c r="H107" s="337">
        <v>0.29399999999999998</v>
      </c>
      <c r="I107" s="334">
        <v>0.29399999999999998</v>
      </c>
      <c r="J107" s="335">
        <v>0.29399999999999998</v>
      </c>
      <c r="K107" s="341" t="s">
        <v>222</v>
      </c>
    </row>
    <row r="108" spans="1:11" ht="14.4" customHeight="1" thickBot="1" x14ac:dyDescent="0.35">
      <c r="A108" s="351" t="s">
        <v>321</v>
      </c>
      <c r="B108" s="329">
        <v>2.0002835270760002</v>
      </c>
      <c r="C108" s="329">
        <v>1.7350000000000001</v>
      </c>
      <c r="D108" s="330">
        <v>-0.265283527076</v>
      </c>
      <c r="E108" s="331">
        <v>0.86737703756200002</v>
      </c>
      <c r="F108" s="329">
        <v>0</v>
      </c>
      <c r="G108" s="330">
        <v>0</v>
      </c>
      <c r="H108" s="332">
        <v>0.29399999999999998</v>
      </c>
      <c r="I108" s="329">
        <v>0.29399999999999998</v>
      </c>
      <c r="J108" s="330">
        <v>0.29399999999999998</v>
      </c>
      <c r="K108" s="339" t="s">
        <v>222</v>
      </c>
    </row>
    <row r="109" spans="1:11" ht="14.4" customHeight="1" thickBot="1" x14ac:dyDescent="0.35">
      <c r="A109" s="350" t="s">
        <v>322</v>
      </c>
      <c r="B109" s="334">
        <v>0</v>
      </c>
      <c r="C109" s="334">
        <v>0.36399999999999999</v>
      </c>
      <c r="D109" s="335">
        <v>0.36399999999999999</v>
      </c>
      <c r="E109" s="340" t="s">
        <v>245</v>
      </c>
      <c r="F109" s="334">
        <v>0</v>
      </c>
      <c r="G109" s="335">
        <v>0</v>
      </c>
      <c r="H109" s="337">
        <v>0</v>
      </c>
      <c r="I109" s="334">
        <v>0.16800000000000001</v>
      </c>
      <c r="J109" s="335">
        <v>0.16800000000000001</v>
      </c>
      <c r="K109" s="341" t="s">
        <v>222</v>
      </c>
    </row>
    <row r="110" spans="1:11" ht="14.4" customHeight="1" thickBot="1" x14ac:dyDescent="0.35">
      <c r="A110" s="351" t="s">
        <v>323</v>
      </c>
      <c r="B110" s="329">
        <v>0</v>
      </c>
      <c r="C110" s="329">
        <v>0.36399999999999999</v>
      </c>
      <c r="D110" s="330">
        <v>0.36399999999999999</v>
      </c>
      <c r="E110" s="342" t="s">
        <v>245</v>
      </c>
      <c r="F110" s="329">
        <v>0</v>
      </c>
      <c r="G110" s="330">
        <v>0</v>
      </c>
      <c r="H110" s="332">
        <v>0</v>
      </c>
      <c r="I110" s="329">
        <v>0.16800000000000001</v>
      </c>
      <c r="J110" s="330">
        <v>0.16800000000000001</v>
      </c>
      <c r="K110" s="339" t="s">
        <v>222</v>
      </c>
    </row>
    <row r="111" spans="1:11" ht="14.4" customHeight="1" thickBot="1" x14ac:dyDescent="0.35">
      <c r="A111" s="350" t="s">
        <v>324</v>
      </c>
      <c r="B111" s="334">
        <v>349</v>
      </c>
      <c r="C111" s="334">
        <v>306.04710999999998</v>
      </c>
      <c r="D111" s="335">
        <v>-42.952889999999996</v>
      </c>
      <c r="E111" s="336">
        <v>0.87692581661799995</v>
      </c>
      <c r="F111" s="334">
        <v>0</v>
      </c>
      <c r="G111" s="335">
        <v>0</v>
      </c>
      <c r="H111" s="337">
        <v>12.309760000000001</v>
      </c>
      <c r="I111" s="334">
        <v>31.083860000000001</v>
      </c>
      <c r="J111" s="335">
        <v>31.083860000000001</v>
      </c>
      <c r="K111" s="341" t="s">
        <v>222</v>
      </c>
    </row>
    <row r="112" spans="1:11" ht="14.4" customHeight="1" thickBot="1" x14ac:dyDescent="0.35">
      <c r="A112" s="351" t="s">
        <v>325</v>
      </c>
      <c r="B112" s="329">
        <v>349</v>
      </c>
      <c r="C112" s="329">
        <v>306.04710999999998</v>
      </c>
      <c r="D112" s="330">
        <v>-42.952889999999996</v>
      </c>
      <c r="E112" s="331">
        <v>0.87692581661799995</v>
      </c>
      <c r="F112" s="329">
        <v>0</v>
      </c>
      <c r="G112" s="330">
        <v>0</v>
      </c>
      <c r="H112" s="332">
        <v>12.309760000000001</v>
      </c>
      <c r="I112" s="329">
        <v>31.083860000000001</v>
      </c>
      <c r="J112" s="330">
        <v>31.083860000000001</v>
      </c>
      <c r="K112" s="339" t="s">
        <v>222</v>
      </c>
    </row>
    <row r="113" spans="1:11" ht="14.4" customHeight="1" thickBot="1" x14ac:dyDescent="0.35">
      <c r="A113" s="350" t="s">
        <v>326</v>
      </c>
      <c r="B113" s="334">
        <v>788</v>
      </c>
      <c r="C113" s="334">
        <v>773.12801000000002</v>
      </c>
      <c r="D113" s="335">
        <v>-14.871989999999</v>
      </c>
      <c r="E113" s="336">
        <v>0.98112691624299997</v>
      </c>
      <c r="F113" s="334">
        <v>0</v>
      </c>
      <c r="G113" s="335">
        <v>0</v>
      </c>
      <c r="H113" s="337">
        <v>65.35248</v>
      </c>
      <c r="I113" s="334">
        <v>119.61004</v>
      </c>
      <c r="J113" s="335">
        <v>119.61004</v>
      </c>
      <c r="K113" s="341" t="s">
        <v>222</v>
      </c>
    </row>
    <row r="114" spans="1:11" ht="14.4" customHeight="1" thickBot="1" x14ac:dyDescent="0.35">
      <c r="A114" s="351" t="s">
        <v>327</v>
      </c>
      <c r="B114" s="329">
        <v>788</v>
      </c>
      <c r="C114" s="329">
        <v>773.12801000000002</v>
      </c>
      <c r="D114" s="330">
        <v>-14.871989999999</v>
      </c>
      <c r="E114" s="331">
        <v>0.98112691624299997</v>
      </c>
      <c r="F114" s="329">
        <v>0</v>
      </c>
      <c r="G114" s="330">
        <v>0</v>
      </c>
      <c r="H114" s="332">
        <v>65.35248</v>
      </c>
      <c r="I114" s="329">
        <v>119.61004</v>
      </c>
      <c r="J114" s="330">
        <v>119.61004</v>
      </c>
      <c r="K114" s="339" t="s">
        <v>222</v>
      </c>
    </row>
    <row r="115" spans="1:11" ht="14.4" customHeight="1" thickBot="1" x14ac:dyDescent="0.35">
      <c r="A115" s="355"/>
      <c r="B115" s="329">
        <v>-1299.63495677175</v>
      </c>
      <c r="C115" s="329">
        <v>-507.44454000000098</v>
      </c>
      <c r="D115" s="330">
        <v>792.19041677174505</v>
      </c>
      <c r="E115" s="331">
        <v>0.39045159362300003</v>
      </c>
      <c r="F115" s="329">
        <v>361.98700491977797</v>
      </c>
      <c r="G115" s="330">
        <v>60.331167486628999</v>
      </c>
      <c r="H115" s="332">
        <v>25.570679999997999</v>
      </c>
      <c r="I115" s="329">
        <v>153.629179999998</v>
      </c>
      <c r="J115" s="330">
        <v>93.298012513367993</v>
      </c>
      <c r="K115" s="333">
        <v>0.42440523530399998</v>
      </c>
    </row>
    <row r="116" spans="1:11" ht="14.4" customHeight="1" thickBot="1" x14ac:dyDescent="0.35">
      <c r="A116" s="356" t="s">
        <v>43</v>
      </c>
      <c r="B116" s="343">
        <v>-1299.63495677175</v>
      </c>
      <c r="C116" s="343">
        <v>-507.44454000000098</v>
      </c>
      <c r="D116" s="344">
        <v>792.19041677174403</v>
      </c>
      <c r="E116" s="345">
        <v>-0.84720013409200001</v>
      </c>
      <c r="F116" s="343">
        <v>361.98700491977797</v>
      </c>
      <c r="G116" s="344">
        <v>60.331167486628999</v>
      </c>
      <c r="H116" s="343">
        <v>25.570679999997999</v>
      </c>
      <c r="I116" s="343">
        <v>153.629179999998</v>
      </c>
      <c r="J116" s="344">
        <v>93.298012513367993</v>
      </c>
      <c r="K116" s="346">
        <v>0.42440523530399998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3" t="s">
        <v>105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95" t="s">
        <v>221</v>
      </c>
      <c r="B2" s="176"/>
      <c r="C2" s="176"/>
      <c r="D2" s="176"/>
      <c r="E2" s="176"/>
      <c r="F2" s="176"/>
    </row>
    <row r="3" spans="1:10" ht="14.4" customHeight="1" thickBot="1" x14ac:dyDescent="0.35">
      <c r="A3" s="195"/>
      <c r="B3" s="176"/>
      <c r="C3" s="253">
        <v>2013</v>
      </c>
      <c r="D3" s="254">
        <v>2014</v>
      </c>
      <c r="E3" s="7"/>
      <c r="F3" s="298">
        <v>2015</v>
      </c>
      <c r="G3" s="299"/>
      <c r="H3" s="299"/>
      <c r="I3" s="300"/>
    </row>
    <row r="4" spans="1:10" ht="14.4" customHeight="1" thickBot="1" x14ac:dyDescent="0.35">
      <c r="A4" s="258" t="s">
        <v>0</v>
      </c>
      <c r="B4" s="259" t="s">
        <v>196</v>
      </c>
      <c r="C4" s="301" t="s">
        <v>50</v>
      </c>
      <c r="D4" s="302"/>
      <c r="E4" s="260"/>
      <c r="F4" s="255" t="s">
        <v>50</v>
      </c>
      <c r="G4" s="256" t="s">
        <v>51</v>
      </c>
      <c r="H4" s="256" t="s">
        <v>45</v>
      </c>
      <c r="I4" s="257" t="s">
        <v>52</v>
      </c>
    </row>
    <row r="5" spans="1:10" ht="14.4" customHeight="1" x14ac:dyDescent="0.3">
      <c r="A5" s="357" t="s">
        <v>328</v>
      </c>
      <c r="B5" s="358" t="s">
        <v>329</v>
      </c>
      <c r="C5" s="359" t="s">
        <v>330</v>
      </c>
      <c r="D5" s="359" t="s">
        <v>330</v>
      </c>
      <c r="E5" s="359"/>
      <c r="F5" s="359" t="s">
        <v>330</v>
      </c>
      <c r="G5" s="359" t="s">
        <v>330</v>
      </c>
      <c r="H5" s="359" t="s">
        <v>330</v>
      </c>
      <c r="I5" s="360" t="s">
        <v>330</v>
      </c>
      <c r="J5" s="361" t="s">
        <v>46</v>
      </c>
    </row>
    <row r="6" spans="1:10" ht="14.4" customHeight="1" x14ac:dyDescent="0.3">
      <c r="A6" s="357" t="s">
        <v>328</v>
      </c>
      <c r="B6" s="358" t="s">
        <v>331</v>
      </c>
      <c r="C6" s="359">
        <v>0</v>
      </c>
      <c r="D6" s="359">
        <v>0</v>
      </c>
      <c r="E6" s="359"/>
      <c r="F6" s="359" t="s">
        <v>330</v>
      </c>
      <c r="G6" s="359" t="s">
        <v>330</v>
      </c>
      <c r="H6" s="359" t="s">
        <v>330</v>
      </c>
      <c r="I6" s="360" t="s">
        <v>330</v>
      </c>
      <c r="J6" s="361" t="s">
        <v>1</v>
      </c>
    </row>
    <row r="7" spans="1:10" ht="14.4" customHeight="1" x14ac:dyDescent="0.3">
      <c r="A7" s="357" t="s">
        <v>328</v>
      </c>
      <c r="B7" s="358" t="s">
        <v>332</v>
      </c>
      <c r="C7" s="359">
        <v>0</v>
      </c>
      <c r="D7" s="359">
        <v>0</v>
      </c>
      <c r="E7" s="359"/>
      <c r="F7" s="359" t="s">
        <v>330</v>
      </c>
      <c r="G7" s="359" t="s">
        <v>330</v>
      </c>
      <c r="H7" s="359" t="s">
        <v>330</v>
      </c>
      <c r="I7" s="360" t="s">
        <v>330</v>
      </c>
      <c r="J7" s="361" t="s">
        <v>333</v>
      </c>
    </row>
    <row r="9" spans="1:10" ht="14.4" customHeight="1" x14ac:dyDescent="0.3">
      <c r="A9" s="357" t="s">
        <v>328</v>
      </c>
      <c r="B9" s="358" t="s">
        <v>329</v>
      </c>
      <c r="C9" s="359" t="s">
        <v>330</v>
      </c>
      <c r="D9" s="359" t="s">
        <v>330</v>
      </c>
      <c r="E9" s="359"/>
      <c r="F9" s="359" t="s">
        <v>330</v>
      </c>
      <c r="G9" s="359" t="s">
        <v>330</v>
      </c>
      <c r="H9" s="359" t="s">
        <v>330</v>
      </c>
      <c r="I9" s="360" t="s">
        <v>330</v>
      </c>
      <c r="J9" s="361" t="s">
        <v>46</v>
      </c>
    </row>
    <row r="10" spans="1:10" ht="14.4" customHeight="1" x14ac:dyDescent="0.3">
      <c r="A10" s="357" t="s">
        <v>334</v>
      </c>
      <c r="B10" s="358" t="s">
        <v>335</v>
      </c>
      <c r="C10" s="359" t="s">
        <v>330</v>
      </c>
      <c r="D10" s="359" t="s">
        <v>330</v>
      </c>
      <c r="E10" s="359"/>
      <c r="F10" s="359" t="s">
        <v>330</v>
      </c>
      <c r="G10" s="359" t="s">
        <v>330</v>
      </c>
      <c r="H10" s="359" t="s">
        <v>330</v>
      </c>
      <c r="I10" s="360" t="s">
        <v>330</v>
      </c>
      <c r="J10" s="361" t="s">
        <v>0</v>
      </c>
    </row>
    <row r="11" spans="1:10" ht="14.4" customHeight="1" x14ac:dyDescent="0.3">
      <c r="A11" s="357" t="s">
        <v>334</v>
      </c>
      <c r="B11" s="358" t="s">
        <v>331</v>
      </c>
      <c r="C11" s="359">
        <v>0</v>
      </c>
      <c r="D11" s="359">
        <v>0</v>
      </c>
      <c r="E11" s="359"/>
      <c r="F11" s="359" t="s">
        <v>330</v>
      </c>
      <c r="G11" s="359" t="s">
        <v>330</v>
      </c>
      <c r="H11" s="359" t="s">
        <v>330</v>
      </c>
      <c r="I11" s="360" t="s">
        <v>330</v>
      </c>
      <c r="J11" s="361" t="s">
        <v>1</v>
      </c>
    </row>
    <row r="12" spans="1:10" ht="14.4" customHeight="1" x14ac:dyDescent="0.3">
      <c r="A12" s="357" t="s">
        <v>334</v>
      </c>
      <c r="B12" s="358" t="s">
        <v>336</v>
      </c>
      <c r="C12" s="359">
        <v>0</v>
      </c>
      <c r="D12" s="359">
        <v>0</v>
      </c>
      <c r="E12" s="359"/>
      <c r="F12" s="359" t="s">
        <v>330</v>
      </c>
      <c r="G12" s="359" t="s">
        <v>330</v>
      </c>
      <c r="H12" s="359" t="s">
        <v>330</v>
      </c>
      <c r="I12" s="360" t="s">
        <v>330</v>
      </c>
      <c r="J12" s="361" t="s">
        <v>337</v>
      </c>
    </row>
    <row r="13" spans="1:10" ht="14.4" customHeight="1" x14ac:dyDescent="0.3">
      <c r="A13" s="357" t="s">
        <v>330</v>
      </c>
      <c r="B13" s="358" t="s">
        <v>330</v>
      </c>
      <c r="C13" s="359" t="s">
        <v>330</v>
      </c>
      <c r="D13" s="359" t="s">
        <v>330</v>
      </c>
      <c r="E13" s="359"/>
      <c r="F13" s="359" t="s">
        <v>330</v>
      </c>
      <c r="G13" s="359" t="s">
        <v>330</v>
      </c>
      <c r="H13" s="359" t="s">
        <v>330</v>
      </c>
      <c r="I13" s="360" t="s">
        <v>330</v>
      </c>
      <c r="J13" s="361" t="s">
        <v>338</v>
      </c>
    </row>
    <row r="14" spans="1:10" ht="14.4" customHeight="1" x14ac:dyDescent="0.3">
      <c r="A14" s="357" t="s">
        <v>328</v>
      </c>
      <c r="B14" s="358" t="s">
        <v>332</v>
      </c>
      <c r="C14" s="359">
        <v>0</v>
      </c>
      <c r="D14" s="359">
        <v>0</v>
      </c>
      <c r="E14" s="359"/>
      <c r="F14" s="359" t="s">
        <v>330</v>
      </c>
      <c r="G14" s="359" t="s">
        <v>330</v>
      </c>
      <c r="H14" s="359" t="s">
        <v>330</v>
      </c>
      <c r="I14" s="360" t="s">
        <v>330</v>
      </c>
      <c r="J14" s="361" t="s">
        <v>333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3" t="s">
        <v>106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95" t="s">
        <v>221</v>
      </c>
      <c r="B2" s="176"/>
      <c r="C2" s="176"/>
      <c r="D2" s="176"/>
      <c r="E2" s="176"/>
      <c r="F2" s="176"/>
    </row>
    <row r="3" spans="1:10" ht="14.4" customHeight="1" thickBot="1" x14ac:dyDescent="0.35">
      <c r="A3" s="195"/>
      <c r="B3" s="176"/>
      <c r="C3" s="253">
        <v>2013</v>
      </c>
      <c r="D3" s="254">
        <v>2014</v>
      </c>
      <c r="E3" s="7"/>
      <c r="F3" s="298">
        <v>2015</v>
      </c>
      <c r="G3" s="299"/>
      <c r="H3" s="299"/>
      <c r="I3" s="300"/>
    </row>
    <row r="4" spans="1:10" ht="14.4" customHeight="1" thickBot="1" x14ac:dyDescent="0.35">
      <c r="A4" s="258" t="s">
        <v>0</v>
      </c>
      <c r="B4" s="259" t="s">
        <v>196</v>
      </c>
      <c r="C4" s="301" t="s">
        <v>50</v>
      </c>
      <c r="D4" s="302"/>
      <c r="E4" s="260"/>
      <c r="F4" s="255" t="s">
        <v>50</v>
      </c>
      <c r="G4" s="256" t="s">
        <v>51</v>
      </c>
      <c r="H4" s="256" t="s">
        <v>45</v>
      </c>
      <c r="I4" s="257" t="s">
        <v>52</v>
      </c>
    </row>
    <row r="5" spans="1:10" ht="14.4" customHeight="1" x14ac:dyDescent="0.3">
      <c r="A5" s="357" t="s">
        <v>328</v>
      </c>
      <c r="B5" s="358" t="s">
        <v>329</v>
      </c>
      <c r="C5" s="359" t="s">
        <v>330</v>
      </c>
      <c r="D5" s="359" t="s">
        <v>330</v>
      </c>
      <c r="E5" s="359"/>
      <c r="F5" s="359" t="s">
        <v>330</v>
      </c>
      <c r="G5" s="359" t="s">
        <v>330</v>
      </c>
      <c r="H5" s="359" t="s">
        <v>330</v>
      </c>
      <c r="I5" s="360" t="s">
        <v>330</v>
      </c>
      <c r="J5" s="361" t="s">
        <v>46</v>
      </c>
    </row>
    <row r="6" spans="1:10" ht="14.4" customHeight="1" x14ac:dyDescent="0.3">
      <c r="A6" s="357" t="s">
        <v>328</v>
      </c>
      <c r="B6" s="358" t="s">
        <v>339</v>
      </c>
      <c r="C6" s="359">
        <v>0</v>
      </c>
      <c r="D6" s="359">
        <v>0</v>
      </c>
      <c r="E6" s="359"/>
      <c r="F6" s="359" t="s">
        <v>330</v>
      </c>
      <c r="G6" s="359" t="s">
        <v>330</v>
      </c>
      <c r="H6" s="359" t="s">
        <v>330</v>
      </c>
      <c r="I6" s="360" t="s">
        <v>330</v>
      </c>
      <c r="J6" s="361" t="s">
        <v>1</v>
      </c>
    </row>
    <row r="7" spans="1:10" ht="14.4" customHeight="1" x14ac:dyDescent="0.3">
      <c r="A7" s="357" t="s">
        <v>328</v>
      </c>
      <c r="B7" s="358" t="s">
        <v>340</v>
      </c>
      <c r="C7" s="359">
        <v>0</v>
      </c>
      <c r="D7" s="359">
        <v>0</v>
      </c>
      <c r="E7" s="359"/>
      <c r="F7" s="359" t="s">
        <v>330</v>
      </c>
      <c r="G7" s="359" t="s">
        <v>330</v>
      </c>
      <c r="H7" s="359" t="s">
        <v>330</v>
      </c>
      <c r="I7" s="360" t="s">
        <v>330</v>
      </c>
      <c r="J7" s="361" t="s">
        <v>1</v>
      </c>
    </row>
    <row r="8" spans="1:10" ht="14.4" customHeight="1" x14ac:dyDescent="0.3">
      <c r="A8" s="357" t="s">
        <v>328</v>
      </c>
      <c r="B8" s="358" t="s">
        <v>332</v>
      </c>
      <c r="C8" s="359">
        <v>0</v>
      </c>
      <c r="D8" s="359">
        <v>0</v>
      </c>
      <c r="E8" s="359"/>
      <c r="F8" s="359" t="s">
        <v>330</v>
      </c>
      <c r="G8" s="359" t="s">
        <v>330</v>
      </c>
      <c r="H8" s="359" t="s">
        <v>330</v>
      </c>
      <c r="I8" s="360" t="s">
        <v>330</v>
      </c>
      <c r="J8" s="361" t="s">
        <v>333</v>
      </c>
    </row>
    <row r="10" spans="1:10" ht="14.4" customHeight="1" x14ac:dyDescent="0.3">
      <c r="A10" s="357" t="s">
        <v>328</v>
      </c>
      <c r="B10" s="358" t="s">
        <v>329</v>
      </c>
      <c r="C10" s="359" t="s">
        <v>330</v>
      </c>
      <c r="D10" s="359" t="s">
        <v>330</v>
      </c>
      <c r="E10" s="359"/>
      <c r="F10" s="359" t="s">
        <v>330</v>
      </c>
      <c r="G10" s="359" t="s">
        <v>330</v>
      </c>
      <c r="H10" s="359" t="s">
        <v>330</v>
      </c>
      <c r="I10" s="360" t="s">
        <v>330</v>
      </c>
      <c r="J10" s="361" t="s">
        <v>46</v>
      </c>
    </row>
    <row r="11" spans="1:10" ht="14.4" customHeight="1" x14ac:dyDescent="0.3">
      <c r="A11" s="357" t="s">
        <v>334</v>
      </c>
      <c r="B11" s="358" t="s">
        <v>335</v>
      </c>
      <c r="C11" s="359" t="s">
        <v>330</v>
      </c>
      <c r="D11" s="359" t="s">
        <v>330</v>
      </c>
      <c r="E11" s="359"/>
      <c r="F11" s="359" t="s">
        <v>330</v>
      </c>
      <c r="G11" s="359" t="s">
        <v>330</v>
      </c>
      <c r="H11" s="359" t="s">
        <v>330</v>
      </c>
      <c r="I11" s="360" t="s">
        <v>330</v>
      </c>
      <c r="J11" s="361" t="s">
        <v>0</v>
      </c>
    </row>
    <row r="12" spans="1:10" ht="14.4" customHeight="1" x14ac:dyDescent="0.3">
      <c r="A12" s="357" t="s">
        <v>334</v>
      </c>
      <c r="B12" s="358" t="s">
        <v>339</v>
      </c>
      <c r="C12" s="359">
        <v>0</v>
      </c>
      <c r="D12" s="359">
        <v>0</v>
      </c>
      <c r="E12" s="359"/>
      <c r="F12" s="359" t="s">
        <v>330</v>
      </c>
      <c r="G12" s="359" t="s">
        <v>330</v>
      </c>
      <c r="H12" s="359" t="s">
        <v>330</v>
      </c>
      <c r="I12" s="360" t="s">
        <v>330</v>
      </c>
      <c r="J12" s="361" t="s">
        <v>1</v>
      </c>
    </row>
    <row r="13" spans="1:10" ht="14.4" customHeight="1" x14ac:dyDescent="0.3">
      <c r="A13" s="357" t="s">
        <v>334</v>
      </c>
      <c r="B13" s="358" t="s">
        <v>340</v>
      </c>
      <c r="C13" s="359">
        <v>0</v>
      </c>
      <c r="D13" s="359">
        <v>0</v>
      </c>
      <c r="E13" s="359"/>
      <c r="F13" s="359" t="s">
        <v>330</v>
      </c>
      <c r="G13" s="359" t="s">
        <v>330</v>
      </c>
      <c r="H13" s="359" t="s">
        <v>330</v>
      </c>
      <c r="I13" s="360" t="s">
        <v>330</v>
      </c>
      <c r="J13" s="361" t="s">
        <v>1</v>
      </c>
    </row>
    <row r="14" spans="1:10" ht="14.4" customHeight="1" x14ac:dyDescent="0.3">
      <c r="A14" s="357" t="s">
        <v>334</v>
      </c>
      <c r="B14" s="358" t="s">
        <v>336</v>
      </c>
      <c r="C14" s="359">
        <v>0</v>
      </c>
      <c r="D14" s="359">
        <v>0</v>
      </c>
      <c r="E14" s="359"/>
      <c r="F14" s="359" t="s">
        <v>330</v>
      </c>
      <c r="G14" s="359" t="s">
        <v>330</v>
      </c>
      <c r="H14" s="359" t="s">
        <v>330</v>
      </c>
      <c r="I14" s="360" t="s">
        <v>330</v>
      </c>
      <c r="J14" s="361" t="s">
        <v>337</v>
      </c>
    </row>
    <row r="15" spans="1:10" ht="14.4" customHeight="1" x14ac:dyDescent="0.3">
      <c r="A15" s="357" t="s">
        <v>330</v>
      </c>
      <c r="B15" s="358" t="s">
        <v>330</v>
      </c>
      <c r="C15" s="359" t="s">
        <v>330</v>
      </c>
      <c r="D15" s="359" t="s">
        <v>330</v>
      </c>
      <c r="E15" s="359"/>
      <c r="F15" s="359" t="s">
        <v>330</v>
      </c>
      <c r="G15" s="359" t="s">
        <v>330</v>
      </c>
      <c r="H15" s="359" t="s">
        <v>330</v>
      </c>
      <c r="I15" s="360" t="s">
        <v>330</v>
      </c>
      <c r="J15" s="361" t="s">
        <v>338</v>
      </c>
    </row>
    <row r="16" spans="1:10" ht="14.4" customHeight="1" x14ac:dyDescent="0.3">
      <c r="A16" s="357" t="s">
        <v>328</v>
      </c>
      <c r="B16" s="358" t="s">
        <v>332</v>
      </c>
      <c r="C16" s="359">
        <v>0</v>
      </c>
      <c r="D16" s="359">
        <v>0</v>
      </c>
      <c r="E16" s="359"/>
      <c r="F16" s="359" t="s">
        <v>330</v>
      </c>
      <c r="G16" s="359" t="s">
        <v>330</v>
      </c>
      <c r="H16" s="359" t="s">
        <v>330</v>
      </c>
      <c r="I16" s="360" t="s">
        <v>330</v>
      </c>
      <c r="J16" s="361" t="s">
        <v>333</v>
      </c>
    </row>
  </sheetData>
  <mergeCells count="3">
    <mergeCell ref="A1:I1"/>
    <mergeCell ref="F3:I3"/>
    <mergeCell ref="C4:D4"/>
  </mergeCells>
  <conditionalFormatting sqref="F9 F17:F65537">
    <cfRule type="cellIs" dxfId="20" priority="18" stopIfTrue="1" operator="greaterThan">
      <formula>1</formula>
    </cfRule>
  </conditionalFormatting>
  <conditionalFormatting sqref="H5:H8">
    <cfRule type="expression" dxfId="19" priority="14">
      <formula>$H5&gt;0</formula>
    </cfRule>
  </conditionalFormatting>
  <conditionalFormatting sqref="I5:I8">
    <cfRule type="expression" dxfId="18" priority="15">
      <formula>$I5&gt;1</formula>
    </cfRule>
  </conditionalFormatting>
  <conditionalFormatting sqref="B5:B8">
    <cfRule type="expression" dxfId="17" priority="11">
      <formula>OR($J5="NS",$J5="SumaNS",$J5="Účet")</formula>
    </cfRule>
  </conditionalFormatting>
  <conditionalFormatting sqref="F5:I8 B5:D8">
    <cfRule type="expression" dxfId="16" priority="17">
      <formula>AND($J5&lt;&gt;"",$J5&lt;&gt;"mezeraKL")</formula>
    </cfRule>
  </conditionalFormatting>
  <conditionalFormatting sqref="B5:D8 F5:I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4" priority="13">
      <formula>OR($J5="SumaNS",$J5="NS")</formula>
    </cfRule>
  </conditionalFormatting>
  <conditionalFormatting sqref="A5:A8">
    <cfRule type="expression" dxfId="13" priority="9">
      <formula>AND($J5&lt;&gt;"mezeraKL",$J5&lt;&gt;"")</formula>
    </cfRule>
  </conditionalFormatting>
  <conditionalFormatting sqref="A5:A8">
    <cfRule type="expression" dxfId="12" priority="10">
      <formula>AND($J5&lt;&gt;"",$J5&lt;&gt;"mezeraKL")</formula>
    </cfRule>
  </conditionalFormatting>
  <conditionalFormatting sqref="H10:H16">
    <cfRule type="expression" dxfId="11" priority="5">
      <formula>$H10&gt;0</formula>
    </cfRule>
  </conditionalFormatting>
  <conditionalFormatting sqref="A10:A16">
    <cfRule type="expression" dxfId="10" priority="2">
      <formula>AND($J10&lt;&gt;"mezeraKL",$J10&lt;&gt;"")</formula>
    </cfRule>
  </conditionalFormatting>
  <conditionalFormatting sqref="I10:I16">
    <cfRule type="expression" dxfId="9" priority="6">
      <formula>$I10&gt;1</formula>
    </cfRule>
  </conditionalFormatting>
  <conditionalFormatting sqref="B10:B16">
    <cfRule type="expression" dxfId="8" priority="1">
      <formula>OR($J10="NS",$J10="SumaNS",$J10="Účet")</formula>
    </cfRule>
  </conditionalFormatting>
  <conditionalFormatting sqref="A10:D16 F10:I16">
    <cfRule type="expression" dxfId="7" priority="8">
      <formula>AND($J10&lt;&gt;"",$J10&lt;&gt;"mezeraKL")</formula>
    </cfRule>
  </conditionalFormatting>
  <conditionalFormatting sqref="B10:D16 F10:I16">
    <cfRule type="expression" dxfId="6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5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16" width="13.109375" hidden="1" customWidth="1"/>
    <col min="17" max="17" width="13.109375" customWidth="1"/>
    <col min="18" max="29" width="13.109375" hidden="1" customWidth="1"/>
    <col min="30" max="30" width="13.109375" customWidth="1"/>
    <col min="31" max="32" width="13.109375" hidden="1" customWidth="1"/>
    <col min="33" max="33" width="13.109375" customWidth="1"/>
  </cols>
  <sheetData>
    <row r="1" spans="1:34" ht="18.600000000000001" thickBot="1" x14ac:dyDescent="0.4">
      <c r="A1" s="306" t="s">
        <v>84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</row>
    <row r="2" spans="1:34" ht="15" thickBot="1" x14ac:dyDescent="0.35">
      <c r="A2" s="195" t="s">
        <v>221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</row>
    <row r="3" spans="1:34" x14ac:dyDescent="0.3">
      <c r="A3" s="214" t="s">
        <v>157</v>
      </c>
      <c r="B3" s="307" t="s">
        <v>138</v>
      </c>
      <c r="C3" s="197">
        <v>0</v>
      </c>
      <c r="D3" s="198">
        <v>101</v>
      </c>
      <c r="E3" s="198">
        <v>102</v>
      </c>
      <c r="F3" s="217">
        <v>305</v>
      </c>
      <c r="G3" s="217">
        <v>306</v>
      </c>
      <c r="H3" s="217">
        <v>408</v>
      </c>
      <c r="I3" s="217">
        <v>409</v>
      </c>
      <c r="J3" s="217">
        <v>410</v>
      </c>
      <c r="K3" s="217">
        <v>415</v>
      </c>
      <c r="L3" s="217">
        <v>416</v>
      </c>
      <c r="M3" s="217">
        <v>418</v>
      </c>
      <c r="N3" s="217">
        <v>419</v>
      </c>
      <c r="O3" s="217">
        <v>420</v>
      </c>
      <c r="P3" s="217">
        <v>421</v>
      </c>
      <c r="Q3" s="217">
        <v>522</v>
      </c>
      <c r="R3" s="217">
        <v>523</v>
      </c>
      <c r="S3" s="217">
        <v>524</v>
      </c>
      <c r="T3" s="217">
        <v>525</v>
      </c>
      <c r="U3" s="217">
        <v>526</v>
      </c>
      <c r="V3" s="217">
        <v>527</v>
      </c>
      <c r="W3" s="217">
        <v>528</v>
      </c>
      <c r="X3" s="217">
        <v>629</v>
      </c>
      <c r="Y3" s="217">
        <v>630</v>
      </c>
      <c r="Z3" s="217">
        <v>636</v>
      </c>
      <c r="AA3" s="217">
        <v>637</v>
      </c>
      <c r="AB3" s="217">
        <v>640</v>
      </c>
      <c r="AC3" s="217">
        <v>642</v>
      </c>
      <c r="AD3" s="217">
        <v>743</v>
      </c>
      <c r="AE3" s="198">
        <v>745</v>
      </c>
      <c r="AF3" s="198">
        <v>746</v>
      </c>
      <c r="AG3" s="371">
        <v>930</v>
      </c>
      <c r="AH3" s="387"/>
    </row>
    <row r="4" spans="1:34" ht="36.6" outlineLevel="1" thickBot="1" x14ac:dyDescent="0.35">
      <c r="A4" s="215">
        <v>2015</v>
      </c>
      <c r="B4" s="308"/>
      <c r="C4" s="199" t="s">
        <v>139</v>
      </c>
      <c r="D4" s="200" t="s">
        <v>140</v>
      </c>
      <c r="E4" s="200" t="s">
        <v>141</v>
      </c>
      <c r="F4" s="218" t="s">
        <v>169</v>
      </c>
      <c r="G4" s="218" t="s">
        <v>170</v>
      </c>
      <c r="H4" s="218" t="s">
        <v>171</v>
      </c>
      <c r="I4" s="218" t="s">
        <v>172</v>
      </c>
      <c r="J4" s="218" t="s">
        <v>173</v>
      </c>
      <c r="K4" s="218" t="s">
        <v>174</v>
      </c>
      <c r="L4" s="218" t="s">
        <v>175</v>
      </c>
      <c r="M4" s="218" t="s">
        <v>176</v>
      </c>
      <c r="N4" s="218" t="s">
        <v>177</v>
      </c>
      <c r="O4" s="218" t="s">
        <v>178</v>
      </c>
      <c r="P4" s="218" t="s">
        <v>179</v>
      </c>
      <c r="Q4" s="218" t="s">
        <v>180</v>
      </c>
      <c r="R4" s="218" t="s">
        <v>181</v>
      </c>
      <c r="S4" s="218" t="s">
        <v>182</v>
      </c>
      <c r="T4" s="218" t="s">
        <v>183</v>
      </c>
      <c r="U4" s="218" t="s">
        <v>184</v>
      </c>
      <c r="V4" s="218" t="s">
        <v>185</v>
      </c>
      <c r="W4" s="218" t="s">
        <v>194</v>
      </c>
      <c r="X4" s="218" t="s">
        <v>186</v>
      </c>
      <c r="Y4" s="218" t="s">
        <v>195</v>
      </c>
      <c r="Z4" s="218" t="s">
        <v>187</v>
      </c>
      <c r="AA4" s="218" t="s">
        <v>188</v>
      </c>
      <c r="AB4" s="218" t="s">
        <v>189</v>
      </c>
      <c r="AC4" s="218" t="s">
        <v>190</v>
      </c>
      <c r="AD4" s="218" t="s">
        <v>191</v>
      </c>
      <c r="AE4" s="200" t="s">
        <v>192</v>
      </c>
      <c r="AF4" s="200" t="s">
        <v>193</v>
      </c>
      <c r="AG4" s="372" t="s">
        <v>159</v>
      </c>
      <c r="AH4" s="387"/>
    </row>
    <row r="5" spans="1:34" x14ac:dyDescent="0.3">
      <c r="A5" s="201" t="s">
        <v>142</v>
      </c>
      <c r="B5" s="237"/>
      <c r="C5" s="23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373"/>
      <c r="AH5" s="387"/>
    </row>
    <row r="6" spans="1:34" ht="15" collapsed="1" thickBot="1" x14ac:dyDescent="0.35">
      <c r="A6" s="202" t="s">
        <v>50</v>
      </c>
      <c r="B6" s="240">
        <f xml:space="preserve">
TRUNC(IF($A$4&lt;=12,SUMIFS('ON Data'!F:F,'ON Data'!$D:$D,$A$4,'ON Data'!$E:$E,1),SUMIFS('ON Data'!F:F,'ON Data'!$E:$E,1)/'ON Data'!$D$3),1)</f>
        <v>13.8</v>
      </c>
      <c r="C6" s="241">
        <f xml:space="preserve">
TRUNC(IF($A$4&lt;=12,SUMIFS('ON Data'!G:G,'ON Data'!$D:$D,$A$4,'ON Data'!$E:$E,1),SUMIFS('ON Data'!G:G,'ON Data'!$E:$E,1)/'ON Data'!$D$3),1)</f>
        <v>0</v>
      </c>
      <c r="D6" s="242">
        <f xml:space="preserve">
TRUNC(IF($A$4&lt;=12,SUMIFS('ON Data'!H:H,'ON Data'!$D:$D,$A$4,'ON Data'!$E:$E,1),SUMIFS('ON Data'!H:H,'ON Data'!$E:$E,1)/'ON Data'!$D$3),1)</f>
        <v>0</v>
      </c>
      <c r="E6" s="242">
        <f xml:space="preserve">
TRUNC(IF($A$4&lt;=12,SUMIFS('ON Data'!I:I,'ON Data'!$D:$D,$A$4,'ON Data'!$E:$E,1),SUMIFS('ON Data'!I:I,'ON Data'!$E:$E,1)/'ON Data'!$D$3),1)</f>
        <v>0</v>
      </c>
      <c r="F6" s="242">
        <f xml:space="preserve">
TRUNC(IF($A$4&lt;=12,SUMIFS('ON Data'!K:K,'ON Data'!$D:$D,$A$4,'ON Data'!$E:$E,1),SUMIFS('ON Data'!K:K,'ON Data'!$E:$E,1)/'ON Data'!$D$3),1)</f>
        <v>0</v>
      </c>
      <c r="G6" s="242">
        <f xml:space="preserve">
TRUNC(IF($A$4&lt;=12,SUMIFS('ON Data'!L:L,'ON Data'!$D:$D,$A$4,'ON Data'!$E:$E,1),SUMIFS('ON Data'!L:L,'ON Data'!$E:$E,1)/'ON Data'!$D$3),1)</f>
        <v>0</v>
      </c>
      <c r="H6" s="242">
        <f xml:space="preserve">
TRUNC(IF($A$4&lt;=12,SUMIFS('ON Data'!M:M,'ON Data'!$D:$D,$A$4,'ON Data'!$E:$E,1),SUMIFS('ON Data'!M:M,'ON Data'!$E:$E,1)/'ON Data'!$D$3),1)</f>
        <v>0</v>
      </c>
      <c r="I6" s="242">
        <f xml:space="preserve">
TRUNC(IF($A$4&lt;=12,SUMIFS('ON Data'!N:N,'ON Data'!$D:$D,$A$4,'ON Data'!$E:$E,1),SUMIFS('ON Data'!N:N,'ON Data'!$E:$E,1)/'ON Data'!$D$3),1)</f>
        <v>0</v>
      </c>
      <c r="J6" s="242">
        <f xml:space="preserve">
TRUNC(IF($A$4&lt;=12,SUMIFS('ON Data'!O:O,'ON Data'!$D:$D,$A$4,'ON Data'!$E:$E,1),SUMIFS('ON Data'!O:O,'ON Data'!$E:$E,1)/'ON Data'!$D$3),1)</f>
        <v>0</v>
      </c>
      <c r="K6" s="242">
        <f xml:space="preserve">
TRUNC(IF($A$4&lt;=12,SUMIFS('ON Data'!P:P,'ON Data'!$D:$D,$A$4,'ON Data'!$E:$E,1),SUMIFS('ON Data'!P:P,'ON Data'!$E:$E,1)/'ON Data'!$D$3),1)</f>
        <v>0</v>
      </c>
      <c r="L6" s="242">
        <f xml:space="preserve">
TRUNC(IF($A$4&lt;=12,SUMIFS('ON Data'!Q:Q,'ON Data'!$D:$D,$A$4,'ON Data'!$E:$E,1),SUMIFS('ON Data'!Q:Q,'ON Data'!$E:$E,1)/'ON Data'!$D$3),1)</f>
        <v>0</v>
      </c>
      <c r="M6" s="242">
        <f xml:space="preserve">
TRUNC(IF($A$4&lt;=12,SUMIFS('ON Data'!R:R,'ON Data'!$D:$D,$A$4,'ON Data'!$E:$E,1),SUMIFS('ON Data'!R:R,'ON Data'!$E:$E,1)/'ON Data'!$D$3),1)</f>
        <v>0</v>
      </c>
      <c r="N6" s="242">
        <f xml:space="preserve">
TRUNC(IF($A$4&lt;=12,SUMIFS('ON Data'!S:S,'ON Data'!$D:$D,$A$4,'ON Data'!$E:$E,1),SUMIFS('ON Data'!S:S,'ON Data'!$E:$E,1)/'ON Data'!$D$3),1)</f>
        <v>0</v>
      </c>
      <c r="O6" s="242">
        <f xml:space="preserve">
TRUNC(IF($A$4&lt;=12,SUMIFS('ON Data'!T:T,'ON Data'!$D:$D,$A$4,'ON Data'!$E:$E,1),SUMIFS('ON Data'!T:T,'ON Data'!$E:$E,1)/'ON Data'!$D$3),1)</f>
        <v>0</v>
      </c>
      <c r="P6" s="242">
        <f xml:space="preserve">
TRUNC(IF($A$4&lt;=12,SUMIFS('ON Data'!U:U,'ON Data'!$D:$D,$A$4,'ON Data'!$E:$E,1),SUMIFS('ON Data'!U:U,'ON Data'!$E:$E,1)/'ON Data'!$D$3),1)</f>
        <v>0</v>
      </c>
      <c r="Q6" s="242">
        <f xml:space="preserve">
TRUNC(IF($A$4&lt;=12,SUMIFS('ON Data'!V:V,'ON Data'!$D:$D,$A$4,'ON Data'!$E:$E,1),SUMIFS('ON Data'!V:V,'ON Data'!$E:$E,1)/'ON Data'!$D$3),1)</f>
        <v>9.1999999999999993</v>
      </c>
      <c r="R6" s="242">
        <f xml:space="preserve">
TRUNC(IF($A$4&lt;=12,SUMIFS('ON Data'!W:W,'ON Data'!$D:$D,$A$4,'ON Data'!$E:$E,1),SUMIFS('ON Data'!W:W,'ON Data'!$E:$E,1)/'ON Data'!$D$3),1)</f>
        <v>0</v>
      </c>
      <c r="S6" s="242">
        <f xml:space="preserve">
TRUNC(IF($A$4&lt;=12,SUMIFS('ON Data'!X:X,'ON Data'!$D:$D,$A$4,'ON Data'!$E:$E,1),SUMIFS('ON Data'!X:X,'ON Data'!$E:$E,1)/'ON Data'!$D$3),1)</f>
        <v>0</v>
      </c>
      <c r="T6" s="242">
        <f xml:space="preserve">
TRUNC(IF($A$4&lt;=12,SUMIFS('ON Data'!Y:Y,'ON Data'!$D:$D,$A$4,'ON Data'!$E:$E,1),SUMIFS('ON Data'!Y:Y,'ON Data'!$E:$E,1)/'ON Data'!$D$3),1)</f>
        <v>0</v>
      </c>
      <c r="U6" s="242">
        <f xml:space="preserve">
TRUNC(IF($A$4&lt;=12,SUMIFS('ON Data'!Z:Z,'ON Data'!$D:$D,$A$4,'ON Data'!$E:$E,1),SUMIFS('ON Data'!Z:Z,'ON Data'!$E:$E,1)/'ON Data'!$D$3),1)</f>
        <v>0</v>
      </c>
      <c r="V6" s="242">
        <f xml:space="preserve">
TRUNC(IF($A$4&lt;=12,SUMIFS('ON Data'!AA:AA,'ON Data'!$D:$D,$A$4,'ON Data'!$E:$E,1),SUMIFS('ON Data'!AA:AA,'ON Data'!$E:$E,1)/'ON Data'!$D$3),1)</f>
        <v>0</v>
      </c>
      <c r="W6" s="242">
        <f xml:space="preserve">
TRUNC(IF($A$4&lt;=12,SUMIFS('ON Data'!AB:AB,'ON Data'!$D:$D,$A$4,'ON Data'!$E:$E,1),SUMIFS('ON Data'!AB:AB,'ON Data'!$E:$E,1)/'ON Data'!$D$3),1)</f>
        <v>0</v>
      </c>
      <c r="X6" s="242">
        <f xml:space="preserve">
TRUNC(IF($A$4&lt;=12,SUMIFS('ON Data'!AC:AC,'ON Data'!$D:$D,$A$4,'ON Data'!$E:$E,1),SUMIFS('ON Data'!AC:AC,'ON Data'!$E:$E,1)/'ON Data'!$D$3),1)</f>
        <v>0</v>
      </c>
      <c r="Y6" s="242">
        <f xml:space="preserve">
TRUNC(IF($A$4&lt;=12,SUMIFS('ON Data'!AD:AD,'ON Data'!$D:$D,$A$4,'ON Data'!$E:$E,1),SUMIFS('ON Data'!AD:AD,'ON Data'!$E:$E,1)/'ON Data'!$D$3),1)</f>
        <v>0</v>
      </c>
      <c r="Z6" s="242">
        <f xml:space="preserve">
TRUNC(IF($A$4&lt;=12,SUMIFS('ON Data'!AE:AE,'ON Data'!$D:$D,$A$4,'ON Data'!$E:$E,1),SUMIFS('ON Data'!AE:AE,'ON Data'!$E:$E,1)/'ON Data'!$D$3),1)</f>
        <v>0</v>
      </c>
      <c r="AA6" s="242">
        <f xml:space="preserve">
TRUNC(IF($A$4&lt;=12,SUMIFS('ON Data'!AF:AF,'ON Data'!$D:$D,$A$4,'ON Data'!$E:$E,1),SUMIFS('ON Data'!AF:AF,'ON Data'!$E:$E,1)/'ON Data'!$D$3),1)</f>
        <v>0</v>
      </c>
      <c r="AB6" s="242">
        <f xml:space="preserve">
TRUNC(IF($A$4&lt;=12,SUMIFS('ON Data'!AG:AG,'ON Data'!$D:$D,$A$4,'ON Data'!$E:$E,1),SUMIFS('ON Data'!AG:AG,'ON Data'!$E:$E,1)/'ON Data'!$D$3),1)</f>
        <v>0</v>
      </c>
      <c r="AC6" s="242">
        <f xml:space="preserve">
TRUNC(IF($A$4&lt;=12,SUMIFS('ON Data'!AH:AH,'ON Data'!$D:$D,$A$4,'ON Data'!$E:$E,1),SUMIFS('ON Data'!AH:AH,'ON Data'!$E:$E,1)/'ON Data'!$D$3),1)</f>
        <v>0</v>
      </c>
      <c r="AD6" s="242">
        <f xml:space="preserve">
TRUNC(IF($A$4&lt;=12,SUMIFS('ON Data'!AI:AI,'ON Data'!$D:$D,$A$4,'ON Data'!$E:$E,1),SUMIFS('ON Data'!AI:AI,'ON Data'!$E:$E,1)/'ON Data'!$D$3),1)</f>
        <v>3.6</v>
      </c>
      <c r="AE6" s="242">
        <f xml:space="preserve">
TRUNC(IF($A$4&lt;=12,SUMIFS('ON Data'!AJ:AJ,'ON Data'!$D:$D,$A$4,'ON Data'!$E:$E,1),SUMIFS('ON Data'!AJ:AJ,'ON Data'!$E:$E,1)/'ON Data'!$D$3),1)</f>
        <v>0</v>
      </c>
      <c r="AF6" s="242">
        <f xml:space="preserve">
TRUNC(IF($A$4&lt;=12,SUMIFS('ON Data'!AK:AK,'ON Data'!$D:$D,$A$4,'ON Data'!$E:$E,1),SUMIFS('ON Data'!AK:AK,'ON Data'!$E:$E,1)/'ON Data'!$D$3),1)</f>
        <v>0</v>
      </c>
      <c r="AG6" s="374">
        <f xml:space="preserve">
TRUNC(IF($A$4&lt;=12,SUMIFS('ON Data'!AM:AM,'ON Data'!$D:$D,$A$4,'ON Data'!$E:$E,1),SUMIFS('ON Data'!AM:AM,'ON Data'!$E:$E,1)/'ON Data'!$D$3),1)</f>
        <v>1</v>
      </c>
      <c r="AH6" s="387"/>
    </row>
    <row r="7" spans="1:34" ht="15" hidden="1" outlineLevel="1" thickBot="1" x14ac:dyDescent="0.35">
      <c r="A7" s="202" t="s">
        <v>85</v>
      </c>
      <c r="B7" s="240"/>
      <c r="C7" s="243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374"/>
      <c r="AH7" s="387"/>
    </row>
    <row r="8" spans="1:34" ht="15" hidden="1" outlineLevel="1" thickBot="1" x14ac:dyDescent="0.35">
      <c r="A8" s="202" t="s">
        <v>52</v>
      </c>
      <c r="B8" s="240"/>
      <c r="C8" s="243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374"/>
      <c r="AH8" s="387"/>
    </row>
    <row r="9" spans="1:34" ht="15" hidden="1" outlineLevel="1" thickBot="1" x14ac:dyDescent="0.35">
      <c r="A9" s="203" t="s">
        <v>45</v>
      </c>
      <c r="B9" s="244"/>
      <c r="C9" s="245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375"/>
      <c r="AH9" s="387"/>
    </row>
    <row r="10" spans="1:34" x14ac:dyDescent="0.3">
      <c r="A10" s="204" t="s">
        <v>143</v>
      </c>
      <c r="B10" s="219"/>
      <c r="C10" s="220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376"/>
      <c r="AH10" s="387"/>
    </row>
    <row r="11" spans="1:34" x14ac:dyDescent="0.3">
      <c r="A11" s="205" t="s">
        <v>144</v>
      </c>
      <c r="B11" s="222">
        <f xml:space="preserve">
IF($A$4&lt;=12,SUMIFS('ON Data'!F:F,'ON Data'!$D:$D,$A$4,'ON Data'!$E:$E,2),SUMIFS('ON Data'!F:F,'ON Data'!$E:$E,2))</f>
        <v>4142.05</v>
      </c>
      <c r="C11" s="223">
        <f xml:space="preserve">
IF($A$4&lt;=12,SUMIFS('ON Data'!G:G,'ON Data'!$D:$D,$A$4,'ON Data'!$E:$E,2),SUMIFS('ON Data'!G:G,'ON Data'!$E:$E,2))</f>
        <v>0</v>
      </c>
      <c r="D11" s="224">
        <f xml:space="preserve">
IF($A$4&lt;=12,SUMIFS('ON Data'!H:H,'ON Data'!$D:$D,$A$4,'ON Data'!$E:$E,2),SUMIFS('ON Data'!H:H,'ON Data'!$E:$E,2))</f>
        <v>0</v>
      </c>
      <c r="E11" s="224">
        <f xml:space="preserve">
IF($A$4&lt;=12,SUMIFS('ON Data'!I:I,'ON Data'!$D:$D,$A$4,'ON Data'!$E:$E,2),SUMIFS('ON Data'!I:I,'ON Data'!$E:$E,2))</f>
        <v>0</v>
      </c>
      <c r="F11" s="224">
        <f xml:space="preserve">
IF($A$4&lt;=12,SUMIFS('ON Data'!K:K,'ON Data'!$D:$D,$A$4,'ON Data'!$E:$E,2),SUMIFS('ON Data'!K:K,'ON Data'!$E:$E,2))</f>
        <v>0</v>
      </c>
      <c r="G11" s="224">
        <f xml:space="preserve">
IF($A$4&lt;=12,SUMIFS('ON Data'!L:L,'ON Data'!$D:$D,$A$4,'ON Data'!$E:$E,2),SUMIFS('ON Data'!L:L,'ON Data'!$E:$E,2))</f>
        <v>0</v>
      </c>
      <c r="H11" s="224">
        <f xml:space="preserve">
IF($A$4&lt;=12,SUMIFS('ON Data'!M:M,'ON Data'!$D:$D,$A$4,'ON Data'!$E:$E,2),SUMIFS('ON Data'!M:M,'ON Data'!$E:$E,2))</f>
        <v>0</v>
      </c>
      <c r="I11" s="224">
        <f xml:space="preserve">
IF($A$4&lt;=12,SUMIFS('ON Data'!N:N,'ON Data'!$D:$D,$A$4,'ON Data'!$E:$E,2),SUMIFS('ON Data'!N:N,'ON Data'!$E:$E,2))</f>
        <v>0</v>
      </c>
      <c r="J11" s="224">
        <f xml:space="preserve">
IF($A$4&lt;=12,SUMIFS('ON Data'!O:O,'ON Data'!$D:$D,$A$4,'ON Data'!$E:$E,2),SUMIFS('ON Data'!O:O,'ON Data'!$E:$E,2))</f>
        <v>0</v>
      </c>
      <c r="K11" s="224">
        <f xml:space="preserve">
IF($A$4&lt;=12,SUMIFS('ON Data'!P:P,'ON Data'!$D:$D,$A$4,'ON Data'!$E:$E,2),SUMIFS('ON Data'!P:P,'ON Data'!$E:$E,2))</f>
        <v>0</v>
      </c>
      <c r="L11" s="224">
        <f xml:space="preserve">
IF($A$4&lt;=12,SUMIFS('ON Data'!Q:Q,'ON Data'!$D:$D,$A$4,'ON Data'!$E:$E,2),SUMIFS('ON Data'!Q:Q,'ON Data'!$E:$E,2))</f>
        <v>0</v>
      </c>
      <c r="M11" s="224">
        <f xml:space="preserve">
IF($A$4&lt;=12,SUMIFS('ON Data'!R:R,'ON Data'!$D:$D,$A$4,'ON Data'!$E:$E,2),SUMIFS('ON Data'!R:R,'ON Data'!$E:$E,2))</f>
        <v>0</v>
      </c>
      <c r="N11" s="224">
        <f xml:space="preserve">
IF($A$4&lt;=12,SUMIFS('ON Data'!S:S,'ON Data'!$D:$D,$A$4,'ON Data'!$E:$E,2),SUMIFS('ON Data'!S:S,'ON Data'!$E:$E,2))</f>
        <v>0</v>
      </c>
      <c r="O11" s="224">
        <f xml:space="preserve">
IF($A$4&lt;=12,SUMIFS('ON Data'!T:T,'ON Data'!$D:$D,$A$4,'ON Data'!$E:$E,2),SUMIFS('ON Data'!T:T,'ON Data'!$E:$E,2))</f>
        <v>0</v>
      </c>
      <c r="P11" s="224">
        <f xml:space="preserve">
IF($A$4&lt;=12,SUMIFS('ON Data'!U:U,'ON Data'!$D:$D,$A$4,'ON Data'!$E:$E,2),SUMIFS('ON Data'!U:U,'ON Data'!$E:$E,2))</f>
        <v>0</v>
      </c>
      <c r="Q11" s="224">
        <f xml:space="preserve">
IF($A$4&lt;=12,SUMIFS('ON Data'!V:V,'ON Data'!$D:$D,$A$4,'ON Data'!$E:$E,2),SUMIFS('ON Data'!V:V,'ON Data'!$E:$E,2))</f>
        <v>2704</v>
      </c>
      <c r="R11" s="224">
        <f xml:space="preserve">
IF($A$4&lt;=12,SUMIFS('ON Data'!W:W,'ON Data'!$D:$D,$A$4,'ON Data'!$E:$E,2),SUMIFS('ON Data'!W:W,'ON Data'!$E:$E,2))</f>
        <v>0</v>
      </c>
      <c r="S11" s="224">
        <f xml:space="preserve">
IF($A$4&lt;=12,SUMIFS('ON Data'!X:X,'ON Data'!$D:$D,$A$4,'ON Data'!$E:$E,2),SUMIFS('ON Data'!X:X,'ON Data'!$E:$E,2))</f>
        <v>0</v>
      </c>
      <c r="T11" s="224">
        <f xml:space="preserve">
IF($A$4&lt;=12,SUMIFS('ON Data'!Y:Y,'ON Data'!$D:$D,$A$4,'ON Data'!$E:$E,2),SUMIFS('ON Data'!Y:Y,'ON Data'!$E:$E,2))</f>
        <v>0</v>
      </c>
      <c r="U11" s="224">
        <f xml:space="preserve">
IF($A$4&lt;=12,SUMIFS('ON Data'!Z:Z,'ON Data'!$D:$D,$A$4,'ON Data'!$E:$E,2),SUMIFS('ON Data'!Z:Z,'ON Data'!$E:$E,2))</f>
        <v>0</v>
      </c>
      <c r="V11" s="224">
        <f xml:space="preserve">
IF($A$4&lt;=12,SUMIFS('ON Data'!AA:AA,'ON Data'!$D:$D,$A$4,'ON Data'!$E:$E,2),SUMIFS('ON Data'!AA:AA,'ON Data'!$E:$E,2))</f>
        <v>0</v>
      </c>
      <c r="W11" s="224">
        <f xml:space="preserve">
IF($A$4&lt;=12,SUMIFS('ON Data'!AB:AB,'ON Data'!$D:$D,$A$4,'ON Data'!$E:$E,2),SUMIFS('ON Data'!AB:AB,'ON Data'!$E:$E,2))</f>
        <v>0</v>
      </c>
      <c r="X11" s="224">
        <f xml:space="preserve">
IF($A$4&lt;=12,SUMIFS('ON Data'!AC:AC,'ON Data'!$D:$D,$A$4,'ON Data'!$E:$E,2),SUMIFS('ON Data'!AC:AC,'ON Data'!$E:$E,2))</f>
        <v>0</v>
      </c>
      <c r="Y11" s="224">
        <f xml:space="preserve">
IF($A$4&lt;=12,SUMIFS('ON Data'!AD:AD,'ON Data'!$D:$D,$A$4,'ON Data'!$E:$E,2),SUMIFS('ON Data'!AD:AD,'ON Data'!$E:$E,2))</f>
        <v>0</v>
      </c>
      <c r="Z11" s="224">
        <f xml:space="preserve">
IF($A$4&lt;=12,SUMIFS('ON Data'!AE:AE,'ON Data'!$D:$D,$A$4,'ON Data'!$E:$E,2),SUMIFS('ON Data'!AE:AE,'ON Data'!$E:$E,2))</f>
        <v>0</v>
      </c>
      <c r="AA11" s="224">
        <f xml:space="preserve">
IF($A$4&lt;=12,SUMIFS('ON Data'!AF:AF,'ON Data'!$D:$D,$A$4,'ON Data'!$E:$E,2),SUMIFS('ON Data'!AF:AF,'ON Data'!$E:$E,2))</f>
        <v>0</v>
      </c>
      <c r="AB11" s="224">
        <f xml:space="preserve">
IF($A$4&lt;=12,SUMIFS('ON Data'!AG:AG,'ON Data'!$D:$D,$A$4,'ON Data'!$E:$E,2),SUMIFS('ON Data'!AG:AG,'ON Data'!$E:$E,2))</f>
        <v>0</v>
      </c>
      <c r="AC11" s="224">
        <f xml:space="preserve">
IF($A$4&lt;=12,SUMIFS('ON Data'!AH:AH,'ON Data'!$D:$D,$A$4,'ON Data'!$E:$E,2),SUMIFS('ON Data'!AH:AH,'ON Data'!$E:$E,2))</f>
        <v>0</v>
      </c>
      <c r="AD11" s="224">
        <f xml:space="preserve">
IF($A$4&lt;=12,SUMIFS('ON Data'!AI:AI,'ON Data'!$D:$D,$A$4,'ON Data'!$E:$E,2),SUMIFS('ON Data'!AI:AI,'ON Data'!$E:$E,2))</f>
        <v>1151.8</v>
      </c>
      <c r="AE11" s="224">
        <f xml:space="preserve">
IF($A$4&lt;=12,SUMIFS('ON Data'!AJ:AJ,'ON Data'!$D:$D,$A$4,'ON Data'!$E:$E,2),SUMIFS('ON Data'!AJ:AJ,'ON Data'!$E:$E,2))</f>
        <v>0</v>
      </c>
      <c r="AF11" s="224">
        <f xml:space="preserve">
IF($A$4&lt;=12,SUMIFS('ON Data'!AK:AK,'ON Data'!$D:$D,$A$4,'ON Data'!$E:$E,2),SUMIFS('ON Data'!AK:AK,'ON Data'!$E:$E,2))</f>
        <v>0</v>
      </c>
      <c r="AG11" s="377">
        <f xml:space="preserve">
IF($A$4&lt;=12,SUMIFS('ON Data'!AM:AM,'ON Data'!$D:$D,$A$4,'ON Data'!$E:$E,2),SUMIFS('ON Data'!AM:AM,'ON Data'!$E:$E,2))</f>
        <v>286.25</v>
      </c>
      <c r="AH11" s="387"/>
    </row>
    <row r="12" spans="1:34" x14ac:dyDescent="0.3">
      <c r="A12" s="205" t="s">
        <v>145</v>
      </c>
      <c r="B12" s="222">
        <f xml:space="preserve">
IF($A$4&lt;=12,SUMIFS('ON Data'!F:F,'ON Data'!$D:$D,$A$4,'ON Data'!$E:$E,3),SUMIFS('ON Data'!F:F,'ON Data'!$E:$E,3))</f>
        <v>0</v>
      </c>
      <c r="C12" s="223">
        <f xml:space="preserve">
IF($A$4&lt;=12,SUMIFS('ON Data'!G:G,'ON Data'!$D:$D,$A$4,'ON Data'!$E:$E,3),SUMIFS('ON Data'!G:G,'ON Data'!$E:$E,3))</f>
        <v>0</v>
      </c>
      <c r="D12" s="224">
        <f xml:space="preserve">
IF($A$4&lt;=12,SUMIFS('ON Data'!H:H,'ON Data'!$D:$D,$A$4,'ON Data'!$E:$E,3),SUMIFS('ON Data'!H:H,'ON Data'!$E:$E,3))</f>
        <v>0</v>
      </c>
      <c r="E12" s="224">
        <f xml:space="preserve">
IF($A$4&lt;=12,SUMIFS('ON Data'!I:I,'ON Data'!$D:$D,$A$4,'ON Data'!$E:$E,3),SUMIFS('ON Data'!I:I,'ON Data'!$E:$E,3))</f>
        <v>0</v>
      </c>
      <c r="F12" s="224">
        <f xml:space="preserve">
IF($A$4&lt;=12,SUMIFS('ON Data'!K:K,'ON Data'!$D:$D,$A$4,'ON Data'!$E:$E,3),SUMIFS('ON Data'!K:K,'ON Data'!$E:$E,3))</f>
        <v>0</v>
      </c>
      <c r="G12" s="224">
        <f xml:space="preserve">
IF($A$4&lt;=12,SUMIFS('ON Data'!L:L,'ON Data'!$D:$D,$A$4,'ON Data'!$E:$E,3),SUMIFS('ON Data'!L:L,'ON Data'!$E:$E,3))</f>
        <v>0</v>
      </c>
      <c r="H12" s="224">
        <f xml:space="preserve">
IF($A$4&lt;=12,SUMIFS('ON Data'!M:M,'ON Data'!$D:$D,$A$4,'ON Data'!$E:$E,3),SUMIFS('ON Data'!M:M,'ON Data'!$E:$E,3))</f>
        <v>0</v>
      </c>
      <c r="I12" s="224">
        <f xml:space="preserve">
IF($A$4&lt;=12,SUMIFS('ON Data'!N:N,'ON Data'!$D:$D,$A$4,'ON Data'!$E:$E,3),SUMIFS('ON Data'!N:N,'ON Data'!$E:$E,3))</f>
        <v>0</v>
      </c>
      <c r="J12" s="224">
        <f xml:space="preserve">
IF($A$4&lt;=12,SUMIFS('ON Data'!O:O,'ON Data'!$D:$D,$A$4,'ON Data'!$E:$E,3),SUMIFS('ON Data'!O:O,'ON Data'!$E:$E,3))</f>
        <v>0</v>
      </c>
      <c r="K12" s="224">
        <f xml:space="preserve">
IF($A$4&lt;=12,SUMIFS('ON Data'!P:P,'ON Data'!$D:$D,$A$4,'ON Data'!$E:$E,3),SUMIFS('ON Data'!P:P,'ON Data'!$E:$E,3))</f>
        <v>0</v>
      </c>
      <c r="L12" s="224">
        <f xml:space="preserve">
IF($A$4&lt;=12,SUMIFS('ON Data'!Q:Q,'ON Data'!$D:$D,$A$4,'ON Data'!$E:$E,3),SUMIFS('ON Data'!Q:Q,'ON Data'!$E:$E,3))</f>
        <v>0</v>
      </c>
      <c r="M12" s="224">
        <f xml:space="preserve">
IF($A$4&lt;=12,SUMIFS('ON Data'!R:R,'ON Data'!$D:$D,$A$4,'ON Data'!$E:$E,3),SUMIFS('ON Data'!R:R,'ON Data'!$E:$E,3))</f>
        <v>0</v>
      </c>
      <c r="N12" s="224">
        <f xml:space="preserve">
IF($A$4&lt;=12,SUMIFS('ON Data'!S:S,'ON Data'!$D:$D,$A$4,'ON Data'!$E:$E,3),SUMIFS('ON Data'!S:S,'ON Data'!$E:$E,3))</f>
        <v>0</v>
      </c>
      <c r="O12" s="224">
        <f xml:space="preserve">
IF($A$4&lt;=12,SUMIFS('ON Data'!T:T,'ON Data'!$D:$D,$A$4,'ON Data'!$E:$E,3),SUMIFS('ON Data'!T:T,'ON Data'!$E:$E,3))</f>
        <v>0</v>
      </c>
      <c r="P12" s="224">
        <f xml:space="preserve">
IF($A$4&lt;=12,SUMIFS('ON Data'!U:U,'ON Data'!$D:$D,$A$4,'ON Data'!$E:$E,3),SUMIFS('ON Data'!U:U,'ON Data'!$E:$E,3))</f>
        <v>0</v>
      </c>
      <c r="Q12" s="224">
        <f xml:space="preserve">
IF($A$4&lt;=12,SUMIFS('ON Data'!V:V,'ON Data'!$D:$D,$A$4,'ON Data'!$E:$E,3),SUMIFS('ON Data'!V:V,'ON Data'!$E:$E,3))</f>
        <v>0</v>
      </c>
      <c r="R12" s="224">
        <f xml:space="preserve">
IF($A$4&lt;=12,SUMIFS('ON Data'!W:W,'ON Data'!$D:$D,$A$4,'ON Data'!$E:$E,3),SUMIFS('ON Data'!W:W,'ON Data'!$E:$E,3))</f>
        <v>0</v>
      </c>
      <c r="S12" s="224">
        <f xml:space="preserve">
IF($A$4&lt;=12,SUMIFS('ON Data'!X:X,'ON Data'!$D:$D,$A$4,'ON Data'!$E:$E,3),SUMIFS('ON Data'!X:X,'ON Data'!$E:$E,3))</f>
        <v>0</v>
      </c>
      <c r="T12" s="224">
        <f xml:space="preserve">
IF($A$4&lt;=12,SUMIFS('ON Data'!Y:Y,'ON Data'!$D:$D,$A$4,'ON Data'!$E:$E,3),SUMIFS('ON Data'!Y:Y,'ON Data'!$E:$E,3))</f>
        <v>0</v>
      </c>
      <c r="U12" s="224">
        <f xml:space="preserve">
IF($A$4&lt;=12,SUMIFS('ON Data'!Z:Z,'ON Data'!$D:$D,$A$4,'ON Data'!$E:$E,3),SUMIFS('ON Data'!Z:Z,'ON Data'!$E:$E,3))</f>
        <v>0</v>
      </c>
      <c r="V12" s="224">
        <f xml:space="preserve">
IF($A$4&lt;=12,SUMIFS('ON Data'!AA:AA,'ON Data'!$D:$D,$A$4,'ON Data'!$E:$E,3),SUMIFS('ON Data'!AA:AA,'ON Data'!$E:$E,3))</f>
        <v>0</v>
      </c>
      <c r="W12" s="224">
        <f xml:space="preserve">
IF($A$4&lt;=12,SUMIFS('ON Data'!AB:AB,'ON Data'!$D:$D,$A$4,'ON Data'!$E:$E,3),SUMIFS('ON Data'!AB:AB,'ON Data'!$E:$E,3))</f>
        <v>0</v>
      </c>
      <c r="X12" s="224">
        <f xml:space="preserve">
IF($A$4&lt;=12,SUMIFS('ON Data'!AC:AC,'ON Data'!$D:$D,$A$4,'ON Data'!$E:$E,3),SUMIFS('ON Data'!AC:AC,'ON Data'!$E:$E,3))</f>
        <v>0</v>
      </c>
      <c r="Y12" s="224">
        <f xml:space="preserve">
IF($A$4&lt;=12,SUMIFS('ON Data'!AD:AD,'ON Data'!$D:$D,$A$4,'ON Data'!$E:$E,3),SUMIFS('ON Data'!AD:AD,'ON Data'!$E:$E,3))</f>
        <v>0</v>
      </c>
      <c r="Z12" s="224">
        <f xml:space="preserve">
IF($A$4&lt;=12,SUMIFS('ON Data'!AE:AE,'ON Data'!$D:$D,$A$4,'ON Data'!$E:$E,3),SUMIFS('ON Data'!AE:AE,'ON Data'!$E:$E,3))</f>
        <v>0</v>
      </c>
      <c r="AA12" s="224">
        <f xml:space="preserve">
IF($A$4&lt;=12,SUMIFS('ON Data'!AF:AF,'ON Data'!$D:$D,$A$4,'ON Data'!$E:$E,3),SUMIFS('ON Data'!AF:AF,'ON Data'!$E:$E,3))</f>
        <v>0</v>
      </c>
      <c r="AB12" s="224">
        <f xml:space="preserve">
IF($A$4&lt;=12,SUMIFS('ON Data'!AG:AG,'ON Data'!$D:$D,$A$4,'ON Data'!$E:$E,3),SUMIFS('ON Data'!AG:AG,'ON Data'!$E:$E,3))</f>
        <v>0</v>
      </c>
      <c r="AC12" s="224">
        <f xml:space="preserve">
IF($A$4&lt;=12,SUMIFS('ON Data'!AH:AH,'ON Data'!$D:$D,$A$4,'ON Data'!$E:$E,3),SUMIFS('ON Data'!AH:AH,'ON Data'!$E:$E,3))</f>
        <v>0</v>
      </c>
      <c r="AD12" s="224">
        <f xml:space="preserve">
IF($A$4&lt;=12,SUMIFS('ON Data'!AI:AI,'ON Data'!$D:$D,$A$4,'ON Data'!$E:$E,3),SUMIFS('ON Data'!AI:AI,'ON Data'!$E:$E,3))</f>
        <v>0</v>
      </c>
      <c r="AE12" s="224">
        <f xml:space="preserve">
IF($A$4&lt;=12,SUMIFS('ON Data'!AJ:AJ,'ON Data'!$D:$D,$A$4,'ON Data'!$E:$E,3),SUMIFS('ON Data'!AJ:AJ,'ON Data'!$E:$E,3))</f>
        <v>0</v>
      </c>
      <c r="AF12" s="224">
        <f xml:space="preserve">
IF($A$4&lt;=12,SUMIFS('ON Data'!AK:AK,'ON Data'!$D:$D,$A$4,'ON Data'!$E:$E,3),SUMIFS('ON Data'!AK:AK,'ON Data'!$E:$E,3))</f>
        <v>0</v>
      </c>
      <c r="AG12" s="377">
        <f xml:space="preserve">
IF($A$4&lt;=12,SUMIFS('ON Data'!AM:AM,'ON Data'!$D:$D,$A$4,'ON Data'!$E:$E,3),SUMIFS('ON Data'!AM:AM,'ON Data'!$E:$E,3))</f>
        <v>0</v>
      </c>
      <c r="AH12" s="387"/>
    </row>
    <row r="13" spans="1:34" x14ac:dyDescent="0.3">
      <c r="A13" s="205" t="s">
        <v>152</v>
      </c>
      <c r="B13" s="222">
        <f xml:space="preserve">
IF($A$4&lt;=12,SUMIFS('ON Data'!F:F,'ON Data'!$D:$D,$A$4,'ON Data'!$E:$E,4),SUMIFS('ON Data'!F:F,'ON Data'!$E:$E,4))</f>
        <v>0</v>
      </c>
      <c r="C13" s="223">
        <f xml:space="preserve">
IF($A$4&lt;=12,SUMIFS('ON Data'!G:G,'ON Data'!$D:$D,$A$4,'ON Data'!$E:$E,4),SUMIFS('ON Data'!G:G,'ON Data'!$E:$E,4))</f>
        <v>0</v>
      </c>
      <c r="D13" s="224">
        <f xml:space="preserve">
IF($A$4&lt;=12,SUMIFS('ON Data'!H:H,'ON Data'!$D:$D,$A$4,'ON Data'!$E:$E,4),SUMIFS('ON Data'!H:H,'ON Data'!$E:$E,4))</f>
        <v>0</v>
      </c>
      <c r="E13" s="224">
        <f xml:space="preserve">
IF($A$4&lt;=12,SUMIFS('ON Data'!I:I,'ON Data'!$D:$D,$A$4,'ON Data'!$E:$E,4),SUMIFS('ON Data'!I:I,'ON Data'!$E:$E,4))</f>
        <v>0</v>
      </c>
      <c r="F13" s="224">
        <f xml:space="preserve">
IF($A$4&lt;=12,SUMIFS('ON Data'!K:K,'ON Data'!$D:$D,$A$4,'ON Data'!$E:$E,4),SUMIFS('ON Data'!K:K,'ON Data'!$E:$E,4))</f>
        <v>0</v>
      </c>
      <c r="G13" s="224">
        <f xml:space="preserve">
IF($A$4&lt;=12,SUMIFS('ON Data'!L:L,'ON Data'!$D:$D,$A$4,'ON Data'!$E:$E,4),SUMIFS('ON Data'!L:L,'ON Data'!$E:$E,4))</f>
        <v>0</v>
      </c>
      <c r="H13" s="224">
        <f xml:space="preserve">
IF($A$4&lt;=12,SUMIFS('ON Data'!M:M,'ON Data'!$D:$D,$A$4,'ON Data'!$E:$E,4),SUMIFS('ON Data'!M:M,'ON Data'!$E:$E,4))</f>
        <v>0</v>
      </c>
      <c r="I13" s="224">
        <f xml:space="preserve">
IF($A$4&lt;=12,SUMIFS('ON Data'!N:N,'ON Data'!$D:$D,$A$4,'ON Data'!$E:$E,4),SUMIFS('ON Data'!N:N,'ON Data'!$E:$E,4))</f>
        <v>0</v>
      </c>
      <c r="J13" s="224">
        <f xml:space="preserve">
IF($A$4&lt;=12,SUMIFS('ON Data'!O:O,'ON Data'!$D:$D,$A$4,'ON Data'!$E:$E,4),SUMIFS('ON Data'!O:O,'ON Data'!$E:$E,4))</f>
        <v>0</v>
      </c>
      <c r="K13" s="224">
        <f xml:space="preserve">
IF($A$4&lt;=12,SUMIFS('ON Data'!P:P,'ON Data'!$D:$D,$A$4,'ON Data'!$E:$E,4),SUMIFS('ON Data'!P:P,'ON Data'!$E:$E,4))</f>
        <v>0</v>
      </c>
      <c r="L13" s="224">
        <f xml:space="preserve">
IF($A$4&lt;=12,SUMIFS('ON Data'!Q:Q,'ON Data'!$D:$D,$A$4,'ON Data'!$E:$E,4),SUMIFS('ON Data'!Q:Q,'ON Data'!$E:$E,4))</f>
        <v>0</v>
      </c>
      <c r="M13" s="224">
        <f xml:space="preserve">
IF($A$4&lt;=12,SUMIFS('ON Data'!R:R,'ON Data'!$D:$D,$A$4,'ON Data'!$E:$E,4),SUMIFS('ON Data'!R:R,'ON Data'!$E:$E,4))</f>
        <v>0</v>
      </c>
      <c r="N13" s="224">
        <f xml:space="preserve">
IF($A$4&lt;=12,SUMIFS('ON Data'!S:S,'ON Data'!$D:$D,$A$4,'ON Data'!$E:$E,4),SUMIFS('ON Data'!S:S,'ON Data'!$E:$E,4))</f>
        <v>0</v>
      </c>
      <c r="O13" s="224">
        <f xml:space="preserve">
IF($A$4&lt;=12,SUMIFS('ON Data'!T:T,'ON Data'!$D:$D,$A$4,'ON Data'!$E:$E,4),SUMIFS('ON Data'!T:T,'ON Data'!$E:$E,4))</f>
        <v>0</v>
      </c>
      <c r="P13" s="224">
        <f xml:space="preserve">
IF($A$4&lt;=12,SUMIFS('ON Data'!U:U,'ON Data'!$D:$D,$A$4,'ON Data'!$E:$E,4),SUMIFS('ON Data'!U:U,'ON Data'!$E:$E,4))</f>
        <v>0</v>
      </c>
      <c r="Q13" s="224">
        <f xml:space="preserve">
IF($A$4&lt;=12,SUMIFS('ON Data'!V:V,'ON Data'!$D:$D,$A$4,'ON Data'!$E:$E,4),SUMIFS('ON Data'!V:V,'ON Data'!$E:$E,4))</f>
        <v>0</v>
      </c>
      <c r="R13" s="224">
        <f xml:space="preserve">
IF($A$4&lt;=12,SUMIFS('ON Data'!W:W,'ON Data'!$D:$D,$A$4,'ON Data'!$E:$E,4),SUMIFS('ON Data'!W:W,'ON Data'!$E:$E,4))</f>
        <v>0</v>
      </c>
      <c r="S13" s="224">
        <f xml:space="preserve">
IF($A$4&lt;=12,SUMIFS('ON Data'!X:X,'ON Data'!$D:$D,$A$4,'ON Data'!$E:$E,4),SUMIFS('ON Data'!X:X,'ON Data'!$E:$E,4))</f>
        <v>0</v>
      </c>
      <c r="T13" s="224">
        <f xml:space="preserve">
IF($A$4&lt;=12,SUMIFS('ON Data'!Y:Y,'ON Data'!$D:$D,$A$4,'ON Data'!$E:$E,4),SUMIFS('ON Data'!Y:Y,'ON Data'!$E:$E,4))</f>
        <v>0</v>
      </c>
      <c r="U13" s="224">
        <f xml:space="preserve">
IF($A$4&lt;=12,SUMIFS('ON Data'!Z:Z,'ON Data'!$D:$D,$A$4,'ON Data'!$E:$E,4),SUMIFS('ON Data'!Z:Z,'ON Data'!$E:$E,4))</f>
        <v>0</v>
      </c>
      <c r="V13" s="224">
        <f xml:space="preserve">
IF($A$4&lt;=12,SUMIFS('ON Data'!AA:AA,'ON Data'!$D:$D,$A$4,'ON Data'!$E:$E,4),SUMIFS('ON Data'!AA:AA,'ON Data'!$E:$E,4))</f>
        <v>0</v>
      </c>
      <c r="W13" s="224">
        <f xml:space="preserve">
IF($A$4&lt;=12,SUMIFS('ON Data'!AB:AB,'ON Data'!$D:$D,$A$4,'ON Data'!$E:$E,4),SUMIFS('ON Data'!AB:AB,'ON Data'!$E:$E,4))</f>
        <v>0</v>
      </c>
      <c r="X13" s="224">
        <f xml:space="preserve">
IF($A$4&lt;=12,SUMIFS('ON Data'!AC:AC,'ON Data'!$D:$D,$A$4,'ON Data'!$E:$E,4),SUMIFS('ON Data'!AC:AC,'ON Data'!$E:$E,4))</f>
        <v>0</v>
      </c>
      <c r="Y13" s="224">
        <f xml:space="preserve">
IF($A$4&lt;=12,SUMIFS('ON Data'!AD:AD,'ON Data'!$D:$D,$A$4,'ON Data'!$E:$E,4),SUMIFS('ON Data'!AD:AD,'ON Data'!$E:$E,4))</f>
        <v>0</v>
      </c>
      <c r="Z13" s="224">
        <f xml:space="preserve">
IF($A$4&lt;=12,SUMIFS('ON Data'!AE:AE,'ON Data'!$D:$D,$A$4,'ON Data'!$E:$E,4),SUMIFS('ON Data'!AE:AE,'ON Data'!$E:$E,4))</f>
        <v>0</v>
      </c>
      <c r="AA13" s="224">
        <f xml:space="preserve">
IF($A$4&lt;=12,SUMIFS('ON Data'!AF:AF,'ON Data'!$D:$D,$A$4,'ON Data'!$E:$E,4),SUMIFS('ON Data'!AF:AF,'ON Data'!$E:$E,4))</f>
        <v>0</v>
      </c>
      <c r="AB13" s="224">
        <f xml:space="preserve">
IF($A$4&lt;=12,SUMIFS('ON Data'!AG:AG,'ON Data'!$D:$D,$A$4,'ON Data'!$E:$E,4),SUMIFS('ON Data'!AG:AG,'ON Data'!$E:$E,4))</f>
        <v>0</v>
      </c>
      <c r="AC13" s="224">
        <f xml:space="preserve">
IF($A$4&lt;=12,SUMIFS('ON Data'!AH:AH,'ON Data'!$D:$D,$A$4,'ON Data'!$E:$E,4),SUMIFS('ON Data'!AH:AH,'ON Data'!$E:$E,4))</f>
        <v>0</v>
      </c>
      <c r="AD13" s="224">
        <f xml:space="preserve">
IF($A$4&lt;=12,SUMIFS('ON Data'!AI:AI,'ON Data'!$D:$D,$A$4,'ON Data'!$E:$E,4),SUMIFS('ON Data'!AI:AI,'ON Data'!$E:$E,4))</f>
        <v>0</v>
      </c>
      <c r="AE13" s="224">
        <f xml:space="preserve">
IF($A$4&lt;=12,SUMIFS('ON Data'!AJ:AJ,'ON Data'!$D:$D,$A$4,'ON Data'!$E:$E,4),SUMIFS('ON Data'!AJ:AJ,'ON Data'!$E:$E,4))</f>
        <v>0</v>
      </c>
      <c r="AF13" s="224">
        <f xml:space="preserve">
IF($A$4&lt;=12,SUMIFS('ON Data'!AK:AK,'ON Data'!$D:$D,$A$4,'ON Data'!$E:$E,4),SUMIFS('ON Data'!AK:AK,'ON Data'!$E:$E,4))</f>
        <v>0</v>
      </c>
      <c r="AG13" s="377">
        <f xml:space="preserve">
IF($A$4&lt;=12,SUMIFS('ON Data'!AM:AM,'ON Data'!$D:$D,$A$4,'ON Data'!$E:$E,4),SUMIFS('ON Data'!AM:AM,'ON Data'!$E:$E,4))</f>
        <v>0</v>
      </c>
      <c r="AH13" s="387"/>
    </row>
    <row r="14" spans="1:34" ht="15" thickBot="1" x14ac:dyDescent="0.35">
      <c r="A14" s="206" t="s">
        <v>146</v>
      </c>
      <c r="B14" s="225">
        <f xml:space="preserve">
IF($A$4&lt;=12,SUMIFS('ON Data'!F:F,'ON Data'!$D:$D,$A$4,'ON Data'!$E:$E,5),SUMIFS('ON Data'!F:F,'ON Data'!$E:$E,5))</f>
        <v>0</v>
      </c>
      <c r="C14" s="226">
        <f xml:space="preserve">
IF($A$4&lt;=12,SUMIFS('ON Data'!G:G,'ON Data'!$D:$D,$A$4,'ON Data'!$E:$E,5),SUMIFS('ON Data'!G:G,'ON Data'!$E:$E,5))</f>
        <v>0</v>
      </c>
      <c r="D14" s="227">
        <f xml:space="preserve">
IF($A$4&lt;=12,SUMIFS('ON Data'!H:H,'ON Data'!$D:$D,$A$4,'ON Data'!$E:$E,5),SUMIFS('ON Data'!H:H,'ON Data'!$E:$E,5))</f>
        <v>0</v>
      </c>
      <c r="E14" s="227">
        <f xml:space="preserve">
IF($A$4&lt;=12,SUMIFS('ON Data'!I:I,'ON Data'!$D:$D,$A$4,'ON Data'!$E:$E,5),SUMIFS('ON Data'!I:I,'ON Data'!$E:$E,5))</f>
        <v>0</v>
      </c>
      <c r="F14" s="227">
        <f xml:space="preserve">
IF($A$4&lt;=12,SUMIFS('ON Data'!K:K,'ON Data'!$D:$D,$A$4,'ON Data'!$E:$E,5),SUMIFS('ON Data'!K:K,'ON Data'!$E:$E,5))</f>
        <v>0</v>
      </c>
      <c r="G14" s="227">
        <f xml:space="preserve">
IF($A$4&lt;=12,SUMIFS('ON Data'!L:L,'ON Data'!$D:$D,$A$4,'ON Data'!$E:$E,5),SUMIFS('ON Data'!L:L,'ON Data'!$E:$E,5))</f>
        <v>0</v>
      </c>
      <c r="H14" s="227">
        <f xml:space="preserve">
IF($A$4&lt;=12,SUMIFS('ON Data'!M:M,'ON Data'!$D:$D,$A$4,'ON Data'!$E:$E,5),SUMIFS('ON Data'!M:M,'ON Data'!$E:$E,5))</f>
        <v>0</v>
      </c>
      <c r="I14" s="227">
        <f xml:space="preserve">
IF($A$4&lt;=12,SUMIFS('ON Data'!N:N,'ON Data'!$D:$D,$A$4,'ON Data'!$E:$E,5),SUMIFS('ON Data'!N:N,'ON Data'!$E:$E,5))</f>
        <v>0</v>
      </c>
      <c r="J14" s="227">
        <f xml:space="preserve">
IF($A$4&lt;=12,SUMIFS('ON Data'!O:O,'ON Data'!$D:$D,$A$4,'ON Data'!$E:$E,5),SUMIFS('ON Data'!O:O,'ON Data'!$E:$E,5))</f>
        <v>0</v>
      </c>
      <c r="K14" s="227">
        <f xml:space="preserve">
IF($A$4&lt;=12,SUMIFS('ON Data'!P:P,'ON Data'!$D:$D,$A$4,'ON Data'!$E:$E,5),SUMIFS('ON Data'!P:P,'ON Data'!$E:$E,5))</f>
        <v>0</v>
      </c>
      <c r="L14" s="227">
        <f xml:space="preserve">
IF($A$4&lt;=12,SUMIFS('ON Data'!Q:Q,'ON Data'!$D:$D,$A$4,'ON Data'!$E:$E,5),SUMIFS('ON Data'!Q:Q,'ON Data'!$E:$E,5))</f>
        <v>0</v>
      </c>
      <c r="M14" s="227">
        <f xml:space="preserve">
IF($A$4&lt;=12,SUMIFS('ON Data'!R:R,'ON Data'!$D:$D,$A$4,'ON Data'!$E:$E,5),SUMIFS('ON Data'!R:R,'ON Data'!$E:$E,5))</f>
        <v>0</v>
      </c>
      <c r="N14" s="227">
        <f xml:space="preserve">
IF($A$4&lt;=12,SUMIFS('ON Data'!S:S,'ON Data'!$D:$D,$A$4,'ON Data'!$E:$E,5),SUMIFS('ON Data'!S:S,'ON Data'!$E:$E,5))</f>
        <v>0</v>
      </c>
      <c r="O14" s="227">
        <f xml:space="preserve">
IF($A$4&lt;=12,SUMIFS('ON Data'!T:T,'ON Data'!$D:$D,$A$4,'ON Data'!$E:$E,5),SUMIFS('ON Data'!T:T,'ON Data'!$E:$E,5))</f>
        <v>0</v>
      </c>
      <c r="P14" s="227">
        <f xml:space="preserve">
IF($A$4&lt;=12,SUMIFS('ON Data'!U:U,'ON Data'!$D:$D,$A$4,'ON Data'!$E:$E,5),SUMIFS('ON Data'!U:U,'ON Data'!$E:$E,5))</f>
        <v>0</v>
      </c>
      <c r="Q14" s="227">
        <f xml:space="preserve">
IF($A$4&lt;=12,SUMIFS('ON Data'!V:V,'ON Data'!$D:$D,$A$4,'ON Data'!$E:$E,5),SUMIFS('ON Data'!V:V,'ON Data'!$E:$E,5))</f>
        <v>0</v>
      </c>
      <c r="R14" s="227">
        <f xml:space="preserve">
IF($A$4&lt;=12,SUMIFS('ON Data'!W:W,'ON Data'!$D:$D,$A$4,'ON Data'!$E:$E,5),SUMIFS('ON Data'!W:W,'ON Data'!$E:$E,5))</f>
        <v>0</v>
      </c>
      <c r="S14" s="227">
        <f xml:space="preserve">
IF($A$4&lt;=12,SUMIFS('ON Data'!X:X,'ON Data'!$D:$D,$A$4,'ON Data'!$E:$E,5),SUMIFS('ON Data'!X:X,'ON Data'!$E:$E,5))</f>
        <v>0</v>
      </c>
      <c r="T14" s="227">
        <f xml:space="preserve">
IF($A$4&lt;=12,SUMIFS('ON Data'!Y:Y,'ON Data'!$D:$D,$A$4,'ON Data'!$E:$E,5),SUMIFS('ON Data'!Y:Y,'ON Data'!$E:$E,5))</f>
        <v>0</v>
      </c>
      <c r="U14" s="227">
        <f xml:space="preserve">
IF($A$4&lt;=12,SUMIFS('ON Data'!Z:Z,'ON Data'!$D:$D,$A$4,'ON Data'!$E:$E,5),SUMIFS('ON Data'!Z:Z,'ON Data'!$E:$E,5))</f>
        <v>0</v>
      </c>
      <c r="V14" s="227">
        <f xml:space="preserve">
IF($A$4&lt;=12,SUMIFS('ON Data'!AA:AA,'ON Data'!$D:$D,$A$4,'ON Data'!$E:$E,5),SUMIFS('ON Data'!AA:AA,'ON Data'!$E:$E,5))</f>
        <v>0</v>
      </c>
      <c r="W14" s="227">
        <f xml:space="preserve">
IF($A$4&lt;=12,SUMIFS('ON Data'!AB:AB,'ON Data'!$D:$D,$A$4,'ON Data'!$E:$E,5),SUMIFS('ON Data'!AB:AB,'ON Data'!$E:$E,5))</f>
        <v>0</v>
      </c>
      <c r="X14" s="227">
        <f xml:space="preserve">
IF($A$4&lt;=12,SUMIFS('ON Data'!AC:AC,'ON Data'!$D:$D,$A$4,'ON Data'!$E:$E,5),SUMIFS('ON Data'!AC:AC,'ON Data'!$E:$E,5))</f>
        <v>0</v>
      </c>
      <c r="Y14" s="227">
        <f xml:space="preserve">
IF($A$4&lt;=12,SUMIFS('ON Data'!AD:AD,'ON Data'!$D:$D,$A$4,'ON Data'!$E:$E,5),SUMIFS('ON Data'!AD:AD,'ON Data'!$E:$E,5))</f>
        <v>0</v>
      </c>
      <c r="Z14" s="227">
        <f xml:space="preserve">
IF($A$4&lt;=12,SUMIFS('ON Data'!AE:AE,'ON Data'!$D:$D,$A$4,'ON Data'!$E:$E,5),SUMIFS('ON Data'!AE:AE,'ON Data'!$E:$E,5))</f>
        <v>0</v>
      </c>
      <c r="AA14" s="227">
        <f xml:space="preserve">
IF($A$4&lt;=12,SUMIFS('ON Data'!AF:AF,'ON Data'!$D:$D,$A$4,'ON Data'!$E:$E,5),SUMIFS('ON Data'!AF:AF,'ON Data'!$E:$E,5))</f>
        <v>0</v>
      </c>
      <c r="AB14" s="227">
        <f xml:space="preserve">
IF($A$4&lt;=12,SUMIFS('ON Data'!AG:AG,'ON Data'!$D:$D,$A$4,'ON Data'!$E:$E,5),SUMIFS('ON Data'!AG:AG,'ON Data'!$E:$E,5))</f>
        <v>0</v>
      </c>
      <c r="AC14" s="227">
        <f xml:space="preserve">
IF($A$4&lt;=12,SUMIFS('ON Data'!AH:AH,'ON Data'!$D:$D,$A$4,'ON Data'!$E:$E,5),SUMIFS('ON Data'!AH:AH,'ON Data'!$E:$E,5))</f>
        <v>0</v>
      </c>
      <c r="AD14" s="227">
        <f xml:space="preserve">
IF($A$4&lt;=12,SUMIFS('ON Data'!AI:AI,'ON Data'!$D:$D,$A$4,'ON Data'!$E:$E,5),SUMIFS('ON Data'!AI:AI,'ON Data'!$E:$E,5))</f>
        <v>0</v>
      </c>
      <c r="AE14" s="227">
        <f xml:space="preserve">
IF($A$4&lt;=12,SUMIFS('ON Data'!AJ:AJ,'ON Data'!$D:$D,$A$4,'ON Data'!$E:$E,5),SUMIFS('ON Data'!AJ:AJ,'ON Data'!$E:$E,5))</f>
        <v>0</v>
      </c>
      <c r="AF14" s="227">
        <f xml:space="preserve">
IF($A$4&lt;=12,SUMIFS('ON Data'!AK:AK,'ON Data'!$D:$D,$A$4,'ON Data'!$E:$E,5),SUMIFS('ON Data'!AK:AK,'ON Data'!$E:$E,5))</f>
        <v>0</v>
      </c>
      <c r="AG14" s="378">
        <f xml:space="preserve">
IF($A$4&lt;=12,SUMIFS('ON Data'!AM:AM,'ON Data'!$D:$D,$A$4,'ON Data'!$E:$E,5),SUMIFS('ON Data'!AM:AM,'ON Data'!$E:$E,5))</f>
        <v>0</v>
      </c>
      <c r="AH14" s="387"/>
    </row>
    <row r="15" spans="1:34" x14ac:dyDescent="0.3">
      <c r="A15" s="132" t="s">
        <v>156</v>
      </c>
      <c r="B15" s="228"/>
      <c r="C15" s="229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379"/>
      <c r="AH15" s="387"/>
    </row>
    <row r="16" spans="1:34" x14ac:dyDescent="0.3">
      <c r="A16" s="207" t="s">
        <v>147</v>
      </c>
      <c r="B16" s="222">
        <f xml:space="preserve">
IF($A$4&lt;=12,SUMIFS('ON Data'!F:F,'ON Data'!$D:$D,$A$4,'ON Data'!$E:$E,7),SUMIFS('ON Data'!F:F,'ON Data'!$E:$E,7))</f>
        <v>0</v>
      </c>
      <c r="C16" s="223">
        <f xml:space="preserve">
IF($A$4&lt;=12,SUMIFS('ON Data'!G:G,'ON Data'!$D:$D,$A$4,'ON Data'!$E:$E,7),SUMIFS('ON Data'!G:G,'ON Data'!$E:$E,7))</f>
        <v>0</v>
      </c>
      <c r="D16" s="224">
        <f xml:space="preserve">
IF($A$4&lt;=12,SUMIFS('ON Data'!H:H,'ON Data'!$D:$D,$A$4,'ON Data'!$E:$E,7),SUMIFS('ON Data'!H:H,'ON Data'!$E:$E,7))</f>
        <v>0</v>
      </c>
      <c r="E16" s="224">
        <f xml:space="preserve">
IF($A$4&lt;=12,SUMIFS('ON Data'!I:I,'ON Data'!$D:$D,$A$4,'ON Data'!$E:$E,7),SUMIFS('ON Data'!I:I,'ON Data'!$E:$E,7))</f>
        <v>0</v>
      </c>
      <c r="F16" s="224">
        <f xml:space="preserve">
IF($A$4&lt;=12,SUMIFS('ON Data'!K:K,'ON Data'!$D:$D,$A$4,'ON Data'!$E:$E,7),SUMIFS('ON Data'!K:K,'ON Data'!$E:$E,7))</f>
        <v>0</v>
      </c>
      <c r="G16" s="224">
        <f xml:space="preserve">
IF($A$4&lt;=12,SUMIFS('ON Data'!L:L,'ON Data'!$D:$D,$A$4,'ON Data'!$E:$E,7),SUMIFS('ON Data'!L:L,'ON Data'!$E:$E,7))</f>
        <v>0</v>
      </c>
      <c r="H16" s="224">
        <f xml:space="preserve">
IF($A$4&lt;=12,SUMIFS('ON Data'!M:M,'ON Data'!$D:$D,$A$4,'ON Data'!$E:$E,7),SUMIFS('ON Data'!M:M,'ON Data'!$E:$E,7))</f>
        <v>0</v>
      </c>
      <c r="I16" s="224">
        <f xml:space="preserve">
IF($A$4&lt;=12,SUMIFS('ON Data'!N:N,'ON Data'!$D:$D,$A$4,'ON Data'!$E:$E,7),SUMIFS('ON Data'!N:N,'ON Data'!$E:$E,7))</f>
        <v>0</v>
      </c>
      <c r="J16" s="224">
        <f xml:space="preserve">
IF($A$4&lt;=12,SUMIFS('ON Data'!O:O,'ON Data'!$D:$D,$A$4,'ON Data'!$E:$E,7),SUMIFS('ON Data'!O:O,'ON Data'!$E:$E,7))</f>
        <v>0</v>
      </c>
      <c r="K16" s="224">
        <f xml:space="preserve">
IF($A$4&lt;=12,SUMIFS('ON Data'!P:P,'ON Data'!$D:$D,$A$4,'ON Data'!$E:$E,7),SUMIFS('ON Data'!P:P,'ON Data'!$E:$E,7))</f>
        <v>0</v>
      </c>
      <c r="L16" s="224">
        <f xml:space="preserve">
IF($A$4&lt;=12,SUMIFS('ON Data'!Q:Q,'ON Data'!$D:$D,$A$4,'ON Data'!$E:$E,7),SUMIFS('ON Data'!Q:Q,'ON Data'!$E:$E,7))</f>
        <v>0</v>
      </c>
      <c r="M16" s="224">
        <f xml:space="preserve">
IF($A$4&lt;=12,SUMIFS('ON Data'!R:R,'ON Data'!$D:$D,$A$4,'ON Data'!$E:$E,7),SUMIFS('ON Data'!R:R,'ON Data'!$E:$E,7))</f>
        <v>0</v>
      </c>
      <c r="N16" s="224">
        <f xml:space="preserve">
IF($A$4&lt;=12,SUMIFS('ON Data'!S:S,'ON Data'!$D:$D,$A$4,'ON Data'!$E:$E,7),SUMIFS('ON Data'!S:S,'ON Data'!$E:$E,7))</f>
        <v>0</v>
      </c>
      <c r="O16" s="224">
        <f xml:space="preserve">
IF($A$4&lt;=12,SUMIFS('ON Data'!T:T,'ON Data'!$D:$D,$A$4,'ON Data'!$E:$E,7),SUMIFS('ON Data'!T:T,'ON Data'!$E:$E,7))</f>
        <v>0</v>
      </c>
      <c r="P16" s="224">
        <f xml:space="preserve">
IF($A$4&lt;=12,SUMIFS('ON Data'!U:U,'ON Data'!$D:$D,$A$4,'ON Data'!$E:$E,7),SUMIFS('ON Data'!U:U,'ON Data'!$E:$E,7))</f>
        <v>0</v>
      </c>
      <c r="Q16" s="224">
        <f xml:space="preserve">
IF($A$4&lt;=12,SUMIFS('ON Data'!V:V,'ON Data'!$D:$D,$A$4,'ON Data'!$E:$E,7),SUMIFS('ON Data'!V:V,'ON Data'!$E:$E,7))</f>
        <v>0</v>
      </c>
      <c r="R16" s="224">
        <f xml:space="preserve">
IF($A$4&lt;=12,SUMIFS('ON Data'!W:W,'ON Data'!$D:$D,$A$4,'ON Data'!$E:$E,7),SUMIFS('ON Data'!W:W,'ON Data'!$E:$E,7))</f>
        <v>0</v>
      </c>
      <c r="S16" s="224">
        <f xml:space="preserve">
IF($A$4&lt;=12,SUMIFS('ON Data'!X:X,'ON Data'!$D:$D,$A$4,'ON Data'!$E:$E,7),SUMIFS('ON Data'!X:X,'ON Data'!$E:$E,7))</f>
        <v>0</v>
      </c>
      <c r="T16" s="224">
        <f xml:space="preserve">
IF($A$4&lt;=12,SUMIFS('ON Data'!Y:Y,'ON Data'!$D:$D,$A$4,'ON Data'!$E:$E,7),SUMIFS('ON Data'!Y:Y,'ON Data'!$E:$E,7))</f>
        <v>0</v>
      </c>
      <c r="U16" s="224">
        <f xml:space="preserve">
IF($A$4&lt;=12,SUMIFS('ON Data'!Z:Z,'ON Data'!$D:$D,$A$4,'ON Data'!$E:$E,7),SUMIFS('ON Data'!Z:Z,'ON Data'!$E:$E,7))</f>
        <v>0</v>
      </c>
      <c r="V16" s="224">
        <f xml:space="preserve">
IF($A$4&lt;=12,SUMIFS('ON Data'!AA:AA,'ON Data'!$D:$D,$A$4,'ON Data'!$E:$E,7),SUMIFS('ON Data'!AA:AA,'ON Data'!$E:$E,7))</f>
        <v>0</v>
      </c>
      <c r="W16" s="224">
        <f xml:space="preserve">
IF($A$4&lt;=12,SUMIFS('ON Data'!AB:AB,'ON Data'!$D:$D,$A$4,'ON Data'!$E:$E,7),SUMIFS('ON Data'!AB:AB,'ON Data'!$E:$E,7))</f>
        <v>0</v>
      </c>
      <c r="X16" s="224">
        <f xml:space="preserve">
IF($A$4&lt;=12,SUMIFS('ON Data'!AC:AC,'ON Data'!$D:$D,$A$4,'ON Data'!$E:$E,7),SUMIFS('ON Data'!AC:AC,'ON Data'!$E:$E,7))</f>
        <v>0</v>
      </c>
      <c r="Y16" s="224">
        <f xml:space="preserve">
IF($A$4&lt;=12,SUMIFS('ON Data'!AD:AD,'ON Data'!$D:$D,$A$4,'ON Data'!$E:$E,7),SUMIFS('ON Data'!AD:AD,'ON Data'!$E:$E,7))</f>
        <v>0</v>
      </c>
      <c r="Z16" s="224">
        <f xml:space="preserve">
IF($A$4&lt;=12,SUMIFS('ON Data'!AE:AE,'ON Data'!$D:$D,$A$4,'ON Data'!$E:$E,7),SUMIFS('ON Data'!AE:AE,'ON Data'!$E:$E,7))</f>
        <v>0</v>
      </c>
      <c r="AA16" s="224">
        <f xml:space="preserve">
IF($A$4&lt;=12,SUMIFS('ON Data'!AF:AF,'ON Data'!$D:$D,$A$4,'ON Data'!$E:$E,7),SUMIFS('ON Data'!AF:AF,'ON Data'!$E:$E,7))</f>
        <v>0</v>
      </c>
      <c r="AB16" s="224">
        <f xml:space="preserve">
IF($A$4&lt;=12,SUMIFS('ON Data'!AG:AG,'ON Data'!$D:$D,$A$4,'ON Data'!$E:$E,7),SUMIFS('ON Data'!AG:AG,'ON Data'!$E:$E,7))</f>
        <v>0</v>
      </c>
      <c r="AC16" s="224">
        <f xml:space="preserve">
IF($A$4&lt;=12,SUMIFS('ON Data'!AH:AH,'ON Data'!$D:$D,$A$4,'ON Data'!$E:$E,7),SUMIFS('ON Data'!AH:AH,'ON Data'!$E:$E,7))</f>
        <v>0</v>
      </c>
      <c r="AD16" s="224">
        <f xml:space="preserve">
IF($A$4&lt;=12,SUMIFS('ON Data'!AI:AI,'ON Data'!$D:$D,$A$4,'ON Data'!$E:$E,7),SUMIFS('ON Data'!AI:AI,'ON Data'!$E:$E,7))</f>
        <v>0</v>
      </c>
      <c r="AE16" s="224">
        <f xml:space="preserve">
IF($A$4&lt;=12,SUMIFS('ON Data'!AJ:AJ,'ON Data'!$D:$D,$A$4,'ON Data'!$E:$E,7),SUMIFS('ON Data'!AJ:AJ,'ON Data'!$E:$E,7))</f>
        <v>0</v>
      </c>
      <c r="AF16" s="224">
        <f xml:space="preserve">
IF($A$4&lt;=12,SUMIFS('ON Data'!AK:AK,'ON Data'!$D:$D,$A$4,'ON Data'!$E:$E,7),SUMIFS('ON Data'!AK:AK,'ON Data'!$E:$E,7))</f>
        <v>0</v>
      </c>
      <c r="AG16" s="377">
        <f xml:space="preserve">
IF($A$4&lt;=12,SUMIFS('ON Data'!AM:AM,'ON Data'!$D:$D,$A$4,'ON Data'!$E:$E,7),SUMIFS('ON Data'!AM:AM,'ON Data'!$E:$E,7))</f>
        <v>0</v>
      </c>
      <c r="AH16" s="387"/>
    </row>
    <row r="17" spans="1:34" x14ac:dyDescent="0.3">
      <c r="A17" s="207" t="s">
        <v>148</v>
      </c>
      <c r="B17" s="222">
        <f xml:space="preserve">
IF($A$4&lt;=12,SUMIFS('ON Data'!F:F,'ON Data'!$D:$D,$A$4,'ON Data'!$E:$E,8),SUMIFS('ON Data'!F:F,'ON Data'!$E:$E,8))</f>
        <v>0</v>
      </c>
      <c r="C17" s="223">
        <f xml:space="preserve">
IF($A$4&lt;=12,SUMIFS('ON Data'!G:G,'ON Data'!$D:$D,$A$4,'ON Data'!$E:$E,8),SUMIFS('ON Data'!G:G,'ON Data'!$E:$E,8))</f>
        <v>0</v>
      </c>
      <c r="D17" s="224">
        <f xml:space="preserve">
IF($A$4&lt;=12,SUMIFS('ON Data'!H:H,'ON Data'!$D:$D,$A$4,'ON Data'!$E:$E,8),SUMIFS('ON Data'!H:H,'ON Data'!$E:$E,8))</f>
        <v>0</v>
      </c>
      <c r="E17" s="224">
        <f xml:space="preserve">
IF($A$4&lt;=12,SUMIFS('ON Data'!I:I,'ON Data'!$D:$D,$A$4,'ON Data'!$E:$E,8),SUMIFS('ON Data'!I:I,'ON Data'!$E:$E,8))</f>
        <v>0</v>
      </c>
      <c r="F17" s="224">
        <f xml:space="preserve">
IF($A$4&lt;=12,SUMIFS('ON Data'!K:K,'ON Data'!$D:$D,$A$4,'ON Data'!$E:$E,8),SUMIFS('ON Data'!K:K,'ON Data'!$E:$E,8))</f>
        <v>0</v>
      </c>
      <c r="G17" s="224">
        <f xml:space="preserve">
IF($A$4&lt;=12,SUMIFS('ON Data'!L:L,'ON Data'!$D:$D,$A$4,'ON Data'!$E:$E,8),SUMIFS('ON Data'!L:L,'ON Data'!$E:$E,8))</f>
        <v>0</v>
      </c>
      <c r="H17" s="224">
        <f xml:space="preserve">
IF($A$4&lt;=12,SUMIFS('ON Data'!M:M,'ON Data'!$D:$D,$A$4,'ON Data'!$E:$E,8),SUMIFS('ON Data'!M:M,'ON Data'!$E:$E,8))</f>
        <v>0</v>
      </c>
      <c r="I17" s="224">
        <f xml:space="preserve">
IF($A$4&lt;=12,SUMIFS('ON Data'!N:N,'ON Data'!$D:$D,$A$4,'ON Data'!$E:$E,8),SUMIFS('ON Data'!N:N,'ON Data'!$E:$E,8))</f>
        <v>0</v>
      </c>
      <c r="J17" s="224">
        <f xml:space="preserve">
IF($A$4&lt;=12,SUMIFS('ON Data'!O:O,'ON Data'!$D:$D,$A$4,'ON Data'!$E:$E,8),SUMIFS('ON Data'!O:O,'ON Data'!$E:$E,8))</f>
        <v>0</v>
      </c>
      <c r="K17" s="224">
        <f xml:space="preserve">
IF($A$4&lt;=12,SUMIFS('ON Data'!P:P,'ON Data'!$D:$D,$A$4,'ON Data'!$E:$E,8),SUMIFS('ON Data'!P:P,'ON Data'!$E:$E,8))</f>
        <v>0</v>
      </c>
      <c r="L17" s="224">
        <f xml:space="preserve">
IF($A$4&lt;=12,SUMIFS('ON Data'!Q:Q,'ON Data'!$D:$D,$A$4,'ON Data'!$E:$E,8),SUMIFS('ON Data'!Q:Q,'ON Data'!$E:$E,8))</f>
        <v>0</v>
      </c>
      <c r="M17" s="224">
        <f xml:space="preserve">
IF($A$4&lt;=12,SUMIFS('ON Data'!R:R,'ON Data'!$D:$D,$A$4,'ON Data'!$E:$E,8),SUMIFS('ON Data'!R:R,'ON Data'!$E:$E,8))</f>
        <v>0</v>
      </c>
      <c r="N17" s="224">
        <f xml:space="preserve">
IF($A$4&lt;=12,SUMIFS('ON Data'!S:S,'ON Data'!$D:$D,$A$4,'ON Data'!$E:$E,8),SUMIFS('ON Data'!S:S,'ON Data'!$E:$E,8))</f>
        <v>0</v>
      </c>
      <c r="O17" s="224">
        <f xml:space="preserve">
IF($A$4&lt;=12,SUMIFS('ON Data'!T:T,'ON Data'!$D:$D,$A$4,'ON Data'!$E:$E,8),SUMIFS('ON Data'!T:T,'ON Data'!$E:$E,8))</f>
        <v>0</v>
      </c>
      <c r="P17" s="224">
        <f xml:space="preserve">
IF($A$4&lt;=12,SUMIFS('ON Data'!U:U,'ON Data'!$D:$D,$A$4,'ON Data'!$E:$E,8),SUMIFS('ON Data'!U:U,'ON Data'!$E:$E,8))</f>
        <v>0</v>
      </c>
      <c r="Q17" s="224">
        <f xml:space="preserve">
IF($A$4&lt;=12,SUMIFS('ON Data'!V:V,'ON Data'!$D:$D,$A$4,'ON Data'!$E:$E,8),SUMIFS('ON Data'!V:V,'ON Data'!$E:$E,8))</f>
        <v>0</v>
      </c>
      <c r="R17" s="224">
        <f xml:space="preserve">
IF($A$4&lt;=12,SUMIFS('ON Data'!W:W,'ON Data'!$D:$D,$A$4,'ON Data'!$E:$E,8),SUMIFS('ON Data'!W:W,'ON Data'!$E:$E,8))</f>
        <v>0</v>
      </c>
      <c r="S17" s="224">
        <f xml:space="preserve">
IF($A$4&lt;=12,SUMIFS('ON Data'!X:X,'ON Data'!$D:$D,$A$4,'ON Data'!$E:$E,8),SUMIFS('ON Data'!X:X,'ON Data'!$E:$E,8))</f>
        <v>0</v>
      </c>
      <c r="T17" s="224">
        <f xml:space="preserve">
IF($A$4&lt;=12,SUMIFS('ON Data'!Y:Y,'ON Data'!$D:$D,$A$4,'ON Data'!$E:$E,8),SUMIFS('ON Data'!Y:Y,'ON Data'!$E:$E,8))</f>
        <v>0</v>
      </c>
      <c r="U17" s="224">
        <f xml:space="preserve">
IF($A$4&lt;=12,SUMIFS('ON Data'!Z:Z,'ON Data'!$D:$D,$A$4,'ON Data'!$E:$E,8),SUMIFS('ON Data'!Z:Z,'ON Data'!$E:$E,8))</f>
        <v>0</v>
      </c>
      <c r="V17" s="224">
        <f xml:space="preserve">
IF($A$4&lt;=12,SUMIFS('ON Data'!AA:AA,'ON Data'!$D:$D,$A$4,'ON Data'!$E:$E,8),SUMIFS('ON Data'!AA:AA,'ON Data'!$E:$E,8))</f>
        <v>0</v>
      </c>
      <c r="W17" s="224">
        <f xml:space="preserve">
IF($A$4&lt;=12,SUMIFS('ON Data'!AB:AB,'ON Data'!$D:$D,$A$4,'ON Data'!$E:$E,8),SUMIFS('ON Data'!AB:AB,'ON Data'!$E:$E,8))</f>
        <v>0</v>
      </c>
      <c r="X17" s="224">
        <f xml:space="preserve">
IF($A$4&lt;=12,SUMIFS('ON Data'!AC:AC,'ON Data'!$D:$D,$A$4,'ON Data'!$E:$E,8),SUMIFS('ON Data'!AC:AC,'ON Data'!$E:$E,8))</f>
        <v>0</v>
      </c>
      <c r="Y17" s="224">
        <f xml:space="preserve">
IF($A$4&lt;=12,SUMIFS('ON Data'!AD:AD,'ON Data'!$D:$D,$A$4,'ON Data'!$E:$E,8),SUMIFS('ON Data'!AD:AD,'ON Data'!$E:$E,8))</f>
        <v>0</v>
      </c>
      <c r="Z17" s="224">
        <f xml:space="preserve">
IF($A$4&lt;=12,SUMIFS('ON Data'!AE:AE,'ON Data'!$D:$D,$A$4,'ON Data'!$E:$E,8),SUMIFS('ON Data'!AE:AE,'ON Data'!$E:$E,8))</f>
        <v>0</v>
      </c>
      <c r="AA17" s="224">
        <f xml:space="preserve">
IF($A$4&lt;=12,SUMIFS('ON Data'!AF:AF,'ON Data'!$D:$D,$A$4,'ON Data'!$E:$E,8),SUMIFS('ON Data'!AF:AF,'ON Data'!$E:$E,8))</f>
        <v>0</v>
      </c>
      <c r="AB17" s="224">
        <f xml:space="preserve">
IF($A$4&lt;=12,SUMIFS('ON Data'!AG:AG,'ON Data'!$D:$D,$A$4,'ON Data'!$E:$E,8),SUMIFS('ON Data'!AG:AG,'ON Data'!$E:$E,8))</f>
        <v>0</v>
      </c>
      <c r="AC17" s="224">
        <f xml:space="preserve">
IF($A$4&lt;=12,SUMIFS('ON Data'!AH:AH,'ON Data'!$D:$D,$A$4,'ON Data'!$E:$E,8),SUMIFS('ON Data'!AH:AH,'ON Data'!$E:$E,8))</f>
        <v>0</v>
      </c>
      <c r="AD17" s="224">
        <f xml:space="preserve">
IF($A$4&lt;=12,SUMIFS('ON Data'!AI:AI,'ON Data'!$D:$D,$A$4,'ON Data'!$E:$E,8),SUMIFS('ON Data'!AI:AI,'ON Data'!$E:$E,8))</f>
        <v>0</v>
      </c>
      <c r="AE17" s="224">
        <f xml:space="preserve">
IF($A$4&lt;=12,SUMIFS('ON Data'!AJ:AJ,'ON Data'!$D:$D,$A$4,'ON Data'!$E:$E,8),SUMIFS('ON Data'!AJ:AJ,'ON Data'!$E:$E,8))</f>
        <v>0</v>
      </c>
      <c r="AF17" s="224">
        <f xml:space="preserve">
IF($A$4&lt;=12,SUMIFS('ON Data'!AK:AK,'ON Data'!$D:$D,$A$4,'ON Data'!$E:$E,8),SUMIFS('ON Data'!AK:AK,'ON Data'!$E:$E,8))</f>
        <v>0</v>
      </c>
      <c r="AG17" s="377">
        <f xml:space="preserve">
IF($A$4&lt;=12,SUMIFS('ON Data'!AM:AM,'ON Data'!$D:$D,$A$4,'ON Data'!$E:$E,8),SUMIFS('ON Data'!AM:AM,'ON Data'!$E:$E,8))</f>
        <v>0</v>
      </c>
      <c r="AH17" s="387"/>
    </row>
    <row r="18" spans="1:34" x14ac:dyDescent="0.3">
      <c r="A18" s="207" t="s">
        <v>149</v>
      </c>
      <c r="B18" s="222">
        <f xml:space="preserve">
B19-B16-B17</f>
        <v>10000</v>
      </c>
      <c r="C18" s="223">
        <f t="shared" ref="C18" si="0" xml:space="preserve">
C19-C16-C17</f>
        <v>0</v>
      </c>
      <c r="D18" s="224">
        <f t="shared" ref="D18:AG18" si="1" xml:space="preserve">
D19-D16-D17</f>
        <v>0</v>
      </c>
      <c r="E18" s="224">
        <f t="shared" si="1"/>
        <v>0</v>
      </c>
      <c r="F18" s="224">
        <f t="shared" si="1"/>
        <v>0</v>
      </c>
      <c r="G18" s="224">
        <f t="shared" si="1"/>
        <v>0</v>
      </c>
      <c r="H18" s="224">
        <f t="shared" si="1"/>
        <v>0</v>
      </c>
      <c r="I18" s="224">
        <f t="shared" si="1"/>
        <v>0</v>
      </c>
      <c r="J18" s="224">
        <f t="shared" si="1"/>
        <v>0</v>
      </c>
      <c r="K18" s="224">
        <f t="shared" si="1"/>
        <v>0</v>
      </c>
      <c r="L18" s="224">
        <f t="shared" si="1"/>
        <v>0</v>
      </c>
      <c r="M18" s="224">
        <f t="shared" si="1"/>
        <v>0</v>
      </c>
      <c r="N18" s="224">
        <f t="shared" si="1"/>
        <v>0</v>
      </c>
      <c r="O18" s="224">
        <f t="shared" si="1"/>
        <v>0</v>
      </c>
      <c r="P18" s="224">
        <f t="shared" si="1"/>
        <v>0</v>
      </c>
      <c r="Q18" s="224">
        <f t="shared" si="1"/>
        <v>10000</v>
      </c>
      <c r="R18" s="224">
        <f t="shared" si="1"/>
        <v>0</v>
      </c>
      <c r="S18" s="224">
        <f t="shared" si="1"/>
        <v>0</v>
      </c>
      <c r="T18" s="224">
        <f t="shared" si="1"/>
        <v>0</v>
      </c>
      <c r="U18" s="224">
        <f t="shared" si="1"/>
        <v>0</v>
      </c>
      <c r="V18" s="224">
        <f t="shared" si="1"/>
        <v>0</v>
      </c>
      <c r="W18" s="224">
        <f t="shared" si="1"/>
        <v>0</v>
      </c>
      <c r="X18" s="224">
        <f t="shared" si="1"/>
        <v>0</v>
      </c>
      <c r="Y18" s="224">
        <f t="shared" si="1"/>
        <v>0</v>
      </c>
      <c r="Z18" s="224">
        <f t="shared" si="1"/>
        <v>0</v>
      </c>
      <c r="AA18" s="224">
        <f t="shared" si="1"/>
        <v>0</v>
      </c>
      <c r="AB18" s="224">
        <f t="shared" si="1"/>
        <v>0</v>
      </c>
      <c r="AC18" s="224">
        <f t="shared" si="1"/>
        <v>0</v>
      </c>
      <c r="AD18" s="224">
        <f t="shared" si="1"/>
        <v>0</v>
      </c>
      <c r="AE18" s="224">
        <f t="shared" si="1"/>
        <v>0</v>
      </c>
      <c r="AF18" s="224">
        <f t="shared" si="1"/>
        <v>0</v>
      </c>
      <c r="AG18" s="377">
        <f t="shared" si="1"/>
        <v>0</v>
      </c>
      <c r="AH18" s="387"/>
    </row>
    <row r="19" spans="1:34" ht="15" thickBot="1" x14ac:dyDescent="0.35">
      <c r="A19" s="208" t="s">
        <v>150</v>
      </c>
      <c r="B19" s="231">
        <f xml:space="preserve">
IF($A$4&lt;=12,SUMIFS('ON Data'!F:F,'ON Data'!$D:$D,$A$4,'ON Data'!$E:$E,9),SUMIFS('ON Data'!F:F,'ON Data'!$E:$E,9))</f>
        <v>10000</v>
      </c>
      <c r="C19" s="232">
        <f xml:space="preserve">
IF($A$4&lt;=12,SUMIFS('ON Data'!G:G,'ON Data'!$D:$D,$A$4,'ON Data'!$E:$E,9),SUMIFS('ON Data'!G:G,'ON Data'!$E:$E,9))</f>
        <v>0</v>
      </c>
      <c r="D19" s="233">
        <f xml:space="preserve">
IF($A$4&lt;=12,SUMIFS('ON Data'!H:H,'ON Data'!$D:$D,$A$4,'ON Data'!$E:$E,9),SUMIFS('ON Data'!H:H,'ON Data'!$E:$E,9))</f>
        <v>0</v>
      </c>
      <c r="E19" s="233">
        <f xml:space="preserve">
IF($A$4&lt;=12,SUMIFS('ON Data'!I:I,'ON Data'!$D:$D,$A$4,'ON Data'!$E:$E,9),SUMIFS('ON Data'!I:I,'ON Data'!$E:$E,9))</f>
        <v>0</v>
      </c>
      <c r="F19" s="233">
        <f xml:space="preserve">
IF($A$4&lt;=12,SUMIFS('ON Data'!K:K,'ON Data'!$D:$D,$A$4,'ON Data'!$E:$E,9),SUMIFS('ON Data'!K:K,'ON Data'!$E:$E,9))</f>
        <v>0</v>
      </c>
      <c r="G19" s="233">
        <f xml:space="preserve">
IF($A$4&lt;=12,SUMIFS('ON Data'!L:L,'ON Data'!$D:$D,$A$4,'ON Data'!$E:$E,9),SUMIFS('ON Data'!L:L,'ON Data'!$E:$E,9))</f>
        <v>0</v>
      </c>
      <c r="H19" s="233">
        <f xml:space="preserve">
IF($A$4&lt;=12,SUMIFS('ON Data'!M:M,'ON Data'!$D:$D,$A$4,'ON Data'!$E:$E,9),SUMIFS('ON Data'!M:M,'ON Data'!$E:$E,9))</f>
        <v>0</v>
      </c>
      <c r="I19" s="233">
        <f xml:space="preserve">
IF($A$4&lt;=12,SUMIFS('ON Data'!N:N,'ON Data'!$D:$D,$A$4,'ON Data'!$E:$E,9),SUMIFS('ON Data'!N:N,'ON Data'!$E:$E,9))</f>
        <v>0</v>
      </c>
      <c r="J19" s="233">
        <f xml:space="preserve">
IF($A$4&lt;=12,SUMIFS('ON Data'!O:O,'ON Data'!$D:$D,$A$4,'ON Data'!$E:$E,9),SUMIFS('ON Data'!O:O,'ON Data'!$E:$E,9))</f>
        <v>0</v>
      </c>
      <c r="K19" s="233">
        <f xml:space="preserve">
IF($A$4&lt;=12,SUMIFS('ON Data'!P:P,'ON Data'!$D:$D,$A$4,'ON Data'!$E:$E,9),SUMIFS('ON Data'!P:P,'ON Data'!$E:$E,9))</f>
        <v>0</v>
      </c>
      <c r="L19" s="233">
        <f xml:space="preserve">
IF($A$4&lt;=12,SUMIFS('ON Data'!Q:Q,'ON Data'!$D:$D,$A$4,'ON Data'!$E:$E,9),SUMIFS('ON Data'!Q:Q,'ON Data'!$E:$E,9))</f>
        <v>0</v>
      </c>
      <c r="M19" s="233">
        <f xml:space="preserve">
IF($A$4&lt;=12,SUMIFS('ON Data'!R:R,'ON Data'!$D:$D,$A$4,'ON Data'!$E:$E,9),SUMIFS('ON Data'!R:R,'ON Data'!$E:$E,9))</f>
        <v>0</v>
      </c>
      <c r="N19" s="233">
        <f xml:space="preserve">
IF($A$4&lt;=12,SUMIFS('ON Data'!S:S,'ON Data'!$D:$D,$A$4,'ON Data'!$E:$E,9),SUMIFS('ON Data'!S:S,'ON Data'!$E:$E,9))</f>
        <v>0</v>
      </c>
      <c r="O19" s="233">
        <f xml:space="preserve">
IF($A$4&lt;=12,SUMIFS('ON Data'!T:T,'ON Data'!$D:$D,$A$4,'ON Data'!$E:$E,9),SUMIFS('ON Data'!T:T,'ON Data'!$E:$E,9))</f>
        <v>0</v>
      </c>
      <c r="P19" s="233">
        <f xml:space="preserve">
IF($A$4&lt;=12,SUMIFS('ON Data'!U:U,'ON Data'!$D:$D,$A$4,'ON Data'!$E:$E,9),SUMIFS('ON Data'!U:U,'ON Data'!$E:$E,9))</f>
        <v>0</v>
      </c>
      <c r="Q19" s="233">
        <f xml:space="preserve">
IF($A$4&lt;=12,SUMIFS('ON Data'!V:V,'ON Data'!$D:$D,$A$4,'ON Data'!$E:$E,9),SUMIFS('ON Data'!V:V,'ON Data'!$E:$E,9))</f>
        <v>10000</v>
      </c>
      <c r="R19" s="233">
        <f xml:space="preserve">
IF($A$4&lt;=12,SUMIFS('ON Data'!W:W,'ON Data'!$D:$D,$A$4,'ON Data'!$E:$E,9),SUMIFS('ON Data'!W:W,'ON Data'!$E:$E,9))</f>
        <v>0</v>
      </c>
      <c r="S19" s="233">
        <f xml:space="preserve">
IF($A$4&lt;=12,SUMIFS('ON Data'!X:X,'ON Data'!$D:$D,$A$4,'ON Data'!$E:$E,9),SUMIFS('ON Data'!X:X,'ON Data'!$E:$E,9))</f>
        <v>0</v>
      </c>
      <c r="T19" s="233">
        <f xml:space="preserve">
IF($A$4&lt;=12,SUMIFS('ON Data'!Y:Y,'ON Data'!$D:$D,$A$4,'ON Data'!$E:$E,9),SUMIFS('ON Data'!Y:Y,'ON Data'!$E:$E,9))</f>
        <v>0</v>
      </c>
      <c r="U19" s="233">
        <f xml:space="preserve">
IF($A$4&lt;=12,SUMIFS('ON Data'!Z:Z,'ON Data'!$D:$D,$A$4,'ON Data'!$E:$E,9),SUMIFS('ON Data'!Z:Z,'ON Data'!$E:$E,9))</f>
        <v>0</v>
      </c>
      <c r="V19" s="233">
        <f xml:space="preserve">
IF($A$4&lt;=12,SUMIFS('ON Data'!AA:AA,'ON Data'!$D:$D,$A$4,'ON Data'!$E:$E,9),SUMIFS('ON Data'!AA:AA,'ON Data'!$E:$E,9))</f>
        <v>0</v>
      </c>
      <c r="W19" s="233">
        <f xml:space="preserve">
IF($A$4&lt;=12,SUMIFS('ON Data'!AB:AB,'ON Data'!$D:$D,$A$4,'ON Data'!$E:$E,9),SUMIFS('ON Data'!AB:AB,'ON Data'!$E:$E,9))</f>
        <v>0</v>
      </c>
      <c r="X19" s="233">
        <f xml:space="preserve">
IF($A$4&lt;=12,SUMIFS('ON Data'!AC:AC,'ON Data'!$D:$D,$A$4,'ON Data'!$E:$E,9),SUMIFS('ON Data'!AC:AC,'ON Data'!$E:$E,9))</f>
        <v>0</v>
      </c>
      <c r="Y19" s="233">
        <f xml:space="preserve">
IF($A$4&lt;=12,SUMIFS('ON Data'!AD:AD,'ON Data'!$D:$D,$A$4,'ON Data'!$E:$E,9),SUMIFS('ON Data'!AD:AD,'ON Data'!$E:$E,9))</f>
        <v>0</v>
      </c>
      <c r="Z19" s="233">
        <f xml:space="preserve">
IF($A$4&lt;=12,SUMIFS('ON Data'!AE:AE,'ON Data'!$D:$D,$A$4,'ON Data'!$E:$E,9),SUMIFS('ON Data'!AE:AE,'ON Data'!$E:$E,9))</f>
        <v>0</v>
      </c>
      <c r="AA19" s="233">
        <f xml:space="preserve">
IF($A$4&lt;=12,SUMIFS('ON Data'!AF:AF,'ON Data'!$D:$D,$A$4,'ON Data'!$E:$E,9),SUMIFS('ON Data'!AF:AF,'ON Data'!$E:$E,9))</f>
        <v>0</v>
      </c>
      <c r="AB19" s="233">
        <f xml:space="preserve">
IF($A$4&lt;=12,SUMIFS('ON Data'!AG:AG,'ON Data'!$D:$D,$A$4,'ON Data'!$E:$E,9),SUMIFS('ON Data'!AG:AG,'ON Data'!$E:$E,9))</f>
        <v>0</v>
      </c>
      <c r="AC19" s="233">
        <f xml:space="preserve">
IF($A$4&lt;=12,SUMIFS('ON Data'!AH:AH,'ON Data'!$D:$D,$A$4,'ON Data'!$E:$E,9),SUMIFS('ON Data'!AH:AH,'ON Data'!$E:$E,9))</f>
        <v>0</v>
      </c>
      <c r="AD19" s="233">
        <f xml:space="preserve">
IF($A$4&lt;=12,SUMIFS('ON Data'!AI:AI,'ON Data'!$D:$D,$A$4,'ON Data'!$E:$E,9),SUMIFS('ON Data'!AI:AI,'ON Data'!$E:$E,9))</f>
        <v>0</v>
      </c>
      <c r="AE19" s="233">
        <f xml:space="preserve">
IF($A$4&lt;=12,SUMIFS('ON Data'!AJ:AJ,'ON Data'!$D:$D,$A$4,'ON Data'!$E:$E,9),SUMIFS('ON Data'!AJ:AJ,'ON Data'!$E:$E,9))</f>
        <v>0</v>
      </c>
      <c r="AF19" s="233">
        <f xml:space="preserve">
IF($A$4&lt;=12,SUMIFS('ON Data'!AK:AK,'ON Data'!$D:$D,$A$4,'ON Data'!$E:$E,9),SUMIFS('ON Data'!AK:AK,'ON Data'!$E:$E,9))</f>
        <v>0</v>
      </c>
      <c r="AG19" s="380">
        <f xml:space="preserve">
IF($A$4&lt;=12,SUMIFS('ON Data'!AM:AM,'ON Data'!$D:$D,$A$4,'ON Data'!$E:$E,9),SUMIFS('ON Data'!AM:AM,'ON Data'!$E:$E,9))</f>
        <v>0</v>
      </c>
      <c r="AH19" s="387"/>
    </row>
    <row r="20" spans="1:34" ht="15" collapsed="1" thickBot="1" x14ac:dyDescent="0.35">
      <c r="A20" s="209" t="s">
        <v>50</v>
      </c>
      <c r="B20" s="234">
        <f xml:space="preserve">
IF($A$4&lt;=12,SUMIFS('ON Data'!F:F,'ON Data'!$D:$D,$A$4,'ON Data'!$E:$E,6),SUMIFS('ON Data'!F:F,'ON Data'!$E:$E,6))</f>
        <v>842506</v>
      </c>
      <c r="C20" s="235">
        <f xml:space="preserve">
IF($A$4&lt;=12,SUMIFS('ON Data'!G:G,'ON Data'!$D:$D,$A$4,'ON Data'!$E:$E,6),SUMIFS('ON Data'!G:G,'ON Data'!$E:$E,6))</f>
        <v>0</v>
      </c>
      <c r="D20" s="236">
        <f xml:space="preserve">
IF($A$4&lt;=12,SUMIFS('ON Data'!H:H,'ON Data'!$D:$D,$A$4,'ON Data'!$E:$E,6),SUMIFS('ON Data'!H:H,'ON Data'!$E:$E,6))</f>
        <v>0</v>
      </c>
      <c r="E20" s="236">
        <f xml:space="preserve">
IF($A$4&lt;=12,SUMIFS('ON Data'!I:I,'ON Data'!$D:$D,$A$4,'ON Data'!$E:$E,6),SUMIFS('ON Data'!I:I,'ON Data'!$E:$E,6))</f>
        <v>0</v>
      </c>
      <c r="F20" s="236">
        <f xml:space="preserve">
IF($A$4&lt;=12,SUMIFS('ON Data'!K:K,'ON Data'!$D:$D,$A$4,'ON Data'!$E:$E,6),SUMIFS('ON Data'!K:K,'ON Data'!$E:$E,6))</f>
        <v>0</v>
      </c>
      <c r="G20" s="236">
        <f xml:space="preserve">
IF($A$4&lt;=12,SUMIFS('ON Data'!L:L,'ON Data'!$D:$D,$A$4,'ON Data'!$E:$E,6),SUMIFS('ON Data'!L:L,'ON Data'!$E:$E,6))</f>
        <v>0</v>
      </c>
      <c r="H20" s="236">
        <f xml:space="preserve">
IF($A$4&lt;=12,SUMIFS('ON Data'!M:M,'ON Data'!$D:$D,$A$4,'ON Data'!$E:$E,6),SUMIFS('ON Data'!M:M,'ON Data'!$E:$E,6))</f>
        <v>0</v>
      </c>
      <c r="I20" s="236">
        <f xml:space="preserve">
IF($A$4&lt;=12,SUMIFS('ON Data'!N:N,'ON Data'!$D:$D,$A$4,'ON Data'!$E:$E,6),SUMIFS('ON Data'!N:N,'ON Data'!$E:$E,6))</f>
        <v>0</v>
      </c>
      <c r="J20" s="236">
        <f xml:space="preserve">
IF($A$4&lt;=12,SUMIFS('ON Data'!O:O,'ON Data'!$D:$D,$A$4,'ON Data'!$E:$E,6),SUMIFS('ON Data'!O:O,'ON Data'!$E:$E,6))</f>
        <v>0</v>
      </c>
      <c r="K20" s="236">
        <f xml:space="preserve">
IF($A$4&lt;=12,SUMIFS('ON Data'!P:P,'ON Data'!$D:$D,$A$4,'ON Data'!$E:$E,6),SUMIFS('ON Data'!P:P,'ON Data'!$E:$E,6))</f>
        <v>0</v>
      </c>
      <c r="L20" s="236">
        <f xml:space="preserve">
IF($A$4&lt;=12,SUMIFS('ON Data'!Q:Q,'ON Data'!$D:$D,$A$4,'ON Data'!$E:$E,6),SUMIFS('ON Data'!Q:Q,'ON Data'!$E:$E,6))</f>
        <v>0</v>
      </c>
      <c r="M20" s="236">
        <f xml:space="preserve">
IF($A$4&lt;=12,SUMIFS('ON Data'!R:R,'ON Data'!$D:$D,$A$4,'ON Data'!$E:$E,6),SUMIFS('ON Data'!R:R,'ON Data'!$E:$E,6))</f>
        <v>0</v>
      </c>
      <c r="N20" s="236">
        <f xml:space="preserve">
IF($A$4&lt;=12,SUMIFS('ON Data'!S:S,'ON Data'!$D:$D,$A$4,'ON Data'!$E:$E,6),SUMIFS('ON Data'!S:S,'ON Data'!$E:$E,6))</f>
        <v>0</v>
      </c>
      <c r="O20" s="236">
        <f xml:space="preserve">
IF($A$4&lt;=12,SUMIFS('ON Data'!T:T,'ON Data'!$D:$D,$A$4,'ON Data'!$E:$E,6),SUMIFS('ON Data'!T:T,'ON Data'!$E:$E,6))</f>
        <v>0</v>
      </c>
      <c r="P20" s="236">
        <f xml:space="preserve">
IF($A$4&lt;=12,SUMIFS('ON Data'!U:U,'ON Data'!$D:$D,$A$4,'ON Data'!$E:$E,6),SUMIFS('ON Data'!U:U,'ON Data'!$E:$E,6))</f>
        <v>0</v>
      </c>
      <c r="Q20" s="236">
        <f xml:space="preserve">
IF($A$4&lt;=12,SUMIFS('ON Data'!V:V,'ON Data'!$D:$D,$A$4,'ON Data'!$E:$E,6),SUMIFS('ON Data'!V:V,'ON Data'!$E:$E,6))</f>
        <v>611573</v>
      </c>
      <c r="R20" s="236">
        <f xml:space="preserve">
IF($A$4&lt;=12,SUMIFS('ON Data'!W:W,'ON Data'!$D:$D,$A$4,'ON Data'!$E:$E,6),SUMIFS('ON Data'!W:W,'ON Data'!$E:$E,6))</f>
        <v>0</v>
      </c>
      <c r="S20" s="236">
        <f xml:space="preserve">
IF($A$4&lt;=12,SUMIFS('ON Data'!X:X,'ON Data'!$D:$D,$A$4,'ON Data'!$E:$E,6),SUMIFS('ON Data'!X:X,'ON Data'!$E:$E,6))</f>
        <v>0</v>
      </c>
      <c r="T20" s="236">
        <f xml:space="preserve">
IF($A$4&lt;=12,SUMIFS('ON Data'!Y:Y,'ON Data'!$D:$D,$A$4,'ON Data'!$E:$E,6),SUMIFS('ON Data'!Y:Y,'ON Data'!$E:$E,6))</f>
        <v>0</v>
      </c>
      <c r="U20" s="236">
        <f xml:space="preserve">
IF($A$4&lt;=12,SUMIFS('ON Data'!Z:Z,'ON Data'!$D:$D,$A$4,'ON Data'!$E:$E,6),SUMIFS('ON Data'!Z:Z,'ON Data'!$E:$E,6))</f>
        <v>0</v>
      </c>
      <c r="V20" s="236">
        <f xml:space="preserve">
IF($A$4&lt;=12,SUMIFS('ON Data'!AA:AA,'ON Data'!$D:$D,$A$4,'ON Data'!$E:$E,6),SUMIFS('ON Data'!AA:AA,'ON Data'!$E:$E,6))</f>
        <v>0</v>
      </c>
      <c r="W20" s="236">
        <f xml:space="preserve">
IF($A$4&lt;=12,SUMIFS('ON Data'!AB:AB,'ON Data'!$D:$D,$A$4,'ON Data'!$E:$E,6),SUMIFS('ON Data'!AB:AB,'ON Data'!$E:$E,6))</f>
        <v>0</v>
      </c>
      <c r="X20" s="236">
        <f xml:space="preserve">
IF($A$4&lt;=12,SUMIFS('ON Data'!AC:AC,'ON Data'!$D:$D,$A$4,'ON Data'!$E:$E,6),SUMIFS('ON Data'!AC:AC,'ON Data'!$E:$E,6))</f>
        <v>0</v>
      </c>
      <c r="Y20" s="236">
        <f xml:space="preserve">
IF($A$4&lt;=12,SUMIFS('ON Data'!AD:AD,'ON Data'!$D:$D,$A$4,'ON Data'!$E:$E,6),SUMIFS('ON Data'!AD:AD,'ON Data'!$E:$E,6))</f>
        <v>0</v>
      </c>
      <c r="Z20" s="236">
        <f xml:space="preserve">
IF($A$4&lt;=12,SUMIFS('ON Data'!AE:AE,'ON Data'!$D:$D,$A$4,'ON Data'!$E:$E,6),SUMIFS('ON Data'!AE:AE,'ON Data'!$E:$E,6))</f>
        <v>0</v>
      </c>
      <c r="AA20" s="236">
        <f xml:space="preserve">
IF($A$4&lt;=12,SUMIFS('ON Data'!AF:AF,'ON Data'!$D:$D,$A$4,'ON Data'!$E:$E,6),SUMIFS('ON Data'!AF:AF,'ON Data'!$E:$E,6))</f>
        <v>0</v>
      </c>
      <c r="AB20" s="236">
        <f xml:space="preserve">
IF($A$4&lt;=12,SUMIFS('ON Data'!AG:AG,'ON Data'!$D:$D,$A$4,'ON Data'!$E:$E,6),SUMIFS('ON Data'!AG:AG,'ON Data'!$E:$E,6))</f>
        <v>0</v>
      </c>
      <c r="AC20" s="236">
        <f xml:space="preserve">
IF($A$4&lt;=12,SUMIFS('ON Data'!AH:AH,'ON Data'!$D:$D,$A$4,'ON Data'!$E:$E,6),SUMIFS('ON Data'!AH:AH,'ON Data'!$E:$E,6))</f>
        <v>0</v>
      </c>
      <c r="AD20" s="236">
        <f xml:space="preserve">
IF($A$4&lt;=12,SUMIFS('ON Data'!AI:AI,'ON Data'!$D:$D,$A$4,'ON Data'!$E:$E,6),SUMIFS('ON Data'!AI:AI,'ON Data'!$E:$E,6))</f>
        <v>193054</v>
      </c>
      <c r="AE20" s="236">
        <f xml:space="preserve">
IF($A$4&lt;=12,SUMIFS('ON Data'!AJ:AJ,'ON Data'!$D:$D,$A$4,'ON Data'!$E:$E,6),SUMIFS('ON Data'!AJ:AJ,'ON Data'!$E:$E,6))</f>
        <v>0</v>
      </c>
      <c r="AF20" s="236">
        <f xml:space="preserve">
IF($A$4&lt;=12,SUMIFS('ON Data'!AK:AK,'ON Data'!$D:$D,$A$4,'ON Data'!$E:$E,6),SUMIFS('ON Data'!AK:AK,'ON Data'!$E:$E,6))</f>
        <v>0</v>
      </c>
      <c r="AG20" s="381">
        <f xml:space="preserve">
IF($A$4&lt;=12,SUMIFS('ON Data'!AM:AM,'ON Data'!$D:$D,$A$4,'ON Data'!$E:$E,6),SUMIFS('ON Data'!AM:AM,'ON Data'!$E:$E,6))</f>
        <v>37879</v>
      </c>
      <c r="AH20" s="387"/>
    </row>
    <row r="21" spans="1:34" ht="15" hidden="1" outlineLevel="1" thickBot="1" x14ac:dyDescent="0.35">
      <c r="A21" s="202" t="s">
        <v>85</v>
      </c>
      <c r="B21" s="222">
        <f xml:space="preserve">
IF($A$4&lt;=12,SUMIFS('ON Data'!F:F,'ON Data'!$D:$D,$A$4,'ON Data'!$E:$E,12),SUMIFS('ON Data'!F:F,'ON Data'!$E:$E,12))</f>
        <v>0</v>
      </c>
      <c r="C21" s="223">
        <f xml:space="preserve">
IF($A$4&lt;=12,SUMIFS('ON Data'!G:G,'ON Data'!$D:$D,$A$4,'ON Data'!$E:$E,12),SUMIFS('ON Data'!G:G,'ON Data'!$E:$E,12))</f>
        <v>0</v>
      </c>
      <c r="D21" s="224">
        <f xml:space="preserve">
IF($A$4&lt;=12,SUMIFS('ON Data'!H:H,'ON Data'!$D:$D,$A$4,'ON Data'!$E:$E,12),SUMIFS('ON Data'!H:H,'ON Data'!$E:$E,12))</f>
        <v>0</v>
      </c>
      <c r="E21" s="224">
        <f xml:space="preserve">
IF($A$4&lt;=12,SUMIFS('ON Data'!I:I,'ON Data'!$D:$D,$A$4,'ON Data'!$E:$E,12),SUMIFS('ON Data'!I:I,'ON Data'!$E:$E,12))</f>
        <v>0</v>
      </c>
      <c r="F21" s="224">
        <f xml:space="preserve">
IF($A$4&lt;=12,SUMIFS('ON Data'!K:K,'ON Data'!$D:$D,$A$4,'ON Data'!$E:$E,12),SUMIFS('ON Data'!K:K,'ON Data'!$E:$E,12))</f>
        <v>0</v>
      </c>
      <c r="G21" s="224">
        <f xml:space="preserve">
IF($A$4&lt;=12,SUMIFS('ON Data'!L:L,'ON Data'!$D:$D,$A$4,'ON Data'!$E:$E,12),SUMIFS('ON Data'!L:L,'ON Data'!$E:$E,12))</f>
        <v>0</v>
      </c>
      <c r="H21" s="224">
        <f xml:space="preserve">
IF($A$4&lt;=12,SUMIFS('ON Data'!M:M,'ON Data'!$D:$D,$A$4,'ON Data'!$E:$E,12),SUMIFS('ON Data'!M:M,'ON Data'!$E:$E,12))</f>
        <v>0</v>
      </c>
      <c r="I21" s="224">
        <f xml:space="preserve">
IF($A$4&lt;=12,SUMIFS('ON Data'!N:N,'ON Data'!$D:$D,$A$4,'ON Data'!$E:$E,12),SUMIFS('ON Data'!N:N,'ON Data'!$E:$E,12))</f>
        <v>0</v>
      </c>
      <c r="J21" s="224">
        <f xml:space="preserve">
IF($A$4&lt;=12,SUMIFS('ON Data'!O:O,'ON Data'!$D:$D,$A$4,'ON Data'!$E:$E,12),SUMIFS('ON Data'!O:O,'ON Data'!$E:$E,12))</f>
        <v>0</v>
      </c>
      <c r="K21" s="224">
        <f xml:space="preserve">
IF($A$4&lt;=12,SUMIFS('ON Data'!P:P,'ON Data'!$D:$D,$A$4,'ON Data'!$E:$E,12),SUMIFS('ON Data'!P:P,'ON Data'!$E:$E,12))</f>
        <v>0</v>
      </c>
      <c r="L21" s="224">
        <f xml:space="preserve">
IF($A$4&lt;=12,SUMIFS('ON Data'!Q:Q,'ON Data'!$D:$D,$A$4,'ON Data'!$E:$E,12),SUMIFS('ON Data'!Q:Q,'ON Data'!$E:$E,12))</f>
        <v>0</v>
      </c>
      <c r="M21" s="224">
        <f xml:space="preserve">
IF($A$4&lt;=12,SUMIFS('ON Data'!R:R,'ON Data'!$D:$D,$A$4,'ON Data'!$E:$E,12),SUMIFS('ON Data'!R:R,'ON Data'!$E:$E,12))</f>
        <v>0</v>
      </c>
      <c r="N21" s="224">
        <f xml:space="preserve">
IF($A$4&lt;=12,SUMIFS('ON Data'!S:S,'ON Data'!$D:$D,$A$4,'ON Data'!$E:$E,12),SUMIFS('ON Data'!S:S,'ON Data'!$E:$E,12))</f>
        <v>0</v>
      </c>
      <c r="O21" s="224">
        <f xml:space="preserve">
IF($A$4&lt;=12,SUMIFS('ON Data'!T:T,'ON Data'!$D:$D,$A$4,'ON Data'!$E:$E,12),SUMIFS('ON Data'!T:T,'ON Data'!$E:$E,12))</f>
        <v>0</v>
      </c>
      <c r="P21" s="224">
        <f xml:space="preserve">
IF($A$4&lt;=12,SUMIFS('ON Data'!U:U,'ON Data'!$D:$D,$A$4,'ON Data'!$E:$E,12),SUMIFS('ON Data'!U:U,'ON Data'!$E:$E,12))</f>
        <v>0</v>
      </c>
      <c r="Q21" s="224">
        <f xml:space="preserve">
IF($A$4&lt;=12,SUMIFS('ON Data'!V:V,'ON Data'!$D:$D,$A$4,'ON Data'!$E:$E,12),SUMIFS('ON Data'!V:V,'ON Data'!$E:$E,12))</f>
        <v>0</v>
      </c>
      <c r="R21" s="224">
        <f xml:space="preserve">
IF($A$4&lt;=12,SUMIFS('ON Data'!W:W,'ON Data'!$D:$D,$A$4,'ON Data'!$E:$E,12),SUMIFS('ON Data'!W:W,'ON Data'!$E:$E,12))</f>
        <v>0</v>
      </c>
      <c r="S21" s="224">
        <f xml:space="preserve">
IF($A$4&lt;=12,SUMIFS('ON Data'!X:X,'ON Data'!$D:$D,$A$4,'ON Data'!$E:$E,12),SUMIFS('ON Data'!X:X,'ON Data'!$E:$E,12))</f>
        <v>0</v>
      </c>
      <c r="T21" s="224">
        <f xml:space="preserve">
IF($A$4&lt;=12,SUMIFS('ON Data'!Y:Y,'ON Data'!$D:$D,$A$4,'ON Data'!$E:$E,12),SUMIFS('ON Data'!Y:Y,'ON Data'!$E:$E,12))</f>
        <v>0</v>
      </c>
      <c r="U21" s="224">
        <f xml:space="preserve">
IF($A$4&lt;=12,SUMIFS('ON Data'!Z:Z,'ON Data'!$D:$D,$A$4,'ON Data'!$E:$E,12),SUMIFS('ON Data'!Z:Z,'ON Data'!$E:$E,12))</f>
        <v>0</v>
      </c>
      <c r="V21" s="224">
        <f xml:space="preserve">
IF($A$4&lt;=12,SUMIFS('ON Data'!AA:AA,'ON Data'!$D:$D,$A$4,'ON Data'!$E:$E,12),SUMIFS('ON Data'!AA:AA,'ON Data'!$E:$E,12))</f>
        <v>0</v>
      </c>
      <c r="W21" s="224">
        <f xml:space="preserve">
IF($A$4&lt;=12,SUMIFS('ON Data'!AB:AB,'ON Data'!$D:$D,$A$4,'ON Data'!$E:$E,12),SUMIFS('ON Data'!AB:AB,'ON Data'!$E:$E,12))</f>
        <v>0</v>
      </c>
      <c r="X21" s="224">
        <f xml:space="preserve">
IF($A$4&lt;=12,SUMIFS('ON Data'!AC:AC,'ON Data'!$D:$D,$A$4,'ON Data'!$E:$E,12),SUMIFS('ON Data'!AC:AC,'ON Data'!$E:$E,12))</f>
        <v>0</v>
      </c>
      <c r="Y21" s="224">
        <f xml:space="preserve">
IF($A$4&lt;=12,SUMIFS('ON Data'!AD:AD,'ON Data'!$D:$D,$A$4,'ON Data'!$E:$E,12),SUMIFS('ON Data'!AD:AD,'ON Data'!$E:$E,12))</f>
        <v>0</v>
      </c>
      <c r="Z21" s="224">
        <f xml:space="preserve">
IF($A$4&lt;=12,SUMIFS('ON Data'!AE:AE,'ON Data'!$D:$D,$A$4,'ON Data'!$E:$E,12),SUMIFS('ON Data'!AE:AE,'ON Data'!$E:$E,12))</f>
        <v>0</v>
      </c>
      <c r="AA21" s="224">
        <f xml:space="preserve">
IF($A$4&lt;=12,SUMIFS('ON Data'!AF:AF,'ON Data'!$D:$D,$A$4,'ON Data'!$E:$E,12),SUMIFS('ON Data'!AF:AF,'ON Data'!$E:$E,12))</f>
        <v>0</v>
      </c>
      <c r="AB21" s="224">
        <f xml:space="preserve">
IF($A$4&lt;=12,SUMIFS('ON Data'!AG:AG,'ON Data'!$D:$D,$A$4,'ON Data'!$E:$E,12),SUMIFS('ON Data'!AG:AG,'ON Data'!$E:$E,12))</f>
        <v>0</v>
      </c>
      <c r="AC21" s="224">
        <f xml:space="preserve">
IF($A$4&lt;=12,SUMIFS('ON Data'!AH:AH,'ON Data'!$D:$D,$A$4,'ON Data'!$E:$E,12),SUMIFS('ON Data'!AH:AH,'ON Data'!$E:$E,12))</f>
        <v>0</v>
      </c>
      <c r="AD21" s="224">
        <f xml:space="preserve">
IF($A$4&lt;=12,SUMIFS('ON Data'!AI:AI,'ON Data'!$D:$D,$A$4,'ON Data'!$E:$E,12),SUMIFS('ON Data'!AI:AI,'ON Data'!$E:$E,12))</f>
        <v>0</v>
      </c>
      <c r="AE21" s="224">
        <f xml:space="preserve">
IF($A$4&lt;=12,SUMIFS('ON Data'!AJ:AJ,'ON Data'!$D:$D,$A$4,'ON Data'!$E:$E,12),SUMIFS('ON Data'!AJ:AJ,'ON Data'!$E:$E,12))</f>
        <v>0</v>
      </c>
      <c r="AF21" s="224">
        <f xml:space="preserve">
IF($A$4&lt;=12,SUMIFS('ON Data'!AK:AK,'ON Data'!$D:$D,$A$4,'ON Data'!$E:$E,12),SUMIFS('ON Data'!AK:AK,'ON Data'!$E:$E,12))</f>
        <v>0</v>
      </c>
      <c r="AG21" s="377">
        <f xml:space="preserve">
IF($A$4&lt;=12,SUMIFS('ON Data'!AM:AM,'ON Data'!$D:$D,$A$4,'ON Data'!$E:$E,12),SUMIFS('ON Data'!AM:AM,'ON Data'!$E:$E,12))</f>
        <v>0</v>
      </c>
      <c r="AH21" s="387"/>
    </row>
    <row r="22" spans="1:34" ht="15" hidden="1" outlineLevel="1" thickBot="1" x14ac:dyDescent="0.35">
      <c r="A22" s="202" t="s">
        <v>52</v>
      </c>
      <c r="B22" s="267" t="str">
        <f xml:space="preserve">
IF(OR(B21="",B21=0),"",B20/B21)</f>
        <v/>
      </c>
      <c r="C22" s="268" t="str">
        <f t="shared" ref="C22:AG22" si="2" xml:space="preserve">
IF(OR(C21="",C21=0),"",C20/C21)</f>
        <v/>
      </c>
      <c r="D22" s="269" t="str">
        <f t="shared" si="2"/>
        <v/>
      </c>
      <c r="E22" s="269" t="str">
        <f t="shared" si="2"/>
        <v/>
      </c>
      <c r="F22" s="269" t="str">
        <f t="shared" si="2"/>
        <v/>
      </c>
      <c r="G22" s="269" t="str">
        <f t="shared" si="2"/>
        <v/>
      </c>
      <c r="H22" s="269" t="str">
        <f t="shared" si="2"/>
        <v/>
      </c>
      <c r="I22" s="269" t="str">
        <f t="shared" si="2"/>
        <v/>
      </c>
      <c r="J22" s="269" t="str">
        <f t="shared" si="2"/>
        <v/>
      </c>
      <c r="K22" s="269" t="str">
        <f t="shared" si="2"/>
        <v/>
      </c>
      <c r="L22" s="269" t="str">
        <f t="shared" si="2"/>
        <v/>
      </c>
      <c r="M22" s="269" t="str">
        <f t="shared" si="2"/>
        <v/>
      </c>
      <c r="N22" s="269" t="str">
        <f t="shared" si="2"/>
        <v/>
      </c>
      <c r="O22" s="269" t="str">
        <f t="shared" si="2"/>
        <v/>
      </c>
      <c r="P22" s="269" t="str">
        <f t="shared" si="2"/>
        <v/>
      </c>
      <c r="Q22" s="269" t="str">
        <f t="shared" si="2"/>
        <v/>
      </c>
      <c r="R22" s="269" t="str">
        <f t="shared" si="2"/>
        <v/>
      </c>
      <c r="S22" s="269" t="str">
        <f t="shared" si="2"/>
        <v/>
      </c>
      <c r="T22" s="269" t="str">
        <f t="shared" si="2"/>
        <v/>
      </c>
      <c r="U22" s="269" t="str">
        <f t="shared" si="2"/>
        <v/>
      </c>
      <c r="V22" s="269" t="str">
        <f t="shared" si="2"/>
        <v/>
      </c>
      <c r="W22" s="269" t="str">
        <f t="shared" si="2"/>
        <v/>
      </c>
      <c r="X22" s="269" t="str">
        <f t="shared" si="2"/>
        <v/>
      </c>
      <c r="Y22" s="269" t="str">
        <f t="shared" si="2"/>
        <v/>
      </c>
      <c r="Z22" s="269" t="str">
        <f t="shared" si="2"/>
        <v/>
      </c>
      <c r="AA22" s="269" t="str">
        <f t="shared" si="2"/>
        <v/>
      </c>
      <c r="AB22" s="269" t="str">
        <f t="shared" si="2"/>
        <v/>
      </c>
      <c r="AC22" s="269" t="str">
        <f t="shared" si="2"/>
        <v/>
      </c>
      <c r="AD22" s="269" t="str">
        <f t="shared" si="2"/>
        <v/>
      </c>
      <c r="AE22" s="269" t="str">
        <f t="shared" si="2"/>
        <v/>
      </c>
      <c r="AF22" s="269" t="str">
        <f t="shared" si="2"/>
        <v/>
      </c>
      <c r="AG22" s="382" t="str">
        <f t="shared" si="2"/>
        <v/>
      </c>
      <c r="AH22" s="387"/>
    </row>
    <row r="23" spans="1:34" ht="15" hidden="1" outlineLevel="1" thickBot="1" x14ac:dyDescent="0.35">
      <c r="A23" s="210" t="s">
        <v>45</v>
      </c>
      <c r="B23" s="225">
        <f xml:space="preserve">
IF(B21="","",B20-B21)</f>
        <v>842506</v>
      </c>
      <c r="C23" s="226">
        <f t="shared" ref="C23:AG23" si="3" xml:space="preserve">
IF(C21="","",C20-C21)</f>
        <v>0</v>
      </c>
      <c r="D23" s="227">
        <f t="shared" si="3"/>
        <v>0</v>
      </c>
      <c r="E23" s="227">
        <f t="shared" si="3"/>
        <v>0</v>
      </c>
      <c r="F23" s="227">
        <f t="shared" si="3"/>
        <v>0</v>
      </c>
      <c r="G23" s="227">
        <f t="shared" si="3"/>
        <v>0</v>
      </c>
      <c r="H23" s="227">
        <f t="shared" si="3"/>
        <v>0</v>
      </c>
      <c r="I23" s="227">
        <f t="shared" si="3"/>
        <v>0</v>
      </c>
      <c r="J23" s="227">
        <f t="shared" si="3"/>
        <v>0</v>
      </c>
      <c r="K23" s="227">
        <f t="shared" si="3"/>
        <v>0</v>
      </c>
      <c r="L23" s="227">
        <f t="shared" si="3"/>
        <v>0</v>
      </c>
      <c r="M23" s="227">
        <f t="shared" si="3"/>
        <v>0</v>
      </c>
      <c r="N23" s="227">
        <f t="shared" si="3"/>
        <v>0</v>
      </c>
      <c r="O23" s="227">
        <f t="shared" si="3"/>
        <v>0</v>
      </c>
      <c r="P23" s="227">
        <f t="shared" si="3"/>
        <v>0</v>
      </c>
      <c r="Q23" s="227">
        <f t="shared" si="3"/>
        <v>611573</v>
      </c>
      <c r="R23" s="227">
        <f t="shared" si="3"/>
        <v>0</v>
      </c>
      <c r="S23" s="227">
        <f t="shared" si="3"/>
        <v>0</v>
      </c>
      <c r="T23" s="227">
        <f t="shared" si="3"/>
        <v>0</v>
      </c>
      <c r="U23" s="227">
        <f t="shared" si="3"/>
        <v>0</v>
      </c>
      <c r="V23" s="227">
        <f t="shared" si="3"/>
        <v>0</v>
      </c>
      <c r="W23" s="227">
        <f t="shared" si="3"/>
        <v>0</v>
      </c>
      <c r="X23" s="227">
        <f t="shared" si="3"/>
        <v>0</v>
      </c>
      <c r="Y23" s="227">
        <f t="shared" si="3"/>
        <v>0</v>
      </c>
      <c r="Z23" s="227">
        <f t="shared" si="3"/>
        <v>0</v>
      </c>
      <c r="AA23" s="227">
        <f t="shared" si="3"/>
        <v>0</v>
      </c>
      <c r="AB23" s="227">
        <f t="shared" si="3"/>
        <v>0</v>
      </c>
      <c r="AC23" s="227">
        <f t="shared" si="3"/>
        <v>0</v>
      </c>
      <c r="AD23" s="227">
        <f t="shared" si="3"/>
        <v>193054</v>
      </c>
      <c r="AE23" s="227">
        <f t="shared" si="3"/>
        <v>0</v>
      </c>
      <c r="AF23" s="227">
        <f t="shared" si="3"/>
        <v>0</v>
      </c>
      <c r="AG23" s="378">
        <f t="shared" si="3"/>
        <v>37879</v>
      </c>
      <c r="AH23" s="387"/>
    </row>
    <row r="24" spans="1:34" x14ac:dyDescent="0.3">
      <c r="A24" s="204" t="s">
        <v>151</v>
      </c>
      <c r="B24" s="251" t="s">
        <v>3</v>
      </c>
      <c r="C24" s="388" t="s">
        <v>162</v>
      </c>
      <c r="D24" s="362"/>
      <c r="E24" s="363"/>
      <c r="F24" s="363" t="s">
        <v>163</v>
      </c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83" t="s">
        <v>164</v>
      </c>
      <c r="AH24" s="387"/>
    </row>
    <row r="25" spans="1:34" x14ac:dyDescent="0.3">
      <c r="A25" s="205" t="s">
        <v>50</v>
      </c>
      <c r="B25" s="222">
        <f xml:space="preserve">
SUM(C25:AG25)</f>
        <v>5500</v>
      </c>
      <c r="C25" s="389">
        <f xml:space="preserve">
IF($A$4&lt;=12,SUMIFS('ON Data'!H:H,'ON Data'!$D:$D,$A$4,'ON Data'!$E:$E,10),SUMIFS('ON Data'!H:H,'ON Data'!$E:$E,10))</f>
        <v>0</v>
      </c>
      <c r="D25" s="364"/>
      <c r="E25" s="365"/>
      <c r="F25" s="365">
        <f xml:space="preserve">
IF($A$4&lt;=12,SUMIFS('ON Data'!K:K,'ON Data'!$D:$D,$A$4,'ON Data'!$E:$E,10),SUMIFS('ON Data'!K:K,'ON Data'!$E:$E,10))</f>
        <v>5500</v>
      </c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5"/>
      <c r="AG25" s="384">
        <f xml:space="preserve">
IF($A$4&lt;=12,SUMIFS('ON Data'!AM:AM,'ON Data'!$D:$D,$A$4,'ON Data'!$E:$E,10),SUMIFS('ON Data'!AM:AM,'ON Data'!$E:$E,10))</f>
        <v>0</v>
      </c>
      <c r="AH25" s="387"/>
    </row>
    <row r="26" spans="1:34" x14ac:dyDescent="0.3">
      <c r="A26" s="211" t="s">
        <v>161</v>
      </c>
      <c r="B26" s="231">
        <f xml:space="preserve">
SUM(C26:AG26)</f>
        <v>2333.3333333333335</v>
      </c>
      <c r="C26" s="389">
        <f xml:space="preserve">
IF($A$4&lt;=12,SUMIFS('ON Data'!H:H,'ON Data'!$D:$D,$A$4,'ON Data'!$E:$E,11),SUMIFS('ON Data'!H:H,'ON Data'!$E:$E,11))</f>
        <v>0</v>
      </c>
      <c r="D26" s="364"/>
      <c r="E26" s="365"/>
      <c r="F26" s="366">
        <f xml:space="preserve">
IF($A$4&lt;=12,SUMIFS('ON Data'!K:K,'ON Data'!$D:$D,$A$4,'ON Data'!$E:$E,11),SUMIFS('ON Data'!K:K,'ON Data'!$E:$E,11))</f>
        <v>2333.3333333333335</v>
      </c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84">
        <f xml:space="preserve">
IF($A$4&lt;=12,SUMIFS('ON Data'!AM:AM,'ON Data'!$D:$D,$A$4,'ON Data'!$E:$E,11),SUMIFS('ON Data'!AM:AM,'ON Data'!$E:$E,11))</f>
        <v>0</v>
      </c>
      <c r="AH26" s="387"/>
    </row>
    <row r="27" spans="1:34" x14ac:dyDescent="0.3">
      <c r="A27" s="211" t="s">
        <v>52</v>
      </c>
      <c r="B27" s="252">
        <f xml:space="preserve">
IF(B26=0,0,B25/B26)</f>
        <v>2.3571428571428572</v>
      </c>
      <c r="C27" s="390">
        <f xml:space="preserve">
IF(C26=0,0,C25/C26)</f>
        <v>0</v>
      </c>
      <c r="D27" s="367"/>
      <c r="E27" s="368"/>
      <c r="F27" s="368">
        <f xml:space="preserve">
IF(F26=0,0,F25/F26)</f>
        <v>2.3571428571428572</v>
      </c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/>
      <c r="AA27" s="368"/>
      <c r="AB27" s="368"/>
      <c r="AC27" s="368"/>
      <c r="AD27" s="368"/>
      <c r="AE27" s="368"/>
      <c r="AF27" s="368"/>
      <c r="AG27" s="385">
        <f xml:space="preserve">
IF(AG26=0,0,AG25/AG26)</f>
        <v>0</v>
      </c>
      <c r="AH27" s="387"/>
    </row>
    <row r="28" spans="1:34" ht="15" thickBot="1" x14ac:dyDescent="0.35">
      <c r="A28" s="211" t="s">
        <v>160</v>
      </c>
      <c r="B28" s="231">
        <f xml:space="preserve">
SUM(C28:AG28)</f>
        <v>-3166.6666666666665</v>
      </c>
      <c r="C28" s="391">
        <f xml:space="preserve">
C26-C25</f>
        <v>0</v>
      </c>
      <c r="D28" s="369"/>
      <c r="E28" s="370"/>
      <c r="F28" s="370">
        <f xml:space="preserve">
F26-F25</f>
        <v>-3166.6666666666665</v>
      </c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370"/>
      <c r="AC28" s="370"/>
      <c r="AD28" s="370"/>
      <c r="AE28" s="370"/>
      <c r="AF28" s="370"/>
      <c r="AG28" s="386">
        <f xml:space="preserve">
AG26-AG25</f>
        <v>0</v>
      </c>
      <c r="AH28" s="387"/>
    </row>
    <row r="29" spans="1:34" x14ac:dyDescent="0.3">
      <c r="A29" s="212"/>
      <c r="B29" s="212"/>
      <c r="C29" s="213"/>
      <c r="D29" s="212"/>
      <c r="E29" s="212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2"/>
      <c r="AF29" s="212"/>
      <c r="AG29" s="212"/>
    </row>
    <row r="30" spans="1:34" x14ac:dyDescent="0.3">
      <c r="A30" s="85" t="s">
        <v>116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20"/>
    </row>
    <row r="31" spans="1:34" x14ac:dyDescent="0.3">
      <c r="A31" s="86" t="s">
        <v>158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20"/>
    </row>
    <row r="32" spans="1:34" ht="14.4" customHeight="1" x14ac:dyDescent="0.3">
      <c r="A32" s="248" t="s">
        <v>155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</row>
    <row r="33" spans="1:1" x14ac:dyDescent="0.3">
      <c r="A33" s="250" t="s">
        <v>165</v>
      </c>
    </row>
    <row r="34" spans="1:1" x14ac:dyDescent="0.3">
      <c r="A34" s="250" t="s">
        <v>166</v>
      </c>
    </row>
    <row r="35" spans="1:1" x14ac:dyDescent="0.3">
      <c r="A35" s="250" t="s">
        <v>167</v>
      </c>
    </row>
    <row r="36" spans="1:1" x14ac:dyDescent="0.3">
      <c r="A36" s="250" t="s">
        <v>168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2015-03-21T00:22:30Z</dcterms:modified>
</cp:coreProperties>
</file>