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Osobní náklady" sheetId="419" r:id="rId9"/>
    <sheet name="ON Data" sheetId="418" state="hidden" r:id="rId10"/>
    <sheet name="ZV Vykáz.-A" sheetId="344" r:id="rId11"/>
    <sheet name="ZV Vykáz.-A Lékaři" sheetId="429" r:id="rId12"/>
    <sheet name="ZV Vykáz.-A Detail" sheetId="345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12" hidden="1">'ZV Vykáz.-A Detail'!$A$5:$P$5</definedName>
    <definedName name="_xlnm._FilterDatabase" localSheetId="11" hidden="1">'ZV Vykáz.-A Lékaři'!$A$4:$A$5</definedName>
    <definedName name="_xlnm._FilterDatabase" localSheetId="1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U23" i="419"/>
  <c r="M23" i="419"/>
  <c r="J23" i="419"/>
  <c r="R23" i="419"/>
  <c r="Z23" i="419"/>
  <c r="AD23" i="419"/>
  <c r="AC23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N23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17" i="383"/>
  <c r="G3" i="429"/>
  <c r="F3" i="429"/>
  <c r="E3" i="429"/>
  <c r="D3" i="429"/>
  <c r="C3" i="429"/>
  <c r="B3" i="429"/>
  <c r="AH26" i="419" l="1"/>
  <c r="AH25" i="419"/>
  <c r="C11" i="340" l="1"/>
  <c r="A12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Z6" i="419"/>
  <c r="N6" i="419"/>
  <c r="AF6" i="419"/>
  <c r="AB6" i="419"/>
  <c r="X6" i="419"/>
  <c r="T6" i="419"/>
  <c r="P6" i="419"/>
  <c r="L6" i="419"/>
  <c r="H6" i="419"/>
  <c r="AD6" i="419"/>
  <c r="R6" i="419"/>
  <c r="AH6" i="419"/>
  <c r="AE6" i="419"/>
  <c r="AA6" i="419"/>
  <c r="W6" i="419"/>
  <c r="S6" i="419"/>
  <c r="O6" i="419"/>
  <c r="K6" i="419"/>
  <c r="V6" i="419"/>
  <c r="J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C12" i="414"/>
  <c r="D4" i="414"/>
  <c r="C15" i="414"/>
  <c r="D15" i="414"/>
  <c r="D12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D18" i="414"/>
  <c r="C18" i="414"/>
  <c r="F13" i="339" l="1"/>
  <c r="E13" i="339"/>
  <c r="E15" i="339" s="1"/>
  <c r="H12" i="339"/>
  <c r="G12" i="339"/>
  <c r="A4" i="383"/>
  <c r="A20" i="383"/>
  <c r="A19" i="383"/>
  <c r="A18" i="383"/>
  <c r="A16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<sst xmlns="http://schemas.openxmlformats.org/spreadsheetml/2006/main" count="1058" uniqueCount="450">
  <si>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</si>
  <si>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</si>
  <si>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</si>
  <si>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</si>
  <si>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</si>
  <si>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</si>
  <si>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</si>
  <si>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</si>
  <si>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</si>
  <si>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</si>
  <si>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</si>
  <si>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</si>
  <si>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</si>
  <si>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</si>
  <si>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</si>
  <si>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</si>
  <si>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</si>
  <si>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</si>
  <si>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</si>
  <si>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</si>
  <si>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</si>
  <si>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</si>
  <si>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</si>
  <si>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</si>
  <si>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</si>
  <si>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</si>
  <si>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</si>
  <si>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</si>
  <si>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</si>
  <si>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</si>
  <si>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</si>
  <si>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</si>
  <si>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</si>
  <si>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</si>
  <si>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</si>
  <si>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</si>
  <si>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</si>
  <si>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</si>
  <si>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</si>
  <si>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</si>
  <si>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</si>
  <si>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</si>
  <si>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</si>
  <si>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</si>
  <si>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</si>
  <si>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</si>
  <si>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</si>
  <si>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</si>
  <si>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</si>
  <si>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</si>
  <si>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</si>
  <si>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</si>
  <si>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</si>
  <si>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</si>
  <si>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</si>
  <si>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</si>
  <si>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</si>
  <si>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</si>
  <si>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</si>
  <si>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</si>
  <si>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</si>
  <si>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</si>
  <si>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</si>
  <si>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</si>
  <si>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</si>
  <si>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</si>
  <si>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</si>
  <si>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</si>
  <si>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</si>
  <si>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</si>
  <si>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</si>
  <si>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</si>
  <si>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</si>
  <si>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</si>
  <si>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</si>
  <si>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</si>
  <si>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</si>
  <si>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</si>
  <si>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</si>
  <si>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</si>
  <si>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</si>
  <si>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</si>
  <si>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</si>
  <si>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</si>
  <si>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</si>
  <si>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</si>
  <si>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</si>
  <si>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</si>
  <si>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</si>
  <si>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</si>
  <si>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</si>
  <si>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</si>
  <si>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</si>
  <si>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</si>
  <si>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</si>
  <si>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</si>
  <si>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</si>
  <si>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</si>
  <si>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</si>
  <si>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</si>
  <si>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</si>
  <si>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</si>
  <si>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</si>
  <si>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</si>
  <si>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</si>
  <si>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</si>
  <si>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</si>
  <si>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</si>
  <si>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</si>
  <si>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</si>
  <si>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</si>
  <si>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</si>
  <si>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</si>
  <si>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</si>
  <si>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</si>
  <si>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</si>
  <si>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</si>
  <si>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</si>
  <si>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</si>
  <si>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</si>
  <si>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</si>
  <si>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</si>
  <si>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</si>
  <si>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</si>
  <si>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</si>
  <si>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</si>
  <si>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</si>
  <si>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</si>
  <si>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</si>
  <si>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</si>
  <si>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</si>
  <si>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</si>
  <si>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</si>
  <si>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</si>
  <si>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</si>
  <si>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</si>
  <si>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</si>
  <si>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</si>
  <si>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</si>
  <si>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</si>
  <si>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</si>
  <si>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</si>
  <si>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</si>
  <si>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</si>
  <si>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</si>
  <si>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</si>
  <si>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</si>
  <si>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</si>
  <si>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</si>
  <si>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</si>
  <si>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</si>
  <si>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</si>
  <si>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</si>
  <si>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</si>
  <si>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</si>
  <si>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</si>
  <si>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</si>
  <si>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</si>
  <si>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</si>
  <si>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</si>
  <si>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</si>
  <si>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</si>
  <si>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</si>
  <si>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</si>
  <si>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</si>
  <si>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</si>
  <si>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</si>
  <si>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</si>
  <si>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</si>
  <si>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</si>
  <si>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</si>
  <si>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</si>
  <si>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</si>
  <si>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</si>
  <si>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</si>
  <si>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</si>
  <si>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</si>
  <si>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</si>
  <si>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</si>
  <si>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</si>
  <si>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</si>
  <si>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</si>
  <si>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</si>
  <si>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</si>
  <si>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</si>
  <si>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</si>
  <si>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</si>
  <si>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</si>
  <si>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</si>
  <si>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</si>
  <si>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</si>
  <si>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</si>
  <si>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</si>
  <si>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</si>
  <si>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</si>
  <si>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</si>
  <si>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</si>
  <si>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</si>
  <si>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</si>
  <si>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</si>
  <si>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</si>
  <si>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</si>
  <si>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</si>
  <si>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</si>
  <si>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</si>
  <si>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</si>
  <si>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</si>
  <si>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</si>
  <si>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</si>
  <si>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</si>
  <si>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</si>
  <si>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</si>
  <si>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</si>
  <si>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</si>
  <si>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</si>
  <si>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</si>
  <si>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</si>
  <si>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</si>
  <si>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</si>
  <si>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</si>
  <si>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</si>
  <si>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</si>
  <si>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</si>
  <si>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</si>
  <si>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</si>
  <si>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</si>
  <si>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</si>
  <si>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</si>
  <si>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</si>
  <si>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</si>
  <si>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</si>
  <si>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</si>
  <si>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</si>
  <si>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</si>
  <si>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</si>
  <si>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</si>
  <si>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</si>
  <si>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</si>
  <si>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</si>
  <si>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</si>
  <si>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</si>
  <si>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</si>
  <si>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</si>
  <si>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</si>
  <si>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</si>
  <si>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</si>
  <si>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</si>
  <si>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</si>
  <si>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</si>
  <si>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</si>
  <si>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</si>
  <si>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</si>
  <si>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</si>
  <si>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</si>
  <si>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</si>
  <si>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</si>
  <si>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</si>
  <si>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</si>
  <si>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</si>
  <si>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</si>
  <si>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</si>
  <si>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</si>
  <si>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</si>
  <si>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</si>
  <si>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</si>
  <si>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</si>
  <si>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</si>
  <si>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</si>
  <si>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</si>
  <si>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</si>
  <si>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</si>
  <si>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</si>
  <si>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</si>
  <si>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</si>
  <si>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</si>
  <si>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</si>
  <si>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</si>
  <si>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</si>
  <si>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</si>
  <si>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</si>
  <si>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</si>
  <si>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</si>
  <si>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</si>
  <si>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</si>
  <si>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</si>
  <si>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</si>
  <si>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</si>
  <si>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</si>
  <si>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</si>
  <si>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</si>
  <si>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</si>
  <si>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</si>
  <si>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</si>
  <si>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</si>
  <si>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</si>
  <si>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</si>
  <si>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</si>
  <si>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</si>
  <si>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</si>
  <si>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</si>
  <si>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</si>
  <si>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</si>
  <si>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</si>
  <si>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</si>
  <si>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</si>
  <si>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</si>
  <si>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</si>
  <si>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</si>
  <si>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</si>
  <si>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</si>
  <si>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</si>
  <si>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</si>
  <si>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</si>
  <si>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</si>
  <si>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</si>
  <si>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</si>
  <si>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</si>
  <si>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</si>
  <si>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</si>
  <si>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</si>
  <si>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64924446     Teoretické ústavy - poplatky za vjezd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</si>
  <si>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</si>
  <si>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</si>
  <si>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</si>
  <si>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</si>
  <si>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</si>
  <si>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</si>
  <si>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</si>
  <si>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</si>
  <si>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</si>
  <si>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</si>
  <si>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</si>
  <si>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</si>
  <si>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</si>
  <si>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</si>
  <si>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</si>
  <si>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</si>
  <si>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</si>
  <si>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</si>
  <si>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</si>
  <si>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</si>
  <si>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</si>
  <si>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</si>
  <si>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</si>
  <si>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</si>
  <si>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</si>
  <si>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</si>
  <si>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</si>
  <si>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</si>
  <si>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</si>
  <si>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</si>
  <si>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</si>
  <si>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Dařílková Naděžda</t>
  </si>
  <si>
    <t>Dlabačová Marie</t>
  </si>
  <si>
    <t>Halířová Monika</t>
  </si>
  <si>
    <t>Hradilová Michaela</t>
  </si>
  <si>
    <t>Hubáčková Lia</t>
  </si>
  <si>
    <t>Kolářová Jana</t>
  </si>
  <si>
    <t>Kreiselová Silvie</t>
  </si>
  <si>
    <t>Kubíček Zdenek</t>
  </si>
  <si>
    <t>Machová Karolína</t>
  </si>
  <si>
    <t>Škrobánková Alexandra</t>
  </si>
  <si>
    <t>Šmídová Magdaléna</t>
  </si>
  <si>
    <t>Štecková Tereza</t>
  </si>
  <si>
    <t>Tenglerová Petra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</si>
  <si>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</si>
  <si>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</si>
  <si>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</si>
  <si>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</si>
  <si>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</si>
  <si>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</si>
  <si>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</si>
  <si>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</si>
  <si>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</si>
  <si>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</si>
  <si>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</si>
  <si>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</si>
  <si>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</si>
  <si>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</si>
  <si>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</si>
  <si>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</si>
  <si>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SIGNÁLNÍ VÝKON KLINICKÉHO VYŠETŘENÍ / DO 31.12.201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</si>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</sst>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3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3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0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91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3" xfId="0" applyNumberFormat="1" applyFont="1" applyFill="1" applyBorder="1" applyAlignment="1">
      <alignment horizontal="right" vertical="top"/>
    </xf>
    <xf numFmtId="3" fontId="33" fillId="9" borderId="94" xfId="0" applyNumberFormat="1" applyFont="1" applyFill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3" fillId="0" borderId="93" xfId="0" applyNumberFormat="1" applyFont="1" applyBorder="1" applyAlignment="1">
      <alignment horizontal="right" vertical="top"/>
    </xf>
    <xf numFmtId="176" fontId="33" fillId="9" borderId="96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176" fontId="35" fillId="9" borderId="101" xfId="0" applyNumberFormat="1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7" fillId="10" borderId="92" xfId="0" applyFont="1" applyFill="1" applyBorder="1" applyAlignment="1">
      <alignment vertical="top"/>
    </xf>
    <xf numFmtId="0" fontId="37" fillId="10" borderId="92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 indent="6"/>
    </xf>
    <xf numFmtId="0" fontId="37" fillId="10" borderId="92" xfId="0" applyFont="1" applyFill="1" applyBorder="1" applyAlignment="1">
      <alignment vertical="top" indent="8"/>
    </xf>
    <xf numFmtId="0" fontId="38" fillId="10" borderId="97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6"/>
    </xf>
    <xf numFmtId="0" fontId="38" fillId="10" borderId="97" xfId="0" applyFont="1" applyFill="1" applyBorder="1" applyAlignment="1">
      <alignment vertical="top" indent="4"/>
    </xf>
    <xf numFmtId="0" fontId="32" fillId="10" borderId="9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3" fontId="39" fillId="4" borderId="106" xfId="0" applyNumberFormat="1" applyFont="1" applyFill="1" applyBorder="1" applyAlignment="1">
      <alignment horizontal="center"/>
    </xf>
    <xf numFmtId="173" fontId="39" fillId="4" borderId="107" xfId="0" applyNumberFormat="1" applyFont="1" applyFill="1" applyBorder="1" applyAlignment="1">
      <alignment horizontal="center"/>
    </xf>
    <xf numFmtId="173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 wrapText="1"/>
    </xf>
    <xf numFmtId="175" fontId="32" fillId="0" borderId="108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12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12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3" xfId="0" applyNumberFormat="1" applyFont="1" applyFill="1" applyBorder="1" applyAlignment="1">
      <alignment horizontal="center"/>
    </xf>
    <xf numFmtId="173" fontId="32" fillId="0" borderId="114" xfId="0" applyNumberFormat="1" applyFont="1" applyBorder="1" applyAlignment="1">
      <alignment horizontal="right"/>
    </xf>
    <xf numFmtId="175" fontId="32" fillId="0" borderId="114" xfId="0" applyNumberFormat="1" applyFont="1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5" xfId="26" applyNumberFormat="1" applyFont="1" applyFill="1" applyBorder="1"/>
    <xf numFmtId="0" fontId="32" fillId="0" borderId="23" xfId="0" applyFont="1" applyFill="1" applyBorder="1"/>
    <xf numFmtId="3" fontId="32" fillId="0" borderId="62" xfId="0" applyNumberFormat="1" applyFont="1" applyFill="1" applyBorder="1"/>
    <xf numFmtId="169" fontId="32" fillId="0" borderId="62" xfId="0" applyNumberFormat="1" applyFont="1" applyFill="1" applyBorder="1"/>
    <xf numFmtId="169" fontId="32" fillId="0" borderId="63" xfId="0" applyNumberFormat="1" applyFont="1" applyFill="1" applyBorder="1"/>
    <xf numFmtId="0" fontId="32" fillId="0" borderId="71" xfId="0" applyFont="1" applyFill="1" applyBorder="1"/>
    <xf numFmtId="3" fontId="32" fillId="0" borderId="72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2" xfId="0" applyFont="1" applyFill="1" applyBorder="1"/>
    <xf numFmtId="9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9" fontId="32" fillId="0" borderId="63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0.57985904587994663</c:v>
                </c:pt>
                <c:pt idx="1">
                  <c:v>0.57214951536233816</c:v>
                </c:pt>
                <c:pt idx="2">
                  <c:v>0.59428601471063558</c:v>
                </c:pt>
                <c:pt idx="3">
                  <c:v>0.58301470751476503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7880"/>
        <c:axId val="9983855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0.54415478750314805</c:v>
                </c:pt>
                <c:pt idx="1">
                  <c:v>0.54415478750314805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385984"/>
        <c:axId val="998384416"/>
      </c:scatterChart>
      <c:catAx>
        <c:axId val="126287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8385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385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6287880"/>
        <c:crosses val="autoZero"/>
        <c:crossBetween val="between"/>
      </c:valAx>
      <c:valAx>
        <c:axId val="9983859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8384416"/>
        <c:crosses val="max"/>
        <c:crossBetween val="midCat"/>
      </c:valAx>
      <c:valAx>
        <c:axId val="998384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83859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74" t="s">
        <v>85</v>
      </c>
      <c r="B1" s="274"/>
    </row>
    <row r="2" spans="1:3" ht="14.4" customHeight="1" thickBot="1" x14ac:dyDescent="0.35">
      <c r="A2" s="195" t="s">
        <v>222</v>
      </c>
      <c r="B2" s="41"/>
    </row>
    <row r="3" spans="1:3" ht="14.4" customHeight="1" thickBot="1" x14ac:dyDescent="0.35">
      <c r="A3" s="270" t="s">
        <v>106</v>
      </c>
      <c r="B3" s="271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5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6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6" t="str">
        <f t="shared" si="0"/>
        <v>Man Tab</v>
      </c>
      <c r="B7" s="65" t="s">
        <v>224</v>
      </c>
      <c r="C7" s="42" t="s">
        <v>90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72" t="s">
        <v>86</v>
      </c>
      <c r="B10" s="271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8" t="str">
        <f t="shared" ref="A12" si="2">HYPERLINK("#'"&amp;C12&amp;"'!A1",C12)</f>
        <v>Materiál Žádanky</v>
      </c>
      <c r="B12" s="65" t="s">
        <v>105</v>
      </c>
      <c r="C12" s="42" t="s">
        <v>92</v>
      </c>
    </row>
    <row r="13" spans="1:3" ht="14.4" customHeight="1" thickBot="1" x14ac:dyDescent="0.35">
      <c r="A13" s="118" t="str">
        <f t="shared" ref="A13" si="3">HYPERLINK("#'"&amp;C13&amp;"'!A1",C13)</f>
        <v>Osobní náklady</v>
      </c>
      <c r="B13" s="65" t="s">
        <v>83</v>
      </c>
      <c r="C13" s="42" t="s">
        <v>93</v>
      </c>
    </row>
    <row r="14" spans="1:3" ht="14.4" customHeight="1" thickBot="1" x14ac:dyDescent="0.35">
      <c r="A14" s="68"/>
      <c r="B14" s="68"/>
    </row>
    <row r="15" spans="1:3" ht="14.4" customHeight="1" thickBot="1" x14ac:dyDescent="0.35">
      <c r="A15" s="273" t="s">
        <v>87</v>
      </c>
      <c r="B15" s="271"/>
    </row>
    <row r="16" spans="1:3" ht="14.4" customHeight="1" x14ac:dyDescent="0.3">
      <c r="A16" s="119" t="str">
        <f t="shared" ref="A16:A20" si="4">HYPERLINK("#'"&amp;C16&amp;"'!A1",C16)</f>
        <v>ZV Vykáz.-A</v>
      </c>
      <c r="B16" s="64" t="s">
        <v>347</v>
      </c>
      <c r="C16" s="42" t="s">
        <v>96</v>
      </c>
    </row>
    <row r="17" spans="1:3" ht="14.4" customHeight="1" x14ac:dyDescent="0.3">
      <c r="A17" s="116" t="str">
        <f t="shared" ref="A17" si="5">HYPERLINK("#'"&amp;C17&amp;"'!A1",C17)</f>
        <v>ZV Vykáz.-A Lékaři</v>
      </c>
      <c r="B17" s="65" t="s">
        <v>365</v>
      </c>
      <c r="C17" s="42" t="s">
        <v>198</v>
      </c>
    </row>
    <row r="18" spans="1:3" ht="14.4" customHeight="1" x14ac:dyDescent="0.3">
      <c r="A18" s="116" t="str">
        <f t="shared" si="4"/>
        <v>ZV Vykáz.-A Detail</v>
      </c>
      <c r="B18" s="65" t="s">
        <v>394</v>
      </c>
      <c r="C18" s="42" t="s">
        <v>97</v>
      </c>
    </row>
    <row r="19" spans="1:3" ht="14.4" customHeight="1" x14ac:dyDescent="0.3">
      <c r="A19" s="116" t="str">
        <f t="shared" si="4"/>
        <v>ZV Vykáz.-H</v>
      </c>
      <c r="B19" s="65" t="s">
        <v>100</v>
      </c>
      <c r="C19" s="42" t="s">
        <v>98</v>
      </c>
    </row>
    <row r="20" spans="1:3" ht="14.4" customHeight="1" x14ac:dyDescent="0.3">
      <c r="A20" s="116" t="str">
        <f t="shared" si="4"/>
        <v>ZV Vykáz.-H Detail</v>
      </c>
      <c r="B20" s="65" t="s">
        <v>449</v>
      </c>
      <c r="C20" s="42" t="s">
        <v>99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2"/>
  <sheetViews>
    <sheetView showGridLines="0" showRowColHeaders="0" workbookViewId="0"/>
  </sheetViews>
  <sheetFormatPr defaultRowHeight="14.4" x14ac:dyDescent="0.3"/>
  <cols>
    <col min="1" max="16384" width="8.88671875" style="191"/>
  </cols>
  <sheetData>
    <row r="1" spans="1:41" x14ac:dyDescent="0.3">
      <c r="A1" s="191" t="s">
        <v>345</v>
      </c>
    </row>
    <row r="2" spans="1:41" x14ac:dyDescent="0.3">
      <c r="A2" s="195" t="s">
        <v>222</v>
      </c>
    </row>
    <row r="3" spans="1:41" x14ac:dyDescent="0.3">
      <c r="A3" s="191" t="s">
        <v>124</v>
      </c>
      <c r="B3" s="216">
        <v>2015</v>
      </c>
      <c r="D3" s="192">
        <f>MAX(D5:D1048576)</f>
        <v>4</v>
      </c>
      <c r="F3" s="192">
        <f>SUMIF($E5:$E1048576,"&lt;10",F5:F1048576)</f>
        <v>1693934.3</v>
      </c>
      <c r="G3" s="192">
        <f t="shared" ref="G3:AO3" si="0">SUMIF($E5:$E1048576,"&lt;10",G5:G1048576)</f>
        <v>0</v>
      </c>
      <c r="H3" s="192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0</v>
      </c>
      <c r="W3" s="192">
        <f t="shared" si="0"/>
        <v>1224736.1000000001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0</v>
      </c>
      <c r="AG3" s="192">
        <f t="shared" si="0"/>
        <v>0</v>
      </c>
      <c r="AH3" s="192">
        <f t="shared" si="0"/>
        <v>0</v>
      </c>
      <c r="AI3" s="192">
        <f t="shared" si="0"/>
        <v>0</v>
      </c>
      <c r="AJ3" s="192">
        <f t="shared" si="0"/>
        <v>388065.19999999995</v>
      </c>
      <c r="AK3" s="192">
        <f t="shared" si="0"/>
        <v>0</v>
      </c>
      <c r="AL3" s="192">
        <f t="shared" si="0"/>
        <v>0</v>
      </c>
      <c r="AM3" s="192">
        <f t="shared" si="0"/>
        <v>0</v>
      </c>
      <c r="AN3" s="192">
        <f t="shared" si="0"/>
        <v>81133</v>
      </c>
      <c r="AO3" s="192">
        <f t="shared" si="0"/>
        <v>0</v>
      </c>
    </row>
    <row r="4" spans="1:41" x14ac:dyDescent="0.3">
      <c r="A4" s="191" t="s">
        <v>125</v>
      </c>
      <c r="B4" s="216">
        <v>1</v>
      </c>
      <c r="C4" s="193" t="s">
        <v>4</v>
      </c>
      <c r="D4" s="194" t="s">
        <v>44</v>
      </c>
      <c r="E4" s="194" t="s">
        <v>119</v>
      </c>
      <c r="F4" s="194" t="s">
        <v>3</v>
      </c>
      <c r="G4" s="194" t="s">
        <v>120</v>
      </c>
      <c r="H4" s="194" t="s">
        <v>121</v>
      </c>
      <c r="I4" s="194" t="s">
        <v>122</v>
      </c>
      <c r="J4" s="194" t="s">
        <v>123</v>
      </c>
      <c r="K4" s="194">
        <v>305</v>
      </c>
      <c r="L4" s="194">
        <v>306</v>
      </c>
      <c r="M4" s="194">
        <v>407</v>
      </c>
      <c r="N4" s="194">
        <v>408</v>
      </c>
      <c r="O4" s="194">
        <v>409</v>
      </c>
      <c r="P4" s="194">
        <v>410</v>
      </c>
      <c r="Q4" s="194">
        <v>415</v>
      </c>
      <c r="R4" s="194">
        <v>416</v>
      </c>
      <c r="S4" s="194">
        <v>418</v>
      </c>
      <c r="T4" s="194">
        <v>419</v>
      </c>
      <c r="U4" s="194">
        <v>420</v>
      </c>
      <c r="V4" s="194">
        <v>421</v>
      </c>
      <c r="W4" s="194">
        <v>522</v>
      </c>
      <c r="X4" s="194">
        <v>523</v>
      </c>
      <c r="Y4" s="194">
        <v>524</v>
      </c>
      <c r="Z4" s="194">
        <v>525</v>
      </c>
      <c r="AA4" s="194">
        <v>526</v>
      </c>
      <c r="AB4" s="194">
        <v>527</v>
      </c>
      <c r="AC4" s="194">
        <v>528</v>
      </c>
      <c r="AD4" s="194">
        <v>629</v>
      </c>
      <c r="AE4" s="194">
        <v>630</v>
      </c>
      <c r="AF4" s="194">
        <v>636</v>
      </c>
      <c r="AG4" s="194">
        <v>637</v>
      </c>
      <c r="AH4" s="194">
        <v>640</v>
      </c>
      <c r="AI4" s="194">
        <v>642</v>
      </c>
      <c r="AJ4" s="194">
        <v>743</v>
      </c>
      <c r="AK4" s="194">
        <v>745</v>
      </c>
      <c r="AL4" s="194">
        <v>746</v>
      </c>
      <c r="AM4" s="194">
        <v>747</v>
      </c>
      <c r="AN4" s="194">
        <v>930</v>
      </c>
      <c r="AO4" s="194">
        <v>940</v>
      </c>
    </row>
    <row r="5" spans="1:41" x14ac:dyDescent="0.3">
      <c r="A5" s="191" t="s">
        <v>126</v>
      </c>
      <c r="B5" s="216">
        <v>2</v>
      </c>
      <c r="C5" s="191">
        <v>39</v>
      </c>
      <c r="D5" s="191">
        <v>1</v>
      </c>
      <c r="E5" s="191">
        <v>1</v>
      </c>
      <c r="F5" s="191">
        <v>13.8</v>
      </c>
      <c r="G5" s="191">
        <v>0</v>
      </c>
      <c r="H5" s="191">
        <v>0</v>
      </c>
      <c r="I5" s="191">
        <v>0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0</v>
      </c>
      <c r="W5" s="191">
        <v>9.1999999999999993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0</v>
      </c>
      <c r="AH5" s="191">
        <v>0</v>
      </c>
      <c r="AI5" s="191">
        <v>0</v>
      </c>
      <c r="AJ5" s="191">
        <v>3.6</v>
      </c>
      <c r="AK5" s="191">
        <v>0</v>
      </c>
      <c r="AL5" s="191">
        <v>0</v>
      </c>
      <c r="AM5" s="191">
        <v>0</v>
      </c>
      <c r="AN5" s="191">
        <v>1</v>
      </c>
      <c r="AO5" s="191">
        <v>0</v>
      </c>
    </row>
    <row r="6" spans="1:41" x14ac:dyDescent="0.3">
      <c r="A6" s="191" t="s">
        <v>127</v>
      </c>
      <c r="B6" s="216">
        <v>3</v>
      </c>
      <c r="C6" s="191">
        <v>39</v>
      </c>
      <c r="D6" s="191">
        <v>1</v>
      </c>
      <c r="E6" s="191">
        <v>2</v>
      </c>
      <c r="F6" s="191">
        <v>2221.75</v>
      </c>
      <c r="G6" s="191">
        <v>0</v>
      </c>
      <c r="H6" s="191">
        <v>0</v>
      </c>
      <c r="I6" s="191">
        <v>0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0</v>
      </c>
      <c r="W6" s="191">
        <v>1464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0</v>
      </c>
      <c r="AH6" s="191">
        <v>0</v>
      </c>
      <c r="AI6" s="191">
        <v>0</v>
      </c>
      <c r="AJ6" s="191">
        <v>597</v>
      </c>
      <c r="AK6" s="191">
        <v>0</v>
      </c>
      <c r="AL6" s="191">
        <v>0</v>
      </c>
      <c r="AM6" s="191">
        <v>0</v>
      </c>
      <c r="AN6" s="191">
        <v>160.75</v>
      </c>
      <c r="AO6" s="191">
        <v>0</v>
      </c>
    </row>
    <row r="7" spans="1:41" x14ac:dyDescent="0.3">
      <c r="A7" s="191" t="s">
        <v>128</v>
      </c>
      <c r="B7" s="216">
        <v>4</v>
      </c>
      <c r="C7" s="191">
        <v>39</v>
      </c>
      <c r="D7" s="191">
        <v>1</v>
      </c>
      <c r="E7" s="191">
        <v>6</v>
      </c>
      <c r="F7" s="191">
        <v>425407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0</v>
      </c>
      <c r="W7" s="191">
        <v>309585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0</v>
      </c>
      <c r="AH7" s="191">
        <v>0</v>
      </c>
      <c r="AI7" s="191">
        <v>0</v>
      </c>
      <c r="AJ7" s="191">
        <v>96843</v>
      </c>
      <c r="AK7" s="191">
        <v>0</v>
      </c>
      <c r="AL7" s="191">
        <v>0</v>
      </c>
      <c r="AM7" s="191">
        <v>0</v>
      </c>
      <c r="AN7" s="191">
        <v>18979</v>
      </c>
      <c r="AO7" s="191">
        <v>0</v>
      </c>
    </row>
    <row r="8" spans="1:41" x14ac:dyDescent="0.3">
      <c r="A8" s="191" t="s">
        <v>129</v>
      </c>
      <c r="B8" s="216">
        <v>5</v>
      </c>
      <c r="C8" s="191">
        <v>39</v>
      </c>
      <c r="D8" s="191">
        <v>1</v>
      </c>
      <c r="E8" s="191">
        <v>9</v>
      </c>
      <c r="F8" s="191">
        <v>10000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0</v>
      </c>
      <c r="W8" s="191">
        <v>10000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0</v>
      </c>
      <c r="AH8" s="191">
        <v>0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  <c r="AO8" s="191">
        <v>0</v>
      </c>
    </row>
    <row r="9" spans="1:41" x14ac:dyDescent="0.3">
      <c r="A9" s="191" t="s">
        <v>130</v>
      </c>
      <c r="B9" s="216">
        <v>6</v>
      </c>
      <c r="C9" s="191">
        <v>39</v>
      </c>
      <c r="D9" s="191">
        <v>1</v>
      </c>
      <c r="E9" s="191">
        <v>10</v>
      </c>
      <c r="F9" s="191">
        <v>500</v>
      </c>
      <c r="G9" s="191">
        <v>0</v>
      </c>
      <c r="H9" s="191">
        <v>0</v>
      </c>
      <c r="I9" s="191">
        <v>0</v>
      </c>
      <c r="J9" s="191">
        <v>0</v>
      </c>
      <c r="K9" s="191">
        <v>500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0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  <c r="AO9" s="191">
        <v>0</v>
      </c>
    </row>
    <row r="10" spans="1:41" x14ac:dyDescent="0.3">
      <c r="A10" s="191" t="s">
        <v>131</v>
      </c>
      <c r="B10" s="216">
        <v>7</v>
      </c>
      <c r="C10" s="191">
        <v>39</v>
      </c>
      <c r="D10" s="191">
        <v>1</v>
      </c>
      <c r="E10" s="191">
        <v>11</v>
      </c>
      <c r="F10" s="191">
        <v>2333.3333333333335</v>
      </c>
      <c r="G10" s="191">
        <v>0</v>
      </c>
      <c r="H10" s="191">
        <v>0</v>
      </c>
      <c r="I10" s="191">
        <v>0</v>
      </c>
      <c r="J10" s="191">
        <v>0</v>
      </c>
      <c r="K10" s="191">
        <v>2333.3333333333335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0</v>
      </c>
      <c r="AH10" s="191">
        <v>0</v>
      </c>
      <c r="AI10" s="191">
        <v>0</v>
      </c>
      <c r="AJ10" s="191">
        <v>0</v>
      </c>
      <c r="AK10" s="191">
        <v>0</v>
      </c>
      <c r="AL10" s="191">
        <v>0</v>
      </c>
      <c r="AM10" s="191">
        <v>0</v>
      </c>
      <c r="AN10" s="191">
        <v>0</v>
      </c>
      <c r="AO10" s="191">
        <v>0</v>
      </c>
    </row>
    <row r="11" spans="1:41" x14ac:dyDescent="0.3">
      <c r="A11" s="191" t="s">
        <v>132</v>
      </c>
      <c r="B11" s="216">
        <v>8</v>
      </c>
      <c r="C11" s="191">
        <v>39</v>
      </c>
      <c r="D11" s="191">
        <v>2</v>
      </c>
      <c r="E11" s="191">
        <v>1</v>
      </c>
      <c r="F11" s="191">
        <v>13.8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0</v>
      </c>
      <c r="W11" s="191">
        <v>9.1999999999999993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0</v>
      </c>
      <c r="AH11" s="191">
        <v>0</v>
      </c>
      <c r="AI11" s="191">
        <v>0</v>
      </c>
      <c r="AJ11" s="191">
        <v>3.6</v>
      </c>
      <c r="AK11" s="191">
        <v>0</v>
      </c>
      <c r="AL11" s="191">
        <v>0</v>
      </c>
      <c r="AM11" s="191">
        <v>0</v>
      </c>
      <c r="AN11" s="191">
        <v>1</v>
      </c>
      <c r="AO11" s="191">
        <v>0</v>
      </c>
    </row>
    <row r="12" spans="1:41" x14ac:dyDescent="0.3">
      <c r="A12" s="191" t="s">
        <v>133</v>
      </c>
      <c r="B12" s="216">
        <v>9</v>
      </c>
      <c r="C12" s="191">
        <v>39</v>
      </c>
      <c r="D12" s="191">
        <v>2</v>
      </c>
      <c r="E12" s="191">
        <v>2</v>
      </c>
      <c r="F12" s="191">
        <v>1920.3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0</v>
      </c>
      <c r="W12" s="191">
        <v>1240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0</v>
      </c>
      <c r="AJ12" s="191">
        <v>554.79999999999995</v>
      </c>
      <c r="AK12" s="191">
        <v>0</v>
      </c>
      <c r="AL12" s="191">
        <v>0</v>
      </c>
      <c r="AM12" s="191">
        <v>0</v>
      </c>
      <c r="AN12" s="191">
        <v>125.5</v>
      </c>
      <c r="AO12" s="191">
        <v>0</v>
      </c>
    </row>
    <row r="13" spans="1:41" x14ac:dyDescent="0.3">
      <c r="A13" s="191" t="s">
        <v>134</v>
      </c>
      <c r="B13" s="216">
        <v>10</v>
      </c>
      <c r="C13" s="191">
        <v>39</v>
      </c>
      <c r="D13" s="191">
        <v>2</v>
      </c>
      <c r="E13" s="191">
        <v>6</v>
      </c>
      <c r="F13" s="191">
        <v>417099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301988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96211</v>
      </c>
      <c r="AK13" s="191">
        <v>0</v>
      </c>
      <c r="AL13" s="191">
        <v>0</v>
      </c>
      <c r="AM13" s="191">
        <v>0</v>
      </c>
      <c r="AN13" s="191">
        <v>18900</v>
      </c>
      <c r="AO13" s="191">
        <v>0</v>
      </c>
    </row>
    <row r="14" spans="1:41" x14ac:dyDescent="0.3">
      <c r="A14" s="191" t="s">
        <v>135</v>
      </c>
      <c r="B14" s="216">
        <v>11</v>
      </c>
      <c r="C14" s="191">
        <v>39</v>
      </c>
      <c r="D14" s="191">
        <v>2</v>
      </c>
      <c r="E14" s="191">
        <v>11</v>
      </c>
      <c r="F14" s="191">
        <v>2333.3333333333335</v>
      </c>
      <c r="G14" s="191">
        <v>0</v>
      </c>
      <c r="H14" s="191">
        <v>0</v>
      </c>
      <c r="I14" s="191">
        <v>0</v>
      </c>
      <c r="J14" s="191">
        <v>0</v>
      </c>
      <c r="K14" s="191">
        <v>2333.3333333333335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</row>
    <row r="15" spans="1:41" x14ac:dyDescent="0.3">
      <c r="A15" s="191" t="s">
        <v>136</v>
      </c>
      <c r="B15" s="216">
        <v>12</v>
      </c>
      <c r="C15" s="191">
        <v>39</v>
      </c>
      <c r="D15" s="191">
        <v>3</v>
      </c>
      <c r="E15" s="191">
        <v>1</v>
      </c>
      <c r="F15" s="191">
        <v>13.8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9.1999999999999993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0</v>
      </c>
      <c r="AJ15" s="191">
        <v>3.6</v>
      </c>
      <c r="AK15" s="191">
        <v>0</v>
      </c>
      <c r="AL15" s="191">
        <v>0</v>
      </c>
      <c r="AM15" s="191">
        <v>0</v>
      </c>
      <c r="AN15" s="191">
        <v>1</v>
      </c>
      <c r="AO15" s="191">
        <v>0</v>
      </c>
    </row>
    <row r="16" spans="1:41" x14ac:dyDescent="0.3">
      <c r="A16" s="191" t="s">
        <v>124</v>
      </c>
      <c r="B16" s="216">
        <v>2015</v>
      </c>
      <c r="C16" s="191">
        <v>39</v>
      </c>
      <c r="D16" s="191">
        <v>3</v>
      </c>
      <c r="E16" s="191">
        <v>2</v>
      </c>
      <c r="F16" s="191">
        <v>2296.5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1">
        <v>0</v>
      </c>
      <c r="W16" s="191">
        <v>1521.5</v>
      </c>
      <c r="X16" s="191">
        <v>0</v>
      </c>
      <c r="Y16" s="191">
        <v>0</v>
      </c>
      <c r="Z16" s="191">
        <v>0</v>
      </c>
      <c r="AA16" s="191">
        <v>0</v>
      </c>
      <c r="AB16" s="191">
        <v>0</v>
      </c>
      <c r="AC16" s="191">
        <v>0</v>
      </c>
      <c r="AD16" s="191">
        <v>0</v>
      </c>
      <c r="AE16" s="191">
        <v>0</v>
      </c>
      <c r="AF16" s="191">
        <v>0</v>
      </c>
      <c r="AG16" s="191">
        <v>0</v>
      </c>
      <c r="AH16" s="191">
        <v>0</v>
      </c>
      <c r="AI16" s="191">
        <v>0</v>
      </c>
      <c r="AJ16" s="191">
        <v>599</v>
      </c>
      <c r="AK16" s="191">
        <v>0</v>
      </c>
      <c r="AL16" s="191">
        <v>0</v>
      </c>
      <c r="AM16" s="191">
        <v>0</v>
      </c>
      <c r="AN16" s="191">
        <v>176</v>
      </c>
      <c r="AO16" s="191">
        <v>0</v>
      </c>
    </row>
    <row r="17" spans="3:41" x14ac:dyDescent="0.3">
      <c r="C17" s="191">
        <v>39</v>
      </c>
      <c r="D17" s="191">
        <v>3</v>
      </c>
      <c r="E17" s="191">
        <v>6</v>
      </c>
      <c r="F17" s="191">
        <v>415496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300402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0</v>
      </c>
      <c r="AH17" s="191">
        <v>0</v>
      </c>
      <c r="AI17" s="191">
        <v>0</v>
      </c>
      <c r="AJ17" s="191">
        <v>96344</v>
      </c>
      <c r="AK17" s="191">
        <v>0</v>
      </c>
      <c r="AL17" s="191">
        <v>0</v>
      </c>
      <c r="AM17" s="191">
        <v>0</v>
      </c>
      <c r="AN17" s="191">
        <v>18750</v>
      </c>
      <c r="AO17" s="191">
        <v>0</v>
      </c>
    </row>
    <row r="18" spans="3:41" x14ac:dyDescent="0.3">
      <c r="C18" s="191">
        <v>39</v>
      </c>
      <c r="D18" s="191">
        <v>3</v>
      </c>
      <c r="E18" s="191">
        <v>11</v>
      </c>
      <c r="F18" s="191">
        <v>2333.3333333333335</v>
      </c>
      <c r="G18" s="191">
        <v>0</v>
      </c>
      <c r="H18" s="191">
        <v>0</v>
      </c>
      <c r="I18" s="191">
        <v>0</v>
      </c>
      <c r="J18" s="191">
        <v>0</v>
      </c>
      <c r="K18" s="191">
        <v>2333.3333333333335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0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  <c r="AO18" s="191">
        <v>0</v>
      </c>
    </row>
    <row r="19" spans="3:41" x14ac:dyDescent="0.3">
      <c r="C19" s="191">
        <v>39</v>
      </c>
      <c r="D19" s="191">
        <v>4</v>
      </c>
      <c r="E19" s="191">
        <v>1</v>
      </c>
      <c r="F19" s="191">
        <v>13.6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9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3.6</v>
      </c>
      <c r="AK19" s="191">
        <v>0</v>
      </c>
      <c r="AL19" s="191">
        <v>0</v>
      </c>
      <c r="AM19" s="191">
        <v>0</v>
      </c>
      <c r="AN19" s="191">
        <v>1</v>
      </c>
      <c r="AO19" s="191">
        <v>0</v>
      </c>
    </row>
    <row r="20" spans="3:41" x14ac:dyDescent="0.3">
      <c r="C20" s="191">
        <v>39</v>
      </c>
      <c r="D20" s="191">
        <v>4</v>
      </c>
      <c r="E20" s="191">
        <v>2</v>
      </c>
      <c r="F20" s="191">
        <v>2384.75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1512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  <c r="AC20" s="191">
        <v>0</v>
      </c>
      <c r="AD20" s="191">
        <v>0</v>
      </c>
      <c r="AE20" s="191">
        <v>0</v>
      </c>
      <c r="AF20" s="191">
        <v>0</v>
      </c>
      <c r="AG20" s="191">
        <v>0</v>
      </c>
      <c r="AH20" s="191">
        <v>0</v>
      </c>
      <c r="AI20" s="191">
        <v>0</v>
      </c>
      <c r="AJ20" s="191">
        <v>634</v>
      </c>
      <c r="AK20" s="191">
        <v>0</v>
      </c>
      <c r="AL20" s="191">
        <v>0</v>
      </c>
      <c r="AM20" s="191">
        <v>0</v>
      </c>
      <c r="AN20" s="191">
        <v>238.75</v>
      </c>
      <c r="AO20" s="191">
        <v>0</v>
      </c>
    </row>
    <row r="21" spans="3:41" x14ac:dyDescent="0.3">
      <c r="C21" s="191">
        <v>39</v>
      </c>
      <c r="D21" s="191">
        <v>4</v>
      </c>
      <c r="E21" s="191">
        <v>6</v>
      </c>
      <c r="F21" s="191">
        <v>417054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296987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  <c r="AC21" s="191">
        <v>0</v>
      </c>
      <c r="AD21" s="191">
        <v>0</v>
      </c>
      <c r="AE21" s="191">
        <v>0</v>
      </c>
      <c r="AF21" s="191">
        <v>0</v>
      </c>
      <c r="AG21" s="191">
        <v>0</v>
      </c>
      <c r="AH21" s="191">
        <v>0</v>
      </c>
      <c r="AI21" s="191">
        <v>0</v>
      </c>
      <c r="AJ21" s="191">
        <v>96268</v>
      </c>
      <c r="AK21" s="191">
        <v>0</v>
      </c>
      <c r="AL21" s="191">
        <v>0</v>
      </c>
      <c r="AM21" s="191">
        <v>0</v>
      </c>
      <c r="AN21" s="191">
        <v>23799</v>
      </c>
      <c r="AO21" s="191">
        <v>0</v>
      </c>
    </row>
    <row r="22" spans="3:41" x14ac:dyDescent="0.3">
      <c r="C22" s="191">
        <v>39</v>
      </c>
      <c r="D22" s="191">
        <v>4</v>
      </c>
      <c r="E22" s="191">
        <v>11</v>
      </c>
      <c r="F22" s="191">
        <v>2333.3333333333335</v>
      </c>
      <c r="G22" s="191">
        <v>0</v>
      </c>
      <c r="H22" s="191">
        <v>0</v>
      </c>
      <c r="I22" s="191">
        <v>0</v>
      </c>
      <c r="J22" s="191">
        <v>0</v>
      </c>
      <c r="K22" s="191">
        <v>2333.3333333333335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  <c r="AC22" s="191">
        <v>0</v>
      </c>
      <c r="AD22" s="191">
        <v>0</v>
      </c>
      <c r="AE22" s="191">
        <v>0</v>
      </c>
      <c r="AF22" s="191">
        <v>0</v>
      </c>
      <c r="AG22" s="191">
        <v>0</v>
      </c>
      <c r="AH22" s="191">
        <v>0</v>
      </c>
      <c r="AI22" s="191">
        <v>0</v>
      </c>
      <c r="AJ22" s="191">
        <v>0</v>
      </c>
      <c r="AK22" s="191">
        <v>0</v>
      </c>
      <c r="AL22" s="191">
        <v>0</v>
      </c>
      <c r="AM22" s="191">
        <v>0</v>
      </c>
      <c r="AN22" s="191">
        <v>0</v>
      </c>
      <c r="AO22" s="19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309" t="s">
        <v>347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4.4" customHeight="1" thickBot="1" x14ac:dyDescent="0.35">
      <c r="A2" s="195" t="s">
        <v>222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1" t="s">
        <v>101</v>
      </c>
      <c r="B3" s="182">
        <f>SUBTOTAL(9,B6:B1048576)/2</f>
        <v>1326051</v>
      </c>
      <c r="C3" s="183">
        <f t="shared" ref="C3:R3" si="0">SUBTOTAL(9,C6:C1048576)</f>
        <v>2</v>
      </c>
      <c r="D3" s="183">
        <f>SUBTOTAL(9,D6:D1048576)/2</f>
        <v>1506543</v>
      </c>
      <c r="E3" s="183">
        <f t="shared" si="0"/>
        <v>2.272224823932111</v>
      </c>
      <c r="F3" s="183">
        <f>SUBTOTAL(9,F6:F1048576)/2</f>
        <v>1372398</v>
      </c>
      <c r="G3" s="184">
        <f>IF(B3&lt;&gt;0,F3/B3,"")</f>
        <v>1.0349511444129977</v>
      </c>
      <c r="H3" s="185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6" t="str">
        <f>IF(H3&lt;&gt;0,L3/H3,"")</f>
        <v/>
      </c>
      <c r="N3" s="182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0" t="s">
        <v>221</v>
      </c>
      <c r="B4" s="311" t="s">
        <v>76</v>
      </c>
      <c r="C4" s="312"/>
      <c r="D4" s="312"/>
      <c r="E4" s="312"/>
      <c r="F4" s="312"/>
      <c r="G4" s="313"/>
      <c r="H4" s="311" t="s">
        <v>77</v>
      </c>
      <c r="I4" s="312"/>
      <c r="J4" s="312"/>
      <c r="K4" s="312"/>
      <c r="L4" s="312"/>
      <c r="M4" s="313"/>
      <c r="N4" s="311" t="s">
        <v>78</v>
      </c>
      <c r="O4" s="312"/>
      <c r="P4" s="312"/>
      <c r="Q4" s="312"/>
      <c r="R4" s="312"/>
      <c r="S4" s="313"/>
    </row>
    <row r="5" spans="1:19" ht="14.4" customHeight="1" thickBot="1" x14ac:dyDescent="0.35">
      <c r="A5" s="392"/>
      <c r="B5" s="393">
        <v>2013</v>
      </c>
      <c r="C5" s="394"/>
      <c r="D5" s="394">
        <v>2014</v>
      </c>
      <c r="E5" s="394"/>
      <c r="F5" s="394">
        <v>2015</v>
      </c>
      <c r="G5" s="395" t="s">
        <v>2</v>
      </c>
      <c r="H5" s="393">
        <v>2013</v>
      </c>
      <c r="I5" s="394"/>
      <c r="J5" s="394">
        <v>2014</v>
      </c>
      <c r="K5" s="394"/>
      <c r="L5" s="394">
        <v>2015</v>
      </c>
      <c r="M5" s="395" t="s">
        <v>2</v>
      </c>
      <c r="N5" s="393">
        <v>2013</v>
      </c>
      <c r="O5" s="394"/>
      <c r="P5" s="394">
        <v>2014</v>
      </c>
      <c r="Q5" s="394"/>
      <c r="R5" s="394">
        <v>2015</v>
      </c>
      <c r="S5" s="395" t="s">
        <v>2</v>
      </c>
    </row>
    <row r="6" spans="1:19" ht="14.4" customHeight="1" thickBot="1" x14ac:dyDescent="0.35">
      <c r="A6" s="398" t="s">
        <v>346</v>
      </c>
      <c r="B6" s="396">
        <v>1326051</v>
      </c>
      <c r="C6" s="397">
        <v>1</v>
      </c>
      <c r="D6" s="396">
        <v>1506543</v>
      </c>
      <c r="E6" s="397">
        <v>1.1361124119660555</v>
      </c>
      <c r="F6" s="396">
        <v>1372398</v>
      </c>
      <c r="G6" s="261">
        <v>1.0349511444129977</v>
      </c>
      <c r="H6" s="396"/>
      <c r="I6" s="397"/>
      <c r="J6" s="396"/>
      <c r="K6" s="397"/>
      <c r="L6" s="396"/>
      <c r="M6" s="261"/>
      <c r="N6" s="396"/>
      <c r="O6" s="397"/>
      <c r="P6" s="396"/>
      <c r="Q6" s="397"/>
      <c r="R6" s="396"/>
      <c r="S6" s="262"/>
    </row>
    <row r="7" spans="1:19" ht="14.4" customHeight="1" thickBot="1" x14ac:dyDescent="0.35"/>
    <row r="8" spans="1:19" ht="14.4" customHeight="1" thickBot="1" x14ac:dyDescent="0.35">
      <c r="A8" s="398" t="s">
        <v>340</v>
      </c>
      <c r="B8" s="396">
        <v>1326051</v>
      </c>
      <c r="C8" s="397">
        <v>1</v>
      </c>
      <c r="D8" s="396">
        <v>1506543</v>
      </c>
      <c r="E8" s="397">
        <v>1.1361124119660555</v>
      </c>
      <c r="F8" s="396">
        <v>1372398</v>
      </c>
      <c r="G8" s="261">
        <v>1.0349511444129977</v>
      </c>
      <c r="H8" s="396"/>
      <c r="I8" s="397"/>
      <c r="J8" s="396"/>
      <c r="K8" s="397"/>
      <c r="L8" s="396"/>
      <c r="M8" s="261"/>
      <c r="N8" s="396"/>
      <c r="O8" s="397"/>
      <c r="P8" s="396"/>
      <c r="Q8" s="397"/>
      <c r="R8" s="396"/>
      <c r="S8" s="262"/>
    </row>
    <row r="9" spans="1:19" ht="14.4" customHeight="1" x14ac:dyDescent="0.3">
      <c r="A9" s="399" t="s">
        <v>348</v>
      </c>
    </row>
    <row r="10" spans="1:19" ht="14.4" customHeight="1" x14ac:dyDescent="0.3">
      <c r="A10" s="400" t="s">
        <v>349</v>
      </c>
    </row>
    <row r="11" spans="1:19" ht="14.4" customHeight="1" x14ac:dyDescent="0.3">
      <c r="A11" s="399" t="s">
        <v>350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7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309" t="s">
        <v>365</v>
      </c>
      <c r="B1" s="274"/>
      <c r="C1" s="274"/>
      <c r="D1" s="274"/>
      <c r="E1" s="274"/>
      <c r="F1" s="274"/>
      <c r="G1" s="274"/>
    </row>
    <row r="2" spans="1:7" ht="14.4" customHeight="1" thickBot="1" x14ac:dyDescent="0.35">
      <c r="A2" s="195" t="s">
        <v>222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1" t="s">
        <v>101</v>
      </c>
      <c r="B3" s="264">
        <f t="shared" ref="B3:G3" si="0">SUBTOTAL(9,B6:B1048576)</f>
        <v>3785</v>
      </c>
      <c r="C3" s="265">
        <f t="shared" si="0"/>
        <v>4339</v>
      </c>
      <c r="D3" s="265">
        <f t="shared" si="0"/>
        <v>3651</v>
      </c>
      <c r="E3" s="185">
        <f t="shared" si="0"/>
        <v>1326051</v>
      </c>
      <c r="F3" s="183">
        <f t="shared" si="0"/>
        <v>1506543</v>
      </c>
      <c r="G3" s="266">
        <f t="shared" si="0"/>
        <v>1372398</v>
      </c>
    </row>
    <row r="4" spans="1:7" ht="14.4" customHeight="1" x14ac:dyDescent="0.3">
      <c r="A4" s="310" t="s">
        <v>102</v>
      </c>
      <c r="B4" s="311" t="s">
        <v>197</v>
      </c>
      <c r="C4" s="312"/>
      <c r="D4" s="312"/>
      <c r="E4" s="314" t="s">
        <v>76</v>
      </c>
      <c r="F4" s="315"/>
      <c r="G4" s="316"/>
    </row>
    <row r="5" spans="1:7" ht="14.4" customHeight="1" thickBot="1" x14ac:dyDescent="0.35">
      <c r="A5" s="392"/>
      <c r="B5" s="393">
        <v>2013</v>
      </c>
      <c r="C5" s="394">
        <v>2014</v>
      </c>
      <c r="D5" s="394">
        <v>2015</v>
      </c>
      <c r="E5" s="393">
        <v>2013</v>
      </c>
      <c r="F5" s="394">
        <v>2014</v>
      </c>
      <c r="G5" s="401">
        <v>2015</v>
      </c>
    </row>
    <row r="6" spans="1:7" ht="14.4" customHeight="1" x14ac:dyDescent="0.3">
      <c r="A6" s="414" t="s">
        <v>351</v>
      </c>
      <c r="B6" s="403">
        <v>37</v>
      </c>
      <c r="C6" s="403"/>
      <c r="D6" s="403">
        <v>53</v>
      </c>
      <c r="E6" s="404">
        <v>12360</v>
      </c>
      <c r="F6" s="404"/>
      <c r="G6" s="405">
        <v>24701</v>
      </c>
    </row>
    <row r="7" spans="1:7" ht="14.4" customHeight="1" x14ac:dyDescent="0.3">
      <c r="A7" s="415" t="s">
        <v>352</v>
      </c>
      <c r="B7" s="407">
        <v>279</v>
      </c>
      <c r="C7" s="407">
        <v>340</v>
      </c>
      <c r="D7" s="407">
        <v>197</v>
      </c>
      <c r="E7" s="408">
        <v>99396</v>
      </c>
      <c r="F7" s="408">
        <v>113371</v>
      </c>
      <c r="G7" s="409">
        <v>71097</v>
      </c>
    </row>
    <row r="8" spans="1:7" ht="14.4" customHeight="1" x14ac:dyDescent="0.3">
      <c r="A8" s="415" t="s">
        <v>353</v>
      </c>
      <c r="B8" s="407">
        <v>290</v>
      </c>
      <c r="C8" s="407">
        <v>217</v>
      </c>
      <c r="D8" s="407">
        <v>168</v>
      </c>
      <c r="E8" s="408">
        <v>92262</v>
      </c>
      <c r="F8" s="408">
        <v>75502</v>
      </c>
      <c r="G8" s="409">
        <v>59616</v>
      </c>
    </row>
    <row r="9" spans="1:7" ht="14.4" customHeight="1" x14ac:dyDescent="0.3">
      <c r="A9" s="415" t="s">
        <v>354</v>
      </c>
      <c r="B9" s="407">
        <v>543</v>
      </c>
      <c r="C9" s="407">
        <v>599</v>
      </c>
      <c r="D9" s="407">
        <v>549</v>
      </c>
      <c r="E9" s="408">
        <v>196555</v>
      </c>
      <c r="F9" s="408">
        <v>225085</v>
      </c>
      <c r="G9" s="409">
        <v>217365</v>
      </c>
    </row>
    <row r="10" spans="1:7" ht="14.4" customHeight="1" x14ac:dyDescent="0.3">
      <c r="A10" s="415" t="s">
        <v>355</v>
      </c>
      <c r="B10" s="407">
        <v>346</v>
      </c>
      <c r="C10" s="407">
        <v>355</v>
      </c>
      <c r="D10" s="407">
        <v>410</v>
      </c>
      <c r="E10" s="408">
        <v>128244</v>
      </c>
      <c r="F10" s="408">
        <v>135242</v>
      </c>
      <c r="G10" s="409">
        <v>184846</v>
      </c>
    </row>
    <row r="11" spans="1:7" ht="14.4" customHeight="1" x14ac:dyDescent="0.3">
      <c r="A11" s="415" t="s">
        <v>356</v>
      </c>
      <c r="B11" s="407">
        <v>139</v>
      </c>
      <c r="C11" s="407">
        <v>571</v>
      </c>
      <c r="D11" s="407">
        <v>330</v>
      </c>
      <c r="E11" s="408">
        <v>46112</v>
      </c>
      <c r="F11" s="408">
        <v>187792</v>
      </c>
      <c r="G11" s="409">
        <v>111466</v>
      </c>
    </row>
    <row r="12" spans="1:7" ht="14.4" customHeight="1" x14ac:dyDescent="0.3">
      <c r="A12" s="415" t="s">
        <v>357</v>
      </c>
      <c r="B12" s="407">
        <v>378</v>
      </c>
      <c r="C12" s="407">
        <v>551</v>
      </c>
      <c r="D12" s="407">
        <v>496</v>
      </c>
      <c r="E12" s="408">
        <v>121031</v>
      </c>
      <c r="F12" s="408">
        <v>183012</v>
      </c>
      <c r="G12" s="409">
        <v>182160</v>
      </c>
    </row>
    <row r="13" spans="1:7" ht="14.4" customHeight="1" x14ac:dyDescent="0.3">
      <c r="A13" s="415" t="s">
        <v>358</v>
      </c>
      <c r="B13" s="407">
        <v>6</v>
      </c>
      <c r="C13" s="407">
        <v>102</v>
      </c>
      <c r="D13" s="407">
        <v>109</v>
      </c>
      <c r="E13" s="408">
        <v>1914</v>
      </c>
      <c r="F13" s="408">
        <v>32610</v>
      </c>
      <c r="G13" s="409">
        <v>39667</v>
      </c>
    </row>
    <row r="14" spans="1:7" ht="14.4" customHeight="1" x14ac:dyDescent="0.3">
      <c r="A14" s="415" t="s">
        <v>359</v>
      </c>
      <c r="B14" s="407">
        <v>323</v>
      </c>
      <c r="C14" s="407">
        <v>112</v>
      </c>
      <c r="D14" s="407">
        <v>188</v>
      </c>
      <c r="E14" s="408">
        <v>107033</v>
      </c>
      <c r="F14" s="408">
        <v>40180</v>
      </c>
      <c r="G14" s="409">
        <v>60544</v>
      </c>
    </row>
    <row r="15" spans="1:7" ht="14.4" customHeight="1" x14ac:dyDescent="0.3">
      <c r="A15" s="415" t="s">
        <v>360</v>
      </c>
      <c r="B15" s="407">
        <v>448</v>
      </c>
      <c r="C15" s="407">
        <v>484</v>
      </c>
      <c r="D15" s="407">
        <v>375</v>
      </c>
      <c r="E15" s="408">
        <v>147411</v>
      </c>
      <c r="F15" s="408">
        <v>154454</v>
      </c>
      <c r="G15" s="409">
        <v>120113</v>
      </c>
    </row>
    <row r="16" spans="1:7" ht="14.4" customHeight="1" x14ac:dyDescent="0.3">
      <c r="A16" s="415" t="s">
        <v>361</v>
      </c>
      <c r="B16" s="407">
        <v>32</v>
      </c>
      <c r="C16" s="407">
        <v>49</v>
      </c>
      <c r="D16" s="407">
        <v>38</v>
      </c>
      <c r="E16" s="408">
        <v>10208</v>
      </c>
      <c r="F16" s="408">
        <v>14912</v>
      </c>
      <c r="G16" s="409">
        <v>12274</v>
      </c>
    </row>
    <row r="17" spans="1:7" ht="14.4" customHeight="1" x14ac:dyDescent="0.3">
      <c r="A17" s="415" t="s">
        <v>362</v>
      </c>
      <c r="B17" s="407">
        <v>473</v>
      </c>
      <c r="C17" s="407">
        <v>471</v>
      </c>
      <c r="D17" s="407">
        <v>352</v>
      </c>
      <c r="E17" s="408">
        <v>183884</v>
      </c>
      <c r="F17" s="408">
        <v>168431</v>
      </c>
      <c r="G17" s="409">
        <v>141348</v>
      </c>
    </row>
    <row r="18" spans="1:7" ht="14.4" customHeight="1" x14ac:dyDescent="0.3">
      <c r="A18" s="415" t="s">
        <v>363</v>
      </c>
      <c r="B18" s="407">
        <v>363</v>
      </c>
      <c r="C18" s="407">
        <v>292</v>
      </c>
      <c r="D18" s="407">
        <v>254</v>
      </c>
      <c r="E18" s="408">
        <v>138809</v>
      </c>
      <c r="F18" s="408">
        <v>113212</v>
      </c>
      <c r="G18" s="409">
        <v>104342</v>
      </c>
    </row>
    <row r="19" spans="1:7" ht="14.4" customHeight="1" thickBot="1" x14ac:dyDescent="0.35">
      <c r="A19" s="416" t="s">
        <v>364</v>
      </c>
      <c r="B19" s="411">
        <v>128</v>
      </c>
      <c r="C19" s="411">
        <v>196</v>
      </c>
      <c r="D19" s="411">
        <v>132</v>
      </c>
      <c r="E19" s="412">
        <v>40832</v>
      </c>
      <c r="F19" s="412">
        <v>62740</v>
      </c>
      <c r="G19" s="413">
        <v>42859</v>
      </c>
    </row>
    <row r="20" spans="1:7" ht="14.4" customHeight="1" x14ac:dyDescent="0.3">
      <c r="A20" s="399" t="s">
        <v>348</v>
      </c>
    </row>
    <row r="21" spans="1:7" ht="14.4" customHeight="1" x14ac:dyDescent="0.3">
      <c r="A21" s="400" t="s">
        <v>349</v>
      </c>
    </row>
    <row r="22" spans="1:7" ht="14.4" customHeight="1" x14ac:dyDescent="0.3">
      <c r="A22" s="399" t="s">
        <v>350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customWidth="1"/>
    <col min="4" max="4" width="50.88671875" style="102" bestFit="1" customWidth="1"/>
    <col min="5" max="6" width="11.109375" style="177" customWidth="1"/>
    <col min="7" max="8" width="9.33203125" style="102" hidden="1" customWidth="1"/>
    <col min="9" max="10" width="11.109375" style="177" customWidth="1"/>
    <col min="11" max="12" width="9.33203125" style="102" hidden="1" customWidth="1"/>
    <col min="13" max="14" width="11.109375" style="177" customWidth="1"/>
    <col min="15" max="15" width="11.109375" style="180" customWidth="1"/>
    <col min="16" max="16" width="11.109375" style="177" customWidth="1"/>
    <col min="17" max="16384" width="8.88671875" style="102"/>
  </cols>
  <sheetData>
    <row r="1" spans="1:16" ht="18.600000000000001" customHeight="1" thickBot="1" x14ac:dyDescent="0.4">
      <c r="A1" s="274" t="s">
        <v>394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14.4" customHeight="1" thickBot="1" x14ac:dyDescent="0.35">
      <c r="A2" s="195" t="s">
        <v>222</v>
      </c>
      <c r="B2" s="103"/>
      <c r="C2" s="263"/>
      <c r="D2" s="103"/>
      <c r="E2" s="189"/>
      <c r="F2" s="189"/>
      <c r="G2" s="103"/>
      <c r="H2" s="103"/>
      <c r="I2" s="189"/>
      <c r="J2" s="189"/>
      <c r="K2" s="103"/>
      <c r="L2" s="103"/>
      <c r="M2" s="189"/>
      <c r="N2" s="189"/>
      <c r="O2" s="190"/>
      <c r="P2" s="189"/>
    </row>
    <row r="3" spans="1:16" ht="14.4" customHeight="1" thickBot="1" x14ac:dyDescent="0.35">
      <c r="D3" s="62" t="s">
        <v>101</v>
      </c>
      <c r="E3" s="74">
        <f t="shared" ref="E3:N3" si="0">SUBTOTAL(9,E6:E1048576)</f>
        <v>3785</v>
      </c>
      <c r="F3" s="75">
        <f t="shared" si="0"/>
        <v>1326051</v>
      </c>
      <c r="G3" s="57"/>
      <c r="H3" s="57"/>
      <c r="I3" s="75">
        <f t="shared" si="0"/>
        <v>4339</v>
      </c>
      <c r="J3" s="75">
        <f t="shared" si="0"/>
        <v>1506543</v>
      </c>
      <c r="K3" s="57"/>
      <c r="L3" s="57"/>
      <c r="M3" s="75">
        <f t="shared" si="0"/>
        <v>3651</v>
      </c>
      <c r="N3" s="75">
        <f t="shared" si="0"/>
        <v>1372398</v>
      </c>
      <c r="O3" s="58">
        <f>IF(F3=0,0,N3/F3)</f>
        <v>1.0349511444129977</v>
      </c>
      <c r="P3" s="76">
        <f>IF(M3=0,0,N3/M3)</f>
        <v>375.89646672144619</v>
      </c>
    </row>
    <row r="4" spans="1:16" ht="14.4" customHeight="1" x14ac:dyDescent="0.3">
      <c r="A4" s="318" t="s">
        <v>72</v>
      </c>
      <c r="B4" s="319" t="s">
        <v>73</v>
      </c>
      <c r="C4" s="324" t="s">
        <v>48</v>
      </c>
      <c r="D4" s="320" t="s">
        <v>47</v>
      </c>
      <c r="E4" s="321">
        <v>2013</v>
      </c>
      <c r="F4" s="322"/>
      <c r="G4" s="73"/>
      <c r="H4" s="73"/>
      <c r="I4" s="321">
        <v>2014</v>
      </c>
      <c r="J4" s="322"/>
      <c r="K4" s="73"/>
      <c r="L4" s="73"/>
      <c r="M4" s="321">
        <v>2015</v>
      </c>
      <c r="N4" s="322"/>
      <c r="O4" s="323" t="s">
        <v>2</v>
      </c>
      <c r="P4" s="317" t="s">
        <v>75</v>
      </c>
    </row>
    <row r="5" spans="1:16" ht="14.4" customHeight="1" thickBot="1" x14ac:dyDescent="0.35">
      <c r="A5" s="417"/>
      <c r="B5" s="418"/>
      <c r="C5" s="419"/>
      <c r="D5" s="420"/>
      <c r="E5" s="421" t="s">
        <v>49</v>
      </c>
      <c r="F5" s="422" t="s">
        <v>5</v>
      </c>
      <c r="G5" s="423"/>
      <c r="H5" s="423"/>
      <c r="I5" s="421" t="s">
        <v>49</v>
      </c>
      <c r="J5" s="422" t="s">
        <v>5</v>
      </c>
      <c r="K5" s="423"/>
      <c r="L5" s="423"/>
      <c r="M5" s="421" t="s">
        <v>49</v>
      </c>
      <c r="N5" s="422" t="s">
        <v>5</v>
      </c>
      <c r="O5" s="424"/>
      <c r="P5" s="425"/>
    </row>
    <row r="6" spans="1:16" ht="14.4" customHeight="1" x14ac:dyDescent="0.3">
      <c r="A6" s="402" t="s">
        <v>366</v>
      </c>
      <c r="B6" s="426" t="s">
        <v>367</v>
      </c>
      <c r="C6" s="426" t="s">
        <v>368</v>
      </c>
      <c r="D6" s="426" t="s">
        <v>369</v>
      </c>
      <c r="E6" s="403">
        <v>1</v>
      </c>
      <c r="F6" s="403">
        <v>34</v>
      </c>
      <c r="G6" s="426">
        <v>1</v>
      </c>
      <c r="H6" s="426">
        <v>34</v>
      </c>
      <c r="I6" s="403">
        <v>1</v>
      </c>
      <c r="J6" s="403">
        <v>34</v>
      </c>
      <c r="K6" s="426">
        <v>1</v>
      </c>
      <c r="L6" s="426">
        <v>34</v>
      </c>
      <c r="M6" s="403"/>
      <c r="N6" s="403"/>
      <c r="O6" s="427"/>
      <c r="P6" s="428"/>
    </row>
    <row r="7" spans="1:16" ht="14.4" customHeight="1" x14ac:dyDescent="0.3">
      <c r="A7" s="406" t="s">
        <v>366</v>
      </c>
      <c r="B7" s="429" t="s">
        <v>367</v>
      </c>
      <c r="C7" s="429" t="s">
        <v>370</v>
      </c>
      <c r="D7" s="429" t="s">
        <v>371</v>
      </c>
      <c r="E7" s="407">
        <v>27</v>
      </c>
      <c r="F7" s="407">
        <v>1863</v>
      </c>
      <c r="G7" s="429">
        <v>1</v>
      </c>
      <c r="H7" s="429">
        <v>69</v>
      </c>
      <c r="I7" s="407">
        <v>29</v>
      </c>
      <c r="J7" s="407">
        <v>2010</v>
      </c>
      <c r="K7" s="429">
        <v>1.0789049919484701</v>
      </c>
      <c r="L7" s="429">
        <v>69.310344827586206</v>
      </c>
      <c r="M7" s="407">
        <v>19</v>
      </c>
      <c r="N7" s="407">
        <v>1330</v>
      </c>
      <c r="O7" s="430">
        <v>0.71390230810520661</v>
      </c>
      <c r="P7" s="431">
        <v>70</v>
      </c>
    </row>
    <row r="8" spans="1:16" ht="14.4" customHeight="1" x14ac:dyDescent="0.3">
      <c r="A8" s="406" t="s">
        <v>366</v>
      </c>
      <c r="B8" s="429" t="s">
        <v>367</v>
      </c>
      <c r="C8" s="429" t="s">
        <v>372</v>
      </c>
      <c r="D8" s="429" t="s">
        <v>373</v>
      </c>
      <c r="E8" s="407">
        <v>2320</v>
      </c>
      <c r="F8" s="407">
        <v>740080</v>
      </c>
      <c r="G8" s="429">
        <v>1</v>
      </c>
      <c r="H8" s="429">
        <v>319</v>
      </c>
      <c r="I8" s="407">
        <v>2557</v>
      </c>
      <c r="J8" s="407">
        <v>817795</v>
      </c>
      <c r="K8" s="429">
        <v>1.1050089179548157</v>
      </c>
      <c r="L8" s="429">
        <v>319.82596793116932</v>
      </c>
      <c r="M8" s="407">
        <v>2146</v>
      </c>
      <c r="N8" s="407">
        <v>693158</v>
      </c>
      <c r="O8" s="430">
        <v>0.93659874608150473</v>
      </c>
      <c r="P8" s="431">
        <v>323</v>
      </c>
    </row>
    <row r="9" spans="1:16" ht="14.4" customHeight="1" x14ac:dyDescent="0.3">
      <c r="A9" s="406" t="s">
        <v>366</v>
      </c>
      <c r="B9" s="429" t="s">
        <v>367</v>
      </c>
      <c r="C9" s="429" t="s">
        <v>374</v>
      </c>
      <c r="D9" s="429" t="s">
        <v>375</v>
      </c>
      <c r="E9" s="407">
        <v>207</v>
      </c>
      <c r="F9" s="407">
        <v>66033</v>
      </c>
      <c r="G9" s="429">
        <v>1</v>
      </c>
      <c r="H9" s="429">
        <v>319</v>
      </c>
      <c r="I9" s="407">
        <v>542</v>
      </c>
      <c r="J9" s="407">
        <v>173510</v>
      </c>
      <c r="K9" s="429">
        <v>2.6276255811488194</v>
      </c>
      <c r="L9" s="429">
        <v>320.12915129151293</v>
      </c>
      <c r="M9" s="407">
        <v>429</v>
      </c>
      <c r="N9" s="407">
        <v>138567</v>
      </c>
      <c r="O9" s="430">
        <v>2.0984507746126937</v>
      </c>
      <c r="P9" s="431">
        <v>323</v>
      </c>
    </row>
    <row r="10" spans="1:16" ht="14.4" customHeight="1" x14ac:dyDescent="0.3">
      <c r="A10" s="406" t="s">
        <v>366</v>
      </c>
      <c r="B10" s="429" t="s">
        <v>367</v>
      </c>
      <c r="C10" s="429" t="s">
        <v>376</v>
      </c>
      <c r="D10" s="429" t="s">
        <v>377</v>
      </c>
      <c r="E10" s="407">
        <v>173</v>
      </c>
      <c r="F10" s="407">
        <v>55187</v>
      </c>
      <c r="G10" s="429">
        <v>1</v>
      </c>
      <c r="H10" s="429">
        <v>319</v>
      </c>
      <c r="I10" s="407">
        <v>185</v>
      </c>
      <c r="J10" s="407">
        <v>59159</v>
      </c>
      <c r="K10" s="429">
        <v>1.0719734720133365</v>
      </c>
      <c r="L10" s="429">
        <v>319.77837837837836</v>
      </c>
      <c r="M10" s="407">
        <v>167</v>
      </c>
      <c r="N10" s="407">
        <v>53941</v>
      </c>
      <c r="O10" s="430">
        <v>0.97742221900085169</v>
      </c>
      <c r="P10" s="431">
        <v>323</v>
      </c>
    </row>
    <row r="11" spans="1:16" ht="14.4" customHeight="1" x14ac:dyDescent="0.3">
      <c r="A11" s="406" t="s">
        <v>366</v>
      </c>
      <c r="B11" s="429" t="s">
        <v>367</v>
      </c>
      <c r="C11" s="429" t="s">
        <v>378</v>
      </c>
      <c r="D11" s="429" t="s">
        <v>379</v>
      </c>
      <c r="E11" s="407"/>
      <c r="F11" s="407"/>
      <c r="G11" s="429"/>
      <c r="H11" s="429"/>
      <c r="I11" s="407">
        <v>1</v>
      </c>
      <c r="J11" s="407">
        <v>0</v>
      </c>
      <c r="K11" s="429"/>
      <c r="L11" s="429">
        <v>0</v>
      </c>
      <c r="M11" s="407"/>
      <c r="N11" s="407"/>
      <c r="O11" s="430"/>
      <c r="P11" s="431"/>
    </row>
    <row r="12" spans="1:16" ht="14.4" customHeight="1" x14ac:dyDescent="0.3">
      <c r="A12" s="406" t="s">
        <v>366</v>
      </c>
      <c r="B12" s="429" t="s">
        <v>367</v>
      </c>
      <c r="C12" s="429" t="s">
        <v>380</v>
      </c>
      <c r="D12" s="429" t="s">
        <v>381</v>
      </c>
      <c r="E12" s="407">
        <v>194</v>
      </c>
      <c r="F12" s="407">
        <v>0</v>
      </c>
      <c r="G12" s="429"/>
      <c r="H12" s="429">
        <v>0</v>
      </c>
      <c r="I12" s="407">
        <v>180</v>
      </c>
      <c r="J12" s="407">
        <v>0</v>
      </c>
      <c r="K12" s="429"/>
      <c r="L12" s="429">
        <v>0</v>
      </c>
      <c r="M12" s="407"/>
      <c r="N12" s="407"/>
      <c r="O12" s="430"/>
      <c r="P12" s="431"/>
    </row>
    <row r="13" spans="1:16" ht="14.4" customHeight="1" x14ac:dyDescent="0.3">
      <c r="A13" s="406" t="s">
        <v>366</v>
      </c>
      <c r="B13" s="429" t="s">
        <v>367</v>
      </c>
      <c r="C13" s="429" t="s">
        <v>382</v>
      </c>
      <c r="D13" s="429" t="s">
        <v>383</v>
      </c>
      <c r="E13" s="407">
        <v>301</v>
      </c>
      <c r="F13" s="407">
        <v>161938</v>
      </c>
      <c r="G13" s="429">
        <v>1</v>
      </c>
      <c r="H13" s="429">
        <v>538</v>
      </c>
      <c r="I13" s="407">
        <v>196</v>
      </c>
      <c r="J13" s="407">
        <v>105676</v>
      </c>
      <c r="K13" s="429">
        <v>0.65257073694870882</v>
      </c>
      <c r="L13" s="429">
        <v>539.16326530612241</v>
      </c>
      <c r="M13" s="407">
        <v>260</v>
      </c>
      <c r="N13" s="407">
        <v>141960</v>
      </c>
      <c r="O13" s="430">
        <v>0.87663179735454311</v>
      </c>
      <c r="P13" s="431">
        <v>546</v>
      </c>
    </row>
    <row r="14" spans="1:16" ht="14.4" customHeight="1" x14ac:dyDescent="0.3">
      <c r="A14" s="406" t="s">
        <v>366</v>
      </c>
      <c r="B14" s="429" t="s">
        <v>367</v>
      </c>
      <c r="C14" s="429" t="s">
        <v>384</v>
      </c>
      <c r="D14" s="429" t="s">
        <v>385</v>
      </c>
      <c r="E14" s="407">
        <v>354</v>
      </c>
      <c r="F14" s="407">
        <v>190806</v>
      </c>
      <c r="G14" s="429">
        <v>1</v>
      </c>
      <c r="H14" s="429">
        <v>539</v>
      </c>
      <c r="I14" s="407">
        <v>390</v>
      </c>
      <c r="J14" s="407">
        <v>210732</v>
      </c>
      <c r="K14" s="429">
        <v>1.1044306782805573</v>
      </c>
      <c r="L14" s="429">
        <v>540.3384615384615</v>
      </c>
      <c r="M14" s="407">
        <v>285</v>
      </c>
      <c r="N14" s="407">
        <v>155895</v>
      </c>
      <c r="O14" s="430">
        <v>0.81703405553284492</v>
      </c>
      <c r="P14" s="431">
        <v>547</v>
      </c>
    </row>
    <row r="15" spans="1:16" ht="14.4" customHeight="1" x14ac:dyDescent="0.3">
      <c r="A15" s="406" t="s">
        <v>366</v>
      </c>
      <c r="B15" s="429" t="s">
        <v>367</v>
      </c>
      <c r="C15" s="429" t="s">
        <v>386</v>
      </c>
      <c r="D15" s="429" t="s">
        <v>387</v>
      </c>
      <c r="E15" s="407">
        <v>7</v>
      </c>
      <c r="F15" s="407">
        <v>1883</v>
      </c>
      <c r="G15" s="429">
        <v>1</v>
      </c>
      <c r="H15" s="429">
        <v>269</v>
      </c>
      <c r="I15" s="407">
        <v>3</v>
      </c>
      <c r="J15" s="407">
        <v>816</v>
      </c>
      <c r="K15" s="429">
        <v>0.43335103558151883</v>
      </c>
      <c r="L15" s="429">
        <v>272</v>
      </c>
      <c r="M15" s="407">
        <v>4</v>
      </c>
      <c r="N15" s="407">
        <v>1092</v>
      </c>
      <c r="O15" s="430">
        <v>0.5799256505576208</v>
      </c>
      <c r="P15" s="431">
        <v>273</v>
      </c>
    </row>
    <row r="16" spans="1:16" ht="14.4" customHeight="1" x14ac:dyDescent="0.3">
      <c r="A16" s="406" t="s">
        <v>366</v>
      </c>
      <c r="B16" s="429" t="s">
        <v>367</v>
      </c>
      <c r="C16" s="429" t="s">
        <v>388</v>
      </c>
      <c r="D16" s="429" t="s">
        <v>389</v>
      </c>
      <c r="E16" s="407">
        <v>89</v>
      </c>
      <c r="F16" s="407">
        <v>47971</v>
      </c>
      <c r="G16" s="429">
        <v>1</v>
      </c>
      <c r="H16" s="429">
        <v>539</v>
      </c>
      <c r="I16" s="407">
        <v>145</v>
      </c>
      <c r="J16" s="407">
        <v>78395</v>
      </c>
      <c r="K16" s="429">
        <v>1.6342165058055909</v>
      </c>
      <c r="L16" s="429">
        <v>540.65517241379314</v>
      </c>
      <c r="M16" s="407">
        <v>269</v>
      </c>
      <c r="N16" s="407">
        <v>147143</v>
      </c>
      <c r="O16" s="430">
        <v>3.0673323466260864</v>
      </c>
      <c r="P16" s="431">
        <v>547</v>
      </c>
    </row>
    <row r="17" spans="1:16" ht="14.4" customHeight="1" x14ac:dyDescent="0.3">
      <c r="A17" s="406" t="s">
        <v>366</v>
      </c>
      <c r="B17" s="429" t="s">
        <v>367</v>
      </c>
      <c r="C17" s="429" t="s">
        <v>390</v>
      </c>
      <c r="D17" s="429" t="s">
        <v>391</v>
      </c>
      <c r="E17" s="407">
        <v>112</v>
      </c>
      <c r="F17" s="407">
        <v>60256</v>
      </c>
      <c r="G17" s="429">
        <v>1</v>
      </c>
      <c r="H17" s="429">
        <v>538</v>
      </c>
      <c r="I17" s="407">
        <v>106</v>
      </c>
      <c r="J17" s="407">
        <v>57340</v>
      </c>
      <c r="K17" s="429">
        <v>0.9516064790228359</v>
      </c>
      <c r="L17" s="429">
        <v>540.94339622641508</v>
      </c>
      <c r="M17" s="407">
        <v>72</v>
      </c>
      <c r="N17" s="407">
        <v>39312</v>
      </c>
      <c r="O17" s="430">
        <v>0.65241635687732347</v>
      </c>
      <c r="P17" s="431">
        <v>546</v>
      </c>
    </row>
    <row r="18" spans="1:16" ht="14.4" customHeight="1" thickBot="1" x14ac:dyDescent="0.35">
      <c r="A18" s="410" t="s">
        <v>366</v>
      </c>
      <c r="B18" s="432" t="s">
        <v>367</v>
      </c>
      <c r="C18" s="432" t="s">
        <v>392</v>
      </c>
      <c r="D18" s="432" t="s">
        <v>393</v>
      </c>
      <c r="E18" s="411"/>
      <c r="F18" s="411"/>
      <c r="G18" s="432"/>
      <c r="H18" s="432"/>
      <c r="I18" s="411">
        <v>4</v>
      </c>
      <c r="J18" s="411">
        <v>1076</v>
      </c>
      <c r="K18" s="432"/>
      <c r="L18" s="432">
        <v>269</v>
      </c>
      <c r="M18" s="411"/>
      <c r="N18" s="411"/>
      <c r="O18" s="433"/>
      <c r="P18" s="434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283" t="s">
        <v>100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4.4" customHeight="1" thickBot="1" x14ac:dyDescent="0.35">
      <c r="A2" s="195" t="s">
        <v>222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101</v>
      </c>
      <c r="B3" s="182">
        <f>SUBTOTAL(9,B6:B1048576)</f>
        <v>1418797</v>
      </c>
      <c r="C3" s="183">
        <f t="shared" ref="C3:R3" si="0">SUBTOTAL(9,C6:C1048576)</f>
        <v>22</v>
      </c>
      <c r="D3" s="183">
        <f t="shared" si="0"/>
        <v>1349989</v>
      </c>
      <c r="E3" s="183">
        <f t="shared" si="0"/>
        <v>29.229707831274602</v>
      </c>
      <c r="F3" s="183">
        <f t="shared" si="0"/>
        <v>1736592</v>
      </c>
      <c r="G3" s="186">
        <f>IF(B3&lt;&gt;0,F3/B3,"")</f>
        <v>1.2239890555167512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IF(H3&lt;&gt;0,L3/H3,"")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0" t="s">
        <v>82</v>
      </c>
      <c r="B4" s="311" t="s">
        <v>76</v>
      </c>
      <c r="C4" s="312"/>
      <c r="D4" s="312"/>
      <c r="E4" s="312"/>
      <c r="F4" s="312"/>
      <c r="G4" s="313"/>
      <c r="H4" s="311" t="s">
        <v>77</v>
      </c>
      <c r="I4" s="312"/>
      <c r="J4" s="312"/>
      <c r="K4" s="312"/>
      <c r="L4" s="312"/>
      <c r="M4" s="313"/>
      <c r="N4" s="311" t="s">
        <v>78</v>
      </c>
      <c r="O4" s="312"/>
      <c r="P4" s="312"/>
      <c r="Q4" s="312"/>
      <c r="R4" s="312"/>
      <c r="S4" s="313"/>
    </row>
    <row r="5" spans="1:19" ht="14.4" customHeight="1" thickBot="1" x14ac:dyDescent="0.35">
      <c r="A5" s="392"/>
      <c r="B5" s="393">
        <v>2013</v>
      </c>
      <c r="C5" s="394"/>
      <c r="D5" s="394">
        <v>2014</v>
      </c>
      <c r="E5" s="394"/>
      <c r="F5" s="394">
        <v>2015</v>
      </c>
      <c r="G5" s="395" t="s">
        <v>2</v>
      </c>
      <c r="H5" s="393">
        <v>2013</v>
      </c>
      <c r="I5" s="394"/>
      <c r="J5" s="394">
        <v>2014</v>
      </c>
      <c r="K5" s="394"/>
      <c r="L5" s="394">
        <v>2015</v>
      </c>
      <c r="M5" s="395" t="s">
        <v>2</v>
      </c>
      <c r="N5" s="393">
        <v>2013</v>
      </c>
      <c r="O5" s="394"/>
      <c r="P5" s="394">
        <v>2014</v>
      </c>
      <c r="Q5" s="394"/>
      <c r="R5" s="394">
        <v>2015</v>
      </c>
      <c r="S5" s="395" t="s">
        <v>2</v>
      </c>
    </row>
    <row r="6" spans="1:19" ht="14.4" customHeight="1" x14ac:dyDescent="0.3">
      <c r="A6" s="414" t="s">
        <v>395</v>
      </c>
      <c r="B6" s="404">
        <v>27034</v>
      </c>
      <c r="C6" s="426">
        <v>1</v>
      </c>
      <c r="D6" s="404">
        <v>18550</v>
      </c>
      <c r="E6" s="426">
        <v>0.68617296737441735</v>
      </c>
      <c r="F6" s="404">
        <v>9044</v>
      </c>
      <c r="G6" s="427">
        <v>0.33454168824443292</v>
      </c>
      <c r="H6" s="404"/>
      <c r="I6" s="426"/>
      <c r="J6" s="404"/>
      <c r="K6" s="426"/>
      <c r="L6" s="404"/>
      <c r="M6" s="427"/>
      <c r="N6" s="404"/>
      <c r="O6" s="426"/>
      <c r="P6" s="404"/>
      <c r="Q6" s="426"/>
      <c r="R6" s="404"/>
      <c r="S6" s="435"/>
    </row>
    <row r="7" spans="1:19" ht="14.4" customHeight="1" x14ac:dyDescent="0.3">
      <c r="A7" s="415" t="s">
        <v>396</v>
      </c>
      <c r="B7" s="408">
        <v>23606</v>
      </c>
      <c r="C7" s="429">
        <v>1</v>
      </c>
      <c r="D7" s="408">
        <v>1914</v>
      </c>
      <c r="E7" s="429">
        <v>8.1081081081081086E-2</v>
      </c>
      <c r="F7" s="408">
        <v>2584</v>
      </c>
      <c r="G7" s="430">
        <v>0.10946369567059222</v>
      </c>
      <c r="H7" s="408"/>
      <c r="I7" s="429"/>
      <c r="J7" s="408"/>
      <c r="K7" s="429"/>
      <c r="L7" s="408"/>
      <c r="M7" s="430"/>
      <c r="N7" s="408"/>
      <c r="O7" s="429"/>
      <c r="P7" s="408"/>
      <c r="Q7" s="429"/>
      <c r="R7" s="408"/>
      <c r="S7" s="436"/>
    </row>
    <row r="8" spans="1:19" ht="14.4" customHeight="1" x14ac:dyDescent="0.3">
      <c r="A8" s="415" t="s">
        <v>397</v>
      </c>
      <c r="B8" s="408">
        <v>11960</v>
      </c>
      <c r="C8" s="429">
        <v>1</v>
      </c>
      <c r="D8" s="408">
        <v>57234</v>
      </c>
      <c r="E8" s="429">
        <v>4.7854515050167228</v>
      </c>
      <c r="F8" s="408">
        <v>65137</v>
      </c>
      <c r="G8" s="430">
        <v>5.4462374581939796</v>
      </c>
      <c r="H8" s="408"/>
      <c r="I8" s="429"/>
      <c r="J8" s="408"/>
      <c r="K8" s="429"/>
      <c r="L8" s="408"/>
      <c r="M8" s="430"/>
      <c r="N8" s="408"/>
      <c r="O8" s="429"/>
      <c r="P8" s="408"/>
      <c r="Q8" s="429"/>
      <c r="R8" s="408"/>
      <c r="S8" s="436"/>
    </row>
    <row r="9" spans="1:19" ht="14.4" customHeight="1" x14ac:dyDescent="0.3">
      <c r="A9" s="415" t="s">
        <v>398</v>
      </c>
      <c r="B9" s="408">
        <v>26296</v>
      </c>
      <c r="C9" s="429">
        <v>1</v>
      </c>
      <c r="D9" s="408">
        <v>19188</v>
      </c>
      <c r="E9" s="429">
        <v>0.72969272893215698</v>
      </c>
      <c r="F9" s="408">
        <v>47804</v>
      </c>
      <c r="G9" s="430">
        <v>1.8179190751445087</v>
      </c>
      <c r="H9" s="408"/>
      <c r="I9" s="429"/>
      <c r="J9" s="408"/>
      <c r="K9" s="429"/>
      <c r="L9" s="408"/>
      <c r="M9" s="430"/>
      <c r="N9" s="408"/>
      <c r="O9" s="429"/>
      <c r="P9" s="408"/>
      <c r="Q9" s="429"/>
      <c r="R9" s="408"/>
      <c r="S9" s="436"/>
    </row>
    <row r="10" spans="1:19" ht="14.4" customHeight="1" x14ac:dyDescent="0.3">
      <c r="A10" s="415" t="s">
        <v>399</v>
      </c>
      <c r="B10" s="408"/>
      <c r="C10" s="429"/>
      <c r="D10" s="408">
        <v>7018</v>
      </c>
      <c r="E10" s="429"/>
      <c r="F10" s="408">
        <v>7752</v>
      </c>
      <c r="G10" s="430"/>
      <c r="H10" s="408"/>
      <c r="I10" s="429"/>
      <c r="J10" s="408"/>
      <c r="K10" s="429"/>
      <c r="L10" s="408"/>
      <c r="M10" s="430"/>
      <c r="N10" s="408"/>
      <c r="O10" s="429"/>
      <c r="P10" s="408"/>
      <c r="Q10" s="429"/>
      <c r="R10" s="408"/>
      <c r="S10" s="436"/>
    </row>
    <row r="11" spans="1:19" ht="14.4" customHeight="1" x14ac:dyDescent="0.3">
      <c r="A11" s="415" t="s">
        <v>400</v>
      </c>
      <c r="B11" s="408"/>
      <c r="C11" s="429"/>
      <c r="D11" s="408">
        <v>2576</v>
      </c>
      <c r="E11" s="429"/>
      <c r="F11" s="408"/>
      <c r="G11" s="430"/>
      <c r="H11" s="408"/>
      <c r="I11" s="429"/>
      <c r="J11" s="408"/>
      <c r="K11" s="429"/>
      <c r="L11" s="408"/>
      <c r="M11" s="430"/>
      <c r="N11" s="408"/>
      <c r="O11" s="429"/>
      <c r="P11" s="408"/>
      <c r="Q11" s="429"/>
      <c r="R11" s="408"/>
      <c r="S11" s="436"/>
    </row>
    <row r="12" spans="1:19" ht="14.4" customHeight="1" x14ac:dyDescent="0.3">
      <c r="A12" s="415" t="s">
        <v>401</v>
      </c>
      <c r="B12" s="408">
        <v>1276</v>
      </c>
      <c r="C12" s="429">
        <v>1</v>
      </c>
      <c r="D12" s="408"/>
      <c r="E12" s="429"/>
      <c r="F12" s="408">
        <v>1292</v>
      </c>
      <c r="G12" s="430">
        <v>1.0125391849529781</v>
      </c>
      <c r="H12" s="408"/>
      <c r="I12" s="429"/>
      <c r="J12" s="408"/>
      <c r="K12" s="429"/>
      <c r="L12" s="408"/>
      <c r="M12" s="430"/>
      <c r="N12" s="408"/>
      <c r="O12" s="429"/>
      <c r="P12" s="408"/>
      <c r="Q12" s="429"/>
      <c r="R12" s="408"/>
      <c r="S12" s="436"/>
    </row>
    <row r="13" spans="1:19" ht="14.4" customHeight="1" x14ac:dyDescent="0.3">
      <c r="A13" s="415" t="s">
        <v>402</v>
      </c>
      <c r="B13" s="408">
        <v>169208</v>
      </c>
      <c r="C13" s="429">
        <v>1</v>
      </c>
      <c r="D13" s="408">
        <v>190917</v>
      </c>
      <c r="E13" s="429">
        <v>1.1282977164200274</v>
      </c>
      <c r="F13" s="408">
        <v>196384</v>
      </c>
      <c r="G13" s="430">
        <v>1.1606070634958159</v>
      </c>
      <c r="H13" s="408"/>
      <c r="I13" s="429"/>
      <c r="J13" s="408"/>
      <c r="K13" s="429"/>
      <c r="L13" s="408"/>
      <c r="M13" s="430"/>
      <c r="N13" s="408"/>
      <c r="O13" s="429"/>
      <c r="P13" s="408"/>
      <c r="Q13" s="429"/>
      <c r="R13" s="408"/>
      <c r="S13" s="436"/>
    </row>
    <row r="14" spans="1:19" ht="14.4" customHeight="1" x14ac:dyDescent="0.3">
      <c r="A14" s="415" t="s">
        <v>403</v>
      </c>
      <c r="B14" s="408">
        <v>2552</v>
      </c>
      <c r="C14" s="429">
        <v>1</v>
      </c>
      <c r="D14" s="408">
        <v>2552</v>
      </c>
      <c r="E14" s="429">
        <v>1</v>
      </c>
      <c r="F14" s="408"/>
      <c r="G14" s="430"/>
      <c r="H14" s="408"/>
      <c r="I14" s="429"/>
      <c r="J14" s="408"/>
      <c r="K14" s="429"/>
      <c r="L14" s="408"/>
      <c r="M14" s="430"/>
      <c r="N14" s="408"/>
      <c r="O14" s="429"/>
      <c r="P14" s="408"/>
      <c r="Q14" s="429"/>
      <c r="R14" s="408"/>
      <c r="S14" s="436"/>
    </row>
    <row r="15" spans="1:19" ht="14.4" customHeight="1" x14ac:dyDescent="0.3">
      <c r="A15" s="415" t="s">
        <v>404</v>
      </c>
      <c r="B15" s="408">
        <v>232947</v>
      </c>
      <c r="C15" s="429">
        <v>1</v>
      </c>
      <c r="D15" s="408">
        <v>203395</v>
      </c>
      <c r="E15" s="429">
        <v>0.87313852507222678</v>
      </c>
      <c r="F15" s="408">
        <v>208953</v>
      </c>
      <c r="G15" s="430">
        <v>0.89699802959471464</v>
      </c>
      <c r="H15" s="408"/>
      <c r="I15" s="429"/>
      <c r="J15" s="408"/>
      <c r="K15" s="429"/>
      <c r="L15" s="408"/>
      <c r="M15" s="430"/>
      <c r="N15" s="408"/>
      <c r="O15" s="429"/>
      <c r="P15" s="408"/>
      <c r="Q15" s="429"/>
      <c r="R15" s="408"/>
      <c r="S15" s="436"/>
    </row>
    <row r="16" spans="1:19" ht="14.4" customHeight="1" x14ac:dyDescent="0.3">
      <c r="A16" s="415" t="s">
        <v>405</v>
      </c>
      <c r="B16" s="408">
        <v>1276</v>
      </c>
      <c r="C16" s="429">
        <v>1</v>
      </c>
      <c r="D16" s="408"/>
      <c r="E16" s="429"/>
      <c r="F16" s="408">
        <v>15504</v>
      </c>
      <c r="G16" s="430">
        <v>12.150470219435737</v>
      </c>
      <c r="H16" s="408"/>
      <c r="I16" s="429"/>
      <c r="J16" s="408"/>
      <c r="K16" s="429"/>
      <c r="L16" s="408"/>
      <c r="M16" s="430"/>
      <c r="N16" s="408"/>
      <c r="O16" s="429"/>
      <c r="P16" s="408"/>
      <c r="Q16" s="429"/>
      <c r="R16" s="408"/>
      <c r="S16" s="436"/>
    </row>
    <row r="17" spans="1:19" ht="14.4" customHeight="1" x14ac:dyDescent="0.3">
      <c r="A17" s="415" t="s">
        <v>406</v>
      </c>
      <c r="B17" s="408"/>
      <c r="C17" s="429"/>
      <c r="D17" s="408"/>
      <c r="E17" s="429"/>
      <c r="F17" s="408">
        <v>15504</v>
      </c>
      <c r="G17" s="430"/>
      <c r="H17" s="408"/>
      <c r="I17" s="429"/>
      <c r="J17" s="408"/>
      <c r="K17" s="429"/>
      <c r="L17" s="408"/>
      <c r="M17" s="430"/>
      <c r="N17" s="408"/>
      <c r="O17" s="429"/>
      <c r="P17" s="408"/>
      <c r="Q17" s="429"/>
      <c r="R17" s="408"/>
      <c r="S17" s="436"/>
    </row>
    <row r="18" spans="1:19" ht="14.4" customHeight="1" x14ac:dyDescent="0.3">
      <c r="A18" s="415" t="s">
        <v>407</v>
      </c>
      <c r="B18" s="408">
        <v>4466</v>
      </c>
      <c r="C18" s="429">
        <v>1</v>
      </c>
      <c r="D18" s="408"/>
      <c r="E18" s="429"/>
      <c r="F18" s="408">
        <v>25840</v>
      </c>
      <c r="G18" s="430">
        <v>5.7859381997313033</v>
      </c>
      <c r="H18" s="408"/>
      <c r="I18" s="429"/>
      <c r="J18" s="408"/>
      <c r="K18" s="429"/>
      <c r="L18" s="408"/>
      <c r="M18" s="430"/>
      <c r="N18" s="408"/>
      <c r="O18" s="429"/>
      <c r="P18" s="408"/>
      <c r="Q18" s="429"/>
      <c r="R18" s="408"/>
      <c r="S18" s="436"/>
    </row>
    <row r="19" spans="1:19" ht="14.4" customHeight="1" x14ac:dyDescent="0.3">
      <c r="A19" s="415" t="s">
        <v>408</v>
      </c>
      <c r="B19" s="408"/>
      <c r="C19" s="429"/>
      <c r="D19" s="408">
        <v>966</v>
      </c>
      <c r="E19" s="429"/>
      <c r="F19" s="408"/>
      <c r="G19" s="430"/>
      <c r="H19" s="408"/>
      <c r="I19" s="429"/>
      <c r="J19" s="408"/>
      <c r="K19" s="429"/>
      <c r="L19" s="408"/>
      <c r="M19" s="430"/>
      <c r="N19" s="408"/>
      <c r="O19" s="429"/>
      <c r="P19" s="408"/>
      <c r="Q19" s="429"/>
      <c r="R19" s="408"/>
      <c r="S19" s="436"/>
    </row>
    <row r="20" spans="1:19" ht="14.4" customHeight="1" x14ac:dyDescent="0.3">
      <c r="A20" s="415" t="s">
        <v>409</v>
      </c>
      <c r="B20" s="408">
        <v>434344</v>
      </c>
      <c r="C20" s="429">
        <v>1</v>
      </c>
      <c r="D20" s="408">
        <v>271663</v>
      </c>
      <c r="E20" s="429">
        <v>0.62545585987143826</v>
      </c>
      <c r="F20" s="408">
        <v>271958</v>
      </c>
      <c r="G20" s="430">
        <v>0.62613504503342976</v>
      </c>
      <c r="H20" s="408"/>
      <c r="I20" s="429"/>
      <c r="J20" s="408"/>
      <c r="K20" s="429"/>
      <c r="L20" s="408"/>
      <c r="M20" s="430"/>
      <c r="N20" s="408"/>
      <c r="O20" s="429"/>
      <c r="P20" s="408"/>
      <c r="Q20" s="429"/>
      <c r="R20" s="408"/>
      <c r="S20" s="436"/>
    </row>
    <row r="21" spans="1:19" ht="14.4" customHeight="1" x14ac:dyDescent="0.3">
      <c r="A21" s="415" t="s">
        <v>410</v>
      </c>
      <c r="B21" s="408">
        <v>190300</v>
      </c>
      <c r="C21" s="429">
        <v>1</v>
      </c>
      <c r="D21" s="408">
        <v>258822</v>
      </c>
      <c r="E21" s="429">
        <v>1.3600735680504468</v>
      </c>
      <c r="F21" s="408">
        <v>344273</v>
      </c>
      <c r="G21" s="430">
        <v>1.8091066736731476</v>
      </c>
      <c r="H21" s="408"/>
      <c r="I21" s="429"/>
      <c r="J21" s="408"/>
      <c r="K21" s="429"/>
      <c r="L21" s="408"/>
      <c r="M21" s="430"/>
      <c r="N21" s="408"/>
      <c r="O21" s="429"/>
      <c r="P21" s="408"/>
      <c r="Q21" s="429"/>
      <c r="R21" s="408"/>
      <c r="S21" s="436"/>
    </row>
    <row r="22" spans="1:19" ht="14.4" customHeight="1" x14ac:dyDescent="0.3">
      <c r="A22" s="415" t="s">
        <v>411</v>
      </c>
      <c r="B22" s="408">
        <v>7532</v>
      </c>
      <c r="C22" s="429">
        <v>1</v>
      </c>
      <c r="D22" s="408">
        <v>1288</v>
      </c>
      <c r="E22" s="429">
        <v>0.17100371747211895</v>
      </c>
      <c r="F22" s="408">
        <v>19087</v>
      </c>
      <c r="G22" s="430">
        <v>2.5341210833775891</v>
      </c>
      <c r="H22" s="408"/>
      <c r="I22" s="429"/>
      <c r="J22" s="408"/>
      <c r="K22" s="429"/>
      <c r="L22" s="408"/>
      <c r="M22" s="430"/>
      <c r="N22" s="408"/>
      <c r="O22" s="429"/>
      <c r="P22" s="408"/>
      <c r="Q22" s="429"/>
      <c r="R22" s="408"/>
      <c r="S22" s="436"/>
    </row>
    <row r="23" spans="1:19" ht="14.4" customHeight="1" x14ac:dyDescent="0.3">
      <c r="A23" s="415" t="s">
        <v>412</v>
      </c>
      <c r="B23" s="408">
        <v>2552</v>
      </c>
      <c r="C23" s="429">
        <v>1</v>
      </c>
      <c r="D23" s="408">
        <v>8580</v>
      </c>
      <c r="E23" s="429">
        <v>3.3620689655172415</v>
      </c>
      <c r="F23" s="408">
        <v>6460</v>
      </c>
      <c r="G23" s="430">
        <v>2.5313479623824451</v>
      </c>
      <c r="H23" s="408"/>
      <c r="I23" s="429"/>
      <c r="J23" s="408"/>
      <c r="K23" s="429"/>
      <c r="L23" s="408"/>
      <c r="M23" s="430"/>
      <c r="N23" s="408"/>
      <c r="O23" s="429"/>
      <c r="P23" s="408"/>
      <c r="Q23" s="429"/>
      <c r="R23" s="408"/>
      <c r="S23" s="436"/>
    </row>
    <row r="24" spans="1:19" ht="14.4" customHeight="1" x14ac:dyDescent="0.3">
      <c r="A24" s="415" t="s">
        <v>413</v>
      </c>
      <c r="B24" s="408">
        <v>51997</v>
      </c>
      <c r="C24" s="429">
        <v>1</v>
      </c>
      <c r="D24" s="408">
        <v>88976</v>
      </c>
      <c r="E24" s="429">
        <v>1.7111756447487354</v>
      </c>
      <c r="F24" s="408">
        <v>73642</v>
      </c>
      <c r="G24" s="430">
        <v>1.4162740158086042</v>
      </c>
      <c r="H24" s="408"/>
      <c r="I24" s="429"/>
      <c r="J24" s="408"/>
      <c r="K24" s="429"/>
      <c r="L24" s="408"/>
      <c r="M24" s="430"/>
      <c r="N24" s="408"/>
      <c r="O24" s="429"/>
      <c r="P24" s="408"/>
      <c r="Q24" s="429"/>
      <c r="R24" s="408"/>
      <c r="S24" s="436"/>
    </row>
    <row r="25" spans="1:19" ht="14.4" customHeight="1" x14ac:dyDescent="0.3">
      <c r="A25" s="415" t="s">
        <v>414</v>
      </c>
      <c r="B25" s="408">
        <v>1276</v>
      </c>
      <c r="C25" s="429">
        <v>1</v>
      </c>
      <c r="D25" s="408">
        <v>5104</v>
      </c>
      <c r="E25" s="429">
        <v>4</v>
      </c>
      <c r="F25" s="408">
        <v>10336</v>
      </c>
      <c r="G25" s="430">
        <v>8.100313479623825</v>
      </c>
      <c r="H25" s="408"/>
      <c r="I25" s="429"/>
      <c r="J25" s="408"/>
      <c r="K25" s="429"/>
      <c r="L25" s="408"/>
      <c r="M25" s="430"/>
      <c r="N25" s="408"/>
      <c r="O25" s="429"/>
      <c r="P25" s="408"/>
      <c r="Q25" s="429"/>
      <c r="R25" s="408"/>
      <c r="S25" s="436"/>
    </row>
    <row r="26" spans="1:19" ht="14.4" customHeight="1" x14ac:dyDescent="0.3">
      <c r="A26" s="415" t="s">
        <v>415</v>
      </c>
      <c r="B26" s="408">
        <v>2552</v>
      </c>
      <c r="C26" s="429">
        <v>1</v>
      </c>
      <c r="D26" s="408">
        <v>10320</v>
      </c>
      <c r="E26" s="429">
        <v>4.0438871473354228</v>
      </c>
      <c r="F26" s="408">
        <v>70752</v>
      </c>
      <c r="G26" s="430">
        <v>27.724137931034484</v>
      </c>
      <c r="H26" s="408"/>
      <c r="I26" s="429"/>
      <c r="J26" s="408"/>
      <c r="K26" s="429"/>
      <c r="L26" s="408"/>
      <c r="M26" s="430"/>
      <c r="N26" s="408"/>
      <c r="O26" s="429"/>
      <c r="P26" s="408"/>
      <c r="Q26" s="429"/>
      <c r="R26" s="408"/>
      <c r="S26" s="436"/>
    </row>
    <row r="27" spans="1:19" ht="14.4" customHeight="1" x14ac:dyDescent="0.3">
      <c r="A27" s="415" t="s">
        <v>416</v>
      </c>
      <c r="B27" s="408">
        <v>6856</v>
      </c>
      <c r="C27" s="429">
        <v>1</v>
      </c>
      <c r="D27" s="408">
        <v>6554</v>
      </c>
      <c r="E27" s="429">
        <v>0.95595099183197196</v>
      </c>
      <c r="F27" s="408">
        <v>60000</v>
      </c>
      <c r="G27" s="430">
        <v>8.7514585764294051</v>
      </c>
      <c r="H27" s="408"/>
      <c r="I27" s="429"/>
      <c r="J27" s="408"/>
      <c r="K27" s="429"/>
      <c r="L27" s="408"/>
      <c r="M27" s="430"/>
      <c r="N27" s="408"/>
      <c r="O27" s="429"/>
      <c r="P27" s="408"/>
      <c r="Q27" s="429"/>
      <c r="R27" s="408"/>
      <c r="S27" s="436"/>
    </row>
    <row r="28" spans="1:19" ht="14.4" customHeight="1" x14ac:dyDescent="0.3">
      <c r="A28" s="415" t="s">
        <v>417</v>
      </c>
      <c r="B28" s="408">
        <v>27772</v>
      </c>
      <c r="C28" s="429">
        <v>1</v>
      </c>
      <c r="D28" s="408">
        <v>42324</v>
      </c>
      <c r="E28" s="429">
        <v>1.5239809880455135</v>
      </c>
      <c r="F28" s="408">
        <v>57540</v>
      </c>
      <c r="G28" s="430">
        <v>2.0718709491574248</v>
      </c>
      <c r="H28" s="408"/>
      <c r="I28" s="429"/>
      <c r="J28" s="408"/>
      <c r="K28" s="429"/>
      <c r="L28" s="408"/>
      <c r="M28" s="430"/>
      <c r="N28" s="408"/>
      <c r="O28" s="429"/>
      <c r="P28" s="408"/>
      <c r="Q28" s="429"/>
      <c r="R28" s="408"/>
      <c r="S28" s="436"/>
    </row>
    <row r="29" spans="1:19" ht="14.4" customHeight="1" x14ac:dyDescent="0.3">
      <c r="A29" s="415" t="s">
        <v>418</v>
      </c>
      <c r="B29" s="408">
        <v>175131</v>
      </c>
      <c r="C29" s="429">
        <v>1</v>
      </c>
      <c r="D29" s="408">
        <v>139276</v>
      </c>
      <c r="E29" s="429">
        <v>0.79526754258240973</v>
      </c>
      <c r="F29" s="408">
        <v>218994</v>
      </c>
      <c r="G29" s="430">
        <v>1.2504582284118746</v>
      </c>
      <c r="H29" s="408"/>
      <c r="I29" s="429"/>
      <c r="J29" s="408"/>
      <c r="K29" s="429"/>
      <c r="L29" s="408"/>
      <c r="M29" s="430"/>
      <c r="N29" s="408"/>
      <c r="O29" s="429"/>
      <c r="P29" s="408"/>
      <c r="Q29" s="429"/>
      <c r="R29" s="408"/>
      <c r="S29" s="436"/>
    </row>
    <row r="30" spans="1:19" ht="14.4" customHeight="1" x14ac:dyDescent="0.3">
      <c r="A30" s="415" t="s">
        <v>419</v>
      </c>
      <c r="B30" s="408">
        <v>7656</v>
      </c>
      <c r="C30" s="429">
        <v>1</v>
      </c>
      <c r="D30" s="408">
        <v>4466</v>
      </c>
      <c r="E30" s="429">
        <v>0.58333333333333337</v>
      </c>
      <c r="F30" s="408"/>
      <c r="G30" s="430"/>
      <c r="H30" s="408"/>
      <c r="I30" s="429"/>
      <c r="J30" s="408"/>
      <c r="K30" s="429"/>
      <c r="L30" s="408"/>
      <c r="M30" s="430"/>
      <c r="N30" s="408"/>
      <c r="O30" s="429"/>
      <c r="P30" s="408"/>
      <c r="Q30" s="429"/>
      <c r="R30" s="408"/>
      <c r="S30" s="436"/>
    </row>
    <row r="31" spans="1:19" ht="14.4" customHeight="1" thickBot="1" x14ac:dyDescent="0.35">
      <c r="A31" s="416" t="s">
        <v>420</v>
      </c>
      <c r="B31" s="412">
        <v>10208</v>
      </c>
      <c r="C31" s="432">
        <v>1</v>
      </c>
      <c r="D31" s="412">
        <v>8306</v>
      </c>
      <c r="E31" s="432">
        <v>0.81367554858934166</v>
      </c>
      <c r="F31" s="412">
        <v>7752</v>
      </c>
      <c r="G31" s="433">
        <v>0.75940438871473359</v>
      </c>
      <c r="H31" s="412"/>
      <c r="I31" s="432"/>
      <c r="J31" s="412"/>
      <c r="K31" s="432"/>
      <c r="L31" s="412"/>
      <c r="M31" s="433"/>
      <c r="N31" s="412"/>
      <c r="O31" s="432"/>
      <c r="P31" s="412"/>
      <c r="Q31" s="432"/>
      <c r="R31" s="412"/>
      <c r="S31" s="43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7" customWidth="1"/>
    <col min="8" max="9" width="9.33203125" style="177" hidden="1" customWidth="1"/>
    <col min="10" max="11" width="11.109375" style="177" customWidth="1"/>
    <col min="12" max="13" width="9.33203125" style="177" hidden="1" customWidth="1"/>
    <col min="14" max="15" width="11.109375" style="177" customWidth="1"/>
    <col min="16" max="16" width="11.109375" style="180" customWidth="1"/>
    <col min="17" max="17" width="11.109375" style="177" customWidth="1"/>
    <col min="18" max="16384" width="8.88671875" style="102"/>
  </cols>
  <sheetData>
    <row r="1" spans="1:17" ht="18.600000000000001" customHeight="1" thickBot="1" x14ac:dyDescent="0.4">
      <c r="A1" s="274" t="s">
        <v>449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ht="14.4" customHeight="1" thickBot="1" x14ac:dyDescent="0.35">
      <c r="A2" s="195" t="s">
        <v>222</v>
      </c>
      <c r="B2" s="103"/>
      <c r="C2" s="103"/>
      <c r="D2" s="103"/>
      <c r="E2" s="103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4111</v>
      </c>
      <c r="G3" s="75">
        <f t="shared" si="0"/>
        <v>1418797</v>
      </c>
      <c r="H3" s="75"/>
      <c r="I3" s="75"/>
      <c r="J3" s="75">
        <f t="shared" si="0"/>
        <v>3839</v>
      </c>
      <c r="K3" s="75">
        <f t="shared" si="0"/>
        <v>1349989</v>
      </c>
      <c r="L3" s="75"/>
      <c r="M3" s="75"/>
      <c r="N3" s="75">
        <f t="shared" si="0"/>
        <v>4803</v>
      </c>
      <c r="O3" s="75">
        <f t="shared" si="0"/>
        <v>1736592</v>
      </c>
      <c r="P3" s="58">
        <f>IF(G3=0,0,O3/G3)</f>
        <v>1.2239890555167512</v>
      </c>
      <c r="Q3" s="76">
        <f>IF(N3=0,0,O3/N3)</f>
        <v>361.56402248594628</v>
      </c>
    </row>
    <row r="4" spans="1:17" ht="14.4" customHeight="1" x14ac:dyDescent="0.3">
      <c r="A4" s="319" t="s">
        <v>46</v>
      </c>
      <c r="B4" s="318" t="s">
        <v>72</v>
      </c>
      <c r="C4" s="319" t="s">
        <v>73</v>
      </c>
      <c r="D4" s="327" t="s">
        <v>74</v>
      </c>
      <c r="E4" s="320" t="s">
        <v>47</v>
      </c>
      <c r="F4" s="325">
        <v>2013</v>
      </c>
      <c r="G4" s="326"/>
      <c r="H4" s="77"/>
      <c r="I4" s="77"/>
      <c r="J4" s="325">
        <v>2014</v>
      </c>
      <c r="K4" s="326"/>
      <c r="L4" s="77"/>
      <c r="M4" s="77"/>
      <c r="N4" s="325">
        <v>2015</v>
      </c>
      <c r="O4" s="326"/>
      <c r="P4" s="328" t="s">
        <v>2</v>
      </c>
      <c r="Q4" s="317" t="s">
        <v>75</v>
      </c>
    </row>
    <row r="5" spans="1:17" ht="14.4" customHeight="1" thickBot="1" x14ac:dyDescent="0.35">
      <c r="A5" s="418"/>
      <c r="B5" s="417"/>
      <c r="C5" s="418"/>
      <c r="D5" s="438"/>
      <c r="E5" s="420"/>
      <c r="F5" s="439" t="s">
        <v>49</v>
      </c>
      <c r="G5" s="440" t="s">
        <v>5</v>
      </c>
      <c r="H5" s="441"/>
      <c r="I5" s="441"/>
      <c r="J5" s="439" t="s">
        <v>49</v>
      </c>
      <c r="K5" s="440" t="s">
        <v>5</v>
      </c>
      <c r="L5" s="441"/>
      <c r="M5" s="441"/>
      <c r="N5" s="439" t="s">
        <v>49</v>
      </c>
      <c r="O5" s="440" t="s">
        <v>5</v>
      </c>
      <c r="P5" s="442"/>
      <c r="Q5" s="425"/>
    </row>
    <row r="6" spans="1:17" ht="14.4" customHeight="1" x14ac:dyDescent="0.3">
      <c r="A6" s="402" t="s">
        <v>421</v>
      </c>
      <c r="B6" s="426" t="s">
        <v>366</v>
      </c>
      <c r="C6" s="426" t="s">
        <v>367</v>
      </c>
      <c r="D6" s="426" t="s">
        <v>372</v>
      </c>
      <c r="E6" s="426" t="s">
        <v>373</v>
      </c>
      <c r="F6" s="403">
        <v>78</v>
      </c>
      <c r="G6" s="403">
        <v>24882</v>
      </c>
      <c r="H6" s="403">
        <v>1</v>
      </c>
      <c r="I6" s="403">
        <v>319</v>
      </c>
      <c r="J6" s="403">
        <v>58</v>
      </c>
      <c r="K6" s="403">
        <v>18550</v>
      </c>
      <c r="L6" s="403">
        <v>0.74551884896712484</v>
      </c>
      <c r="M6" s="403">
        <v>319.82758620689657</v>
      </c>
      <c r="N6" s="403">
        <v>28</v>
      </c>
      <c r="O6" s="403">
        <v>9044</v>
      </c>
      <c r="P6" s="427">
        <v>0.3634756048549152</v>
      </c>
      <c r="Q6" s="428">
        <v>323</v>
      </c>
    </row>
    <row r="7" spans="1:17" ht="14.4" customHeight="1" x14ac:dyDescent="0.3">
      <c r="A7" s="406" t="s">
        <v>421</v>
      </c>
      <c r="B7" s="429" t="s">
        <v>366</v>
      </c>
      <c r="C7" s="429" t="s">
        <v>367</v>
      </c>
      <c r="D7" s="429" t="s">
        <v>382</v>
      </c>
      <c r="E7" s="429" t="s">
        <v>383</v>
      </c>
      <c r="F7" s="407">
        <v>4</v>
      </c>
      <c r="G7" s="407">
        <v>2152</v>
      </c>
      <c r="H7" s="407">
        <v>1</v>
      </c>
      <c r="I7" s="407">
        <v>538</v>
      </c>
      <c r="J7" s="407"/>
      <c r="K7" s="407"/>
      <c r="L7" s="407"/>
      <c r="M7" s="407"/>
      <c r="N7" s="407"/>
      <c r="O7" s="407"/>
      <c r="P7" s="430"/>
      <c r="Q7" s="431"/>
    </row>
    <row r="8" spans="1:17" ht="14.4" customHeight="1" x14ac:dyDescent="0.3">
      <c r="A8" s="406" t="s">
        <v>422</v>
      </c>
      <c r="B8" s="429" t="s">
        <v>366</v>
      </c>
      <c r="C8" s="429" t="s">
        <v>367</v>
      </c>
      <c r="D8" s="429" t="s">
        <v>372</v>
      </c>
      <c r="E8" s="429" t="s">
        <v>373</v>
      </c>
      <c r="F8" s="407">
        <v>74</v>
      </c>
      <c r="G8" s="407">
        <v>23606</v>
      </c>
      <c r="H8" s="407">
        <v>1</v>
      </c>
      <c r="I8" s="407">
        <v>319</v>
      </c>
      <c r="J8" s="407">
        <v>6</v>
      </c>
      <c r="K8" s="407">
        <v>1914</v>
      </c>
      <c r="L8" s="407">
        <v>8.1081081081081086E-2</v>
      </c>
      <c r="M8" s="407">
        <v>319</v>
      </c>
      <c r="N8" s="407">
        <v>8</v>
      </c>
      <c r="O8" s="407">
        <v>2584</v>
      </c>
      <c r="P8" s="430">
        <v>0.10946369567059222</v>
      </c>
      <c r="Q8" s="431">
        <v>323</v>
      </c>
    </row>
    <row r="9" spans="1:17" ht="14.4" customHeight="1" x14ac:dyDescent="0.3">
      <c r="A9" s="406" t="s">
        <v>423</v>
      </c>
      <c r="B9" s="429" t="s">
        <v>366</v>
      </c>
      <c r="C9" s="429" t="s">
        <v>367</v>
      </c>
      <c r="D9" s="429" t="s">
        <v>372</v>
      </c>
      <c r="E9" s="429" t="s">
        <v>373</v>
      </c>
      <c r="F9" s="407">
        <v>24</v>
      </c>
      <c r="G9" s="407">
        <v>7656</v>
      </c>
      <c r="H9" s="407">
        <v>1</v>
      </c>
      <c r="I9" s="407">
        <v>319</v>
      </c>
      <c r="J9" s="407">
        <v>152</v>
      </c>
      <c r="K9" s="407">
        <v>48608</v>
      </c>
      <c r="L9" s="407">
        <v>6.349007314524556</v>
      </c>
      <c r="M9" s="407">
        <v>319.78947368421052</v>
      </c>
      <c r="N9" s="407">
        <v>103</v>
      </c>
      <c r="O9" s="407">
        <v>33269</v>
      </c>
      <c r="P9" s="430">
        <v>4.3454806687565304</v>
      </c>
      <c r="Q9" s="431">
        <v>323</v>
      </c>
    </row>
    <row r="10" spans="1:17" ht="14.4" customHeight="1" x14ac:dyDescent="0.3">
      <c r="A10" s="406" t="s">
        <v>423</v>
      </c>
      <c r="B10" s="429" t="s">
        <v>366</v>
      </c>
      <c r="C10" s="429" t="s">
        <v>367</v>
      </c>
      <c r="D10" s="429" t="s">
        <v>374</v>
      </c>
      <c r="E10" s="429" t="s">
        <v>375</v>
      </c>
      <c r="F10" s="407"/>
      <c r="G10" s="407"/>
      <c r="H10" s="407"/>
      <c r="I10" s="407"/>
      <c r="J10" s="407"/>
      <c r="K10" s="407"/>
      <c r="L10" s="407"/>
      <c r="M10" s="407"/>
      <c r="N10" s="407">
        <v>4</v>
      </c>
      <c r="O10" s="407">
        <v>1292</v>
      </c>
      <c r="P10" s="430"/>
      <c r="Q10" s="431">
        <v>323</v>
      </c>
    </row>
    <row r="11" spans="1:17" ht="14.4" customHeight="1" x14ac:dyDescent="0.3">
      <c r="A11" s="406" t="s">
        <v>423</v>
      </c>
      <c r="B11" s="429" t="s">
        <v>366</v>
      </c>
      <c r="C11" s="429" t="s">
        <v>367</v>
      </c>
      <c r="D11" s="429" t="s">
        <v>382</v>
      </c>
      <c r="E11" s="429" t="s">
        <v>383</v>
      </c>
      <c r="F11" s="407">
        <v>8</v>
      </c>
      <c r="G11" s="407">
        <v>4304</v>
      </c>
      <c r="H11" s="407">
        <v>1</v>
      </c>
      <c r="I11" s="407">
        <v>538</v>
      </c>
      <c r="J11" s="407">
        <v>16</v>
      </c>
      <c r="K11" s="407">
        <v>8626</v>
      </c>
      <c r="L11" s="407">
        <v>2.0041821561338291</v>
      </c>
      <c r="M11" s="407">
        <v>539.125</v>
      </c>
      <c r="N11" s="407">
        <v>56</v>
      </c>
      <c r="O11" s="407">
        <v>30576</v>
      </c>
      <c r="P11" s="430">
        <v>7.1040892193308549</v>
      </c>
      <c r="Q11" s="431">
        <v>546</v>
      </c>
    </row>
    <row r="12" spans="1:17" ht="14.4" customHeight="1" x14ac:dyDescent="0.3">
      <c r="A12" s="406" t="s">
        <v>424</v>
      </c>
      <c r="B12" s="429" t="s">
        <v>366</v>
      </c>
      <c r="C12" s="429" t="s">
        <v>367</v>
      </c>
      <c r="D12" s="429" t="s">
        <v>370</v>
      </c>
      <c r="E12" s="429" t="s">
        <v>371</v>
      </c>
      <c r="F12" s="407">
        <v>2</v>
      </c>
      <c r="G12" s="407">
        <v>138</v>
      </c>
      <c r="H12" s="407">
        <v>1</v>
      </c>
      <c r="I12" s="407">
        <v>69</v>
      </c>
      <c r="J12" s="407"/>
      <c r="K12" s="407"/>
      <c r="L12" s="407"/>
      <c r="M12" s="407"/>
      <c r="N12" s="407"/>
      <c r="O12" s="407"/>
      <c r="P12" s="430"/>
      <c r="Q12" s="431"/>
    </row>
    <row r="13" spans="1:17" ht="14.4" customHeight="1" x14ac:dyDescent="0.3">
      <c r="A13" s="406" t="s">
        <v>424</v>
      </c>
      <c r="B13" s="429" t="s">
        <v>366</v>
      </c>
      <c r="C13" s="429" t="s">
        <v>367</v>
      </c>
      <c r="D13" s="429" t="s">
        <v>372</v>
      </c>
      <c r="E13" s="429" t="s">
        <v>373</v>
      </c>
      <c r="F13" s="407">
        <v>82</v>
      </c>
      <c r="G13" s="407">
        <v>26158</v>
      </c>
      <c r="H13" s="407">
        <v>1</v>
      </c>
      <c r="I13" s="407">
        <v>319</v>
      </c>
      <c r="J13" s="407">
        <v>60</v>
      </c>
      <c r="K13" s="407">
        <v>19188</v>
      </c>
      <c r="L13" s="407">
        <v>0.73354231974921635</v>
      </c>
      <c r="M13" s="407">
        <v>319.8</v>
      </c>
      <c r="N13" s="407">
        <v>148</v>
      </c>
      <c r="O13" s="407">
        <v>47804</v>
      </c>
      <c r="P13" s="430">
        <v>1.8275097484517164</v>
      </c>
      <c r="Q13" s="431">
        <v>323</v>
      </c>
    </row>
    <row r="14" spans="1:17" ht="14.4" customHeight="1" x14ac:dyDescent="0.3">
      <c r="A14" s="406" t="s">
        <v>425</v>
      </c>
      <c r="B14" s="429" t="s">
        <v>366</v>
      </c>
      <c r="C14" s="429" t="s">
        <v>367</v>
      </c>
      <c r="D14" s="429" t="s">
        <v>372</v>
      </c>
      <c r="E14" s="429" t="s">
        <v>373</v>
      </c>
      <c r="F14" s="407"/>
      <c r="G14" s="407"/>
      <c r="H14" s="407"/>
      <c r="I14" s="407"/>
      <c r="J14" s="407">
        <v>22</v>
      </c>
      <c r="K14" s="407">
        <v>7018</v>
      </c>
      <c r="L14" s="407"/>
      <c r="M14" s="407">
        <v>319</v>
      </c>
      <c r="N14" s="407">
        <v>24</v>
      </c>
      <c r="O14" s="407">
        <v>7752</v>
      </c>
      <c r="P14" s="430"/>
      <c r="Q14" s="431">
        <v>323</v>
      </c>
    </row>
    <row r="15" spans="1:17" ht="14.4" customHeight="1" x14ac:dyDescent="0.3">
      <c r="A15" s="406" t="s">
        <v>426</v>
      </c>
      <c r="B15" s="429" t="s">
        <v>366</v>
      </c>
      <c r="C15" s="429" t="s">
        <v>367</v>
      </c>
      <c r="D15" s="429" t="s">
        <v>372</v>
      </c>
      <c r="E15" s="429" t="s">
        <v>373</v>
      </c>
      <c r="F15" s="407"/>
      <c r="G15" s="407"/>
      <c r="H15" s="407"/>
      <c r="I15" s="407"/>
      <c r="J15" s="407">
        <v>8</v>
      </c>
      <c r="K15" s="407">
        <v>2576</v>
      </c>
      <c r="L15" s="407"/>
      <c r="M15" s="407">
        <v>322</v>
      </c>
      <c r="N15" s="407"/>
      <c r="O15" s="407"/>
      <c r="P15" s="430"/>
      <c r="Q15" s="431"/>
    </row>
    <row r="16" spans="1:17" ht="14.4" customHeight="1" x14ac:dyDescent="0.3">
      <c r="A16" s="406" t="s">
        <v>427</v>
      </c>
      <c r="B16" s="429" t="s">
        <v>366</v>
      </c>
      <c r="C16" s="429" t="s">
        <v>367</v>
      </c>
      <c r="D16" s="429" t="s">
        <v>372</v>
      </c>
      <c r="E16" s="429" t="s">
        <v>373</v>
      </c>
      <c r="F16" s="407">
        <v>4</v>
      </c>
      <c r="G16" s="407">
        <v>1276</v>
      </c>
      <c r="H16" s="407">
        <v>1</v>
      </c>
      <c r="I16" s="407">
        <v>319</v>
      </c>
      <c r="J16" s="407"/>
      <c r="K16" s="407"/>
      <c r="L16" s="407"/>
      <c r="M16" s="407"/>
      <c r="N16" s="407">
        <v>4</v>
      </c>
      <c r="O16" s="407">
        <v>1292</v>
      </c>
      <c r="P16" s="430">
        <v>1.0125391849529781</v>
      </c>
      <c r="Q16" s="431">
        <v>323</v>
      </c>
    </row>
    <row r="17" spans="1:17" ht="14.4" customHeight="1" x14ac:dyDescent="0.3">
      <c r="A17" s="406" t="s">
        <v>428</v>
      </c>
      <c r="B17" s="429" t="s">
        <v>366</v>
      </c>
      <c r="C17" s="429" t="s">
        <v>367</v>
      </c>
      <c r="D17" s="429" t="s">
        <v>370</v>
      </c>
      <c r="E17" s="429" t="s">
        <v>371</v>
      </c>
      <c r="F17" s="407">
        <v>2</v>
      </c>
      <c r="G17" s="407">
        <v>138</v>
      </c>
      <c r="H17" s="407">
        <v>1</v>
      </c>
      <c r="I17" s="407">
        <v>69</v>
      </c>
      <c r="J17" s="407"/>
      <c r="K17" s="407"/>
      <c r="L17" s="407"/>
      <c r="M17" s="407"/>
      <c r="N17" s="407"/>
      <c r="O17" s="407"/>
      <c r="P17" s="430"/>
      <c r="Q17" s="431"/>
    </row>
    <row r="18" spans="1:17" ht="14.4" customHeight="1" x14ac:dyDescent="0.3">
      <c r="A18" s="406" t="s">
        <v>428</v>
      </c>
      <c r="B18" s="429" t="s">
        <v>366</v>
      </c>
      <c r="C18" s="429" t="s">
        <v>367</v>
      </c>
      <c r="D18" s="429" t="s">
        <v>372</v>
      </c>
      <c r="E18" s="429" t="s">
        <v>373</v>
      </c>
      <c r="F18" s="407">
        <v>260</v>
      </c>
      <c r="G18" s="407">
        <v>82940</v>
      </c>
      <c r="H18" s="407">
        <v>1</v>
      </c>
      <c r="I18" s="407">
        <v>319</v>
      </c>
      <c r="J18" s="407">
        <v>214</v>
      </c>
      <c r="K18" s="407">
        <v>68482</v>
      </c>
      <c r="L18" s="407">
        <v>0.82568121533638772</v>
      </c>
      <c r="M18" s="407">
        <v>320.00934579439252</v>
      </c>
      <c r="N18" s="407">
        <v>280</v>
      </c>
      <c r="O18" s="407">
        <v>90440</v>
      </c>
      <c r="P18" s="430">
        <v>1.0904268145647456</v>
      </c>
      <c r="Q18" s="431">
        <v>323</v>
      </c>
    </row>
    <row r="19" spans="1:17" ht="14.4" customHeight="1" x14ac:dyDescent="0.3">
      <c r="A19" s="406" t="s">
        <v>428</v>
      </c>
      <c r="B19" s="429" t="s">
        <v>366</v>
      </c>
      <c r="C19" s="429" t="s">
        <v>367</v>
      </c>
      <c r="D19" s="429" t="s">
        <v>376</v>
      </c>
      <c r="E19" s="429" t="s">
        <v>377</v>
      </c>
      <c r="F19" s="407">
        <v>270</v>
      </c>
      <c r="G19" s="407">
        <v>86130</v>
      </c>
      <c r="H19" s="407">
        <v>1</v>
      </c>
      <c r="I19" s="407">
        <v>319</v>
      </c>
      <c r="J19" s="407">
        <v>383</v>
      </c>
      <c r="K19" s="407">
        <v>122435</v>
      </c>
      <c r="L19" s="407">
        <v>1.4215139904795078</v>
      </c>
      <c r="M19" s="407">
        <v>319.67362924281986</v>
      </c>
      <c r="N19" s="407">
        <v>328</v>
      </c>
      <c r="O19" s="407">
        <v>105944</v>
      </c>
      <c r="P19" s="430">
        <v>1.2300476024613956</v>
      </c>
      <c r="Q19" s="431">
        <v>323</v>
      </c>
    </row>
    <row r="20" spans="1:17" ht="14.4" customHeight="1" x14ac:dyDescent="0.3">
      <c r="A20" s="406" t="s">
        <v>429</v>
      </c>
      <c r="B20" s="429" t="s">
        <v>366</v>
      </c>
      <c r="C20" s="429" t="s">
        <v>367</v>
      </c>
      <c r="D20" s="429" t="s">
        <v>372</v>
      </c>
      <c r="E20" s="429" t="s">
        <v>373</v>
      </c>
      <c r="F20" s="407">
        <v>8</v>
      </c>
      <c r="G20" s="407">
        <v>2552</v>
      </c>
      <c r="H20" s="407">
        <v>1</v>
      </c>
      <c r="I20" s="407">
        <v>319</v>
      </c>
      <c r="J20" s="407"/>
      <c r="K20" s="407"/>
      <c r="L20" s="407"/>
      <c r="M20" s="407"/>
      <c r="N20" s="407"/>
      <c r="O20" s="407"/>
      <c r="P20" s="430"/>
      <c r="Q20" s="431"/>
    </row>
    <row r="21" spans="1:17" ht="14.4" customHeight="1" x14ac:dyDescent="0.3">
      <c r="A21" s="406" t="s">
        <v>429</v>
      </c>
      <c r="B21" s="429" t="s">
        <v>366</v>
      </c>
      <c r="C21" s="429" t="s">
        <v>367</v>
      </c>
      <c r="D21" s="429" t="s">
        <v>376</v>
      </c>
      <c r="E21" s="429" t="s">
        <v>377</v>
      </c>
      <c r="F21" s="407"/>
      <c r="G21" s="407"/>
      <c r="H21" s="407"/>
      <c r="I21" s="407"/>
      <c r="J21" s="407">
        <v>8</v>
      </c>
      <c r="K21" s="407">
        <v>2552</v>
      </c>
      <c r="L21" s="407"/>
      <c r="M21" s="407">
        <v>319</v>
      </c>
      <c r="N21" s="407"/>
      <c r="O21" s="407"/>
      <c r="P21" s="430"/>
      <c r="Q21" s="431"/>
    </row>
    <row r="22" spans="1:17" ht="14.4" customHeight="1" x14ac:dyDescent="0.3">
      <c r="A22" s="406" t="s">
        <v>430</v>
      </c>
      <c r="B22" s="429" t="s">
        <v>366</v>
      </c>
      <c r="C22" s="429" t="s">
        <v>367</v>
      </c>
      <c r="D22" s="429" t="s">
        <v>370</v>
      </c>
      <c r="E22" s="429" t="s">
        <v>371</v>
      </c>
      <c r="F22" s="407"/>
      <c r="G22" s="407"/>
      <c r="H22" s="407"/>
      <c r="I22" s="407"/>
      <c r="J22" s="407"/>
      <c r="K22" s="407"/>
      <c r="L22" s="407"/>
      <c r="M22" s="407"/>
      <c r="N22" s="407">
        <v>2</v>
      </c>
      <c r="O22" s="407">
        <v>140</v>
      </c>
      <c r="P22" s="430"/>
      <c r="Q22" s="431">
        <v>70</v>
      </c>
    </row>
    <row r="23" spans="1:17" ht="14.4" customHeight="1" x14ac:dyDescent="0.3">
      <c r="A23" s="406" t="s">
        <v>430</v>
      </c>
      <c r="B23" s="429" t="s">
        <v>366</v>
      </c>
      <c r="C23" s="429" t="s">
        <v>367</v>
      </c>
      <c r="D23" s="429" t="s">
        <v>372</v>
      </c>
      <c r="E23" s="429" t="s">
        <v>373</v>
      </c>
      <c r="F23" s="407">
        <v>389</v>
      </c>
      <c r="G23" s="407">
        <v>124091</v>
      </c>
      <c r="H23" s="407">
        <v>1</v>
      </c>
      <c r="I23" s="407">
        <v>319</v>
      </c>
      <c r="J23" s="407">
        <v>320</v>
      </c>
      <c r="K23" s="407">
        <v>102242</v>
      </c>
      <c r="L23" s="407">
        <v>0.82392760151824063</v>
      </c>
      <c r="M23" s="407">
        <v>319.50625000000002</v>
      </c>
      <c r="N23" s="407">
        <v>224</v>
      </c>
      <c r="O23" s="407">
        <v>72352</v>
      </c>
      <c r="P23" s="430">
        <v>0.58305598310916984</v>
      </c>
      <c r="Q23" s="431">
        <v>323</v>
      </c>
    </row>
    <row r="24" spans="1:17" ht="14.4" customHeight="1" x14ac:dyDescent="0.3">
      <c r="A24" s="406" t="s">
        <v>430</v>
      </c>
      <c r="B24" s="429" t="s">
        <v>366</v>
      </c>
      <c r="C24" s="429" t="s">
        <v>367</v>
      </c>
      <c r="D24" s="429" t="s">
        <v>374</v>
      </c>
      <c r="E24" s="429" t="s">
        <v>375</v>
      </c>
      <c r="F24" s="407">
        <v>62</v>
      </c>
      <c r="G24" s="407">
        <v>19778</v>
      </c>
      <c r="H24" s="407">
        <v>1</v>
      </c>
      <c r="I24" s="407">
        <v>319</v>
      </c>
      <c r="J24" s="407">
        <v>91</v>
      </c>
      <c r="K24" s="407">
        <v>29098</v>
      </c>
      <c r="L24" s="407">
        <v>1.4712306603296592</v>
      </c>
      <c r="M24" s="407">
        <v>319.75824175824175</v>
      </c>
      <c r="N24" s="407">
        <v>151</v>
      </c>
      <c r="O24" s="407">
        <v>48773</v>
      </c>
      <c r="P24" s="430">
        <v>2.4660228536758013</v>
      </c>
      <c r="Q24" s="431">
        <v>323</v>
      </c>
    </row>
    <row r="25" spans="1:17" ht="14.4" customHeight="1" x14ac:dyDescent="0.3">
      <c r="A25" s="406" t="s">
        <v>430</v>
      </c>
      <c r="B25" s="429" t="s">
        <v>366</v>
      </c>
      <c r="C25" s="429" t="s">
        <v>367</v>
      </c>
      <c r="D25" s="429" t="s">
        <v>376</v>
      </c>
      <c r="E25" s="429" t="s">
        <v>377</v>
      </c>
      <c r="F25" s="407">
        <v>139</v>
      </c>
      <c r="G25" s="407">
        <v>44341</v>
      </c>
      <c r="H25" s="407">
        <v>1</v>
      </c>
      <c r="I25" s="407">
        <v>319</v>
      </c>
      <c r="J25" s="407">
        <v>92</v>
      </c>
      <c r="K25" s="407">
        <v>29390</v>
      </c>
      <c r="L25" s="407">
        <v>0.66281770821587249</v>
      </c>
      <c r="M25" s="407">
        <v>319.45652173913044</v>
      </c>
      <c r="N25" s="407">
        <v>136</v>
      </c>
      <c r="O25" s="407">
        <v>43928</v>
      </c>
      <c r="P25" s="430">
        <v>0.99068582124895699</v>
      </c>
      <c r="Q25" s="431">
        <v>323</v>
      </c>
    </row>
    <row r="26" spans="1:17" ht="14.4" customHeight="1" x14ac:dyDescent="0.3">
      <c r="A26" s="406" t="s">
        <v>430</v>
      </c>
      <c r="B26" s="429" t="s">
        <v>366</v>
      </c>
      <c r="C26" s="429" t="s">
        <v>367</v>
      </c>
      <c r="D26" s="429" t="s">
        <v>380</v>
      </c>
      <c r="E26" s="429" t="s">
        <v>381</v>
      </c>
      <c r="F26" s="407">
        <v>1</v>
      </c>
      <c r="G26" s="407">
        <v>0</v>
      </c>
      <c r="H26" s="407"/>
      <c r="I26" s="407">
        <v>0</v>
      </c>
      <c r="J26" s="407"/>
      <c r="K26" s="407"/>
      <c r="L26" s="407"/>
      <c r="M26" s="407"/>
      <c r="N26" s="407"/>
      <c r="O26" s="407"/>
      <c r="P26" s="430"/>
      <c r="Q26" s="431"/>
    </row>
    <row r="27" spans="1:17" ht="14.4" customHeight="1" x14ac:dyDescent="0.3">
      <c r="A27" s="406" t="s">
        <v>430</v>
      </c>
      <c r="B27" s="429" t="s">
        <v>366</v>
      </c>
      <c r="C27" s="429" t="s">
        <v>367</v>
      </c>
      <c r="D27" s="429" t="s">
        <v>384</v>
      </c>
      <c r="E27" s="429" t="s">
        <v>385</v>
      </c>
      <c r="F27" s="407">
        <v>72</v>
      </c>
      <c r="G27" s="407">
        <v>38808</v>
      </c>
      <c r="H27" s="407">
        <v>1</v>
      </c>
      <c r="I27" s="407">
        <v>539</v>
      </c>
      <c r="J27" s="407">
        <v>32</v>
      </c>
      <c r="K27" s="407">
        <v>17266</v>
      </c>
      <c r="L27" s="407">
        <v>0.44490826633683778</v>
      </c>
      <c r="M27" s="407">
        <v>539.5625</v>
      </c>
      <c r="N27" s="407">
        <v>72</v>
      </c>
      <c r="O27" s="407">
        <v>39384</v>
      </c>
      <c r="P27" s="430">
        <v>1.0148423005565863</v>
      </c>
      <c r="Q27" s="431">
        <v>547</v>
      </c>
    </row>
    <row r="28" spans="1:17" ht="14.4" customHeight="1" x14ac:dyDescent="0.3">
      <c r="A28" s="406" t="s">
        <v>430</v>
      </c>
      <c r="B28" s="429" t="s">
        <v>366</v>
      </c>
      <c r="C28" s="429" t="s">
        <v>367</v>
      </c>
      <c r="D28" s="429" t="s">
        <v>388</v>
      </c>
      <c r="E28" s="429" t="s">
        <v>389</v>
      </c>
      <c r="F28" s="407">
        <v>11</v>
      </c>
      <c r="G28" s="407">
        <v>5929</v>
      </c>
      <c r="H28" s="407">
        <v>1</v>
      </c>
      <c r="I28" s="407">
        <v>539</v>
      </c>
      <c r="J28" s="407">
        <v>47</v>
      </c>
      <c r="K28" s="407">
        <v>25399</v>
      </c>
      <c r="L28" s="407">
        <v>4.2838589981447122</v>
      </c>
      <c r="M28" s="407">
        <v>540.40425531914889</v>
      </c>
      <c r="N28" s="407">
        <v>8</v>
      </c>
      <c r="O28" s="407">
        <v>4376</v>
      </c>
      <c r="P28" s="430">
        <v>0.73806712767751725</v>
      </c>
      <c r="Q28" s="431">
        <v>547</v>
      </c>
    </row>
    <row r="29" spans="1:17" ht="14.4" customHeight="1" x14ac:dyDescent="0.3">
      <c r="A29" s="406" t="s">
        <v>431</v>
      </c>
      <c r="B29" s="429" t="s">
        <v>366</v>
      </c>
      <c r="C29" s="429" t="s">
        <v>367</v>
      </c>
      <c r="D29" s="429" t="s">
        <v>372</v>
      </c>
      <c r="E29" s="429" t="s">
        <v>373</v>
      </c>
      <c r="F29" s="407">
        <v>4</v>
      </c>
      <c r="G29" s="407">
        <v>1276</v>
      </c>
      <c r="H29" s="407">
        <v>1</v>
      </c>
      <c r="I29" s="407">
        <v>319</v>
      </c>
      <c r="J29" s="407"/>
      <c r="K29" s="407"/>
      <c r="L29" s="407"/>
      <c r="M29" s="407"/>
      <c r="N29" s="407">
        <v>48</v>
      </c>
      <c r="O29" s="407">
        <v>15504</v>
      </c>
      <c r="P29" s="430">
        <v>12.150470219435737</v>
      </c>
      <c r="Q29" s="431">
        <v>323</v>
      </c>
    </row>
    <row r="30" spans="1:17" ht="14.4" customHeight="1" x14ac:dyDescent="0.3">
      <c r="A30" s="406" t="s">
        <v>432</v>
      </c>
      <c r="B30" s="429" t="s">
        <v>366</v>
      </c>
      <c r="C30" s="429" t="s">
        <v>367</v>
      </c>
      <c r="D30" s="429" t="s">
        <v>372</v>
      </c>
      <c r="E30" s="429" t="s">
        <v>373</v>
      </c>
      <c r="F30" s="407"/>
      <c r="G30" s="407"/>
      <c r="H30" s="407"/>
      <c r="I30" s="407"/>
      <c r="J30" s="407"/>
      <c r="K30" s="407"/>
      <c r="L30" s="407"/>
      <c r="M30" s="407"/>
      <c r="N30" s="407">
        <v>48</v>
      </c>
      <c r="O30" s="407">
        <v>15504</v>
      </c>
      <c r="P30" s="430"/>
      <c r="Q30" s="431">
        <v>323</v>
      </c>
    </row>
    <row r="31" spans="1:17" ht="14.4" customHeight="1" x14ac:dyDescent="0.3">
      <c r="A31" s="406" t="s">
        <v>433</v>
      </c>
      <c r="B31" s="429" t="s">
        <v>366</v>
      </c>
      <c r="C31" s="429" t="s">
        <v>367</v>
      </c>
      <c r="D31" s="429" t="s">
        <v>372</v>
      </c>
      <c r="E31" s="429" t="s">
        <v>373</v>
      </c>
      <c r="F31" s="407">
        <v>10</v>
      </c>
      <c r="G31" s="407">
        <v>3190</v>
      </c>
      <c r="H31" s="407">
        <v>1</v>
      </c>
      <c r="I31" s="407">
        <v>319</v>
      </c>
      <c r="J31" s="407"/>
      <c r="K31" s="407"/>
      <c r="L31" s="407"/>
      <c r="M31" s="407"/>
      <c r="N31" s="407">
        <v>80</v>
      </c>
      <c r="O31" s="407">
        <v>25840</v>
      </c>
      <c r="P31" s="430">
        <v>8.100313479623825</v>
      </c>
      <c r="Q31" s="431">
        <v>323</v>
      </c>
    </row>
    <row r="32" spans="1:17" ht="14.4" customHeight="1" x14ac:dyDescent="0.3">
      <c r="A32" s="406" t="s">
        <v>433</v>
      </c>
      <c r="B32" s="429" t="s">
        <v>366</v>
      </c>
      <c r="C32" s="429" t="s">
        <v>367</v>
      </c>
      <c r="D32" s="429" t="s">
        <v>374</v>
      </c>
      <c r="E32" s="429" t="s">
        <v>375</v>
      </c>
      <c r="F32" s="407">
        <v>4</v>
      </c>
      <c r="G32" s="407">
        <v>1276</v>
      </c>
      <c r="H32" s="407">
        <v>1</v>
      </c>
      <c r="I32" s="407">
        <v>319</v>
      </c>
      <c r="J32" s="407"/>
      <c r="K32" s="407"/>
      <c r="L32" s="407"/>
      <c r="M32" s="407"/>
      <c r="N32" s="407"/>
      <c r="O32" s="407"/>
      <c r="P32" s="430"/>
      <c r="Q32" s="431"/>
    </row>
    <row r="33" spans="1:17" ht="14.4" customHeight="1" x14ac:dyDescent="0.3">
      <c r="A33" s="406" t="s">
        <v>434</v>
      </c>
      <c r="B33" s="429" t="s">
        <v>366</v>
      </c>
      <c r="C33" s="429" t="s">
        <v>367</v>
      </c>
      <c r="D33" s="429" t="s">
        <v>372</v>
      </c>
      <c r="E33" s="429" t="s">
        <v>373</v>
      </c>
      <c r="F33" s="407"/>
      <c r="G33" s="407"/>
      <c r="H33" s="407"/>
      <c r="I33" s="407"/>
      <c r="J33" s="407">
        <v>3</v>
      </c>
      <c r="K33" s="407">
        <v>966</v>
      </c>
      <c r="L33" s="407"/>
      <c r="M33" s="407">
        <v>322</v>
      </c>
      <c r="N33" s="407"/>
      <c r="O33" s="407"/>
      <c r="P33" s="430"/>
      <c r="Q33" s="431"/>
    </row>
    <row r="34" spans="1:17" ht="14.4" customHeight="1" x14ac:dyDescent="0.3">
      <c r="A34" s="406" t="s">
        <v>435</v>
      </c>
      <c r="B34" s="429" t="s">
        <v>366</v>
      </c>
      <c r="C34" s="429" t="s">
        <v>367</v>
      </c>
      <c r="D34" s="429" t="s">
        <v>372</v>
      </c>
      <c r="E34" s="429" t="s">
        <v>373</v>
      </c>
      <c r="F34" s="407">
        <v>1284</v>
      </c>
      <c r="G34" s="407">
        <v>409596</v>
      </c>
      <c r="H34" s="407">
        <v>1</v>
      </c>
      <c r="I34" s="407">
        <v>319</v>
      </c>
      <c r="J34" s="407">
        <v>813</v>
      </c>
      <c r="K34" s="407">
        <v>259803</v>
      </c>
      <c r="L34" s="407">
        <v>0.63429086221545128</v>
      </c>
      <c r="M34" s="407">
        <v>319.5608856088561</v>
      </c>
      <c r="N34" s="407">
        <v>820</v>
      </c>
      <c r="O34" s="407">
        <v>264860</v>
      </c>
      <c r="P34" s="430">
        <v>0.64663717419115418</v>
      </c>
      <c r="Q34" s="431">
        <v>323</v>
      </c>
    </row>
    <row r="35" spans="1:17" ht="14.4" customHeight="1" x14ac:dyDescent="0.3">
      <c r="A35" s="406" t="s">
        <v>435</v>
      </c>
      <c r="B35" s="429" t="s">
        <v>366</v>
      </c>
      <c r="C35" s="429" t="s">
        <v>367</v>
      </c>
      <c r="D35" s="429" t="s">
        <v>382</v>
      </c>
      <c r="E35" s="429" t="s">
        <v>383</v>
      </c>
      <c r="F35" s="407">
        <v>46</v>
      </c>
      <c r="G35" s="407">
        <v>24748</v>
      </c>
      <c r="H35" s="407">
        <v>1</v>
      </c>
      <c r="I35" s="407">
        <v>538</v>
      </c>
      <c r="J35" s="407">
        <v>22</v>
      </c>
      <c r="K35" s="407">
        <v>11860</v>
      </c>
      <c r="L35" s="407">
        <v>0.47923064490059802</v>
      </c>
      <c r="M35" s="407">
        <v>539.09090909090912</v>
      </c>
      <c r="N35" s="407">
        <v>13</v>
      </c>
      <c r="O35" s="407">
        <v>7098</v>
      </c>
      <c r="P35" s="430">
        <v>0.28681105543882335</v>
      </c>
      <c r="Q35" s="431">
        <v>546</v>
      </c>
    </row>
    <row r="36" spans="1:17" ht="14.4" customHeight="1" x14ac:dyDescent="0.3">
      <c r="A36" s="406" t="s">
        <v>436</v>
      </c>
      <c r="B36" s="429" t="s">
        <v>366</v>
      </c>
      <c r="C36" s="429" t="s">
        <v>367</v>
      </c>
      <c r="D36" s="429" t="s">
        <v>372</v>
      </c>
      <c r="E36" s="429" t="s">
        <v>373</v>
      </c>
      <c r="F36" s="407">
        <v>32</v>
      </c>
      <c r="G36" s="407">
        <v>10208</v>
      </c>
      <c r="H36" s="407">
        <v>1</v>
      </c>
      <c r="I36" s="407">
        <v>319</v>
      </c>
      <c r="J36" s="407">
        <v>96</v>
      </c>
      <c r="K36" s="407">
        <v>30660</v>
      </c>
      <c r="L36" s="407">
        <v>3.0035266457680252</v>
      </c>
      <c r="M36" s="407">
        <v>319.375</v>
      </c>
      <c r="N36" s="407">
        <v>55</v>
      </c>
      <c r="O36" s="407">
        <v>17765</v>
      </c>
      <c r="P36" s="430">
        <v>1.740301724137931</v>
      </c>
      <c r="Q36" s="431">
        <v>323</v>
      </c>
    </row>
    <row r="37" spans="1:17" ht="14.4" customHeight="1" x14ac:dyDescent="0.3">
      <c r="A37" s="406" t="s">
        <v>436</v>
      </c>
      <c r="B37" s="429" t="s">
        <v>366</v>
      </c>
      <c r="C37" s="429" t="s">
        <v>367</v>
      </c>
      <c r="D37" s="429" t="s">
        <v>376</v>
      </c>
      <c r="E37" s="429" t="s">
        <v>377</v>
      </c>
      <c r="F37" s="407">
        <v>8</v>
      </c>
      <c r="G37" s="407">
        <v>2552</v>
      </c>
      <c r="H37" s="407">
        <v>1</v>
      </c>
      <c r="I37" s="407">
        <v>319</v>
      </c>
      <c r="J37" s="407"/>
      <c r="K37" s="407"/>
      <c r="L37" s="407"/>
      <c r="M37" s="407"/>
      <c r="N37" s="407"/>
      <c r="O37" s="407"/>
      <c r="P37" s="430"/>
      <c r="Q37" s="431"/>
    </row>
    <row r="38" spans="1:17" ht="14.4" customHeight="1" x14ac:dyDescent="0.3">
      <c r="A38" s="406" t="s">
        <v>436</v>
      </c>
      <c r="B38" s="429" t="s">
        <v>366</v>
      </c>
      <c r="C38" s="429" t="s">
        <v>367</v>
      </c>
      <c r="D38" s="429" t="s">
        <v>382</v>
      </c>
      <c r="E38" s="429" t="s">
        <v>383</v>
      </c>
      <c r="F38" s="407">
        <v>314</v>
      </c>
      <c r="G38" s="407">
        <v>168932</v>
      </c>
      <c r="H38" s="407">
        <v>1</v>
      </c>
      <c r="I38" s="407">
        <v>538</v>
      </c>
      <c r="J38" s="407">
        <v>363</v>
      </c>
      <c r="K38" s="407">
        <v>195762</v>
      </c>
      <c r="L38" s="407">
        <v>1.15882130087846</v>
      </c>
      <c r="M38" s="407">
        <v>539.28925619834706</v>
      </c>
      <c r="N38" s="407">
        <v>510</v>
      </c>
      <c r="O38" s="407">
        <v>278460</v>
      </c>
      <c r="P38" s="430">
        <v>1.6483555513461037</v>
      </c>
      <c r="Q38" s="431">
        <v>546</v>
      </c>
    </row>
    <row r="39" spans="1:17" ht="14.4" customHeight="1" x14ac:dyDescent="0.3">
      <c r="A39" s="406" t="s">
        <v>436</v>
      </c>
      <c r="B39" s="429" t="s">
        <v>366</v>
      </c>
      <c r="C39" s="429" t="s">
        <v>367</v>
      </c>
      <c r="D39" s="429" t="s">
        <v>390</v>
      </c>
      <c r="E39" s="429" t="s">
        <v>391</v>
      </c>
      <c r="F39" s="407">
        <v>16</v>
      </c>
      <c r="G39" s="407">
        <v>8608</v>
      </c>
      <c r="H39" s="407">
        <v>1</v>
      </c>
      <c r="I39" s="407">
        <v>538</v>
      </c>
      <c r="J39" s="407">
        <v>60</v>
      </c>
      <c r="K39" s="407">
        <v>32400</v>
      </c>
      <c r="L39" s="407">
        <v>3.7639405204460967</v>
      </c>
      <c r="M39" s="407">
        <v>540</v>
      </c>
      <c r="N39" s="407">
        <v>76</v>
      </c>
      <c r="O39" s="407">
        <v>41496</v>
      </c>
      <c r="P39" s="430">
        <v>4.8206319702602229</v>
      </c>
      <c r="Q39" s="431">
        <v>546</v>
      </c>
    </row>
    <row r="40" spans="1:17" ht="14.4" customHeight="1" x14ac:dyDescent="0.3">
      <c r="A40" s="406" t="s">
        <v>436</v>
      </c>
      <c r="B40" s="429" t="s">
        <v>366</v>
      </c>
      <c r="C40" s="429" t="s">
        <v>367</v>
      </c>
      <c r="D40" s="429" t="s">
        <v>392</v>
      </c>
      <c r="E40" s="429" t="s">
        <v>393</v>
      </c>
      <c r="F40" s="407"/>
      <c r="G40" s="407"/>
      <c r="H40" s="407"/>
      <c r="I40" s="407"/>
      <c r="J40" s="407"/>
      <c r="K40" s="407"/>
      <c r="L40" s="407"/>
      <c r="M40" s="407"/>
      <c r="N40" s="407">
        <v>24</v>
      </c>
      <c r="O40" s="407">
        <v>6552</v>
      </c>
      <c r="P40" s="430"/>
      <c r="Q40" s="431">
        <v>273</v>
      </c>
    </row>
    <row r="41" spans="1:17" ht="14.4" customHeight="1" x14ac:dyDescent="0.3">
      <c r="A41" s="406" t="s">
        <v>437</v>
      </c>
      <c r="B41" s="429" t="s">
        <v>366</v>
      </c>
      <c r="C41" s="429" t="s">
        <v>367</v>
      </c>
      <c r="D41" s="429" t="s">
        <v>372</v>
      </c>
      <c r="E41" s="429" t="s">
        <v>373</v>
      </c>
      <c r="F41" s="407"/>
      <c r="G41" s="407"/>
      <c r="H41" s="407"/>
      <c r="I41" s="407"/>
      <c r="J41" s="407">
        <v>4</v>
      </c>
      <c r="K41" s="407">
        <v>1288</v>
      </c>
      <c r="L41" s="407"/>
      <c r="M41" s="407">
        <v>322</v>
      </c>
      <c r="N41" s="407">
        <v>5</v>
      </c>
      <c r="O41" s="407">
        <v>1615</v>
      </c>
      <c r="P41" s="430"/>
      <c r="Q41" s="431">
        <v>323</v>
      </c>
    </row>
    <row r="42" spans="1:17" ht="14.4" customHeight="1" x14ac:dyDescent="0.3">
      <c r="A42" s="406" t="s">
        <v>437</v>
      </c>
      <c r="B42" s="429" t="s">
        <v>366</v>
      </c>
      <c r="C42" s="429" t="s">
        <v>367</v>
      </c>
      <c r="D42" s="429" t="s">
        <v>382</v>
      </c>
      <c r="E42" s="429" t="s">
        <v>383</v>
      </c>
      <c r="F42" s="407">
        <v>2</v>
      </c>
      <c r="G42" s="407">
        <v>1076</v>
      </c>
      <c r="H42" s="407">
        <v>1</v>
      </c>
      <c r="I42" s="407">
        <v>538</v>
      </c>
      <c r="J42" s="407"/>
      <c r="K42" s="407"/>
      <c r="L42" s="407"/>
      <c r="M42" s="407"/>
      <c r="N42" s="407"/>
      <c r="O42" s="407"/>
      <c r="P42" s="430"/>
      <c r="Q42" s="431"/>
    </row>
    <row r="43" spans="1:17" ht="14.4" customHeight="1" x14ac:dyDescent="0.3">
      <c r="A43" s="406" t="s">
        <v>437</v>
      </c>
      <c r="B43" s="429" t="s">
        <v>366</v>
      </c>
      <c r="C43" s="429" t="s">
        <v>367</v>
      </c>
      <c r="D43" s="429" t="s">
        <v>390</v>
      </c>
      <c r="E43" s="429" t="s">
        <v>391</v>
      </c>
      <c r="F43" s="407">
        <v>12</v>
      </c>
      <c r="G43" s="407">
        <v>6456</v>
      </c>
      <c r="H43" s="407">
        <v>1</v>
      </c>
      <c r="I43" s="407">
        <v>538</v>
      </c>
      <c r="J43" s="407"/>
      <c r="K43" s="407"/>
      <c r="L43" s="407"/>
      <c r="M43" s="407"/>
      <c r="N43" s="407">
        <v>32</v>
      </c>
      <c r="O43" s="407">
        <v>17472</v>
      </c>
      <c r="P43" s="430">
        <v>2.7063197026022303</v>
      </c>
      <c r="Q43" s="431">
        <v>546</v>
      </c>
    </row>
    <row r="44" spans="1:17" ht="14.4" customHeight="1" x14ac:dyDescent="0.3">
      <c r="A44" s="406" t="s">
        <v>438</v>
      </c>
      <c r="B44" s="429" t="s">
        <v>366</v>
      </c>
      <c r="C44" s="429" t="s">
        <v>367</v>
      </c>
      <c r="D44" s="429" t="s">
        <v>372</v>
      </c>
      <c r="E44" s="429" t="s">
        <v>373</v>
      </c>
      <c r="F44" s="407">
        <v>8</v>
      </c>
      <c r="G44" s="407">
        <v>2552</v>
      </c>
      <c r="H44" s="407">
        <v>1</v>
      </c>
      <c r="I44" s="407">
        <v>319</v>
      </c>
      <c r="J44" s="407">
        <v>20</v>
      </c>
      <c r="K44" s="407">
        <v>6428</v>
      </c>
      <c r="L44" s="407">
        <v>2.518808777429467</v>
      </c>
      <c r="M44" s="407">
        <v>321.39999999999998</v>
      </c>
      <c r="N44" s="407">
        <v>20</v>
      </c>
      <c r="O44" s="407">
        <v>6460</v>
      </c>
      <c r="P44" s="430">
        <v>2.5313479623824451</v>
      </c>
      <c r="Q44" s="431">
        <v>323</v>
      </c>
    </row>
    <row r="45" spans="1:17" ht="14.4" customHeight="1" x14ac:dyDescent="0.3">
      <c r="A45" s="406" t="s">
        <v>438</v>
      </c>
      <c r="B45" s="429" t="s">
        <v>366</v>
      </c>
      <c r="C45" s="429" t="s">
        <v>367</v>
      </c>
      <c r="D45" s="429" t="s">
        <v>382</v>
      </c>
      <c r="E45" s="429" t="s">
        <v>383</v>
      </c>
      <c r="F45" s="407"/>
      <c r="G45" s="407"/>
      <c r="H45" s="407"/>
      <c r="I45" s="407"/>
      <c r="J45" s="407">
        <v>4</v>
      </c>
      <c r="K45" s="407">
        <v>2152</v>
      </c>
      <c r="L45" s="407"/>
      <c r="M45" s="407">
        <v>538</v>
      </c>
      <c r="N45" s="407"/>
      <c r="O45" s="407"/>
      <c r="P45" s="430"/>
      <c r="Q45" s="431"/>
    </row>
    <row r="46" spans="1:17" ht="14.4" customHeight="1" x14ac:dyDescent="0.3">
      <c r="A46" s="406" t="s">
        <v>439</v>
      </c>
      <c r="B46" s="429" t="s">
        <v>366</v>
      </c>
      <c r="C46" s="429" t="s">
        <v>367</v>
      </c>
      <c r="D46" s="429" t="s">
        <v>370</v>
      </c>
      <c r="E46" s="429" t="s">
        <v>371</v>
      </c>
      <c r="F46" s="407"/>
      <c r="G46" s="407"/>
      <c r="H46" s="407"/>
      <c r="I46" s="407"/>
      <c r="J46" s="407">
        <v>2</v>
      </c>
      <c r="K46" s="407">
        <v>138</v>
      </c>
      <c r="L46" s="407"/>
      <c r="M46" s="407">
        <v>69</v>
      </c>
      <c r="N46" s="407"/>
      <c r="O46" s="407"/>
      <c r="P46" s="430"/>
      <c r="Q46" s="431"/>
    </row>
    <row r="47" spans="1:17" ht="14.4" customHeight="1" x14ac:dyDescent="0.3">
      <c r="A47" s="406" t="s">
        <v>439</v>
      </c>
      <c r="B47" s="429" t="s">
        <v>366</v>
      </c>
      <c r="C47" s="429" t="s">
        <v>367</v>
      </c>
      <c r="D47" s="429" t="s">
        <v>372</v>
      </c>
      <c r="E47" s="429" t="s">
        <v>373</v>
      </c>
      <c r="F47" s="407">
        <v>143</v>
      </c>
      <c r="G47" s="407">
        <v>45617</v>
      </c>
      <c r="H47" s="407">
        <v>1</v>
      </c>
      <c r="I47" s="407">
        <v>319</v>
      </c>
      <c r="J47" s="407">
        <v>266</v>
      </c>
      <c r="K47" s="407">
        <v>84998</v>
      </c>
      <c r="L47" s="407">
        <v>1.8632965780301203</v>
      </c>
      <c r="M47" s="407">
        <v>319.54135338345867</v>
      </c>
      <c r="N47" s="407">
        <v>214</v>
      </c>
      <c r="O47" s="407">
        <v>69122</v>
      </c>
      <c r="P47" s="430">
        <v>1.5152684306289321</v>
      </c>
      <c r="Q47" s="431">
        <v>323</v>
      </c>
    </row>
    <row r="48" spans="1:17" ht="14.4" customHeight="1" x14ac:dyDescent="0.3">
      <c r="A48" s="406" t="s">
        <v>439</v>
      </c>
      <c r="B48" s="429" t="s">
        <v>366</v>
      </c>
      <c r="C48" s="429" t="s">
        <v>367</v>
      </c>
      <c r="D48" s="429" t="s">
        <v>374</v>
      </c>
      <c r="E48" s="429" t="s">
        <v>375</v>
      </c>
      <c r="F48" s="407">
        <v>10</v>
      </c>
      <c r="G48" s="407">
        <v>3190</v>
      </c>
      <c r="H48" s="407">
        <v>1</v>
      </c>
      <c r="I48" s="407">
        <v>319</v>
      </c>
      <c r="J48" s="407">
        <v>8</v>
      </c>
      <c r="K48" s="407">
        <v>2564</v>
      </c>
      <c r="L48" s="407">
        <v>0.80376175548589346</v>
      </c>
      <c r="M48" s="407">
        <v>320.5</v>
      </c>
      <c r="N48" s="407">
        <v>3</v>
      </c>
      <c r="O48" s="407">
        <v>969</v>
      </c>
      <c r="P48" s="430">
        <v>0.3037617554858934</v>
      </c>
      <c r="Q48" s="431">
        <v>323</v>
      </c>
    </row>
    <row r="49" spans="1:17" ht="14.4" customHeight="1" x14ac:dyDescent="0.3">
      <c r="A49" s="406" t="s">
        <v>439</v>
      </c>
      <c r="B49" s="429" t="s">
        <v>366</v>
      </c>
      <c r="C49" s="429" t="s">
        <v>367</v>
      </c>
      <c r="D49" s="429" t="s">
        <v>376</v>
      </c>
      <c r="E49" s="429" t="s">
        <v>377</v>
      </c>
      <c r="F49" s="407">
        <v>10</v>
      </c>
      <c r="G49" s="407">
        <v>3190</v>
      </c>
      <c r="H49" s="407">
        <v>1</v>
      </c>
      <c r="I49" s="407">
        <v>319</v>
      </c>
      <c r="J49" s="407">
        <v>4</v>
      </c>
      <c r="K49" s="407">
        <v>1276</v>
      </c>
      <c r="L49" s="407">
        <v>0.4</v>
      </c>
      <c r="M49" s="407">
        <v>319</v>
      </c>
      <c r="N49" s="407">
        <v>7</v>
      </c>
      <c r="O49" s="407">
        <v>2261</v>
      </c>
      <c r="P49" s="430">
        <v>0.70877742946708466</v>
      </c>
      <c r="Q49" s="431">
        <v>323</v>
      </c>
    </row>
    <row r="50" spans="1:17" ht="14.4" customHeight="1" x14ac:dyDescent="0.3">
      <c r="A50" s="406" t="s">
        <v>439</v>
      </c>
      <c r="B50" s="429" t="s">
        <v>366</v>
      </c>
      <c r="C50" s="429" t="s">
        <v>367</v>
      </c>
      <c r="D50" s="429" t="s">
        <v>440</v>
      </c>
      <c r="E50" s="429" t="s">
        <v>441</v>
      </c>
      <c r="F50" s="407"/>
      <c r="G50" s="407"/>
      <c r="H50" s="407"/>
      <c r="I50" s="407"/>
      <c r="J50" s="407"/>
      <c r="K50" s="407"/>
      <c r="L50" s="407"/>
      <c r="M50" s="407"/>
      <c r="N50" s="407">
        <v>2</v>
      </c>
      <c r="O50" s="407">
        <v>1290</v>
      </c>
      <c r="P50" s="430"/>
      <c r="Q50" s="431">
        <v>645</v>
      </c>
    </row>
    <row r="51" spans="1:17" ht="14.4" customHeight="1" x14ac:dyDescent="0.3">
      <c r="A51" s="406" t="s">
        <v>442</v>
      </c>
      <c r="B51" s="429" t="s">
        <v>366</v>
      </c>
      <c r="C51" s="429" t="s">
        <v>367</v>
      </c>
      <c r="D51" s="429" t="s">
        <v>372</v>
      </c>
      <c r="E51" s="429" t="s">
        <v>373</v>
      </c>
      <c r="F51" s="407">
        <v>4</v>
      </c>
      <c r="G51" s="407">
        <v>1276</v>
      </c>
      <c r="H51" s="407">
        <v>1</v>
      </c>
      <c r="I51" s="407">
        <v>319</v>
      </c>
      <c r="J51" s="407">
        <v>16</v>
      </c>
      <c r="K51" s="407">
        <v>5104</v>
      </c>
      <c r="L51" s="407">
        <v>4</v>
      </c>
      <c r="M51" s="407">
        <v>319</v>
      </c>
      <c r="N51" s="407">
        <v>32</v>
      </c>
      <c r="O51" s="407">
        <v>10336</v>
      </c>
      <c r="P51" s="430">
        <v>8.100313479623825</v>
      </c>
      <c r="Q51" s="431">
        <v>323</v>
      </c>
    </row>
    <row r="52" spans="1:17" ht="14.4" customHeight="1" x14ac:dyDescent="0.3">
      <c r="A52" s="406" t="s">
        <v>443</v>
      </c>
      <c r="B52" s="429" t="s">
        <v>366</v>
      </c>
      <c r="C52" s="429" t="s">
        <v>367</v>
      </c>
      <c r="D52" s="429" t="s">
        <v>372</v>
      </c>
      <c r="E52" s="429" t="s">
        <v>373</v>
      </c>
      <c r="F52" s="407">
        <v>8</v>
      </c>
      <c r="G52" s="407">
        <v>2552</v>
      </c>
      <c r="H52" s="407">
        <v>1</v>
      </c>
      <c r="I52" s="407">
        <v>319</v>
      </c>
      <c r="J52" s="407">
        <v>12</v>
      </c>
      <c r="K52" s="407">
        <v>3840</v>
      </c>
      <c r="L52" s="407">
        <v>1.5047021943573669</v>
      </c>
      <c r="M52" s="407">
        <v>320</v>
      </c>
      <c r="N52" s="407">
        <v>192</v>
      </c>
      <c r="O52" s="407">
        <v>62016</v>
      </c>
      <c r="P52" s="430">
        <v>24.300940438871475</v>
      </c>
      <c r="Q52" s="431">
        <v>323</v>
      </c>
    </row>
    <row r="53" spans="1:17" ht="14.4" customHeight="1" x14ac:dyDescent="0.3">
      <c r="A53" s="406" t="s">
        <v>443</v>
      </c>
      <c r="B53" s="429" t="s">
        <v>366</v>
      </c>
      <c r="C53" s="429" t="s">
        <v>367</v>
      </c>
      <c r="D53" s="429" t="s">
        <v>382</v>
      </c>
      <c r="E53" s="429" t="s">
        <v>383</v>
      </c>
      <c r="F53" s="407"/>
      <c r="G53" s="407"/>
      <c r="H53" s="407"/>
      <c r="I53" s="407"/>
      <c r="J53" s="407">
        <v>12</v>
      </c>
      <c r="K53" s="407">
        <v>6480</v>
      </c>
      <c r="L53" s="407"/>
      <c r="M53" s="407">
        <v>540</v>
      </c>
      <c r="N53" s="407">
        <v>16</v>
      </c>
      <c r="O53" s="407">
        <v>8736</v>
      </c>
      <c r="P53" s="430"/>
      <c r="Q53" s="431">
        <v>546</v>
      </c>
    </row>
    <row r="54" spans="1:17" ht="14.4" customHeight="1" x14ac:dyDescent="0.3">
      <c r="A54" s="406" t="s">
        <v>444</v>
      </c>
      <c r="B54" s="429" t="s">
        <v>366</v>
      </c>
      <c r="C54" s="429" t="s">
        <v>367</v>
      </c>
      <c r="D54" s="429" t="s">
        <v>372</v>
      </c>
      <c r="E54" s="429" t="s">
        <v>373</v>
      </c>
      <c r="F54" s="407">
        <v>8</v>
      </c>
      <c r="G54" s="407">
        <v>2552</v>
      </c>
      <c r="H54" s="407">
        <v>1</v>
      </c>
      <c r="I54" s="407">
        <v>319</v>
      </c>
      <c r="J54" s="407">
        <v>12</v>
      </c>
      <c r="K54" s="407">
        <v>3840</v>
      </c>
      <c r="L54" s="407">
        <v>1.5047021943573669</v>
      </c>
      <c r="M54" s="407">
        <v>320</v>
      </c>
      <c r="N54" s="407">
        <v>108</v>
      </c>
      <c r="O54" s="407">
        <v>34884</v>
      </c>
      <c r="P54" s="430">
        <v>13.669278996865204</v>
      </c>
      <c r="Q54" s="431">
        <v>323</v>
      </c>
    </row>
    <row r="55" spans="1:17" ht="14.4" customHeight="1" x14ac:dyDescent="0.3">
      <c r="A55" s="406" t="s">
        <v>444</v>
      </c>
      <c r="B55" s="429" t="s">
        <v>366</v>
      </c>
      <c r="C55" s="429" t="s">
        <v>367</v>
      </c>
      <c r="D55" s="429" t="s">
        <v>382</v>
      </c>
      <c r="E55" s="429" t="s">
        <v>383</v>
      </c>
      <c r="F55" s="407">
        <v>8</v>
      </c>
      <c r="G55" s="407">
        <v>4304</v>
      </c>
      <c r="H55" s="407">
        <v>1</v>
      </c>
      <c r="I55" s="407">
        <v>538</v>
      </c>
      <c r="J55" s="407">
        <v>5</v>
      </c>
      <c r="K55" s="407">
        <v>2714</v>
      </c>
      <c r="L55" s="407">
        <v>0.63057620817843862</v>
      </c>
      <c r="M55" s="407">
        <v>542.79999999999995</v>
      </c>
      <c r="N55" s="407">
        <v>46</v>
      </c>
      <c r="O55" s="407">
        <v>25116</v>
      </c>
      <c r="P55" s="430">
        <v>5.8355018587360599</v>
      </c>
      <c r="Q55" s="431">
        <v>546</v>
      </c>
    </row>
    <row r="56" spans="1:17" ht="14.4" customHeight="1" x14ac:dyDescent="0.3">
      <c r="A56" s="406" t="s">
        <v>445</v>
      </c>
      <c r="B56" s="429" t="s">
        <v>366</v>
      </c>
      <c r="C56" s="429" t="s">
        <v>367</v>
      </c>
      <c r="D56" s="429" t="s">
        <v>372</v>
      </c>
      <c r="E56" s="429" t="s">
        <v>373</v>
      </c>
      <c r="F56" s="407">
        <v>82</v>
      </c>
      <c r="G56" s="407">
        <v>26158</v>
      </c>
      <c r="H56" s="407">
        <v>1</v>
      </c>
      <c r="I56" s="407">
        <v>319</v>
      </c>
      <c r="J56" s="407">
        <v>132</v>
      </c>
      <c r="K56" s="407">
        <v>42324</v>
      </c>
      <c r="L56" s="407">
        <v>1.6180136096031807</v>
      </c>
      <c r="M56" s="407">
        <v>320.63636363636363</v>
      </c>
      <c r="N56" s="407">
        <v>164</v>
      </c>
      <c r="O56" s="407">
        <v>52972</v>
      </c>
      <c r="P56" s="430">
        <v>2.0250783699059562</v>
      </c>
      <c r="Q56" s="431">
        <v>323</v>
      </c>
    </row>
    <row r="57" spans="1:17" ht="14.4" customHeight="1" x14ac:dyDescent="0.3">
      <c r="A57" s="406" t="s">
        <v>445</v>
      </c>
      <c r="B57" s="429" t="s">
        <v>366</v>
      </c>
      <c r="C57" s="429" t="s">
        <v>367</v>
      </c>
      <c r="D57" s="429" t="s">
        <v>374</v>
      </c>
      <c r="E57" s="429" t="s">
        <v>375</v>
      </c>
      <c r="F57" s="407"/>
      <c r="G57" s="407"/>
      <c r="H57" s="407"/>
      <c r="I57" s="407"/>
      <c r="J57" s="407"/>
      <c r="K57" s="407"/>
      <c r="L57" s="407"/>
      <c r="M57" s="407"/>
      <c r="N57" s="407">
        <v>4</v>
      </c>
      <c r="O57" s="407">
        <v>1292</v>
      </c>
      <c r="P57" s="430"/>
      <c r="Q57" s="431">
        <v>323</v>
      </c>
    </row>
    <row r="58" spans="1:17" ht="14.4" customHeight="1" x14ac:dyDescent="0.3">
      <c r="A58" s="406" t="s">
        <v>445</v>
      </c>
      <c r="B58" s="429" t="s">
        <v>366</v>
      </c>
      <c r="C58" s="429" t="s">
        <v>367</v>
      </c>
      <c r="D58" s="429" t="s">
        <v>382</v>
      </c>
      <c r="E58" s="429" t="s">
        <v>383</v>
      </c>
      <c r="F58" s="407">
        <v>3</v>
      </c>
      <c r="G58" s="407">
        <v>1614</v>
      </c>
      <c r="H58" s="407">
        <v>1</v>
      </c>
      <c r="I58" s="407">
        <v>538</v>
      </c>
      <c r="J58" s="407"/>
      <c r="K58" s="407"/>
      <c r="L58" s="407"/>
      <c r="M58" s="407"/>
      <c r="N58" s="407">
        <v>6</v>
      </c>
      <c r="O58" s="407">
        <v>3276</v>
      </c>
      <c r="P58" s="430">
        <v>2.029739776951673</v>
      </c>
      <c r="Q58" s="431">
        <v>546</v>
      </c>
    </row>
    <row r="59" spans="1:17" ht="14.4" customHeight="1" x14ac:dyDescent="0.3">
      <c r="A59" s="406" t="s">
        <v>446</v>
      </c>
      <c r="B59" s="429" t="s">
        <v>366</v>
      </c>
      <c r="C59" s="429" t="s">
        <v>367</v>
      </c>
      <c r="D59" s="429" t="s">
        <v>372</v>
      </c>
      <c r="E59" s="429" t="s">
        <v>373</v>
      </c>
      <c r="F59" s="407">
        <v>549</v>
      </c>
      <c r="G59" s="407">
        <v>175131</v>
      </c>
      <c r="H59" s="407">
        <v>1</v>
      </c>
      <c r="I59" s="407">
        <v>319</v>
      </c>
      <c r="J59" s="407">
        <v>435</v>
      </c>
      <c r="K59" s="407">
        <v>138957</v>
      </c>
      <c r="L59" s="407">
        <v>0.79344604895763737</v>
      </c>
      <c r="M59" s="407">
        <v>319.44137931034481</v>
      </c>
      <c r="N59" s="407">
        <v>678</v>
      </c>
      <c r="O59" s="407">
        <v>218994</v>
      </c>
      <c r="P59" s="430">
        <v>1.2504582284118746</v>
      </c>
      <c r="Q59" s="431">
        <v>323</v>
      </c>
    </row>
    <row r="60" spans="1:17" ht="14.4" customHeight="1" x14ac:dyDescent="0.3">
      <c r="A60" s="406" t="s">
        <v>446</v>
      </c>
      <c r="B60" s="429" t="s">
        <v>366</v>
      </c>
      <c r="C60" s="429" t="s">
        <v>367</v>
      </c>
      <c r="D60" s="429" t="s">
        <v>376</v>
      </c>
      <c r="E60" s="429" t="s">
        <v>377</v>
      </c>
      <c r="F60" s="407"/>
      <c r="G60" s="407"/>
      <c r="H60" s="407"/>
      <c r="I60" s="407"/>
      <c r="J60" s="407">
        <v>1</v>
      </c>
      <c r="K60" s="407">
        <v>319</v>
      </c>
      <c r="L60" s="407"/>
      <c r="M60" s="407">
        <v>319</v>
      </c>
      <c r="N60" s="407"/>
      <c r="O60" s="407"/>
      <c r="P60" s="430"/>
      <c r="Q60" s="431"/>
    </row>
    <row r="61" spans="1:17" ht="14.4" customHeight="1" x14ac:dyDescent="0.3">
      <c r="A61" s="406" t="s">
        <v>447</v>
      </c>
      <c r="B61" s="429" t="s">
        <v>366</v>
      </c>
      <c r="C61" s="429" t="s">
        <v>367</v>
      </c>
      <c r="D61" s="429" t="s">
        <v>372</v>
      </c>
      <c r="E61" s="429" t="s">
        <v>373</v>
      </c>
      <c r="F61" s="407">
        <v>24</v>
      </c>
      <c r="G61" s="407">
        <v>7656</v>
      </c>
      <c r="H61" s="407">
        <v>1</v>
      </c>
      <c r="I61" s="407">
        <v>319</v>
      </c>
      <c r="J61" s="407">
        <v>14</v>
      </c>
      <c r="K61" s="407">
        <v>4466</v>
      </c>
      <c r="L61" s="407">
        <v>0.58333333333333337</v>
      </c>
      <c r="M61" s="407">
        <v>319</v>
      </c>
      <c r="N61" s="407"/>
      <c r="O61" s="407"/>
      <c r="P61" s="430"/>
      <c r="Q61" s="431"/>
    </row>
    <row r="62" spans="1:17" ht="14.4" customHeight="1" x14ac:dyDescent="0.3">
      <c r="A62" s="406" t="s">
        <v>448</v>
      </c>
      <c r="B62" s="429" t="s">
        <v>366</v>
      </c>
      <c r="C62" s="429" t="s">
        <v>367</v>
      </c>
      <c r="D62" s="429" t="s">
        <v>372</v>
      </c>
      <c r="E62" s="429" t="s">
        <v>373</v>
      </c>
      <c r="F62" s="407">
        <v>16</v>
      </c>
      <c r="G62" s="407">
        <v>5104</v>
      </c>
      <c r="H62" s="407">
        <v>1</v>
      </c>
      <c r="I62" s="407">
        <v>319</v>
      </c>
      <c r="J62" s="407">
        <v>4</v>
      </c>
      <c r="K62" s="407">
        <v>1288</v>
      </c>
      <c r="L62" s="407">
        <v>0.25235109717868337</v>
      </c>
      <c r="M62" s="407">
        <v>322</v>
      </c>
      <c r="N62" s="407">
        <v>16</v>
      </c>
      <c r="O62" s="407">
        <v>5168</v>
      </c>
      <c r="P62" s="430">
        <v>1.0125391849529781</v>
      </c>
      <c r="Q62" s="431">
        <v>323</v>
      </c>
    </row>
    <row r="63" spans="1:17" ht="14.4" customHeight="1" thickBot="1" x14ac:dyDescent="0.35">
      <c r="A63" s="410" t="s">
        <v>448</v>
      </c>
      <c r="B63" s="432" t="s">
        <v>366</v>
      </c>
      <c r="C63" s="432" t="s">
        <v>367</v>
      </c>
      <c r="D63" s="432" t="s">
        <v>376</v>
      </c>
      <c r="E63" s="432" t="s">
        <v>377</v>
      </c>
      <c r="F63" s="411">
        <v>16</v>
      </c>
      <c r="G63" s="411">
        <v>5104</v>
      </c>
      <c r="H63" s="411">
        <v>1</v>
      </c>
      <c r="I63" s="411">
        <v>319</v>
      </c>
      <c r="J63" s="411">
        <v>22</v>
      </c>
      <c r="K63" s="411">
        <v>7018</v>
      </c>
      <c r="L63" s="411">
        <v>1.375</v>
      </c>
      <c r="M63" s="411">
        <v>319</v>
      </c>
      <c r="N63" s="411">
        <v>8</v>
      </c>
      <c r="O63" s="411">
        <v>2584</v>
      </c>
      <c r="P63" s="433">
        <v>0.50626959247648906</v>
      </c>
      <c r="Q63" s="434">
        <v>323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74" t="s">
        <v>94</v>
      </c>
      <c r="B1" s="274"/>
      <c r="C1" s="275"/>
      <c r="D1" s="275"/>
      <c r="E1" s="275"/>
    </row>
    <row r="2" spans="1:5" ht="14.4" customHeight="1" thickBot="1" x14ac:dyDescent="0.35">
      <c r="A2" s="195" t="s">
        <v>222</v>
      </c>
      <c r="B2" s="121"/>
    </row>
    <row r="3" spans="1:5" ht="14.4" customHeight="1" thickBot="1" x14ac:dyDescent="0.35">
      <c r="A3" s="124"/>
      <c r="C3" s="125" t="s">
        <v>84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2436.9003644800764</v>
      </c>
      <c r="D4" s="130">
        <f ca="1">IF(ISERROR(VLOOKUP("Náklady celkem",INDIRECT("HI!$A:$G"),5,0)),0,VLOOKUP("Náklady celkem",INDIRECT("HI!$A:$G"),5,0))</f>
        <v>2353.968060000002</v>
      </c>
      <c r="E4" s="131">
        <f ca="1">IF(C4=0,0,D4/C4)</f>
        <v>0.9659681184799821</v>
      </c>
    </row>
    <row r="5" spans="1:5" ht="14.4" customHeight="1" x14ac:dyDescent="0.3">
      <c r="A5" s="132" t="s">
        <v>108</v>
      </c>
      <c r="B5" s="133"/>
      <c r="C5" s="134"/>
      <c r="D5" s="134"/>
      <c r="E5" s="135"/>
    </row>
    <row r="6" spans="1:5" ht="14.4" customHeight="1" x14ac:dyDescent="0.3">
      <c r="A6" s="136" t="s">
        <v>113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88</v>
      </c>
      <c r="C7" s="138">
        <f>IF(ISERROR(HI!F5),"",HI!F5)</f>
        <v>0.33333333333333331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109</v>
      </c>
      <c r="B8" s="137"/>
      <c r="C8" s="138"/>
      <c r="D8" s="138"/>
      <c r="E8" s="135"/>
    </row>
    <row r="9" spans="1:5" ht="14.4" customHeight="1" x14ac:dyDescent="0.3">
      <c r="A9" s="141" t="s">
        <v>110</v>
      </c>
      <c r="B9" s="137"/>
      <c r="C9" s="138"/>
      <c r="D9" s="138"/>
      <c r="E9" s="135"/>
    </row>
    <row r="10" spans="1:5" ht="14.4" customHeight="1" x14ac:dyDescent="0.3">
      <c r="A10" s="142" t="s">
        <v>114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88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2345.333259461017</v>
      </c>
      <c r="D12" s="134">
        <f ca="1">IF(ISERROR(VLOOKUP("Osobní náklady (Kč) *",INDIRECT("HI!$A:$G"),5,0)),0,VLOOKUP("Osobní náklady (Kč) *",INDIRECT("HI!$A:$G"),5,0))</f>
        <v>2261.3285200000009</v>
      </c>
      <c r="E12" s="135">
        <f ca="1">IF(C12=0,0,D12/C12)</f>
        <v>0.96418217363262004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1326.0509999999999</v>
      </c>
      <c r="D14" s="154">
        <f ca="1">IF(ISERROR(VLOOKUP("Výnosy celkem",INDIRECT("HI!$A:$G"),5,0)),0,VLOOKUP("Výnosy celkem",INDIRECT("HI!$A:$G"),5,0))</f>
        <v>1372.3979999999999</v>
      </c>
      <c r="E14" s="155">
        <f t="shared" ref="E14:E17" ca="1" si="1">IF(C14=0,0,D14/C14)</f>
        <v>1.0349511444129977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1326.0509999999999</v>
      </c>
      <c r="D15" s="134">
        <f ca="1">IF(ISERROR(VLOOKUP("Ambulance *",INDIRECT("HI!$A:$G"),5,0)),0,VLOOKUP("Ambulance *",INDIRECT("HI!$A:$G"),5,0))</f>
        <v>1372.3979999999999</v>
      </c>
      <c r="E15" s="135">
        <f t="shared" ca="1" si="1"/>
        <v>1.0349511444129977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96</v>
      </c>
      <c r="C16" s="140">
        <v>1</v>
      </c>
      <c r="D16" s="140">
        <f>IF(ISERROR(VLOOKUP("Celkem:",'ZV Vykáz.-A'!$A:$S,7,0)),"",VLOOKUP("Celkem:",'ZV Vykáz.-A'!$A:$S,7,0))</f>
        <v>1.0349511444129977</v>
      </c>
      <c r="E16" s="135">
        <f t="shared" si="1"/>
        <v>1.0349511444129977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98</v>
      </c>
      <c r="C17" s="140">
        <v>0.85</v>
      </c>
      <c r="D17" s="140">
        <f>IF(ISERROR(VLOOKUP("Celkem:",'ZV Vykáz.-H'!$A:$S,7,0)),"",VLOOKUP("Celkem:",'ZV Vykáz.-H'!$A:$S,7,0))</f>
        <v>1.2239890555167512</v>
      </c>
      <c r="E17" s="135">
        <f t="shared" si="1"/>
        <v>1.4399871241373543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111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112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2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74" t="s">
        <v>103</v>
      </c>
      <c r="B1" s="274"/>
      <c r="C1" s="274"/>
      <c r="D1" s="274"/>
      <c r="E1" s="274"/>
      <c r="F1" s="274"/>
      <c r="G1" s="275"/>
      <c r="H1" s="275"/>
    </row>
    <row r="2" spans="1:8" ht="14.4" customHeight="1" thickBot="1" x14ac:dyDescent="0.35">
      <c r="A2" s="195" t="s">
        <v>222</v>
      </c>
      <c r="B2" s="83"/>
      <c r="C2" s="83"/>
      <c r="D2" s="83"/>
      <c r="E2" s="83"/>
      <c r="F2" s="83"/>
    </row>
    <row r="3" spans="1:8" ht="14.4" customHeight="1" x14ac:dyDescent="0.3">
      <c r="A3" s="276"/>
      <c r="B3" s="79">
        <v>2013</v>
      </c>
      <c r="C3" s="40">
        <v>2014</v>
      </c>
      <c r="D3" s="7"/>
      <c r="E3" s="280">
        <v>2015</v>
      </c>
      <c r="F3" s="281"/>
      <c r="G3" s="281"/>
      <c r="H3" s="282"/>
    </row>
    <row r="4" spans="1:8" ht="14.4" customHeight="1" thickBot="1" x14ac:dyDescent="0.35">
      <c r="A4" s="277"/>
      <c r="B4" s="278" t="s">
        <v>50</v>
      </c>
      <c r="C4" s="279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0.56330000000000002</v>
      </c>
      <c r="C5" s="29">
        <v>0</v>
      </c>
      <c r="D5" s="8"/>
      <c r="E5" s="89">
        <v>0</v>
      </c>
      <c r="F5" s="28">
        <v>0.33333333333333331</v>
      </c>
      <c r="G5" s="88">
        <f>E5-F5</f>
        <v>-0.33333333333333331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0.23154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2072.9282599999988</v>
      </c>
      <c r="C7" s="31">
        <v>2126.6786200000033</v>
      </c>
      <c r="D7" s="8"/>
      <c r="E7" s="90">
        <v>2261.3285200000009</v>
      </c>
      <c r="F7" s="30">
        <v>2345.333259461017</v>
      </c>
      <c r="G7" s="91">
        <f>E7-F7</f>
        <v>-84.004739461016015</v>
      </c>
      <c r="H7" s="95">
        <f>IF(F7&lt;0.00000001,"",E7/F7)</f>
        <v>0.96418217363262004</v>
      </c>
    </row>
    <row r="8" spans="1:8" ht="14.4" customHeight="1" thickBot="1" x14ac:dyDescent="0.35">
      <c r="A8" s="1" t="s">
        <v>53</v>
      </c>
      <c r="B8" s="11">
        <v>85.446809999999942</v>
      </c>
      <c r="C8" s="33">
        <v>79.191659999999501</v>
      </c>
      <c r="D8" s="8"/>
      <c r="E8" s="92">
        <v>92.639540000001034</v>
      </c>
      <c r="F8" s="32">
        <v>91.233771685726126</v>
      </c>
      <c r="G8" s="93">
        <f>E8-F8</f>
        <v>1.4057683142749084</v>
      </c>
      <c r="H8" s="96">
        <f>IF(F8&lt;0.00000001,"",E8/F8)</f>
        <v>1.0154084204598859</v>
      </c>
    </row>
    <row r="9" spans="1:8" ht="14.4" customHeight="1" thickBot="1" x14ac:dyDescent="0.35">
      <c r="A9" s="2" t="s">
        <v>54</v>
      </c>
      <c r="B9" s="3">
        <v>2159.1699099999987</v>
      </c>
      <c r="C9" s="35">
        <v>2205.8702800000028</v>
      </c>
      <c r="D9" s="8"/>
      <c r="E9" s="3">
        <v>2353.968060000002</v>
      </c>
      <c r="F9" s="34">
        <v>2436.9003644800764</v>
      </c>
      <c r="G9" s="34">
        <f>E9-F9</f>
        <v>-82.932304480074436</v>
      </c>
      <c r="H9" s="97">
        <f>IF(F9&lt;0.00000001,"",E9/F9)</f>
        <v>0.9659681184799821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1326.0509999999999</v>
      </c>
      <c r="C11" s="29">
        <f>IF(ISERROR(VLOOKUP("Celkem:",'ZV Vykáz.-A'!A:F,4,0)),0,VLOOKUP("Celkem:",'ZV Vykáz.-A'!A:F,4,0)/1000)</f>
        <v>1506.5429999999999</v>
      </c>
      <c r="D11" s="8"/>
      <c r="E11" s="89">
        <f>IF(ISERROR(VLOOKUP("Celkem:",'ZV Vykáz.-A'!A:F,6,0)),0,VLOOKUP("Celkem:",'ZV Vykáz.-A'!A:F,6,0)/1000)</f>
        <v>1372.3979999999999</v>
      </c>
      <c r="F11" s="28">
        <f>B11</f>
        <v>1326.0509999999999</v>
      </c>
      <c r="G11" s="88">
        <f>E11-F11</f>
        <v>46.34699999999998</v>
      </c>
      <c r="H11" s="94">
        <f>IF(F11&lt;0.00000001,"",E11/F11)</f>
        <v>1.0349511444129977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1326.0509999999999</v>
      </c>
      <c r="C13" s="37">
        <f>SUM(C11:C12)</f>
        <v>1506.5429999999999</v>
      </c>
      <c r="D13" s="8"/>
      <c r="E13" s="5">
        <f>SUM(E11:E12)</f>
        <v>1372.3979999999999</v>
      </c>
      <c r="F13" s="36">
        <f>SUM(F11:F12)</f>
        <v>1326.0509999999999</v>
      </c>
      <c r="G13" s="36">
        <f>E13-F13</f>
        <v>46.34699999999998</v>
      </c>
      <c r="H13" s="98">
        <f>IF(F13&lt;0.00000001,"",E13/F13)</f>
        <v>1.0349511444129977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0.61414851784406388</v>
      </c>
      <c r="C15" s="39">
        <f>IF(C9=0,"",C13/C9)</f>
        <v>0.6829698979397818</v>
      </c>
      <c r="D15" s="8"/>
      <c r="E15" s="6">
        <f>IF(E9=0,"",E13/E9)</f>
        <v>0.58301470751476503</v>
      </c>
      <c r="F15" s="38">
        <f>IF(F9=0,"",F13/F9)</f>
        <v>0.54415478750314805</v>
      </c>
      <c r="G15" s="38">
        <f>IF(ISERROR(F15-E15),"",E15-F15)</f>
        <v>3.8859920011616977E-2</v>
      </c>
      <c r="H15" s="99">
        <f>IF(ISERROR(F15-E15),"",IF(F15&lt;0.00000001,"",E15/F15))</f>
        <v>1.0714133568316573</v>
      </c>
    </row>
    <row r="17" spans="1:8" ht="14.4" customHeight="1" x14ac:dyDescent="0.3">
      <c r="A17" s="85" t="s">
        <v>115</v>
      </c>
    </row>
    <row r="18" spans="1:8" ht="14.4" customHeight="1" x14ac:dyDescent="0.3">
      <c r="A18" s="248" t="s">
        <v>153</v>
      </c>
      <c r="B18" s="249"/>
      <c r="C18" s="249"/>
      <c r="D18" s="249"/>
      <c r="E18" s="249"/>
      <c r="F18" s="249"/>
      <c r="G18" s="249"/>
      <c r="H18" s="249"/>
    </row>
    <row r="19" spans="1:8" x14ac:dyDescent="0.3">
      <c r="A19" s="247" t="s">
        <v>152</v>
      </c>
      <c r="B19" s="249"/>
      <c r="C19" s="249"/>
      <c r="D19" s="249"/>
      <c r="E19" s="249"/>
      <c r="F19" s="249"/>
      <c r="G19" s="249"/>
      <c r="H19" s="249"/>
    </row>
    <row r="20" spans="1:8" ht="14.4" customHeight="1" x14ac:dyDescent="0.3">
      <c r="A20" s="86" t="s">
        <v>196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117</v>
      </c>
    </row>
    <row r="23" spans="1:8" ht="14.4" customHeight="1" x14ac:dyDescent="0.3">
      <c r="A23" s="87" t="s">
        <v>118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74" t="s">
        <v>81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14.4" customHeight="1" x14ac:dyDescent="0.3">
      <c r="A2" s="195" t="s">
        <v>222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59</v>
      </c>
      <c r="C3" s="170" t="s">
        <v>60</v>
      </c>
      <c r="D3" s="170" t="s">
        <v>61</v>
      </c>
      <c r="E3" s="169" t="s">
        <v>62</v>
      </c>
      <c r="F3" s="170" t="s">
        <v>63</v>
      </c>
      <c r="G3" s="170" t="s">
        <v>64</v>
      </c>
      <c r="H3" s="170" t="s">
        <v>65</v>
      </c>
      <c r="I3" s="170" t="s">
        <v>66</v>
      </c>
      <c r="J3" s="170" t="s">
        <v>67</v>
      </c>
      <c r="K3" s="170" t="s">
        <v>68</v>
      </c>
      <c r="L3" s="170" t="s">
        <v>69</v>
      </c>
      <c r="M3" s="170" t="s">
        <v>70</v>
      </c>
    </row>
    <row r="4" spans="1:13" ht="14.4" customHeight="1" x14ac:dyDescent="0.3">
      <c r="A4" s="168" t="s">
        <v>58</v>
      </c>
      <c r="B4" s="171">
        <f>(B10+B8)/B6</f>
        <v>0.57985904587994663</v>
      </c>
      <c r="C4" s="171">
        <f t="shared" ref="C4:M4" si="0">(C10+C8)/C6</f>
        <v>0.57214951536233816</v>
      </c>
      <c r="D4" s="171">
        <f t="shared" si="0"/>
        <v>0.59428601471063558</v>
      </c>
      <c r="E4" s="171">
        <f t="shared" si="0"/>
        <v>0.58301470751476503</v>
      </c>
      <c r="F4" s="171">
        <f t="shared" si="0"/>
        <v>0.58301470751476503</v>
      </c>
      <c r="G4" s="171">
        <f t="shared" si="0"/>
        <v>0.58301470751476503</v>
      </c>
      <c r="H4" s="171">
        <f t="shared" si="0"/>
        <v>0.58301470751476503</v>
      </c>
      <c r="I4" s="171">
        <f t="shared" si="0"/>
        <v>0.58301470751476503</v>
      </c>
      <c r="J4" s="171">
        <f t="shared" si="0"/>
        <v>0.58301470751476503</v>
      </c>
      <c r="K4" s="171">
        <f t="shared" si="0"/>
        <v>0.58301470751476503</v>
      </c>
      <c r="L4" s="171">
        <f t="shared" si="0"/>
        <v>0.58301470751476503</v>
      </c>
      <c r="M4" s="171">
        <f t="shared" si="0"/>
        <v>0.58301470751476503</v>
      </c>
    </row>
    <row r="5" spans="1:13" ht="14.4" customHeight="1" x14ac:dyDescent="0.3">
      <c r="A5" s="172" t="s">
        <v>30</v>
      </c>
      <c r="B5" s="171">
        <f>IF(ISERROR(VLOOKUP($A5,'Man Tab'!$A:$Q,COLUMN()+2,0)),0,VLOOKUP($A5,'Man Tab'!$A:$Q,COLUMN()+2,0))</f>
        <v>596.21385999999995</v>
      </c>
      <c r="C5" s="171">
        <f>IF(ISERROR(VLOOKUP($A5,'Man Tab'!$A:$Q,COLUMN()+2,0)),0,VLOOKUP($A5,'Man Tab'!$A:$Q,COLUMN()+2,0))</f>
        <v>581.22662000000196</v>
      </c>
      <c r="D5" s="171">
        <f>IF(ISERROR(VLOOKUP($A5,'Man Tab'!$A:$Q,COLUMN()+2,0)),0,VLOOKUP($A5,'Man Tab'!$A:$Q,COLUMN()+2,0))</f>
        <v>580.07016999999996</v>
      </c>
      <c r="E5" s="171">
        <f>IF(ISERROR(VLOOKUP($A5,'Man Tab'!$A:$Q,COLUMN()+2,0)),0,VLOOKUP($A5,'Man Tab'!$A:$Q,COLUMN()+2,0))</f>
        <v>596.45740999999998</v>
      </c>
      <c r="F5" s="171">
        <f>IF(ISERROR(VLOOKUP($A5,'Man Tab'!$A:$Q,COLUMN()+2,0)),0,VLOOKUP($A5,'Man Tab'!$A:$Q,COLUMN()+2,0))</f>
        <v>0</v>
      </c>
      <c r="G5" s="171">
        <f>IF(ISERROR(VLOOKUP($A5,'Man Tab'!$A:$Q,COLUMN()+2,0)),0,VLOOKUP($A5,'Man Tab'!$A:$Q,COLUMN()+2,0))</f>
        <v>0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" customHeight="1" x14ac:dyDescent="0.3">
      <c r="A6" s="172" t="s">
        <v>54</v>
      </c>
      <c r="B6" s="173">
        <f>B5</f>
        <v>596.21385999999995</v>
      </c>
      <c r="C6" s="173">
        <f t="shared" ref="C6:M6" si="1">C5+B6</f>
        <v>1177.440480000002</v>
      </c>
      <c r="D6" s="173">
        <f t="shared" si="1"/>
        <v>1757.510650000002</v>
      </c>
      <c r="E6" s="173">
        <f t="shared" si="1"/>
        <v>2353.968060000002</v>
      </c>
      <c r="F6" s="173">
        <f t="shared" si="1"/>
        <v>2353.968060000002</v>
      </c>
      <c r="G6" s="173">
        <f t="shared" si="1"/>
        <v>2353.968060000002</v>
      </c>
      <c r="H6" s="173">
        <f t="shared" si="1"/>
        <v>2353.968060000002</v>
      </c>
      <c r="I6" s="173">
        <f t="shared" si="1"/>
        <v>2353.968060000002</v>
      </c>
      <c r="J6" s="173">
        <f t="shared" si="1"/>
        <v>2353.968060000002</v>
      </c>
      <c r="K6" s="173">
        <f t="shared" si="1"/>
        <v>2353.968060000002</v>
      </c>
      <c r="L6" s="173">
        <f t="shared" si="1"/>
        <v>2353.968060000002</v>
      </c>
      <c r="M6" s="173">
        <f t="shared" si="1"/>
        <v>2353.968060000002</v>
      </c>
    </row>
    <row r="7" spans="1:13" ht="14.4" customHeight="1" x14ac:dyDescent="0.3">
      <c r="A7" s="172" t="s">
        <v>79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55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80</v>
      </c>
      <c r="B9" s="172">
        <v>345720</v>
      </c>
      <c r="C9" s="172">
        <v>327952</v>
      </c>
      <c r="D9" s="172">
        <v>370792</v>
      </c>
      <c r="E9" s="172">
        <v>327934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56</v>
      </c>
      <c r="B10" s="173">
        <f>B9/1000</f>
        <v>345.72</v>
      </c>
      <c r="C10" s="173">
        <f t="shared" ref="C10:M10" si="3">C9/1000+B10</f>
        <v>673.67200000000003</v>
      </c>
      <c r="D10" s="173">
        <f t="shared" si="3"/>
        <v>1044.4639999999999</v>
      </c>
      <c r="E10" s="173">
        <f t="shared" si="3"/>
        <v>1372.3979999999999</v>
      </c>
      <c r="F10" s="173">
        <f t="shared" si="3"/>
        <v>1372.3979999999999</v>
      </c>
      <c r="G10" s="173">
        <f t="shared" si="3"/>
        <v>1372.3979999999999</v>
      </c>
      <c r="H10" s="173">
        <f t="shared" si="3"/>
        <v>1372.3979999999999</v>
      </c>
      <c r="I10" s="173">
        <f t="shared" si="3"/>
        <v>1372.3979999999999</v>
      </c>
      <c r="J10" s="173">
        <f t="shared" si="3"/>
        <v>1372.3979999999999</v>
      </c>
      <c r="K10" s="173">
        <f t="shared" si="3"/>
        <v>1372.3979999999999</v>
      </c>
      <c r="L10" s="173">
        <f t="shared" si="3"/>
        <v>1372.3979999999999</v>
      </c>
      <c r="M10" s="173">
        <f t="shared" si="3"/>
        <v>1372.3979999999999</v>
      </c>
    </row>
    <row r="11" spans="1:13" ht="14.4" customHeight="1" x14ac:dyDescent="0.3">
      <c r="A11" s="168"/>
      <c r="B11" s="168" t="s">
        <v>71</v>
      </c>
      <c r="C11" s="168">
        <f ca="1">IF(MONTH(TODAY())=1,12,MONTH(TODAY())-1)</f>
        <v>4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0.54415478750314805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0.54415478750314805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83" t="s">
        <v>224</v>
      </c>
      <c r="B1" s="283"/>
      <c r="C1" s="283"/>
      <c r="D1" s="283"/>
      <c r="E1" s="283"/>
      <c r="F1" s="283"/>
      <c r="G1" s="283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74" customFormat="1" ht="14.4" customHeight="1" thickBot="1" x14ac:dyDescent="0.3">
      <c r="A2" s="195" t="s">
        <v>222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84" t="s">
        <v>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10"/>
      <c r="Q3" s="112"/>
    </row>
    <row r="4" spans="1:17" ht="14.4" customHeight="1" x14ac:dyDescent="0.3">
      <c r="A4" s="60"/>
      <c r="B4" s="20">
        <v>2015</v>
      </c>
      <c r="C4" s="111" t="s">
        <v>7</v>
      </c>
      <c r="D4" s="101" t="s">
        <v>199</v>
      </c>
      <c r="E4" s="101" t="s">
        <v>200</v>
      </c>
      <c r="F4" s="101" t="s">
        <v>201</v>
      </c>
      <c r="G4" s="101" t="s">
        <v>202</v>
      </c>
      <c r="H4" s="101" t="s">
        <v>203</v>
      </c>
      <c r="I4" s="101" t="s">
        <v>204</v>
      </c>
      <c r="J4" s="101" t="s">
        <v>205</v>
      </c>
      <c r="K4" s="101" t="s">
        <v>206</v>
      </c>
      <c r="L4" s="101" t="s">
        <v>207</v>
      </c>
      <c r="M4" s="101" t="s">
        <v>208</v>
      </c>
      <c r="N4" s="101" t="s">
        <v>209</v>
      </c>
      <c r="O4" s="101" t="s">
        <v>210</v>
      </c>
      <c r="P4" s="286" t="s">
        <v>3</v>
      </c>
      <c r="Q4" s="287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223</v>
      </c>
    </row>
    <row r="7" spans="1:17" ht="14.4" customHeight="1" x14ac:dyDescent="0.3">
      <c r="A7" s="15" t="s">
        <v>12</v>
      </c>
      <c r="B7" s="46">
        <v>1</v>
      </c>
      <c r="C7" s="47">
        <v>8.3333333332999998E-2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223</v>
      </c>
    </row>
    <row r="9" spans="1:17" ht="14.4" customHeight="1" x14ac:dyDescent="0.3">
      <c r="A9" s="15" t="s">
        <v>14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223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223</v>
      </c>
    </row>
    <row r="11" spans="1:17" ht="14.4" customHeight="1" x14ac:dyDescent="0.3">
      <c r="A11" s="15" t="s">
        <v>16</v>
      </c>
      <c r="B11" s="46">
        <v>31.859865528254002</v>
      </c>
      <c r="C11" s="47">
        <v>2.654988794021</v>
      </c>
      <c r="D11" s="47">
        <v>0.48709999999999998</v>
      </c>
      <c r="E11" s="47">
        <v>1.06237</v>
      </c>
      <c r="F11" s="47">
        <v>0.55659999999999998</v>
      </c>
      <c r="G11" s="47">
        <v>3.6682999999999999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5.7743700000000002</v>
      </c>
      <c r="Q11" s="70">
        <v>0.54372828361799996</v>
      </c>
    </row>
    <row r="12" spans="1:17" ht="14.4" customHeight="1" x14ac:dyDescent="0.3">
      <c r="A12" s="15" t="s">
        <v>17</v>
      </c>
      <c r="B12" s="46">
        <v>0.99999996850200001</v>
      </c>
      <c r="C12" s="47">
        <v>8.3333330708000003E-2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18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0.93654000000000004</v>
      </c>
      <c r="G13" s="47">
        <v>0.46342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1.3999600000000001</v>
      </c>
      <c r="Q13" s="70">
        <v>1.399960044095</v>
      </c>
    </row>
    <row r="14" spans="1:17" ht="14.4" customHeight="1" x14ac:dyDescent="0.3">
      <c r="A14" s="15" t="s">
        <v>19</v>
      </c>
      <c r="B14" s="46">
        <v>85.694050698287995</v>
      </c>
      <c r="C14" s="47">
        <v>7.1411708915240002</v>
      </c>
      <c r="D14" s="47">
        <v>11.471</v>
      </c>
      <c r="E14" s="47">
        <v>9.6959999999999997</v>
      </c>
      <c r="F14" s="47">
        <v>9.1129999999999995</v>
      </c>
      <c r="G14" s="47">
        <v>7.3570000000000002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37.637</v>
      </c>
      <c r="Q14" s="70">
        <v>1.3176060540950001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223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223</v>
      </c>
    </row>
    <row r="17" spans="1:17" ht="14.4" customHeight="1" x14ac:dyDescent="0.3">
      <c r="A17" s="15" t="s">
        <v>22</v>
      </c>
      <c r="B17" s="46">
        <v>24.539564812719998</v>
      </c>
      <c r="C17" s="47">
        <v>2.0449637343929998</v>
      </c>
      <c r="D17" s="47">
        <v>1.8754999999999999</v>
      </c>
      <c r="E17" s="47">
        <v>0</v>
      </c>
      <c r="F17" s="47">
        <v>0.68244000000000005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2.5579399999999999</v>
      </c>
      <c r="Q17" s="70">
        <v>0.31271214703900002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1.03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1.03</v>
      </c>
      <c r="Q18" s="70" t="s">
        <v>223</v>
      </c>
    </row>
    <row r="19" spans="1:17" ht="14.4" customHeight="1" x14ac:dyDescent="0.3">
      <c r="A19" s="15" t="s">
        <v>24</v>
      </c>
      <c r="B19" s="46">
        <v>84.607850376524993</v>
      </c>
      <c r="C19" s="47">
        <v>7.0506541980430004</v>
      </c>
      <c r="D19" s="47">
        <v>4.5395599999999998</v>
      </c>
      <c r="E19" s="47">
        <v>3.8446400000000001</v>
      </c>
      <c r="F19" s="47">
        <v>4.3200500000000002</v>
      </c>
      <c r="G19" s="47">
        <v>5.3760199999999996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18.080269999999999</v>
      </c>
      <c r="Q19" s="70">
        <v>0.64108483738300004</v>
      </c>
    </row>
    <row r="20" spans="1:17" ht="14.4" customHeight="1" x14ac:dyDescent="0.3">
      <c r="A20" s="15" t="s">
        <v>25</v>
      </c>
      <c r="B20" s="46">
        <v>7035.9997783830504</v>
      </c>
      <c r="C20" s="47">
        <v>586.33331486525401</v>
      </c>
      <c r="D20" s="47">
        <v>574.30070000000001</v>
      </c>
      <c r="E20" s="47">
        <v>563.08361000000104</v>
      </c>
      <c r="F20" s="47">
        <v>560.92154000000005</v>
      </c>
      <c r="G20" s="47">
        <v>563.02266999999995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2261.32852</v>
      </c>
      <c r="Q20" s="70">
        <v>0.96418217363199998</v>
      </c>
    </row>
    <row r="21" spans="1:17" ht="14.4" customHeight="1" x14ac:dyDescent="0.3">
      <c r="A21" s="16" t="s">
        <v>26</v>
      </c>
      <c r="B21" s="46">
        <v>42.999983767379</v>
      </c>
      <c r="C21" s="47">
        <v>3.583331980614</v>
      </c>
      <c r="D21" s="47">
        <v>3.54</v>
      </c>
      <c r="E21" s="47">
        <v>3.54</v>
      </c>
      <c r="F21" s="47">
        <v>3.54</v>
      </c>
      <c r="G21" s="47">
        <v>3.54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14.16</v>
      </c>
      <c r="Q21" s="70">
        <v>0.98790734968100002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223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223</v>
      </c>
    </row>
    <row r="24" spans="1:17" ht="14.4" customHeight="1" x14ac:dyDescent="0.3">
      <c r="A24" s="16" t="s">
        <v>29</v>
      </c>
      <c r="B24" s="46">
        <v>9.0949470177292804E-13</v>
      </c>
      <c r="C24" s="47">
        <v>0</v>
      </c>
      <c r="D24" s="47">
        <v>1.13686837721616E-13</v>
      </c>
      <c r="E24" s="47">
        <v>1.13686837721616E-13</v>
      </c>
      <c r="F24" s="47">
        <v>2.2737367544323201E-13</v>
      </c>
      <c r="G24" s="47">
        <v>12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12</v>
      </c>
      <c r="Q24" s="70" t="s">
        <v>223</v>
      </c>
    </row>
    <row r="25" spans="1:17" ht="14.4" customHeight="1" x14ac:dyDescent="0.3">
      <c r="A25" s="17" t="s">
        <v>30</v>
      </c>
      <c r="B25" s="49">
        <v>7310.7010934402297</v>
      </c>
      <c r="C25" s="50">
        <v>609.22509112001899</v>
      </c>
      <c r="D25" s="50">
        <v>596.21385999999995</v>
      </c>
      <c r="E25" s="50">
        <v>581.22662000000196</v>
      </c>
      <c r="F25" s="50">
        <v>580.07016999999996</v>
      </c>
      <c r="G25" s="50">
        <v>596.45740999999998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2353.9680600000002</v>
      </c>
      <c r="Q25" s="71">
        <v>0.96596811847899999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73.693659999999994</v>
      </c>
      <c r="E26" s="47">
        <v>78.450239999999994</v>
      </c>
      <c r="F26" s="47">
        <v>84.450609999999998</v>
      </c>
      <c r="G26" s="47">
        <v>76.334199999999996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312.92871000000099</v>
      </c>
      <c r="Q26" s="70" t="s">
        <v>223</v>
      </c>
    </row>
    <row r="27" spans="1:17" ht="14.4" customHeight="1" x14ac:dyDescent="0.3">
      <c r="A27" s="18" t="s">
        <v>32</v>
      </c>
      <c r="B27" s="49">
        <v>7310.7010934402297</v>
      </c>
      <c r="C27" s="50">
        <v>609.22509112001899</v>
      </c>
      <c r="D27" s="50">
        <v>669.90751999999998</v>
      </c>
      <c r="E27" s="50">
        <v>659.67686000000197</v>
      </c>
      <c r="F27" s="50">
        <v>664.52077999999995</v>
      </c>
      <c r="G27" s="50">
        <v>672.79160999999999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2666.8967699999998</v>
      </c>
      <c r="Q27" s="71">
        <v>1.0943807177639999</v>
      </c>
    </row>
    <row r="28" spans="1:17" ht="14.4" customHeight="1" x14ac:dyDescent="0.3">
      <c r="A28" s="16" t="s">
        <v>33</v>
      </c>
      <c r="B28" s="46">
        <v>21.588098358027001</v>
      </c>
      <c r="C28" s="47">
        <v>1.7990081965019999</v>
      </c>
      <c r="D28" s="47">
        <v>2.2051099999999999</v>
      </c>
      <c r="E28" s="47">
        <v>9.5720100000000006</v>
      </c>
      <c r="F28" s="47">
        <v>3.1906699999999999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14.967790000000001</v>
      </c>
      <c r="Q28" s="70">
        <v>2.0800058094649998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223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223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219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83" t="s">
        <v>38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55" customFormat="1" ht="14.4" customHeight="1" thickBot="1" x14ac:dyDescent="0.35">
      <c r="A2" s="195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4" t="s">
        <v>39</v>
      </c>
      <c r="C3" s="285"/>
      <c r="D3" s="285"/>
      <c r="E3" s="285"/>
      <c r="F3" s="291" t="s">
        <v>40</v>
      </c>
      <c r="G3" s="285"/>
      <c r="H3" s="285"/>
      <c r="I3" s="285"/>
      <c r="J3" s="285"/>
      <c r="K3" s="292"/>
    </row>
    <row r="4" spans="1:11" ht="14.4" customHeight="1" x14ac:dyDescent="0.3">
      <c r="A4" s="60"/>
      <c r="B4" s="289"/>
      <c r="C4" s="290"/>
      <c r="D4" s="290"/>
      <c r="E4" s="290"/>
      <c r="F4" s="293" t="s">
        <v>215</v>
      </c>
      <c r="G4" s="295" t="s">
        <v>41</v>
      </c>
      <c r="H4" s="113" t="s">
        <v>107</v>
      </c>
      <c r="I4" s="293" t="s">
        <v>42</v>
      </c>
      <c r="J4" s="295" t="s">
        <v>217</v>
      </c>
      <c r="K4" s="296" t="s">
        <v>218</v>
      </c>
    </row>
    <row r="5" spans="1:11" ht="42" thickBot="1" x14ac:dyDescent="0.35">
      <c r="A5" s="61"/>
      <c r="B5" s="24" t="s">
        <v>211</v>
      </c>
      <c r="C5" s="25" t="s">
        <v>212</v>
      </c>
      <c r="D5" s="26" t="s">
        <v>213</v>
      </c>
      <c r="E5" s="26" t="s">
        <v>214</v>
      </c>
      <c r="F5" s="294"/>
      <c r="G5" s="294"/>
      <c r="H5" s="25" t="s">
        <v>216</v>
      </c>
      <c r="I5" s="294"/>
      <c r="J5" s="294"/>
      <c r="K5" s="297"/>
    </row>
    <row r="6" spans="1:11" ht="14.4" customHeight="1" thickBot="1" x14ac:dyDescent="0.35">
      <c r="A6" s="347" t="s">
        <v>225</v>
      </c>
      <c r="B6" s="329">
        <v>7223.1358573261996</v>
      </c>
      <c r="C6" s="329">
        <v>7190.9583300000004</v>
      </c>
      <c r="D6" s="330">
        <v>-32.177527326198003</v>
      </c>
      <c r="E6" s="331">
        <v>0.99554521360699999</v>
      </c>
      <c r="F6" s="329">
        <v>7310.7010934402297</v>
      </c>
      <c r="G6" s="330">
        <v>2436.90036448008</v>
      </c>
      <c r="H6" s="332">
        <v>596.45740999999998</v>
      </c>
      <c r="I6" s="329">
        <v>2353.9680600000002</v>
      </c>
      <c r="J6" s="330">
        <v>-82.932304480075004</v>
      </c>
      <c r="K6" s="333">
        <v>0.32198937282599999</v>
      </c>
    </row>
    <row r="7" spans="1:11" ht="14.4" customHeight="1" thickBot="1" x14ac:dyDescent="0.35">
      <c r="A7" s="348" t="s">
        <v>226</v>
      </c>
      <c r="B7" s="329">
        <v>148.68150012419201</v>
      </c>
      <c r="C7" s="329">
        <v>124.78225</v>
      </c>
      <c r="D7" s="330">
        <v>-23.899250124192001</v>
      </c>
      <c r="E7" s="331">
        <v>0.83925875038700004</v>
      </c>
      <c r="F7" s="329">
        <v>122.553916100552</v>
      </c>
      <c r="G7" s="330">
        <v>40.851305366849999</v>
      </c>
      <c r="H7" s="332">
        <v>11.488720000000001</v>
      </c>
      <c r="I7" s="329">
        <v>44.811329999999998</v>
      </c>
      <c r="J7" s="330">
        <v>3.9600246331490001</v>
      </c>
      <c r="K7" s="333">
        <v>0.36564584328100003</v>
      </c>
    </row>
    <row r="8" spans="1:11" ht="14.4" customHeight="1" thickBot="1" x14ac:dyDescent="0.35">
      <c r="A8" s="349" t="s">
        <v>227</v>
      </c>
      <c r="B8" s="329">
        <v>58.586599890715</v>
      </c>
      <c r="C8" s="329">
        <v>42.981250000000003</v>
      </c>
      <c r="D8" s="330">
        <v>-15.605349890715001</v>
      </c>
      <c r="E8" s="331">
        <v>0.73363619121300006</v>
      </c>
      <c r="F8" s="329">
        <v>36.859865402263999</v>
      </c>
      <c r="G8" s="330">
        <v>12.286621800754</v>
      </c>
      <c r="H8" s="332">
        <v>4.1317199999999996</v>
      </c>
      <c r="I8" s="329">
        <v>7.1743300000000003</v>
      </c>
      <c r="J8" s="330">
        <v>-5.1122918007539999</v>
      </c>
      <c r="K8" s="333">
        <v>0.19463798691799999</v>
      </c>
    </row>
    <row r="9" spans="1:11" ht="14.4" customHeight="1" thickBot="1" x14ac:dyDescent="0.35">
      <c r="A9" s="350" t="s">
        <v>228</v>
      </c>
      <c r="B9" s="334">
        <v>0.56372669448699997</v>
      </c>
      <c r="C9" s="334">
        <v>0</v>
      </c>
      <c r="D9" s="335">
        <v>-0.56372669448699997</v>
      </c>
      <c r="E9" s="336">
        <v>0</v>
      </c>
      <c r="F9" s="334">
        <v>1</v>
      </c>
      <c r="G9" s="335">
        <v>0.33333333333300003</v>
      </c>
      <c r="H9" s="337">
        <v>0</v>
      </c>
      <c r="I9" s="334">
        <v>0</v>
      </c>
      <c r="J9" s="335">
        <v>-0.33333333333300003</v>
      </c>
      <c r="K9" s="338">
        <v>0</v>
      </c>
    </row>
    <row r="10" spans="1:11" ht="14.4" customHeight="1" thickBot="1" x14ac:dyDescent="0.35">
      <c r="A10" s="351" t="s">
        <v>229</v>
      </c>
      <c r="B10" s="329">
        <v>0.56372669448699997</v>
      </c>
      <c r="C10" s="329">
        <v>0</v>
      </c>
      <c r="D10" s="330">
        <v>-0.56372669448699997</v>
      </c>
      <c r="E10" s="331">
        <v>0</v>
      </c>
      <c r="F10" s="329">
        <v>1</v>
      </c>
      <c r="G10" s="330">
        <v>0.33333333333300003</v>
      </c>
      <c r="H10" s="332">
        <v>0</v>
      </c>
      <c r="I10" s="329">
        <v>0</v>
      </c>
      <c r="J10" s="330">
        <v>-0.33333333333300003</v>
      </c>
      <c r="K10" s="333">
        <v>0</v>
      </c>
    </row>
    <row r="11" spans="1:11" ht="14.4" customHeight="1" thickBot="1" x14ac:dyDescent="0.35">
      <c r="A11" s="350" t="s">
        <v>230</v>
      </c>
      <c r="B11" s="334">
        <v>0.23196071397199999</v>
      </c>
      <c r="C11" s="334">
        <v>0</v>
      </c>
      <c r="D11" s="335">
        <v>-0.23196071397199999</v>
      </c>
      <c r="E11" s="336">
        <v>0</v>
      </c>
      <c r="F11" s="334">
        <v>0</v>
      </c>
      <c r="G11" s="335">
        <v>0</v>
      </c>
      <c r="H11" s="337">
        <v>0</v>
      </c>
      <c r="I11" s="334">
        <v>0</v>
      </c>
      <c r="J11" s="335">
        <v>0</v>
      </c>
      <c r="K11" s="338">
        <v>4</v>
      </c>
    </row>
    <row r="12" spans="1:11" ht="14.4" customHeight="1" thickBot="1" x14ac:dyDescent="0.35">
      <c r="A12" s="351" t="s">
        <v>231</v>
      </c>
      <c r="B12" s="329">
        <v>0.18558106336800001</v>
      </c>
      <c r="C12" s="329">
        <v>0</v>
      </c>
      <c r="D12" s="330">
        <v>-0.18558106336800001</v>
      </c>
      <c r="E12" s="331">
        <v>0</v>
      </c>
      <c r="F12" s="329">
        <v>0</v>
      </c>
      <c r="G12" s="330">
        <v>0</v>
      </c>
      <c r="H12" s="332">
        <v>0</v>
      </c>
      <c r="I12" s="329">
        <v>0</v>
      </c>
      <c r="J12" s="330">
        <v>0</v>
      </c>
      <c r="K12" s="333">
        <v>4</v>
      </c>
    </row>
    <row r="13" spans="1:11" ht="14.4" customHeight="1" thickBot="1" x14ac:dyDescent="0.35">
      <c r="A13" s="351" t="s">
        <v>232</v>
      </c>
      <c r="B13" s="329">
        <v>4.6379650602999999E-2</v>
      </c>
      <c r="C13" s="329">
        <v>0</v>
      </c>
      <c r="D13" s="330">
        <v>-4.6379650602999999E-2</v>
      </c>
      <c r="E13" s="331">
        <v>0</v>
      </c>
      <c r="F13" s="329">
        <v>0</v>
      </c>
      <c r="G13" s="330">
        <v>0</v>
      </c>
      <c r="H13" s="332">
        <v>0</v>
      </c>
      <c r="I13" s="329">
        <v>0</v>
      </c>
      <c r="J13" s="330">
        <v>0</v>
      </c>
      <c r="K13" s="333">
        <v>4</v>
      </c>
    </row>
    <row r="14" spans="1:11" ht="14.4" customHeight="1" thickBot="1" x14ac:dyDescent="0.35">
      <c r="A14" s="350" t="s">
        <v>233</v>
      </c>
      <c r="B14" s="334">
        <v>55.702476088228998</v>
      </c>
      <c r="C14" s="334">
        <v>39.097790000000003</v>
      </c>
      <c r="D14" s="335">
        <v>-16.604686088228998</v>
      </c>
      <c r="E14" s="336">
        <v>0.70190398606399995</v>
      </c>
      <c r="F14" s="334">
        <v>31.859865528254002</v>
      </c>
      <c r="G14" s="335">
        <v>10.619955176084</v>
      </c>
      <c r="H14" s="337">
        <v>3.6682999999999999</v>
      </c>
      <c r="I14" s="334">
        <v>5.7743700000000002</v>
      </c>
      <c r="J14" s="335">
        <v>-4.8455851760839996</v>
      </c>
      <c r="K14" s="338">
        <v>0.181242761206</v>
      </c>
    </row>
    <row r="15" spans="1:11" ht="14.4" customHeight="1" thickBot="1" x14ac:dyDescent="0.35">
      <c r="A15" s="351" t="s">
        <v>234</v>
      </c>
      <c r="B15" s="329">
        <v>1.4830251625590001</v>
      </c>
      <c r="C15" s="329">
        <v>0.17999999999899999</v>
      </c>
      <c r="D15" s="330">
        <v>-1.3030251625589999</v>
      </c>
      <c r="E15" s="331">
        <v>0.121373530634</v>
      </c>
      <c r="F15" s="329">
        <v>0.95715506856300003</v>
      </c>
      <c r="G15" s="330">
        <v>0.31905168952099999</v>
      </c>
      <c r="H15" s="332">
        <v>0</v>
      </c>
      <c r="I15" s="329">
        <v>0</v>
      </c>
      <c r="J15" s="330">
        <v>-0.31905168952099999</v>
      </c>
      <c r="K15" s="333">
        <v>0</v>
      </c>
    </row>
    <row r="16" spans="1:11" ht="14.4" customHeight="1" thickBot="1" x14ac:dyDescent="0.35">
      <c r="A16" s="351" t="s">
        <v>235</v>
      </c>
      <c r="B16" s="329">
        <v>0.24399972333299999</v>
      </c>
      <c r="C16" s="329">
        <v>0.51312000000000002</v>
      </c>
      <c r="D16" s="330">
        <v>0.26912027666600002</v>
      </c>
      <c r="E16" s="331">
        <v>2.1029532041680001</v>
      </c>
      <c r="F16" s="329">
        <v>0.99999996850200001</v>
      </c>
      <c r="G16" s="330">
        <v>0.33333332283400002</v>
      </c>
      <c r="H16" s="332">
        <v>0</v>
      </c>
      <c r="I16" s="329">
        <v>0</v>
      </c>
      <c r="J16" s="330">
        <v>-0.33333332283400002</v>
      </c>
      <c r="K16" s="333">
        <v>0</v>
      </c>
    </row>
    <row r="17" spans="1:11" ht="14.4" customHeight="1" thickBot="1" x14ac:dyDescent="0.35">
      <c r="A17" s="351" t="s">
        <v>236</v>
      </c>
      <c r="B17" s="329">
        <v>0</v>
      </c>
      <c r="C17" s="329">
        <v>0</v>
      </c>
      <c r="D17" s="330">
        <v>0</v>
      </c>
      <c r="E17" s="331">
        <v>1</v>
      </c>
      <c r="F17" s="329">
        <v>5.0999999999999996</v>
      </c>
      <c r="G17" s="330">
        <v>1.7</v>
      </c>
      <c r="H17" s="332">
        <v>0</v>
      </c>
      <c r="I17" s="329">
        <v>0</v>
      </c>
      <c r="J17" s="330">
        <v>-1.7</v>
      </c>
      <c r="K17" s="333">
        <v>0</v>
      </c>
    </row>
    <row r="18" spans="1:11" ht="14.4" customHeight="1" thickBot="1" x14ac:dyDescent="0.35">
      <c r="A18" s="351" t="s">
        <v>237</v>
      </c>
      <c r="B18" s="329">
        <v>46.69464316482</v>
      </c>
      <c r="C18" s="329">
        <v>33.333410000000001</v>
      </c>
      <c r="D18" s="330">
        <v>-13.36123316482</v>
      </c>
      <c r="E18" s="331">
        <v>0.71385940100900003</v>
      </c>
      <c r="F18" s="329">
        <v>16.999999527536001</v>
      </c>
      <c r="G18" s="330">
        <v>5.6666665091780004</v>
      </c>
      <c r="H18" s="332">
        <v>2.6857099999999998</v>
      </c>
      <c r="I18" s="329">
        <v>2.6857099999999998</v>
      </c>
      <c r="J18" s="330">
        <v>-2.9809565091780001</v>
      </c>
      <c r="K18" s="333">
        <v>0.15798294556699999</v>
      </c>
    </row>
    <row r="19" spans="1:11" ht="14.4" customHeight="1" thickBot="1" x14ac:dyDescent="0.35">
      <c r="A19" s="351" t="s">
        <v>238</v>
      </c>
      <c r="B19" s="329">
        <v>0.99991897388999995</v>
      </c>
      <c r="C19" s="329">
        <v>0.25402999999999998</v>
      </c>
      <c r="D19" s="330">
        <v>-0.74588897388999997</v>
      </c>
      <c r="E19" s="331">
        <v>0.25405058472999997</v>
      </c>
      <c r="F19" s="329">
        <v>1.999999937004</v>
      </c>
      <c r="G19" s="330">
        <v>0.66666664566800005</v>
      </c>
      <c r="H19" s="332">
        <v>0</v>
      </c>
      <c r="I19" s="329">
        <v>0.28139999999999998</v>
      </c>
      <c r="J19" s="330">
        <v>-0.38526664566800001</v>
      </c>
      <c r="K19" s="333">
        <v>0.140700004431</v>
      </c>
    </row>
    <row r="20" spans="1:11" ht="14.4" customHeight="1" thickBot="1" x14ac:dyDescent="0.35">
      <c r="A20" s="351" t="s">
        <v>239</v>
      </c>
      <c r="B20" s="329">
        <v>3.9017569780520001</v>
      </c>
      <c r="C20" s="329">
        <v>2.7436500000000001</v>
      </c>
      <c r="D20" s="330">
        <v>-1.1581069780519999</v>
      </c>
      <c r="E20" s="331">
        <v>0.70318321090500002</v>
      </c>
      <c r="F20" s="329">
        <v>2.8027110581439998</v>
      </c>
      <c r="G20" s="330">
        <v>0.93423701938100001</v>
      </c>
      <c r="H20" s="332">
        <v>0.65339999999999998</v>
      </c>
      <c r="I20" s="329">
        <v>2.4780700000000002</v>
      </c>
      <c r="J20" s="330">
        <v>1.543832980618</v>
      </c>
      <c r="K20" s="333">
        <v>0.88416891666300002</v>
      </c>
    </row>
    <row r="21" spans="1:11" ht="14.4" customHeight="1" thickBot="1" x14ac:dyDescent="0.35">
      <c r="A21" s="351" t="s">
        <v>240</v>
      </c>
      <c r="B21" s="329">
        <v>2.379132085573</v>
      </c>
      <c r="C21" s="329">
        <v>2.0735800000000002</v>
      </c>
      <c r="D21" s="330">
        <v>-0.30555208557300001</v>
      </c>
      <c r="E21" s="331">
        <v>0.871569936185</v>
      </c>
      <c r="F21" s="329">
        <v>2.9999999685019998</v>
      </c>
      <c r="G21" s="330">
        <v>0.99999998950000002</v>
      </c>
      <c r="H21" s="332">
        <v>0.32918999999999998</v>
      </c>
      <c r="I21" s="329">
        <v>0.32918999999999998</v>
      </c>
      <c r="J21" s="330">
        <v>-0.67080998950000004</v>
      </c>
      <c r="K21" s="333">
        <v>0.109730001152</v>
      </c>
    </row>
    <row r="22" spans="1:11" ht="14.4" customHeight="1" thickBot="1" x14ac:dyDescent="0.35">
      <c r="A22" s="350" t="s">
        <v>241</v>
      </c>
      <c r="B22" s="334">
        <v>1.0001864980149999</v>
      </c>
      <c r="C22" s="334">
        <v>0</v>
      </c>
      <c r="D22" s="335">
        <v>-1.0001864980149999</v>
      </c>
      <c r="E22" s="336">
        <v>0</v>
      </c>
      <c r="F22" s="334">
        <v>0.99999996850200001</v>
      </c>
      <c r="G22" s="335">
        <v>0.33333332283400002</v>
      </c>
      <c r="H22" s="337">
        <v>0</v>
      </c>
      <c r="I22" s="334">
        <v>0</v>
      </c>
      <c r="J22" s="335">
        <v>-0.33333332283400002</v>
      </c>
      <c r="K22" s="338">
        <v>0</v>
      </c>
    </row>
    <row r="23" spans="1:11" ht="14.4" customHeight="1" thickBot="1" x14ac:dyDescent="0.35">
      <c r="A23" s="351" t="s">
        <v>242</v>
      </c>
      <c r="B23" s="329">
        <v>1.0001864980149999</v>
      </c>
      <c r="C23" s="329">
        <v>0</v>
      </c>
      <c r="D23" s="330">
        <v>-1.0001864980149999</v>
      </c>
      <c r="E23" s="331">
        <v>0</v>
      </c>
      <c r="F23" s="329">
        <v>0.99999996850200001</v>
      </c>
      <c r="G23" s="330">
        <v>0.33333332283400002</v>
      </c>
      <c r="H23" s="332">
        <v>0</v>
      </c>
      <c r="I23" s="329">
        <v>0</v>
      </c>
      <c r="J23" s="330">
        <v>-0.33333332283400002</v>
      </c>
      <c r="K23" s="333">
        <v>0</v>
      </c>
    </row>
    <row r="24" spans="1:11" ht="14.4" customHeight="1" thickBot="1" x14ac:dyDescent="0.35">
      <c r="A24" s="350" t="s">
        <v>243</v>
      </c>
      <c r="B24" s="334">
        <v>1.08824989601</v>
      </c>
      <c r="C24" s="334">
        <v>3.8834599999999999</v>
      </c>
      <c r="D24" s="335">
        <v>2.7952101039890001</v>
      </c>
      <c r="E24" s="336">
        <v>3.5685369823930002</v>
      </c>
      <c r="F24" s="334">
        <v>2.9999999055069999</v>
      </c>
      <c r="G24" s="335">
        <v>0.99999996850200001</v>
      </c>
      <c r="H24" s="337">
        <v>0.46342</v>
      </c>
      <c r="I24" s="334">
        <v>1.3999600000000001</v>
      </c>
      <c r="J24" s="335">
        <v>0.39996003149699999</v>
      </c>
      <c r="K24" s="338">
        <v>0.466653348031</v>
      </c>
    </row>
    <row r="25" spans="1:11" ht="14.4" customHeight="1" thickBot="1" x14ac:dyDescent="0.35">
      <c r="A25" s="351" t="s">
        <v>244</v>
      </c>
      <c r="B25" s="329">
        <v>1.08824989601</v>
      </c>
      <c r="C25" s="329">
        <v>3.8834599999999999</v>
      </c>
      <c r="D25" s="330">
        <v>2.7952101039890001</v>
      </c>
      <c r="E25" s="331">
        <v>3.5685369823930002</v>
      </c>
      <c r="F25" s="329">
        <v>2.9999999055069999</v>
      </c>
      <c r="G25" s="330">
        <v>0.99999996850200001</v>
      </c>
      <c r="H25" s="332">
        <v>0.46342</v>
      </c>
      <c r="I25" s="329">
        <v>1.3999600000000001</v>
      </c>
      <c r="J25" s="330">
        <v>0.39996003149699999</v>
      </c>
      <c r="K25" s="333">
        <v>0.466653348031</v>
      </c>
    </row>
    <row r="26" spans="1:11" ht="14.4" customHeight="1" thickBot="1" x14ac:dyDescent="0.35">
      <c r="A26" s="349" t="s">
        <v>19</v>
      </c>
      <c r="B26" s="329">
        <v>90.094900233475997</v>
      </c>
      <c r="C26" s="329">
        <v>81.801000000000002</v>
      </c>
      <c r="D26" s="330">
        <v>-8.2939002334760001</v>
      </c>
      <c r="E26" s="331">
        <v>0.90794262259000003</v>
      </c>
      <c r="F26" s="329">
        <v>85.694050698287995</v>
      </c>
      <c r="G26" s="330">
        <v>28.564683566096001</v>
      </c>
      <c r="H26" s="332">
        <v>7.3570000000000002</v>
      </c>
      <c r="I26" s="329">
        <v>37.637</v>
      </c>
      <c r="J26" s="330">
        <v>9.0723164339029996</v>
      </c>
      <c r="K26" s="333">
        <v>0.43920201803100001</v>
      </c>
    </row>
    <row r="27" spans="1:11" ht="14.4" customHeight="1" thickBot="1" x14ac:dyDescent="0.35">
      <c r="A27" s="350" t="s">
        <v>245</v>
      </c>
      <c r="B27" s="334">
        <v>90.094900233475997</v>
      </c>
      <c r="C27" s="334">
        <v>81.801000000000002</v>
      </c>
      <c r="D27" s="335">
        <v>-8.2939002334760001</v>
      </c>
      <c r="E27" s="336">
        <v>0.90794262259000003</v>
      </c>
      <c r="F27" s="334">
        <v>85.694050698287995</v>
      </c>
      <c r="G27" s="335">
        <v>28.564683566096001</v>
      </c>
      <c r="H27" s="337">
        <v>7.3570000000000002</v>
      </c>
      <c r="I27" s="334">
        <v>37.637</v>
      </c>
      <c r="J27" s="335">
        <v>9.0723164339029996</v>
      </c>
      <c r="K27" s="338">
        <v>0.43920201803100001</v>
      </c>
    </row>
    <row r="28" spans="1:11" ht="14.4" customHeight="1" thickBot="1" x14ac:dyDescent="0.35">
      <c r="A28" s="351" t="s">
        <v>246</v>
      </c>
      <c r="B28" s="329">
        <v>18.184072720145</v>
      </c>
      <c r="C28" s="329">
        <v>15.28</v>
      </c>
      <c r="D28" s="330">
        <v>-2.9040727201449998</v>
      </c>
      <c r="E28" s="331">
        <v>0.84029580364900003</v>
      </c>
      <c r="F28" s="329">
        <v>15.694052903117999</v>
      </c>
      <c r="G28" s="330">
        <v>5.2313509677059997</v>
      </c>
      <c r="H28" s="332">
        <v>1.236</v>
      </c>
      <c r="I28" s="329">
        <v>5.0490000000000004</v>
      </c>
      <c r="J28" s="330">
        <v>-0.18235096770600001</v>
      </c>
      <c r="K28" s="333">
        <v>0.32171422074099998</v>
      </c>
    </row>
    <row r="29" spans="1:11" ht="14.4" customHeight="1" thickBot="1" x14ac:dyDescent="0.35">
      <c r="A29" s="351" t="s">
        <v>247</v>
      </c>
      <c r="B29" s="329">
        <v>15.000101608584</v>
      </c>
      <c r="C29" s="329">
        <v>13.727</v>
      </c>
      <c r="D29" s="330">
        <v>-1.2731016085839999</v>
      </c>
      <c r="E29" s="331">
        <v>0.91512713434799997</v>
      </c>
      <c r="F29" s="329">
        <v>14.999999527536</v>
      </c>
      <c r="G29" s="330">
        <v>4.9999998425119996</v>
      </c>
      <c r="H29" s="332">
        <v>1.1579999999999999</v>
      </c>
      <c r="I29" s="329">
        <v>4.7619999999999996</v>
      </c>
      <c r="J29" s="330">
        <v>-0.23799984251199999</v>
      </c>
      <c r="K29" s="333">
        <v>0.31746667666599998</v>
      </c>
    </row>
    <row r="30" spans="1:11" ht="14.4" customHeight="1" thickBot="1" x14ac:dyDescent="0.35">
      <c r="A30" s="351" t="s">
        <v>248</v>
      </c>
      <c r="B30" s="329">
        <v>56.910725904746002</v>
      </c>
      <c r="C30" s="329">
        <v>52.793999999999997</v>
      </c>
      <c r="D30" s="330">
        <v>-4.1167259047459996</v>
      </c>
      <c r="E30" s="331">
        <v>0.92766344411699997</v>
      </c>
      <c r="F30" s="329">
        <v>54.999998267633003</v>
      </c>
      <c r="G30" s="330">
        <v>18.333332755876999</v>
      </c>
      <c r="H30" s="332">
        <v>4.9630000000000001</v>
      </c>
      <c r="I30" s="329">
        <v>27.826000000000001</v>
      </c>
      <c r="J30" s="330">
        <v>9.4926672441219999</v>
      </c>
      <c r="K30" s="333">
        <v>0.50592728866199999</v>
      </c>
    </row>
    <row r="31" spans="1:11" ht="14.4" customHeight="1" thickBot="1" x14ac:dyDescent="0.35">
      <c r="A31" s="352" t="s">
        <v>249</v>
      </c>
      <c r="B31" s="334">
        <v>62.420735164866002</v>
      </c>
      <c r="C31" s="334">
        <v>155.34888000000001</v>
      </c>
      <c r="D31" s="335">
        <v>92.928144835132997</v>
      </c>
      <c r="E31" s="336">
        <v>2.4887383910119998</v>
      </c>
      <c r="F31" s="334">
        <v>109.147415189246</v>
      </c>
      <c r="G31" s="335">
        <v>36.382471729747998</v>
      </c>
      <c r="H31" s="337">
        <v>6.4060199999999998</v>
      </c>
      <c r="I31" s="334">
        <v>21.668209999999998</v>
      </c>
      <c r="J31" s="335">
        <v>-14.714261729747999</v>
      </c>
      <c r="K31" s="338">
        <v>0.19852242916000001</v>
      </c>
    </row>
    <row r="32" spans="1:11" ht="14.4" customHeight="1" thickBot="1" x14ac:dyDescent="0.35">
      <c r="A32" s="349" t="s">
        <v>22</v>
      </c>
      <c r="B32" s="329">
        <v>5.4329011407929997</v>
      </c>
      <c r="C32" s="329">
        <v>66.10915</v>
      </c>
      <c r="D32" s="330">
        <v>60.676248859205998</v>
      </c>
      <c r="E32" s="331">
        <v>12.168296143586</v>
      </c>
      <c r="F32" s="329">
        <v>24.539564812719998</v>
      </c>
      <c r="G32" s="330">
        <v>8.1798549375729994</v>
      </c>
      <c r="H32" s="332">
        <v>0</v>
      </c>
      <c r="I32" s="329">
        <v>2.5579399999999999</v>
      </c>
      <c r="J32" s="330">
        <v>-5.621914937573</v>
      </c>
      <c r="K32" s="333">
        <v>0.104237382346</v>
      </c>
    </row>
    <row r="33" spans="1:11" ht="14.4" customHeight="1" thickBot="1" x14ac:dyDescent="0.35">
      <c r="A33" s="353" t="s">
        <v>250</v>
      </c>
      <c r="B33" s="329">
        <v>5.4329011407929997</v>
      </c>
      <c r="C33" s="329">
        <v>66.10915</v>
      </c>
      <c r="D33" s="330">
        <v>60.676248859205998</v>
      </c>
      <c r="E33" s="331">
        <v>12.168296143586</v>
      </c>
      <c r="F33" s="329">
        <v>24.539564812719998</v>
      </c>
      <c r="G33" s="330">
        <v>8.1798549375729994</v>
      </c>
      <c r="H33" s="332">
        <v>0</v>
      </c>
      <c r="I33" s="329">
        <v>2.5579399999999999</v>
      </c>
      <c r="J33" s="330">
        <v>-5.621914937573</v>
      </c>
      <c r="K33" s="333">
        <v>0.104237382346</v>
      </c>
    </row>
    <row r="34" spans="1:11" ht="14.4" customHeight="1" thickBot="1" x14ac:dyDescent="0.35">
      <c r="A34" s="351" t="s">
        <v>251</v>
      </c>
      <c r="B34" s="329">
        <v>0</v>
      </c>
      <c r="C34" s="329">
        <v>0</v>
      </c>
      <c r="D34" s="330">
        <v>0</v>
      </c>
      <c r="E34" s="331">
        <v>1</v>
      </c>
      <c r="F34" s="329">
        <v>0</v>
      </c>
      <c r="G34" s="330">
        <v>0</v>
      </c>
      <c r="H34" s="332">
        <v>0</v>
      </c>
      <c r="I34" s="329">
        <v>1.8754999999999999</v>
      </c>
      <c r="J34" s="330">
        <v>1.8754999999999999</v>
      </c>
      <c r="K34" s="339" t="s">
        <v>252</v>
      </c>
    </row>
    <row r="35" spans="1:11" ht="14.4" customHeight="1" thickBot="1" x14ac:dyDescent="0.35">
      <c r="A35" s="351" t="s">
        <v>253</v>
      </c>
      <c r="B35" s="329">
        <v>4.9999915584819998</v>
      </c>
      <c r="C35" s="329">
        <v>64.257279999999994</v>
      </c>
      <c r="D35" s="330">
        <v>59.257288441516998</v>
      </c>
      <c r="E35" s="331">
        <v>12.851477697192999</v>
      </c>
      <c r="F35" s="329">
        <v>23.999999244057999</v>
      </c>
      <c r="G35" s="330">
        <v>7.9999997480190004</v>
      </c>
      <c r="H35" s="332">
        <v>0</v>
      </c>
      <c r="I35" s="329">
        <v>0</v>
      </c>
      <c r="J35" s="330">
        <v>-7.9999997480190004</v>
      </c>
      <c r="K35" s="333">
        <v>0</v>
      </c>
    </row>
    <row r="36" spans="1:11" ht="14.4" customHeight="1" thickBot="1" x14ac:dyDescent="0.35">
      <c r="A36" s="351" t="s">
        <v>254</v>
      </c>
      <c r="B36" s="329">
        <v>0.43290958230999999</v>
      </c>
      <c r="C36" s="329">
        <v>1.8518699999999999</v>
      </c>
      <c r="D36" s="330">
        <v>1.4189604176890001</v>
      </c>
      <c r="E36" s="331">
        <v>4.2777292896060004</v>
      </c>
      <c r="F36" s="329">
        <v>0.53956556866200001</v>
      </c>
      <c r="G36" s="330">
        <v>0.17985518955400001</v>
      </c>
      <c r="H36" s="332">
        <v>0</v>
      </c>
      <c r="I36" s="329">
        <v>0.68244000000000005</v>
      </c>
      <c r="J36" s="330">
        <v>0.50258481044500003</v>
      </c>
      <c r="K36" s="333">
        <v>1.264795308736</v>
      </c>
    </row>
    <row r="37" spans="1:11" ht="14.4" customHeight="1" thickBot="1" x14ac:dyDescent="0.35">
      <c r="A37" s="354" t="s">
        <v>23</v>
      </c>
      <c r="B37" s="334">
        <v>0</v>
      </c>
      <c r="C37" s="334">
        <v>8.7690000000000001</v>
      </c>
      <c r="D37" s="335">
        <v>8.7690000000000001</v>
      </c>
      <c r="E37" s="340" t="s">
        <v>223</v>
      </c>
      <c r="F37" s="334">
        <v>0</v>
      </c>
      <c r="G37" s="335">
        <v>0</v>
      </c>
      <c r="H37" s="337">
        <v>1.03</v>
      </c>
      <c r="I37" s="334">
        <v>1.03</v>
      </c>
      <c r="J37" s="335">
        <v>1.03</v>
      </c>
      <c r="K37" s="341" t="s">
        <v>223</v>
      </c>
    </row>
    <row r="38" spans="1:11" ht="14.4" customHeight="1" thickBot="1" x14ac:dyDescent="0.35">
      <c r="A38" s="350" t="s">
        <v>255</v>
      </c>
      <c r="B38" s="334">
        <v>0</v>
      </c>
      <c r="C38" s="334">
        <v>8.7690000000000001</v>
      </c>
      <c r="D38" s="335">
        <v>8.7690000000000001</v>
      </c>
      <c r="E38" s="340" t="s">
        <v>223</v>
      </c>
      <c r="F38" s="334">
        <v>0</v>
      </c>
      <c r="G38" s="335">
        <v>0</v>
      </c>
      <c r="H38" s="337">
        <v>1.03</v>
      </c>
      <c r="I38" s="334">
        <v>1.03</v>
      </c>
      <c r="J38" s="335">
        <v>1.03</v>
      </c>
      <c r="K38" s="341" t="s">
        <v>223</v>
      </c>
    </row>
    <row r="39" spans="1:11" ht="14.4" customHeight="1" thickBot="1" x14ac:dyDescent="0.35">
      <c r="A39" s="351" t="s">
        <v>256</v>
      </c>
      <c r="B39" s="329">
        <v>0</v>
      </c>
      <c r="C39" s="329">
        <v>8.7690000000000001</v>
      </c>
      <c r="D39" s="330">
        <v>8.7690000000000001</v>
      </c>
      <c r="E39" s="342" t="s">
        <v>223</v>
      </c>
      <c r="F39" s="329">
        <v>0</v>
      </c>
      <c r="G39" s="330">
        <v>0</v>
      </c>
      <c r="H39" s="332">
        <v>1.03</v>
      </c>
      <c r="I39" s="329">
        <v>1.03</v>
      </c>
      <c r="J39" s="330">
        <v>1.03</v>
      </c>
      <c r="K39" s="339" t="s">
        <v>223</v>
      </c>
    </row>
    <row r="40" spans="1:11" ht="14.4" customHeight="1" thickBot="1" x14ac:dyDescent="0.35">
      <c r="A40" s="349" t="s">
        <v>24</v>
      </c>
      <c r="B40" s="329">
        <v>56.987834024073003</v>
      </c>
      <c r="C40" s="329">
        <v>80.470730000000003</v>
      </c>
      <c r="D40" s="330">
        <v>23.482895975925999</v>
      </c>
      <c r="E40" s="331">
        <v>1.4120685823220001</v>
      </c>
      <c r="F40" s="329">
        <v>84.607850376524993</v>
      </c>
      <c r="G40" s="330">
        <v>28.202616792175</v>
      </c>
      <c r="H40" s="332">
        <v>5.3760199999999996</v>
      </c>
      <c r="I40" s="329">
        <v>18.080269999999999</v>
      </c>
      <c r="J40" s="330">
        <v>-10.122346792175</v>
      </c>
      <c r="K40" s="333">
        <v>0.213694945794</v>
      </c>
    </row>
    <row r="41" spans="1:11" ht="14.4" customHeight="1" thickBot="1" x14ac:dyDescent="0.35">
      <c r="A41" s="350" t="s">
        <v>257</v>
      </c>
      <c r="B41" s="334">
        <v>7.4225831352579998</v>
      </c>
      <c r="C41" s="334">
        <v>8.4442500000000003</v>
      </c>
      <c r="D41" s="335">
        <v>1.0216668647410001</v>
      </c>
      <c r="E41" s="336">
        <v>1.137643034254</v>
      </c>
      <c r="F41" s="334">
        <v>8.8563115784110007</v>
      </c>
      <c r="G41" s="335">
        <v>2.9521038594700002</v>
      </c>
      <c r="H41" s="337">
        <v>0.87572000000000005</v>
      </c>
      <c r="I41" s="334">
        <v>2.8054199999999998</v>
      </c>
      <c r="J41" s="335">
        <v>-0.14668385947000001</v>
      </c>
      <c r="K41" s="338">
        <v>0.31677069795399998</v>
      </c>
    </row>
    <row r="42" spans="1:11" ht="14.4" customHeight="1" thickBot="1" x14ac:dyDescent="0.35">
      <c r="A42" s="351" t="s">
        <v>258</v>
      </c>
      <c r="B42" s="329">
        <v>4.7902353100199999</v>
      </c>
      <c r="C42" s="329">
        <v>6.0629999999999997</v>
      </c>
      <c r="D42" s="330">
        <v>1.2727646899789999</v>
      </c>
      <c r="E42" s="331">
        <v>1.2656998263350001</v>
      </c>
      <c r="F42" s="329">
        <v>6.2557766761220002</v>
      </c>
      <c r="G42" s="330">
        <v>2.0852588920400001</v>
      </c>
      <c r="H42" s="332">
        <v>0.82650000000000001</v>
      </c>
      <c r="I42" s="329">
        <v>2.4862000000000002</v>
      </c>
      <c r="J42" s="330">
        <v>0.40094110795900001</v>
      </c>
      <c r="K42" s="333">
        <v>0.39742467302000001</v>
      </c>
    </row>
    <row r="43" spans="1:11" ht="14.4" customHeight="1" thickBot="1" x14ac:dyDescent="0.35">
      <c r="A43" s="351" t="s">
        <v>259</v>
      </c>
      <c r="B43" s="329">
        <v>2.6323478252379999</v>
      </c>
      <c r="C43" s="329">
        <v>2.3812500000000001</v>
      </c>
      <c r="D43" s="330">
        <v>-0.25109782523800001</v>
      </c>
      <c r="E43" s="331">
        <v>0.90461069664399996</v>
      </c>
      <c r="F43" s="329">
        <v>2.600534902288</v>
      </c>
      <c r="G43" s="330">
        <v>0.86684496742899997</v>
      </c>
      <c r="H43" s="332">
        <v>4.922E-2</v>
      </c>
      <c r="I43" s="329">
        <v>0.31922</v>
      </c>
      <c r="J43" s="330">
        <v>-0.54762496742900002</v>
      </c>
      <c r="K43" s="333">
        <v>0.122751669173</v>
      </c>
    </row>
    <row r="44" spans="1:11" ht="14.4" customHeight="1" thickBot="1" x14ac:dyDescent="0.35">
      <c r="A44" s="350" t="s">
        <v>260</v>
      </c>
      <c r="B44" s="334">
        <v>3.915363845471</v>
      </c>
      <c r="C44" s="334">
        <v>4.05</v>
      </c>
      <c r="D44" s="335">
        <v>0.13463615452800001</v>
      </c>
      <c r="E44" s="336">
        <v>1.0343866265920001</v>
      </c>
      <c r="F44" s="334">
        <v>4.9999998425119996</v>
      </c>
      <c r="G44" s="335">
        <v>1.6666666141699999</v>
      </c>
      <c r="H44" s="337">
        <v>1.08</v>
      </c>
      <c r="I44" s="334">
        <v>2.2949999999999999</v>
      </c>
      <c r="J44" s="335">
        <v>0.628333385829</v>
      </c>
      <c r="K44" s="338">
        <v>0.45900001445700001</v>
      </c>
    </row>
    <row r="45" spans="1:11" ht="14.4" customHeight="1" thickBot="1" x14ac:dyDescent="0.35">
      <c r="A45" s="351" t="s">
        <v>261</v>
      </c>
      <c r="B45" s="329">
        <v>3.915363845471</v>
      </c>
      <c r="C45" s="329">
        <v>4.05</v>
      </c>
      <c r="D45" s="330">
        <v>0.13463615452800001</v>
      </c>
      <c r="E45" s="331">
        <v>1.0343866265920001</v>
      </c>
      <c r="F45" s="329">
        <v>4.9999998425119996</v>
      </c>
      <c r="G45" s="330">
        <v>1.6666666141699999</v>
      </c>
      <c r="H45" s="332">
        <v>1.08</v>
      </c>
      <c r="I45" s="329">
        <v>2.2949999999999999</v>
      </c>
      <c r="J45" s="330">
        <v>0.628333385829</v>
      </c>
      <c r="K45" s="333">
        <v>0.45900001445700001</v>
      </c>
    </row>
    <row r="46" spans="1:11" ht="14.4" customHeight="1" thickBot="1" x14ac:dyDescent="0.35">
      <c r="A46" s="350" t="s">
        <v>262</v>
      </c>
      <c r="B46" s="334">
        <v>45.649887043343</v>
      </c>
      <c r="C46" s="334">
        <v>64.668480000000002</v>
      </c>
      <c r="D46" s="335">
        <v>19.018592956656001</v>
      </c>
      <c r="E46" s="336">
        <v>1.416618620295</v>
      </c>
      <c r="F46" s="334">
        <v>70.751538955602001</v>
      </c>
      <c r="G46" s="335">
        <v>23.583846318534</v>
      </c>
      <c r="H46" s="337">
        <v>3.4203000000000001</v>
      </c>
      <c r="I46" s="334">
        <v>12.979850000000001</v>
      </c>
      <c r="J46" s="335">
        <v>-10.603996318534</v>
      </c>
      <c r="K46" s="338">
        <v>0.18345678682800001</v>
      </c>
    </row>
    <row r="47" spans="1:11" ht="14.4" customHeight="1" thickBot="1" x14ac:dyDescent="0.35">
      <c r="A47" s="351" t="s">
        <v>263</v>
      </c>
      <c r="B47" s="329">
        <v>45.649887043343</v>
      </c>
      <c r="C47" s="329">
        <v>61.535789999999999</v>
      </c>
      <c r="D47" s="330">
        <v>15.885902956656</v>
      </c>
      <c r="E47" s="331">
        <v>1.3479943541049999</v>
      </c>
      <c r="F47" s="329">
        <v>67.518812293758998</v>
      </c>
      <c r="G47" s="330">
        <v>22.506270764585999</v>
      </c>
      <c r="H47" s="332">
        <v>3.4203000000000001</v>
      </c>
      <c r="I47" s="329">
        <v>12.979850000000001</v>
      </c>
      <c r="J47" s="330">
        <v>-9.5264207645859997</v>
      </c>
      <c r="K47" s="333">
        <v>0.19224049652299999</v>
      </c>
    </row>
    <row r="48" spans="1:11" ht="14.4" customHeight="1" thickBot="1" x14ac:dyDescent="0.35">
      <c r="A48" s="351" t="s">
        <v>264</v>
      </c>
      <c r="B48" s="329">
        <v>0</v>
      </c>
      <c r="C48" s="329">
        <v>3.1326900000000002</v>
      </c>
      <c r="D48" s="330">
        <v>3.1326900000000002</v>
      </c>
      <c r="E48" s="342" t="s">
        <v>252</v>
      </c>
      <c r="F48" s="329">
        <v>3.2327266618419999</v>
      </c>
      <c r="G48" s="330">
        <v>1.077575553947</v>
      </c>
      <c r="H48" s="332">
        <v>0</v>
      </c>
      <c r="I48" s="329">
        <v>0</v>
      </c>
      <c r="J48" s="330">
        <v>-1.077575553947</v>
      </c>
      <c r="K48" s="333">
        <v>0</v>
      </c>
    </row>
    <row r="49" spans="1:11" ht="14.4" customHeight="1" thickBot="1" x14ac:dyDescent="0.35">
      <c r="A49" s="350" t="s">
        <v>265</v>
      </c>
      <c r="B49" s="334">
        <v>0</v>
      </c>
      <c r="C49" s="334">
        <v>3.3079999999999998</v>
      </c>
      <c r="D49" s="335">
        <v>3.3079999999999998</v>
      </c>
      <c r="E49" s="340" t="s">
        <v>252</v>
      </c>
      <c r="F49" s="334">
        <v>0</v>
      </c>
      <c r="G49" s="335">
        <v>0</v>
      </c>
      <c r="H49" s="337">
        <v>0</v>
      </c>
      <c r="I49" s="334">
        <v>0</v>
      </c>
      <c r="J49" s="335">
        <v>0</v>
      </c>
      <c r="K49" s="341" t="s">
        <v>223</v>
      </c>
    </row>
    <row r="50" spans="1:11" ht="14.4" customHeight="1" thickBot="1" x14ac:dyDescent="0.35">
      <c r="A50" s="351" t="s">
        <v>266</v>
      </c>
      <c r="B50" s="329">
        <v>0</v>
      </c>
      <c r="C50" s="329">
        <v>3.3079999999999998</v>
      </c>
      <c r="D50" s="330">
        <v>3.3079999999999998</v>
      </c>
      <c r="E50" s="342" t="s">
        <v>252</v>
      </c>
      <c r="F50" s="329">
        <v>0</v>
      </c>
      <c r="G50" s="330">
        <v>0</v>
      </c>
      <c r="H50" s="332">
        <v>0</v>
      </c>
      <c r="I50" s="329">
        <v>0</v>
      </c>
      <c r="J50" s="330">
        <v>0</v>
      </c>
      <c r="K50" s="339" t="s">
        <v>223</v>
      </c>
    </row>
    <row r="51" spans="1:11" ht="14.4" customHeight="1" thickBot="1" x14ac:dyDescent="0.35">
      <c r="A51" s="348" t="s">
        <v>25</v>
      </c>
      <c r="B51" s="329">
        <v>6972.0345109704904</v>
      </c>
      <c r="C51" s="329">
        <v>6813.0447800000002</v>
      </c>
      <c r="D51" s="330">
        <v>-158.98973097049</v>
      </c>
      <c r="E51" s="331">
        <v>0.97719607802800001</v>
      </c>
      <c r="F51" s="329">
        <v>7035.9997783830504</v>
      </c>
      <c r="G51" s="330">
        <v>2345.3332594610201</v>
      </c>
      <c r="H51" s="332">
        <v>563.02266999999995</v>
      </c>
      <c r="I51" s="329">
        <v>2261.32852</v>
      </c>
      <c r="J51" s="330">
        <v>-84.004739461016001</v>
      </c>
      <c r="K51" s="333">
        <v>0.32139405787699998</v>
      </c>
    </row>
    <row r="52" spans="1:11" ht="14.4" customHeight="1" thickBot="1" x14ac:dyDescent="0.35">
      <c r="A52" s="354" t="s">
        <v>267</v>
      </c>
      <c r="B52" s="334">
        <v>5167.99999999991</v>
      </c>
      <c r="C52" s="334">
        <v>5050.0600000000004</v>
      </c>
      <c r="D52" s="335">
        <v>-117.939999999904</v>
      </c>
      <c r="E52" s="336">
        <v>0.97717879256899998</v>
      </c>
      <c r="F52" s="334">
        <v>5215.9998357086397</v>
      </c>
      <c r="G52" s="335">
        <v>1738.66661190288</v>
      </c>
      <c r="H52" s="337">
        <v>417.05399999999997</v>
      </c>
      <c r="I52" s="334">
        <v>1675.056</v>
      </c>
      <c r="J52" s="335">
        <v>-63.610611902879</v>
      </c>
      <c r="K52" s="338">
        <v>0.321138046924</v>
      </c>
    </row>
    <row r="53" spans="1:11" ht="14.4" customHeight="1" thickBot="1" x14ac:dyDescent="0.35">
      <c r="A53" s="350" t="s">
        <v>268</v>
      </c>
      <c r="B53" s="334">
        <v>5149.99999999991</v>
      </c>
      <c r="C53" s="334">
        <v>5036.2550000000001</v>
      </c>
      <c r="D53" s="335">
        <v>-113.744999999904</v>
      </c>
      <c r="E53" s="336">
        <v>0.97791359223300001</v>
      </c>
      <c r="F53" s="334">
        <v>5199.9998362125998</v>
      </c>
      <c r="G53" s="335">
        <v>1733.33327873753</v>
      </c>
      <c r="H53" s="337">
        <v>417.05399999999997</v>
      </c>
      <c r="I53" s="334">
        <v>1675.056</v>
      </c>
      <c r="J53" s="335">
        <v>-58.277278737533003</v>
      </c>
      <c r="K53" s="338">
        <v>0.322126163992</v>
      </c>
    </row>
    <row r="54" spans="1:11" ht="14.4" customHeight="1" thickBot="1" x14ac:dyDescent="0.35">
      <c r="A54" s="351" t="s">
        <v>269</v>
      </c>
      <c r="B54" s="329">
        <v>5149.99999999991</v>
      </c>
      <c r="C54" s="329">
        <v>5036.2550000000001</v>
      </c>
      <c r="D54" s="330">
        <v>-113.744999999904</v>
      </c>
      <c r="E54" s="331">
        <v>0.97791359223300001</v>
      </c>
      <c r="F54" s="329">
        <v>5199.9998362125998</v>
      </c>
      <c r="G54" s="330">
        <v>1733.33327873753</v>
      </c>
      <c r="H54" s="332">
        <v>417.05399999999997</v>
      </c>
      <c r="I54" s="329">
        <v>1675.056</v>
      </c>
      <c r="J54" s="330">
        <v>-58.277278737533003</v>
      </c>
      <c r="K54" s="333">
        <v>0.322126163992</v>
      </c>
    </row>
    <row r="55" spans="1:11" ht="14.4" customHeight="1" thickBot="1" x14ac:dyDescent="0.35">
      <c r="A55" s="350" t="s">
        <v>270</v>
      </c>
      <c r="B55" s="334">
        <v>17.999999999999002</v>
      </c>
      <c r="C55" s="334">
        <v>13.805</v>
      </c>
      <c r="D55" s="335">
        <v>-4.1949999999990002</v>
      </c>
      <c r="E55" s="336">
        <v>0.76694444444400001</v>
      </c>
      <c r="F55" s="334">
        <v>15.999999496038001</v>
      </c>
      <c r="G55" s="335">
        <v>5.3333331653459997</v>
      </c>
      <c r="H55" s="337">
        <v>0</v>
      </c>
      <c r="I55" s="334">
        <v>0</v>
      </c>
      <c r="J55" s="335">
        <v>-5.3333331653459997</v>
      </c>
      <c r="K55" s="338">
        <v>0</v>
      </c>
    </row>
    <row r="56" spans="1:11" ht="14.4" customHeight="1" thickBot="1" x14ac:dyDescent="0.35">
      <c r="A56" s="351" t="s">
        <v>271</v>
      </c>
      <c r="B56" s="329">
        <v>17.999999999999002</v>
      </c>
      <c r="C56" s="329">
        <v>13.805</v>
      </c>
      <c r="D56" s="330">
        <v>-4.1949999999990002</v>
      </c>
      <c r="E56" s="331">
        <v>0.76694444444400001</v>
      </c>
      <c r="F56" s="329">
        <v>15.999999496038001</v>
      </c>
      <c r="G56" s="330">
        <v>5.3333331653459997</v>
      </c>
      <c r="H56" s="332">
        <v>0</v>
      </c>
      <c r="I56" s="329">
        <v>0</v>
      </c>
      <c r="J56" s="330">
        <v>-5.3333331653459997</v>
      </c>
      <c r="K56" s="333">
        <v>0</v>
      </c>
    </row>
    <row r="57" spans="1:11" ht="14.4" customHeight="1" thickBot="1" x14ac:dyDescent="0.35">
      <c r="A57" s="349" t="s">
        <v>272</v>
      </c>
      <c r="B57" s="329">
        <v>1752.03451097059</v>
      </c>
      <c r="C57" s="329">
        <v>1712.4623200000001</v>
      </c>
      <c r="D57" s="330">
        <v>-39.572190970587002</v>
      </c>
      <c r="E57" s="331">
        <v>0.97741357791500005</v>
      </c>
      <c r="F57" s="329">
        <v>1767.9999443122799</v>
      </c>
      <c r="G57" s="330">
        <v>589.33331477076194</v>
      </c>
      <c r="H57" s="332">
        <v>141.79849999999999</v>
      </c>
      <c r="I57" s="329">
        <v>569.52200000000005</v>
      </c>
      <c r="J57" s="330">
        <v>-19.811314770761001</v>
      </c>
      <c r="K57" s="333">
        <v>0.32212783820000002</v>
      </c>
    </row>
    <row r="58" spans="1:11" ht="14.4" customHeight="1" thickBot="1" x14ac:dyDescent="0.35">
      <c r="A58" s="350" t="s">
        <v>273</v>
      </c>
      <c r="B58" s="334">
        <v>464.03451097061401</v>
      </c>
      <c r="C58" s="334">
        <v>453.39857000000001</v>
      </c>
      <c r="D58" s="335">
        <v>-10.635940970612999</v>
      </c>
      <c r="E58" s="336">
        <v>0.97707941819099997</v>
      </c>
      <c r="F58" s="334">
        <v>467.99998525913401</v>
      </c>
      <c r="G58" s="335">
        <v>155.99999508637799</v>
      </c>
      <c r="H58" s="337">
        <v>37.534999999999997</v>
      </c>
      <c r="I58" s="334">
        <v>150.75800000000001</v>
      </c>
      <c r="J58" s="335">
        <v>-5.241995086378</v>
      </c>
      <c r="K58" s="338">
        <v>0.32213248877799999</v>
      </c>
    </row>
    <row r="59" spans="1:11" ht="14.4" customHeight="1" thickBot="1" x14ac:dyDescent="0.35">
      <c r="A59" s="351" t="s">
        <v>274</v>
      </c>
      <c r="B59" s="329">
        <v>464.03451097061401</v>
      </c>
      <c r="C59" s="329">
        <v>453.39857000000001</v>
      </c>
      <c r="D59" s="330">
        <v>-10.635940970612999</v>
      </c>
      <c r="E59" s="331">
        <v>0.97707941819099997</v>
      </c>
      <c r="F59" s="329">
        <v>467.99998525913401</v>
      </c>
      <c r="G59" s="330">
        <v>155.99999508637799</v>
      </c>
      <c r="H59" s="332">
        <v>37.534999999999997</v>
      </c>
      <c r="I59" s="329">
        <v>150.75800000000001</v>
      </c>
      <c r="J59" s="330">
        <v>-5.241995086378</v>
      </c>
      <c r="K59" s="333">
        <v>0.32213248877799999</v>
      </c>
    </row>
    <row r="60" spans="1:11" ht="14.4" customHeight="1" thickBot="1" x14ac:dyDescent="0.35">
      <c r="A60" s="350" t="s">
        <v>275</v>
      </c>
      <c r="B60" s="334">
        <v>1287.99999999997</v>
      </c>
      <c r="C60" s="334">
        <v>1259.06375</v>
      </c>
      <c r="D60" s="335">
        <v>-28.936249999973001</v>
      </c>
      <c r="E60" s="336">
        <v>0.97753396739099996</v>
      </c>
      <c r="F60" s="334">
        <v>1299.99995905315</v>
      </c>
      <c r="G60" s="335">
        <v>433.33331968438398</v>
      </c>
      <c r="H60" s="337">
        <v>104.26349999999999</v>
      </c>
      <c r="I60" s="334">
        <v>418.76400000000001</v>
      </c>
      <c r="J60" s="335">
        <v>-14.569319684383</v>
      </c>
      <c r="K60" s="338">
        <v>0.322126163992</v>
      </c>
    </row>
    <row r="61" spans="1:11" ht="14.4" customHeight="1" thickBot="1" x14ac:dyDescent="0.35">
      <c r="A61" s="351" t="s">
        <v>276</v>
      </c>
      <c r="B61" s="329">
        <v>1287.99999999997</v>
      </c>
      <c r="C61" s="329">
        <v>1259.06375</v>
      </c>
      <c r="D61" s="330">
        <v>-28.936249999973001</v>
      </c>
      <c r="E61" s="331">
        <v>0.97753396739099996</v>
      </c>
      <c r="F61" s="329">
        <v>1299.99995905315</v>
      </c>
      <c r="G61" s="330">
        <v>433.33331968438398</v>
      </c>
      <c r="H61" s="332">
        <v>104.26349999999999</v>
      </c>
      <c r="I61" s="329">
        <v>418.76400000000001</v>
      </c>
      <c r="J61" s="330">
        <v>-14.569319684383</v>
      </c>
      <c r="K61" s="333">
        <v>0.322126163992</v>
      </c>
    </row>
    <row r="62" spans="1:11" ht="14.4" customHeight="1" thickBot="1" x14ac:dyDescent="0.35">
      <c r="A62" s="349" t="s">
        <v>277</v>
      </c>
      <c r="B62" s="329">
        <v>51.999999999998998</v>
      </c>
      <c r="C62" s="329">
        <v>50.522460000000002</v>
      </c>
      <c r="D62" s="330">
        <v>-1.4775399999979999</v>
      </c>
      <c r="E62" s="331">
        <v>0.97158576922999995</v>
      </c>
      <c r="F62" s="329">
        <v>51.999998362126</v>
      </c>
      <c r="G62" s="330">
        <v>17.333332787374999</v>
      </c>
      <c r="H62" s="332">
        <v>4.1701699999999997</v>
      </c>
      <c r="I62" s="329">
        <v>16.750520000000002</v>
      </c>
      <c r="J62" s="330">
        <v>-0.58281278737499997</v>
      </c>
      <c r="K62" s="333">
        <v>0.32212539476099999</v>
      </c>
    </row>
    <row r="63" spans="1:11" ht="14.4" customHeight="1" thickBot="1" x14ac:dyDescent="0.35">
      <c r="A63" s="350" t="s">
        <v>278</v>
      </c>
      <c r="B63" s="334">
        <v>51.999999999998998</v>
      </c>
      <c r="C63" s="334">
        <v>50.522460000000002</v>
      </c>
      <c r="D63" s="335">
        <v>-1.4775399999979999</v>
      </c>
      <c r="E63" s="336">
        <v>0.97158576922999995</v>
      </c>
      <c r="F63" s="334">
        <v>51.999998362126</v>
      </c>
      <c r="G63" s="335">
        <v>17.333332787374999</v>
      </c>
      <c r="H63" s="337">
        <v>4.1701699999999997</v>
      </c>
      <c r="I63" s="334">
        <v>16.750520000000002</v>
      </c>
      <c r="J63" s="335">
        <v>-0.58281278737499997</v>
      </c>
      <c r="K63" s="338">
        <v>0.32212539476099999</v>
      </c>
    </row>
    <row r="64" spans="1:11" ht="14.4" customHeight="1" thickBot="1" x14ac:dyDescent="0.35">
      <c r="A64" s="351" t="s">
        <v>279</v>
      </c>
      <c r="B64" s="329">
        <v>51.999999999998998</v>
      </c>
      <c r="C64" s="329">
        <v>50.522460000000002</v>
      </c>
      <c r="D64" s="330">
        <v>-1.4775399999979999</v>
      </c>
      <c r="E64" s="331">
        <v>0.97158576922999995</v>
      </c>
      <c r="F64" s="329">
        <v>51.999998362126</v>
      </c>
      <c r="G64" s="330">
        <v>17.333332787374999</v>
      </c>
      <c r="H64" s="332">
        <v>4.1701699999999997</v>
      </c>
      <c r="I64" s="329">
        <v>16.750520000000002</v>
      </c>
      <c r="J64" s="330">
        <v>-0.58281278737499997</v>
      </c>
      <c r="K64" s="333">
        <v>0.32212539476099999</v>
      </c>
    </row>
    <row r="65" spans="1:11" ht="14.4" customHeight="1" thickBot="1" x14ac:dyDescent="0.35">
      <c r="A65" s="348" t="s">
        <v>280</v>
      </c>
      <c r="B65" s="329">
        <v>0</v>
      </c>
      <c r="C65" s="329">
        <v>19.889119999999998</v>
      </c>
      <c r="D65" s="330">
        <v>19.889119999999998</v>
      </c>
      <c r="E65" s="342" t="s">
        <v>223</v>
      </c>
      <c r="F65" s="329">
        <v>0</v>
      </c>
      <c r="G65" s="330">
        <v>0</v>
      </c>
      <c r="H65" s="332">
        <v>12</v>
      </c>
      <c r="I65" s="329">
        <v>12</v>
      </c>
      <c r="J65" s="330">
        <v>12</v>
      </c>
      <c r="K65" s="339" t="s">
        <v>223</v>
      </c>
    </row>
    <row r="66" spans="1:11" ht="14.4" customHeight="1" thickBot="1" x14ac:dyDescent="0.35">
      <c r="A66" s="349" t="s">
        <v>281</v>
      </c>
      <c r="B66" s="329">
        <v>0</v>
      </c>
      <c r="C66" s="329">
        <v>19.889119999999998</v>
      </c>
      <c r="D66" s="330">
        <v>19.889119999999998</v>
      </c>
      <c r="E66" s="342" t="s">
        <v>223</v>
      </c>
      <c r="F66" s="329">
        <v>0</v>
      </c>
      <c r="G66" s="330">
        <v>0</v>
      </c>
      <c r="H66" s="332">
        <v>12</v>
      </c>
      <c r="I66" s="329">
        <v>12</v>
      </c>
      <c r="J66" s="330">
        <v>12</v>
      </c>
      <c r="K66" s="339" t="s">
        <v>223</v>
      </c>
    </row>
    <row r="67" spans="1:11" ht="14.4" customHeight="1" thickBot="1" x14ac:dyDescent="0.35">
      <c r="A67" s="350" t="s">
        <v>282</v>
      </c>
      <c r="B67" s="334">
        <v>0</v>
      </c>
      <c r="C67" s="334">
        <v>6.0819999999999999</v>
      </c>
      <c r="D67" s="335">
        <v>6.0819999999999999</v>
      </c>
      <c r="E67" s="340" t="s">
        <v>252</v>
      </c>
      <c r="F67" s="334">
        <v>0</v>
      </c>
      <c r="G67" s="335">
        <v>0</v>
      </c>
      <c r="H67" s="337">
        <v>0</v>
      </c>
      <c r="I67" s="334">
        <v>0</v>
      </c>
      <c r="J67" s="335">
        <v>0</v>
      </c>
      <c r="K67" s="341" t="s">
        <v>223</v>
      </c>
    </row>
    <row r="68" spans="1:11" ht="14.4" customHeight="1" thickBot="1" x14ac:dyDescent="0.35">
      <c r="A68" s="351" t="s">
        <v>283</v>
      </c>
      <c r="B68" s="329">
        <v>0</v>
      </c>
      <c r="C68" s="329">
        <v>0.182</v>
      </c>
      <c r="D68" s="330">
        <v>0.182</v>
      </c>
      <c r="E68" s="342" t="s">
        <v>252</v>
      </c>
      <c r="F68" s="329">
        <v>0</v>
      </c>
      <c r="G68" s="330">
        <v>0</v>
      </c>
      <c r="H68" s="332">
        <v>0</v>
      </c>
      <c r="I68" s="329">
        <v>0</v>
      </c>
      <c r="J68" s="330">
        <v>0</v>
      </c>
      <c r="K68" s="339" t="s">
        <v>223</v>
      </c>
    </row>
    <row r="69" spans="1:11" ht="14.4" customHeight="1" thickBot="1" x14ac:dyDescent="0.35">
      <c r="A69" s="351" t="s">
        <v>284</v>
      </c>
      <c r="B69" s="329">
        <v>0</v>
      </c>
      <c r="C69" s="329">
        <v>5</v>
      </c>
      <c r="D69" s="330">
        <v>5</v>
      </c>
      <c r="E69" s="342" t="s">
        <v>252</v>
      </c>
      <c r="F69" s="329">
        <v>0</v>
      </c>
      <c r="G69" s="330">
        <v>0</v>
      </c>
      <c r="H69" s="332">
        <v>0</v>
      </c>
      <c r="I69" s="329">
        <v>0</v>
      </c>
      <c r="J69" s="330">
        <v>0</v>
      </c>
      <c r="K69" s="333">
        <v>4</v>
      </c>
    </row>
    <row r="70" spans="1:11" ht="14.4" customHeight="1" thickBot="1" x14ac:dyDescent="0.35">
      <c r="A70" s="351" t="s">
        <v>285</v>
      </c>
      <c r="B70" s="329">
        <v>0</v>
      </c>
      <c r="C70" s="329">
        <v>0.9</v>
      </c>
      <c r="D70" s="330">
        <v>0.9</v>
      </c>
      <c r="E70" s="342" t="s">
        <v>252</v>
      </c>
      <c r="F70" s="329">
        <v>0</v>
      </c>
      <c r="G70" s="330">
        <v>0</v>
      </c>
      <c r="H70" s="332">
        <v>0</v>
      </c>
      <c r="I70" s="329">
        <v>0</v>
      </c>
      <c r="J70" s="330">
        <v>0</v>
      </c>
      <c r="K70" s="339" t="s">
        <v>223</v>
      </c>
    </row>
    <row r="71" spans="1:11" ht="14.4" customHeight="1" thickBot="1" x14ac:dyDescent="0.35">
      <c r="A71" s="350" t="s">
        <v>286</v>
      </c>
      <c r="B71" s="334">
        <v>0</v>
      </c>
      <c r="C71" s="334">
        <v>-0.49287999999999998</v>
      </c>
      <c r="D71" s="335">
        <v>-0.49287999999999998</v>
      </c>
      <c r="E71" s="340" t="s">
        <v>252</v>
      </c>
      <c r="F71" s="334">
        <v>0</v>
      </c>
      <c r="G71" s="335">
        <v>0</v>
      </c>
      <c r="H71" s="337">
        <v>0</v>
      </c>
      <c r="I71" s="334">
        <v>0</v>
      </c>
      <c r="J71" s="335">
        <v>0</v>
      </c>
      <c r="K71" s="341" t="s">
        <v>223</v>
      </c>
    </row>
    <row r="72" spans="1:11" ht="14.4" customHeight="1" thickBot="1" x14ac:dyDescent="0.35">
      <c r="A72" s="351" t="s">
        <v>287</v>
      </c>
      <c r="B72" s="329">
        <v>0</v>
      </c>
      <c r="C72" s="329">
        <v>-0.49287999999999998</v>
      </c>
      <c r="D72" s="330">
        <v>-0.49287999999999998</v>
      </c>
      <c r="E72" s="342" t="s">
        <v>252</v>
      </c>
      <c r="F72" s="329">
        <v>0</v>
      </c>
      <c r="G72" s="330">
        <v>0</v>
      </c>
      <c r="H72" s="332">
        <v>0</v>
      </c>
      <c r="I72" s="329">
        <v>0</v>
      </c>
      <c r="J72" s="330">
        <v>0</v>
      </c>
      <c r="K72" s="339" t="s">
        <v>223</v>
      </c>
    </row>
    <row r="73" spans="1:11" ht="14.4" customHeight="1" thickBot="1" x14ac:dyDescent="0.35">
      <c r="A73" s="353" t="s">
        <v>288</v>
      </c>
      <c r="B73" s="329">
        <v>0</v>
      </c>
      <c r="C73" s="329">
        <v>14.3</v>
      </c>
      <c r="D73" s="330">
        <v>14.3</v>
      </c>
      <c r="E73" s="342" t="s">
        <v>223</v>
      </c>
      <c r="F73" s="329">
        <v>0</v>
      </c>
      <c r="G73" s="330">
        <v>0</v>
      </c>
      <c r="H73" s="332">
        <v>12</v>
      </c>
      <c r="I73" s="329">
        <v>12</v>
      </c>
      <c r="J73" s="330">
        <v>12</v>
      </c>
      <c r="K73" s="339" t="s">
        <v>223</v>
      </c>
    </row>
    <row r="74" spans="1:11" ht="14.4" customHeight="1" thickBot="1" x14ac:dyDescent="0.35">
      <c r="A74" s="351" t="s">
        <v>289</v>
      </c>
      <c r="B74" s="329">
        <v>0</v>
      </c>
      <c r="C74" s="329">
        <v>14.3</v>
      </c>
      <c r="D74" s="330">
        <v>14.3</v>
      </c>
      <c r="E74" s="342" t="s">
        <v>223</v>
      </c>
      <c r="F74" s="329">
        <v>0</v>
      </c>
      <c r="G74" s="330">
        <v>0</v>
      </c>
      <c r="H74" s="332">
        <v>12</v>
      </c>
      <c r="I74" s="329">
        <v>12</v>
      </c>
      <c r="J74" s="330">
        <v>12</v>
      </c>
      <c r="K74" s="339" t="s">
        <v>223</v>
      </c>
    </row>
    <row r="75" spans="1:11" ht="14.4" customHeight="1" thickBot="1" x14ac:dyDescent="0.35">
      <c r="A75" s="348" t="s">
        <v>290</v>
      </c>
      <c r="B75" s="329">
        <v>39.999111066650002</v>
      </c>
      <c r="C75" s="329">
        <v>77.893299999999996</v>
      </c>
      <c r="D75" s="330">
        <v>37.894188933349</v>
      </c>
      <c r="E75" s="331">
        <v>1.9473757771810001</v>
      </c>
      <c r="F75" s="329">
        <v>42.999983767379</v>
      </c>
      <c r="G75" s="330">
        <v>14.333327922459</v>
      </c>
      <c r="H75" s="332">
        <v>3.54</v>
      </c>
      <c r="I75" s="329">
        <v>14.16</v>
      </c>
      <c r="J75" s="330">
        <v>-0.173327922459</v>
      </c>
      <c r="K75" s="333">
        <v>0.329302449893</v>
      </c>
    </row>
    <row r="76" spans="1:11" ht="14.4" customHeight="1" thickBot="1" x14ac:dyDescent="0.35">
      <c r="A76" s="349" t="s">
        <v>291</v>
      </c>
      <c r="B76" s="329">
        <v>39.999111066650002</v>
      </c>
      <c r="C76" s="329">
        <v>40.856000000000002</v>
      </c>
      <c r="D76" s="330">
        <v>0.85688893334899996</v>
      </c>
      <c r="E76" s="331">
        <v>1.0214226994169999</v>
      </c>
      <c r="F76" s="329">
        <v>42.999983767379</v>
      </c>
      <c r="G76" s="330">
        <v>14.333327922459</v>
      </c>
      <c r="H76" s="332">
        <v>3.54</v>
      </c>
      <c r="I76" s="329">
        <v>14.16</v>
      </c>
      <c r="J76" s="330">
        <v>-0.173327922459</v>
      </c>
      <c r="K76" s="333">
        <v>0.329302449893</v>
      </c>
    </row>
    <row r="77" spans="1:11" ht="14.4" customHeight="1" thickBot="1" x14ac:dyDescent="0.35">
      <c r="A77" s="350" t="s">
        <v>292</v>
      </c>
      <c r="B77" s="334">
        <v>39.999111066650002</v>
      </c>
      <c r="C77" s="334">
        <v>40.856000000000002</v>
      </c>
      <c r="D77" s="335">
        <v>0.85688893334899996</v>
      </c>
      <c r="E77" s="336">
        <v>1.0214226994169999</v>
      </c>
      <c r="F77" s="334">
        <v>42.999983767379</v>
      </c>
      <c r="G77" s="335">
        <v>14.333327922459</v>
      </c>
      <c r="H77" s="337">
        <v>3.54</v>
      </c>
      <c r="I77" s="334">
        <v>14.16</v>
      </c>
      <c r="J77" s="335">
        <v>-0.173327922459</v>
      </c>
      <c r="K77" s="338">
        <v>0.329302449893</v>
      </c>
    </row>
    <row r="78" spans="1:11" ht="14.4" customHeight="1" thickBot="1" x14ac:dyDescent="0.35">
      <c r="A78" s="351" t="s">
        <v>293</v>
      </c>
      <c r="B78" s="329">
        <v>21.999125944873999</v>
      </c>
      <c r="C78" s="329">
        <v>23.324000000000002</v>
      </c>
      <c r="D78" s="330">
        <v>1.324874055125</v>
      </c>
      <c r="E78" s="331">
        <v>1.0602239406439999</v>
      </c>
      <c r="F78" s="329">
        <v>24.999999212559999</v>
      </c>
      <c r="G78" s="330">
        <v>8.3333330708529996</v>
      </c>
      <c r="H78" s="332">
        <v>2.0670000000000002</v>
      </c>
      <c r="I78" s="329">
        <v>8.2680000000000007</v>
      </c>
      <c r="J78" s="330">
        <v>-6.5333070852999997E-2</v>
      </c>
      <c r="K78" s="333">
        <v>0.33072001041600002</v>
      </c>
    </row>
    <row r="79" spans="1:11" ht="14.4" customHeight="1" thickBot="1" x14ac:dyDescent="0.35">
      <c r="A79" s="351" t="s">
        <v>294</v>
      </c>
      <c r="B79" s="329">
        <v>10.000083664575</v>
      </c>
      <c r="C79" s="329">
        <v>9.9120000000000008</v>
      </c>
      <c r="D79" s="330">
        <v>-8.8083664574999998E-2</v>
      </c>
      <c r="E79" s="331">
        <v>0.99119170723600003</v>
      </c>
      <c r="F79" s="329">
        <v>10.000083349596</v>
      </c>
      <c r="G79" s="330">
        <v>3.3333611165320001</v>
      </c>
      <c r="H79" s="332">
        <v>0.82599999999999996</v>
      </c>
      <c r="I79" s="329">
        <v>3.3039999999999998</v>
      </c>
      <c r="J79" s="330">
        <v>-2.9361116531999999E-2</v>
      </c>
      <c r="K79" s="333">
        <v>0.330397246152</v>
      </c>
    </row>
    <row r="80" spans="1:11" ht="14.4" customHeight="1" thickBot="1" x14ac:dyDescent="0.35">
      <c r="A80" s="351" t="s">
        <v>295</v>
      </c>
      <c r="B80" s="329">
        <v>7.9999014572</v>
      </c>
      <c r="C80" s="329">
        <v>7.62</v>
      </c>
      <c r="D80" s="330">
        <v>-0.37990145720000001</v>
      </c>
      <c r="E80" s="331">
        <v>0.952511732896</v>
      </c>
      <c r="F80" s="329">
        <v>7.9999012052219998</v>
      </c>
      <c r="G80" s="330">
        <v>2.6666337350739999</v>
      </c>
      <c r="H80" s="332">
        <v>0.64700000000000002</v>
      </c>
      <c r="I80" s="329">
        <v>2.5880000000000001</v>
      </c>
      <c r="J80" s="330">
        <v>-7.8633735073999997E-2</v>
      </c>
      <c r="K80" s="333">
        <v>0.32350399506299998</v>
      </c>
    </row>
    <row r="81" spans="1:11" ht="14.4" customHeight="1" thickBot="1" x14ac:dyDescent="0.35">
      <c r="A81" s="349" t="s">
        <v>296</v>
      </c>
      <c r="B81" s="329">
        <v>0</v>
      </c>
      <c r="C81" s="329">
        <v>37.037300000000002</v>
      </c>
      <c r="D81" s="330">
        <v>37.037300000000002</v>
      </c>
      <c r="E81" s="342" t="s">
        <v>223</v>
      </c>
      <c r="F81" s="329">
        <v>0</v>
      </c>
      <c r="G81" s="330">
        <v>0</v>
      </c>
      <c r="H81" s="332">
        <v>0</v>
      </c>
      <c r="I81" s="329">
        <v>0</v>
      </c>
      <c r="J81" s="330">
        <v>0</v>
      </c>
      <c r="K81" s="339" t="s">
        <v>223</v>
      </c>
    </row>
    <row r="82" spans="1:11" ht="14.4" customHeight="1" thickBot="1" x14ac:dyDescent="0.35">
      <c r="A82" s="350" t="s">
        <v>297</v>
      </c>
      <c r="B82" s="334">
        <v>0</v>
      </c>
      <c r="C82" s="334">
        <v>37.037300000000002</v>
      </c>
      <c r="D82" s="335">
        <v>37.037300000000002</v>
      </c>
      <c r="E82" s="340" t="s">
        <v>223</v>
      </c>
      <c r="F82" s="334">
        <v>0</v>
      </c>
      <c r="G82" s="335">
        <v>0</v>
      </c>
      <c r="H82" s="337">
        <v>0</v>
      </c>
      <c r="I82" s="334">
        <v>0</v>
      </c>
      <c r="J82" s="335">
        <v>0</v>
      </c>
      <c r="K82" s="341" t="s">
        <v>223</v>
      </c>
    </row>
    <row r="83" spans="1:11" ht="14.4" customHeight="1" thickBot="1" x14ac:dyDescent="0.35">
      <c r="A83" s="351" t="s">
        <v>298</v>
      </c>
      <c r="B83" s="329">
        <v>0</v>
      </c>
      <c r="C83" s="329">
        <v>37.037300000000002</v>
      </c>
      <c r="D83" s="330">
        <v>37.037300000000002</v>
      </c>
      <c r="E83" s="342" t="s">
        <v>223</v>
      </c>
      <c r="F83" s="329">
        <v>0</v>
      </c>
      <c r="G83" s="330">
        <v>0</v>
      </c>
      <c r="H83" s="332">
        <v>0</v>
      </c>
      <c r="I83" s="329">
        <v>0</v>
      </c>
      <c r="J83" s="330">
        <v>0</v>
      </c>
      <c r="K83" s="339" t="s">
        <v>223</v>
      </c>
    </row>
    <row r="84" spans="1:11" ht="14.4" customHeight="1" thickBot="1" x14ac:dyDescent="0.35">
      <c r="A84" s="347" t="s">
        <v>299</v>
      </c>
      <c r="B84" s="329">
        <v>7065.5011840815296</v>
      </c>
      <c r="C84" s="329">
        <v>7769.9671099999996</v>
      </c>
      <c r="D84" s="330">
        <v>704.465925918469</v>
      </c>
      <c r="E84" s="331">
        <v>1.0997050184499999</v>
      </c>
      <c r="F84" s="329">
        <v>7662.58809836001</v>
      </c>
      <c r="G84" s="330">
        <v>2554.19603278667</v>
      </c>
      <c r="H84" s="332">
        <v>713.84679000000006</v>
      </c>
      <c r="I84" s="329">
        <v>3074.4538200000002</v>
      </c>
      <c r="J84" s="330">
        <v>520.25778721332904</v>
      </c>
      <c r="K84" s="333">
        <v>0.40122916442000001</v>
      </c>
    </row>
    <row r="85" spans="1:11" ht="14.4" customHeight="1" thickBot="1" x14ac:dyDescent="0.35">
      <c r="A85" s="348" t="s">
        <v>300</v>
      </c>
      <c r="B85" s="329">
        <v>7019.6462461520096</v>
      </c>
      <c r="C85" s="329">
        <v>7721.4060900000004</v>
      </c>
      <c r="D85" s="330">
        <v>701.75984384798505</v>
      </c>
      <c r="E85" s="331">
        <v>1.09997082748</v>
      </c>
      <c r="F85" s="329">
        <v>7619.58809836001</v>
      </c>
      <c r="G85" s="330">
        <v>2539.8626994533402</v>
      </c>
      <c r="H85" s="332">
        <v>711.31795999999997</v>
      </c>
      <c r="I85" s="329">
        <v>3058.2432600000002</v>
      </c>
      <c r="J85" s="330">
        <v>518.38056054666299</v>
      </c>
      <c r="K85" s="333">
        <v>0.401365955813</v>
      </c>
    </row>
    <row r="86" spans="1:11" ht="14.4" customHeight="1" thickBot="1" x14ac:dyDescent="0.35">
      <c r="A86" s="349" t="s">
        <v>301</v>
      </c>
      <c r="B86" s="329">
        <v>7019.6462461520096</v>
      </c>
      <c r="C86" s="329">
        <v>7721.4060900000004</v>
      </c>
      <c r="D86" s="330">
        <v>701.75984384798505</v>
      </c>
      <c r="E86" s="331">
        <v>1.09997082748</v>
      </c>
      <c r="F86" s="329">
        <v>7619.58809836001</v>
      </c>
      <c r="G86" s="330">
        <v>2539.8626994533402</v>
      </c>
      <c r="H86" s="332">
        <v>711.31795999999997</v>
      </c>
      <c r="I86" s="329">
        <v>3058.2432600000002</v>
      </c>
      <c r="J86" s="330">
        <v>518.38056054666299</v>
      </c>
      <c r="K86" s="333">
        <v>0.401365955813</v>
      </c>
    </row>
    <row r="87" spans="1:11" ht="14.4" customHeight="1" thickBot="1" x14ac:dyDescent="0.35">
      <c r="A87" s="350" t="s">
        <v>302</v>
      </c>
      <c r="B87" s="334">
        <v>16.646246152012001</v>
      </c>
      <c r="C87" s="334">
        <v>28.110289999999999</v>
      </c>
      <c r="D87" s="335">
        <v>11.464043847988</v>
      </c>
      <c r="E87" s="336">
        <v>1.68868643076</v>
      </c>
      <c r="F87" s="334">
        <v>21.588098358027001</v>
      </c>
      <c r="G87" s="335">
        <v>7.1960327860089999</v>
      </c>
      <c r="H87" s="337">
        <v>0</v>
      </c>
      <c r="I87" s="334">
        <v>14.967790000000001</v>
      </c>
      <c r="J87" s="335">
        <v>7.77175721399</v>
      </c>
      <c r="K87" s="338">
        <v>0.69333526982100002</v>
      </c>
    </row>
    <row r="88" spans="1:11" ht="14.4" customHeight="1" thickBot="1" x14ac:dyDescent="0.35">
      <c r="A88" s="351" t="s">
        <v>303</v>
      </c>
      <c r="B88" s="329">
        <v>16.646246152012001</v>
      </c>
      <c r="C88" s="329">
        <v>28.04748</v>
      </c>
      <c r="D88" s="330">
        <v>11.401233847987999</v>
      </c>
      <c r="E88" s="331">
        <v>1.68491320769</v>
      </c>
      <c r="F88" s="329">
        <v>21.41005050927</v>
      </c>
      <c r="G88" s="330">
        <v>7.1366835030900004</v>
      </c>
      <c r="H88" s="332">
        <v>0</v>
      </c>
      <c r="I88" s="329">
        <v>14.967790000000001</v>
      </c>
      <c r="J88" s="330">
        <v>7.8311064969090003</v>
      </c>
      <c r="K88" s="333">
        <v>0.69910110644099999</v>
      </c>
    </row>
    <row r="89" spans="1:11" ht="14.4" customHeight="1" thickBot="1" x14ac:dyDescent="0.35">
      <c r="A89" s="351" t="s">
        <v>304</v>
      </c>
      <c r="B89" s="329">
        <v>0</v>
      </c>
      <c r="C89" s="329">
        <v>6.2810000000000005E-2</v>
      </c>
      <c r="D89" s="330">
        <v>6.2810000000000005E-2</v>
      </c>
      <c r="E89" s="342" t="s">
        <v>252</v>
      </c>
      <c r="F89" s="329">
        <v>0.178047848757</v>
      </c>
      <c r="G89" s="330">
        <v>5.9349282918999997E-2</v>
      </c>
      <c r="H89" s="332">
        <v>0</v>
      </c>
      <c r="I89" s="329">
        <v>0</v>
      </c>
      <c r="J89" s="330">
        <v>-5.9349282918999997E-2</v>
      </c>
      <c r="K89" s="333">
        <v>0</v>
      </c>
    </row>
    <row r="90" spans="1:11" ht="14.4" customHeight="1" thickBot="1" x14ac:dyDescent="0.35">
      <c r="A90" s="350" t="s">
        <v>305</v>
      </c>
      <c r="B90" s="334">
        <v>0</v>
      </c>
      <c r="C90" s="334">
        <v>11.79332</v>
      </c>
      <c r="D90" s="335">
        <v>11.79332</v>
      </c>
      <c r="E90" s="340" t="s">
        <v>223</v>
      </c>
      <c r="F90" s="334">
        <v>10.000000000002</v>
      </c>
      <c r="G90" s="335">
        <v>3.3333333333340001</v>
      </c>
      <c r="H90" s="337">
        <v>3.2759999999999998</v>
      </c>
      <c r="I90" s="334">
        <v>12.38017</v>
      </c>
      <c r="J90" s="335">
        <v>9.0468366666649995</v>
      </c>
      <c r="K90" s="338">
        <v>1.2380169999990001</v>
      </c>
    </row>
    <row r="91" spans="1:11" ht="14.4" customHeight="1" thickBot="1" x14ac:dyDescent="0.35">
      <c r="A91" s="351" t="s">
        <v>306</v>
      </c>
      <c r="B91" s="329">
        <v>0</v>
      </c>
      <c r="C91" s="329">
        <v>11.79332</v>
      </c>
      <c r="D91" s="330">
        <v>11.79332</v>
      </c>
      <c r="E91" s="342" t="s">
        <v>223</v>
      </c>
      <c r="F91" s="329">
        <v>10.000000000002</v>
      </c>
      <c r="G91" s="330">
        <v>3.3333333333340001</v>
      </c>
      <c r="H91" s="332">
        <v>3.2759999999999998</v>
      </c>
      <c r="I91" s="329">
        <v>12.38017</v>
      </c>
      <c r="J91" s="330">
        <v>9.0468366666649995</v>
      </c>
      <c r="K91" s="333">
        <v>1.2380169999990001</v>
      </c>
    </row>
    <row r="92" spans="1:11" ht="14.4" customHeight="1" thickBot="1" x14ac:dyDescent="0.35">
      <c r="A92" s="350" t="s">
        <v>307</v>
      </c>
      <c r="B92" s="334">
        <v>0</v>
      </c>
      <c r="C92" s="334">
        <v>1.1484000000000001</v>
      </c>
      <c r="D92" s="335">
        <v>1.1484000000000001</v>
      </c>
      <c r="E92" s="340" t="s">
        <v>223</v>
      </c>
      <c r="F92" s="334">
        <v>4.0000000000010001</v>
      </c>
      <c r="G92" s="335">
        <v>1.333333333333</v>
      </c>
      <c r="H92" s="337">
        <v>0</v>
      </c>
      <c r="I92" s="334">
        <v>0</v>
      </c>
      <c r="J92" s="335">
        <v>-1.333333333333</v>
      </c>
      <c r="K92" s="338">
        <v>0</v>
      </c>
    </row>
    <row r="93" spans="1:11" ht="14.4" customHeight="1" thickBot="1" x14ac:dyDescent="0.35">
      <c r="A93" s="351" t="s">
        <v>308</v>
      </c>
      <c r="B93" s="329">
        <v>0</v>
      </c>
      <c r="C93" s="329">
        <v>1.1484000000000001</v>
      </c>
      <c r="D93" s="330">
        <v>1.1484000000000001</v>
      </c>
      <c r="E93" s="342" t="s">
        <v>252</v>
      </c>
      <c r="F93" s="329">
        <v>4.0000000000010001</v>
      </c>
      <c r="G93" s="330">
        <v>1.333333333333</v>
      </c>
      <c r="H93" s="332">
        <v>0</v>
      </c>
      <c r="I93" s="329">
        <v>0</v>
      </c>
      <c r="J93" s="330">
        <v>-1.333333333333</v>
      </c>
      <c r="K93" s="333">
        <v>0</v>
      </c>
    </row>
    <row r="94" spans="1:11" ht="14.4" customHeight="1" thickBot="1" x14ac:dyDescent="0.35">
      <c r="A94" s="350" t="s">
        <v>309</v>
      </c>
      <c r="B94" s="334">
        <v>7003</v>
      </c>
      <c r="C94" s="334">
        <v>7188.0248499999998</v>
      </c>
      <c r="D94" s="335">
        <v>185.024849999998</v>
      </c>
      <c r="E94" s="336">
        <v>1.0264207982289999</v>
      </c>
      <c r="F94" s="334">
        <v>7584.00000000198</v>
      </c>
      <c r="G94" s="335">
        <v>2528.0000000006598</v>
      </c>
      <c r="H94" s="337">
        <v>649.81808000000001</v>
      </c>
      <c r="I94" s="334">
        <v>2978.3078799999998</v>
      </c>
      <c r="J94" s="335">
        <v>450.30787999934</v>
      </c>
      <c r="K94" s="338">
        <v>0.39270937236199999</v>
      </c>
    </row>
    <row r="95" spans="1:11" ht="14.4" customHeight="1" thickBot="1" x14ac:dyDescent="0.35">
      <c r="A95" s="351" t="s">
        <v>310</v>
      </c>
      <c r="B95" s="329">
        <v>2495</v>
      </c>
      <c r="C95" s="329">
        <v>2371.9464600000001</v>
      </c>
      <c r="D95" s="330">
        <v>-123.053540000002</v>
      </c>
      <c r="E95" s="331">
        <v>0.95067994388699995</v>
      </c>
      <c r="F95" s="329">
        <v>2646.0000000006899</v>
      </c>
      <c r="G95" s="330">
        <v>882.00000000022999</v>
      </c>
      <c r="H95" s="332">
        <v>197.13493</v>
      </c>
      <c r="I95" s="329">
        <v>1028.2392299999999</v>
      </c>
      <c r="J95" s="330">
        <v>146.23922999977</v>
      </c>
      <c r="K95" s="333">
        <v>0.38860137188100002</v>
      </c>
    </row>
    <row r="96" spans="1:11" ht="14.4" customHeight="1" thickBot="1" x14ac:dyDescent="0.35">
      <c r="A96" s="351" t="s">
        <v>311</v>
      </c>
      <c r="B96" s="329">
        <v>4508</v>
      </c>
      <c r="C96" s="329">
        <v>4816.0783899999997</v>
      </c>
      <c r="D96" s="330">
        <v>308.07839000000001</v>
      </c>
      <c r="E96" s="331">
        <v>1.068340370452</v>
      </c>
      <c r="F96" s="329">
        <v>4938.0000000012897</v>
      </c>
      <c r="G96" s="330">
        <v>1646.00000000043</v>
      </c>
      <c r="H96" s="332">
        <v>452.68315000000001</v>
      </c>
      <c r="I96" s="329">
        <v>1950.0686499999999</v>
      </c>
      <c r="J96" s="330">
        <v>304.06864999957003</v>
      </c>
      <c r="K96" s="333">
        <v>0.39491062170899999</v>
      </c>
    </row>
    <row r="97" spans="1:11" ht="14.4" customHeight="1" thickBot="1" x14ac:dyDescent="0.35">
      <c r="A97" s="350" t="s">
        <v>312</v>
      </c>
      <c r="B97" s="334">
        <v>0</v>
      </c>
      <c r="C97" s="334">
        <v>492.32923</v>
      </c>
      <c r="D97" s="335">
        <v>492.32923</v>
      </c>
      <c r="E97" s="340" t="s">
        <v>223</v>
      </c>
      <c r="F97" s="334">
        <v>0</v>
      </c>
      <c r="G97" s="335">
        <v>0</v>
      </c>
      <c r="H97" s="337">
        <v>58.223880000000001</v>
      </c>
      <c r="I97" s="334">
        <v>52.587420000000002</v>
      </c>
      <c r="J97" s="335">
        <v>52.587420000000002</v>
      </c>
      <c r="K97" s="341" t="s">
        <v>223</v>
      </c>
    </row>
    <row r="98" spans="1:11" ht="14.4" customHeight="1" thickBot="1" x14ac:dyDescent="0.35">
      <c r="A98" s="351" t="s">
        <v>313</v>
      </c>
      <c r="B98" s="329">
        <v>0</v>
      </c>
      <c r="C98" s="329">
        <v>17.632930000000002</v>
      </c>
      <c r="D98" s="330">
        <v>17.632930000000002</v>
      </c>
      <c r="E98" s="342" t="s">
        <v>223</v>
      </c>
      <c r="F98" s="329">
        <v>0</v>
      </c>
      <c r="G98" s="330">
        <v>0</v>
      </c>
      <c r="H98" s="332">
        <v>0</v>
      </c>
      <c r="I98" s="329">
        <v>0</v>
      </c>
      <c r="J98" s="330">
        <v>0</v>
      </c>
      <c r="K98" s="339" t="s">
        <v>223</v>
      </c>
    </row>
    <row r="99" spans="1:11" ht="14.4" customHeight="1" thickBot="1" x14ac:dyDescent="0.35">
      <c r="A99" s="351" t="s">
        <v>314</v>
      </c>
      <c r="B99" s="329">
        <v>0</v>
      </c>
      <c r="C99" s="329">
        <v>474.69630000000001</v>
      </c>
      <c r="D99" s="330">
        <v>474.69630000000001</v>
      </c>
      <c r="E99" s="342" t="s">
        <v>223</v>
      </c>
      <c r="F99" s="329">
        <v>0</v>
      </c>
      <c r="G99" s="330">
        <v>0</v>
      </c>
      <c r="H99" s="332">
        <v>58.223880000000001</v>
      </c>
      <c r="I99" s="329">
        <v>52.587420000000002</v>
      </c>
      <c r="J99" s="330">
        <v>52.587420000000002</v>
      </c>
      <c r="K99" s="339" t="s">
        <v>223</v>
      </c>
    </row>
    <row r="100" spans="1:11" ht="14.4" customHeight="1" thickBot="1" x14ac:dyDescent="0.35">
      <c r="A100" s="348" t="s">
        <v>315</v>
      </c>
      <c r="B100" s="329">
        <v>45.854937929517</v>
      </c>
      <c r="C100" s="329">
        <v>48.561019999999999</v>
      </c>
      <c r="D100" s="330">
        <v>2.7060820704820001</v>
      </c>
      <c r="E100" s="331">
        <v>1.059013973034</v>
      </c>
      <c r="F100" s="329">
        <v>43</v>
      </c>
      <c r="G100" s="330">
        <v>14.333333333333</v>
      </c>
      <c r="H100" s="332">
        <v>2.5288300000000001</v>
      </c>
      <c r="I100" s="329">
        <v>16.210560000000001</v>
      </c>
      <c r="J100" s="330">
        <v>1.877226666666</v>
      </c>
      <c r="K100" s="333">
        <v>0.37698976744099999</v>
      </c>
    </row>
    <row r="101" spans="1:11" ht="14.4" customHeight="1" thickBot="1" x14ac:dyDescent="0.35">
      <c r="A101" s="354" t="s">
        <v>316</v>
      </c>
      <c r="B101" s="334">
        <v>45.854937929517</v>
      </c>
      <c r="C101" s="334">
        <v>48.561019999999999</v>
      </c>
      <c r="D101" s="335">
        <v>2.7060820704820001</v>
      </c>
      <c r="E101" s="336">
        <v>1.059013973034</v>
      </c>
      <c r="F101" s="334">
        <v>43</v>
      </c>
      <c r="G101" s="335">
        <v>14.333333333333</v>
      </c>
      <c r="H101" s="337">
        <v>2.5288300000000001</v>
      </c>
      <c r="I101" s="334">
        <v>16.210560000000001</v>
      </c>
      <c r="J101" s="335">
        <v>1.877226666666</v>
      </c>
      <c r="K101" s="338">
        <v>0.37698976744099999</v>
      </c>
    </row>
    <row r="102" spans="1:11" ht="14.4" customHeight="1" thickBot="1" x14ac:dyDescent="0.35">
      <c r="A102" s="350" t="s">
        <v>317</v>
      </c>
      <c r="B102" s="334">
        <v>0</v>
      </c>
      <c r="C102" s="334">
        <v>-1.9000000000000001E-4</v>
      </c>
      <c r="D102" s="335">
        <v>-1.9000000000000001E-4</v>
      </c>
      <c r="E102" s="340" t="s">
        <v>223</v>
      </c>
      <c r="F102" s="334">
        <v>0</v>
      </c>
      <c r="G102" s="335">
        <v>0</v>
      </c>
      <c r="H102" s="337">
        <v>0</v>
      </c>
      <c r="I102" s="334">
        <v>-1.0000000000000001E-5</v>
      </c>
      <c r="J102" s="335">
        <v>-1.0000000000000001E-5</v>
      </c>
      <c r="K102" s="341" t="s">
        <v>223</v>
      </c>
    </row>
    <row r="103" spans="1:11" ht="14.4" customHeight="1" thickBot="1" x14ac:dyDescent="0.35">
      <c r="A103" s="351" t="s">
        <v>318</v>
      </c>
      <c r="B103" s="329">
        <v>0</v>
      </c>
      <c r="C103" s="329">
        <v>-1.9000000000000001E-4</v>
      </c>
      <c r="D103" s="330">
        <v>-1.9000000000000001E-4</v>
      </c>
      <c r="E103" s="342" t="s">
        <v>223</v>
      </c>
      <c r="F103" s="329">
        <v>0</v>
      </c>
      <c r="G103" s="330">
        <v>0</v>
      </c>
      <c r="H103" s="332">
        <v>0</v>
      </c>
      <c r="I103" s="329">
        <v>-1.0000000000000001E-5</v>
      </c>
      <c r="J103" s="330">
        <v>-1.0000000000000001E-5</v>
      </c>
      <c r="K103" s="339" t="s">
        <v>223</v>
      </c>
    </row>
    <row r="104" spans="1:11" ht="14.4" customHeight="1" thickBot="1" x14ac:dyDescent="0.35">
      <c r="A104" s="350" t="s">
        <v>319</v>
      </c>
      <c r="B104" s="334">
        <v>45.854937929517</v>
      </c>
      <c r="C104" s="334">
        <v>48.561210000000003</v>
      </c>
      <c r="D104" s="335">
        <v>2.706272070482</v>
      </c>
      <c r="E104" s="336">
        <v>1.059018116536</v>
      </c>
      <c r="F104" s="334">
        <v>43</v>
      </c>
      <c r="G104" s="335">
        <v>14.333333333333</v>
      </c>
      <c r="H104" s="337">
        <v>2.5288300000000001</v>
      </c>
      <c r="I104" s="334">
        <v>16.210570000000001</v>
      </c>
      <c r="J104" s="335">
        <v>1.8772366666660001</v>
      </c>
      <c r="K104" s="338">
        <v>0.37698999999999999</v>
      </c>
    </row>
    <row r="105" spans="1:11" ht="14.4" customHeight="1" thickBot="1" x14ac:dyDescent="0.35">
      <c r="A105" s="351" t="s">
        <v>320</v>
      </c>
      <c r="B105" s="329">
        <v>0</v>
      </c>
      <c r="C105" s="329">
        <v>-1.48752</v>
      </c>
      <c r="D105" s="330">
        <v>-1.48752</v>
      </c>
      <c r="E105" s="342" t="s">
        <v>252</v>
      </c>
      <c r="F105" s="329">
        <v>0</v>
      </c>
      <c r="G105" s="330">
        <v>0</v>
      </c>
      <c r="H105" s="332">
        <v>0</v>
      </c>
      <c r="I105" s="329">
        <v>0</v>
      </c>
      <c r="J105" s="330">
        <v>0</v>
      </c>
      <c r="K105" s="339" t="s">
        <v>223</v>
      </c>
    </row>
    <row r="106" spans="1:11" ht="14.4" customHeight="1" thickBot="1" x14ac:dyDescent="0.35">
      <c r="A106" s="351" t="s">
        <v>321</v>
      </c>
      <c r="B106" s="329">
        <v>0</v>
      </c>
      <c r="C106" s="329">
        <v>0</v>
      </c>
      <c r="D106" s="330">
        <v>0</v>
      </c>
      <c r="E106" s="331">
        <v>1</v>
      </c>
      <c r="F106" s="329">
        <v>0</v>
      </c>
      <c r="G106" s="330">
        <v>0</v>
      </c>
      <c r="H106" s="332">
        <v>0</v>
      </c>
      <c r="I106" s="329">
        <v>2.9090000000000001E-2</v>
      </c>
      <c r="J106" s="330">
        <v>2.9090000000000001E-2</v>
      </c>
      <c r="K106" s="339" t="s">
        <v>252</v>
      </c>
    </row>
    <row r="107" spans="1:11" ht="14.4" customHeight="1" thickBot="1" x14ac:dyDescent="0.35">
      <c r="A107" s="351" t="s">
        <v>322</v>
      </c>
      <c r="B107" s="329">
        <v>45.854937929517</v>
      </c>
      <c r="C107" s="329">
        <v>50.048729999999999</v>
      </c>
      <c r="D107" s="330">
        <v>4.193792070482</v>
      </c>
      <c r="E107" s="331">
        <v>1.091457807159</v>
      </c>
      <c r="F107" s="329">
        <v>43</v>
      </c>
      <c r="G107" s="330">
        <v>14.333333333333</v>
      </c>
      <c r="H107" s="332">
        <v>2.5288300000000001</v>
      </c>
      <c r="I107" s="329">
        <v>16.181480000000001</v>
      </c>
      <c r="J107" s="330">
        <v>1.848146666666</v>
      </c>
      <c r="K107" s="333">
        <v>0.37631348837200002</v>
      </c>
    </row>
    <row r="108" spans="1:11" ht="14.4" customHeight="1" thickBot="1" x14ac:dyDescent="0.35">
      <c r="A108" s="347" t="s">
        <v>323</v>
      </c>
      <c r="B108" s="329">
        <v>1142.00028352708</v>
      </c>
      <c r="C108" s="329">
        <v>1086.4533200000001</v>
      </c>
      <c r="D108" s="330">
        <v>-55.546963527076002</v>
      </c>
      <c r="E108" s="331">
        <v>0.95135993893399995</v>
      </c>
      <c r="F108" s="329">
        <v>0</v>
      </c>
      <c r="G108" s="330">
        <v>0</v>
      </c>
      <c r="H108" s="332">
        <v>76.334199999999996</v>
      </c>
      <c r="I108" s="329">
        <v>312.92871000000099</v>
      </c>
      <c r="J108" s="330">
        <v>312.92871000000099</v>
      </c>
      <c r="K108" s="339" t="s">
        <v>223</v>
      </c>
    </row>
    <row r="109" spans="1:11" ht="14.4" customHeight="1" thickBot="1" x14ac:dyDescent="0.35">
      <c r="A109" s="352" t="s">
        <v>324</v>
      </c>
      <c r="B109" s="334">
        <v>1142.00028352708</v>
      </c>
      <c r="C109" s="334">
        <v>1086.4533200000001</v>
      </c>
      <c r="D109" s="335">
        <v>-55.546963527076002</v>
      </c>
      <c r="E109" s="336">
        <v>0.95135993893399995</v>
      </c>
      <c r="F109" s="334">
        <v>0</v>
      </c>
      <c r="G109" s="335">
        <v>0</v>
      </c>
      <c r="H109" s="337">
        <v>76.334199999999996</v>
      </c>
      <c r="I109" s="334">
        <v>312.92871000000099</v>
      </c>
      <c r="J109" s="335">
        <v>312.92871000000099</v>
      </c>
      <c r="K109" s="341" t="s">
        <v>223</v>
      </c>
    </row>
    <row r="110" spans="1:11" ht="14.4" customHeight="1" thickBot="1" x14ac:dyDescent="0.35">
      <c r="A110" s="354" t="s">
        <v>31</v>
      </c>
      <c r="B110" s="334">
        <v>1142.00028352708</v>
      </c>
      <c r="C110" s="334">
        <v>1086.4533200000001</v>
      </c>
      <c r="D110" s="335">
        <v>-55.546963527076002</v>
      </c>
      <c r="E110" s="336">
        <v>0.95135993893399995</v>
      </c>
      <c r="F110" s="334">
        <v>0</v>
      </c>
      <c r="G110" s="335">
        <v>0</v>
      </c>
      <c r="H110" s="337">
        <v>76.334199999999996</v>
      </c>
      <c r="I110" s="334">
        <v>312.92871000000099</v>
      </c>
      <c r="J110" s="335">
        <v>312.92871000000099</v>
      </c>
      <c r="K110" s="341" t="s">
        <v>223</v>
      </c>
    </row>
    <row r="111" spans="1:11" ht="14.4" customHeight="1" thickBot="1" x14ac:dyDescent="0.35">
      <c r="A111" s="350" t="s">
        <v>325</v>
      </c>
      <c r="B111" s="334">
        <v>3</v>
      </c>
      <c r="C111" s="334">
        <v>5.1791999999999998</v>
      </c>
      <c r="D111" s="335">
        <v>2.1791999999999998</v>
      </c>
      <c r="E111" s="336">
        <v>1.7263999999999999</v>
      </c>
      <c r="F111" s="334">
        <v>0</v>
      </c>
      <c r="G111" s="335">
        <v>0</v>
      </c>
      <c r="H111" s="337">
        <v>0.49399999999999999</v>
      </c>
      <c r="I111" s="334">
        <v>1.976</v>
      </c>
      <c r="J111" s="335">
        <v>1.976</v>
      </c>
      <c r="K111" s="341" t="s">
        <v>223</v>
      </c>
    </row>
    <row r="112" spans="1:11" ht="14.4" customHeight="1" thickBot="1" x14ac:dyDescent="0.35">
      <c r="A112" s="351" t="s">
        <v>326</v>
      </c>
      <c r="B112" s="329">
        <v>3</v>
      </c>
      <c r="C112" s="329">
        <v>5.1791999999999998</v>
      </c>
      <c r="D112" s="330">
        <v>2.1791999999999998</v>
      </c>
      <c r="E112" s="331">
        <v>1.7263999999999999</v>
      </c>
      <c r="F112" s="329">
        <v>0</v>
      </c>
      <c r="G112" s="330">
        <v>0</v>
      </c>
      <c r="H112" s="332">
        <v>0.49399999999999999</v>
      </c>
      <c r="I112" s="329">
        <v>1.976</v>
      </c>
      <c r="J112" s="330">
        <v>1.976</v>
      </c>
      <c r="K112" s="339" t="s">
        <v>223</v>
      </c>
    </row>
    <row r="113" spans="1:11" ht="14.4" customHeight="1" thickBot="1" x14ac:dyDescent="0.35">
      <c r="A113" s="350" t="s">
        <v>327</v>
      </c>
      <c r="B113" s="334">
        <v>2.0002835270760002</v>
      </c>
      <c r="C113" s="334">
        <v>1.7350000000000001</v>
      </c>
      <c r="D113" s="335">
        <v>-0.265283527076</v>
      </c>
      <c r="E113" s="336">
        <v>0.86737703756200002</v>
      </c>
      <c r="F113" s="334">
        <v>0</v>
      </c>
      <c r="G113" s="335">
        <v>0</v>
      </c>
      <c r="H113" s="337">
        <v>0.14699999999999999</v>
      </c>
      <c r="I113" s="334">
        <v>1.0289999999999999</v>
      </c>
      <c r="J113" s="335">
        <v>1.0289999999999999</v>
      </c>
      <c r="K113" s="341" t="s">
        <v>223</v>
      </c>
    </row>
    <row r="114" spans="1:11" ht="14.4" customHeight="1" thickBot="1" x14ac:dyDescent="0.35">
      <c r="A114" s="351" t="s">
        <v>328</v>
      </c>
      <c r="B114" s="329">
        <v>2.0002835270760002</v>
      </c>
      <c r="C114" s="329">
        <v>1.7350000000000001</v>
      </c>
      <c r="D114" s="330">
        <v>-0.265283527076</v>
      </c>
      <c r="E114" s="331">
        <v>0.86737703756200002</v>
      </c>
      <c r="F114" s="329">
        <v>0</v>
      </c>
      <c r="G114" s="330">
        <v>0</v>
      </c>
      <c r="H114" s="332">
        <v>0.14699999999999999</v>
      </c>
      <c r="I114" s="329">
        <v>1.0289999999999999</v>
      </c>
      <c r="J114" s="330">
        <v>1.0289999999999999</v>
      </c>
      <c r="K114" s="339" t="s">
        <v>223</v>
      </c>
    </row>
    <row r="115" spans="1:11" ht="14.4" customHeight="1" thickBot="1" x14ac:dyDescent="0.35">
      <c r="A115" s="350" t="s">
        <v>329</v>
      </c>
      <c r="B115" s="334">
        <v>0</v>
      </c>
      <c r="C115" s="334">
        <v>0.36399999999999999</v>
      </c>
      <c r="D115" s="335">
        <v>0.36399999999999999</v>
      </c>
      <c r="E115" s="340" t="s">
        <v>252</v>
      </c>
      <c r="F115" s="334">
        <v>0</v>
      </c>
      <c r="G115" s="335">
        <v>0</v>
      </c>
      <c r="H115" s="337">
        <v>0</v>
      </c>
      <c r="I115" s="334">
        <v>0.16800000000000001</v>
      </c>
      <c r="J115" s="335">
        <v>0.16800000000000001</v>
      </c>
      <c r="K115" s="341" t="s">
        <v>223</v>
      </c>
    </row>
    <row r="116" spans="1:11" ht="14.4" customHeight="1" thickBot="1" x14ac:dyDescent="0.35">
      <c r="A116" s="351" t="s">
        <v>330</v>
      </c>
      <c r="B116" s="329">
        <v>0</v>
      </c>
      <c r="C116" s="329">
        <v>0.36399999999999999</v>
      </c>
      <c r="D116" s="330">
        <v>0.36399999999999999</v>
      </c>
      <c r="E116" s="342" t="s">
        <v>252</v>
      </c>
      <c r="F116" s="329">
        <v>0</v>
      </c>
      <c r="G116" s="330">
        <v>0</v>
      </c>
      <c r="H116" s="332">
        <v>0</v>
      </c>
      <c r="I116" s="329">
        <v>0.16800000000000001</v>
      </c>
      <c r="J116" s="330">
        <v>0.16800000000000001</v>
      </c>
      <c r="K116" s="339" t="s">
        <v>223</v>
      </c>
    </row>
    <row r="117" spans="1:11" ht="14.4" customHeight="1" thickBot="1" x14ac:dyDescent="0.35">
      <c r="A117" s="350" t="s">
        <v>331</v>
      </c>
      <c r="B117" s="334">
        <v>349</v>
      </c>
      <c r="C117" s="334">
        <v>306.04710999999998</v>
      </c>
      <c r="D117" s="335">
        <v>-42.952889999999996</v>
      </c>
      <c r="E117" s="336">
        <v>0.87692581661799995</v>
      </c>
      <c r="F117" s="334">
        <v>0</v>
      </c>
      <c r="G117" s="335">
        <v>0</v>
      </c>
      <c r="H117" s="337">
        <v>13.1294</v>
      </c>
      <c r="I117" s="334">
        <v>61.091560000000001</v>
      </c>
      <c r="J117" s="335">
        <v>61.091560000000001</v>
      </c>
      <c r="K117" s="341" t="s">
        <v>223</v>
      </c>
    </row>
    <row r="118" spans="1:11" ht="14.4" customHeight="1" thickBot="1" x14ac:dyDescent="0.35">
      <c r="A118" s="351" t="s">
        <v>332</v>
      </c>
      <c r="B118" s="329">
        <v>349</v>
      </c>
      <c r="C118" s="329">
        <v>306.04710999999998</v>
      </c>
      <c r="D118" s="330">
        <v>-42.952889999999996</v>
      </c>
      <c r="E118" s="331">
        <v>0.87692581661799995</v>
      </c>
      <c r="F118" s="329">
        <v>0</v>
      </c>
      <c r="G118" s="330">
        <v>0</v>
      </c>
      <c r="H118" s="332">
        <v>13.1294</v>
      </c>
      <c r="I118" s="329">
        <v>61.091560000000001</v>
      </c>
      <c r="J118" s="330">
        <v>61.091560000000001</v>
      </c>
      <c r="K118" s="339" t="s">
        <v>223</v>
      </c>
    </row>
    <row r="119" spans="1:11" ht="14.4" customHeight="1" thickBot="1" x14ac:dyDescent="0.35">
      <c r="A119" s="350" t="s">
        <v>333</v>
      </c>
      <c r="B119" s="334">
        <v>788</v>
      </c>
      <c r="C119" s="334">
        <v>773.12801000000002</v>
      </c>
      <c r="D119" s="335">
        <v>-14.871989999999</v>
      </c>
      <c r="E119" s="336">
        <v>0.98112691624299997</v>
      </c>
      <c r="F119" s="334">
        <v>0</v>
      </c>
      <c r="G119" s="335">
        <v>0</v>
      </c>
      <c r="H119" s="337">
        <v>62.563800000000001</v>
      </c>
      <c r="I119" s="334">
        <v>248.664150000001</v>
      </c>
      <c r="J119" s="335">
        <v>248.664150000001</v>
      </c>
      <c r="K119" s="341" t="s">
        <v>223</v>
      </c>
    </row>
    <row r="120" spans="1:11" ht="14.4" customHeight="1" thickBot="1" x14ac:dyDescent="0.35">
      <c r="A120" s="351" t="s">
        <v>334</v>
      </c>
      <c r="B120" s="329">
        <v>788</v>
      </c>
      <c r="C120" s="329">
        <v>773.12801000000002</v>
      </c>
      <c r="D120" s="330">
        <v>-14.871989999999</v>
      </c>
      <c r="E120" s="331">
        <v>0.98112691624299997</v>
      </c>
      <c r="F120" s="329">
        <v>0</v>
      </c>
      <c r="G120" s="330">
        <v>0</v>
      </c>
      <c r="H120" s="332">
        <v>62.563800000000001</v>
      </c>
      <c r="I120" s="329">
        <v>248.664150000001</v>
      </c>
      <c r="J120" s="330">
        <v>248.664150000001</v>
      </c>
      <c r="K120" s="339" t="s">
        <v>223</v>
      </c>
    </row>
    <row r="121" spans="1:11" ht="14.4" customHeight="1" thickBot="1" x14ac:dyDescent="0.35">
      <c r="A121" s="355"/>
      <c r="B121" s="329">
        <v>-1299.63495677175</v>
      </c>
      <c r="C121" s="329">
        <v>-507.44454000000098</v>
      </c>
      <c r="D121" s="330">
        <v>792.19041677174505</v>
      </c>
      <c r="E121" s="331">
        <v>0.39045159362300003</v>
      </c>
      <c r="F121" s="329">
        <v>351.88700491977897</v>
      </c>
      <c r="G121" s="330">
        <v>117.295668306593</v>
      </c>
      <c r="H121" s="332">
        <v>41.055179999998998</v>
      </c>
      <c r="I121" s="329">
        <v>407.55704999999699</v>
      </c>
      <c r="J121" s="330">
        <v>290.26138169340402</v>
      </c>
      <c r="K121" s="333">
        <v>1.1582043221310001</v>
      </c>
    </row>
    <row r="122" spans="1:11" ht="14.4" customHeight="1" thickBot="1" x14ac:dyDescent="0.35">
      <c r="A122" s="356" t="s">
        <v>43</v>
      </c>
      <c r="B122" s="343">
        <v>-1299.63495677175</v>
      </c>
      <c r="C122" s="343">
        <v>-507.44454000000098</v>
      </c>
      <c r="D122" s="344">
        <v>792.19041677174403</v>
      </c>
      <c r="E122" s="345">
        <v>-0.84720013409200001</v>
      </c>
      <c r="F122" s="343">
        <v>351.88700491977897</v>
      </c>
      <c r="G122" s="344">
        <v>117.295668306593</v>
      </c>
      <c r="H122" s="343">
        <v>41.055179999998998</v>
      </c>
      <c r="I122" s="343">
        <v>407.55704999999699</v>
      </c>
      <c r="J122" s="344">
        <v>290.26138169340402</v>
      </c>
      <c r="K122" s="346">
        <v>1.1582043221310001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3" t="s">
        <v>104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95" t="s">
        <v>222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2013</v>
      </c>
      <c r="D3" s="254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8" t="s">
        <v>0</v>
      </c>
      <c r="B4" s="259" t="s">
        <v>195</v>
      </c>
      <c r="C4" s="301" t="s">
        <v>50</v>
      </c>
      <c r="D4" s="302"/>
      <c r="E4" s="260"/>
      <c r="F4" s="255" t="s">
        <v>50</v>
      </c>
      <c r="G4" s="256" t="s">
        <v>51</v>
      </c>
      <c r="H4" s="256" t="s">
        <v>45</v>
      </c>
      <c r="I4" s="257" t="s">
        <v>52</v>
      </c>
    </row>
    <row r="5" spans="1:10" ht="14.4" customHeight="1" x14ac:dyDescent="0.3">
      <c r="A5" s="357" t="s">
        <v>335</v>
      </c>
      <c r="B5" s="358" t="s">
        <v>336</v>
      </c>
      <c r="C5" s="359" t="s">
        <v>337</v>
      </c>
      <c r="D5" s="359" t="s">
        <v>337</v>
      </c>
      <c r="E5" s="359"/>
      <c r="F5" s="359" t="s">
        <v>337</v>
      </c>
      <c r="G5" s="359" t="s">
        <v>337</v>
      </c>
      <c r="H5" s="359" t="s">
        <v>337</v>
      </c>
      <c r="I5" s="360" t="s">
        <v>337</v>
      </c>
      <c r="J5" s="361" t="s">
        <v>46</v>
      </c>
    </row>
    <row r="6" spans="1:10" ht="14.4" customHeight="1" x14ac:dyDescent="0.3">
      <c r="A6" s="357" t="s">
        <v>335</v>
      </c>
      <c r="B6" s="358" t="s">
        <v>229</v>
      </c>
      <c r="C6" s="359">
        <v>0.56330000000000002</v>
      </c>
      <c r="D6" s="359">
        <v>0</v>
      </c>
      <c r="E6" s="359"/>
      <c r="F6" s="359">
        <v>0</v>
      </c>
      <c r="G6" s="359">
        <v>0.33333333333333331</v>
      </c>
      <c r="H6" s="359">
        <v>-0.33333333333333331</v>
      </c>
      <c r="I6" s="360">
        <v>0</v>
      </c>
      <c r="J6" s="361" t="s">
        <v>1</v>
      </c>
    </row>
    <row r="7" spans="1:10" ht="14.4" customHeight="1" x14ac:dyDescent="0.3">
      <c r="A7" s="357" t="s">
        <v>335</v>
      </c>
      <c r="B7" s="358" t="s">
        <v>338</v>
      </c>
      <c r="C7" s="359">
        <v>0.56330000000000002</v>
      </c>
      <c r="D7" s="359">
        <v>0</v>
      </c>
      <c r="E7" s="359"/>
      <c r="F7" s="359">
        <v>0</v>
      </c>
      <c r="G7" s="359">
        <v>0.33333333333333331</v>
      </c>
      <c r="H7" s="359">
        <v>-0.33333333333333331</v>
      </c>
      <c r="I7" s="360">
        <v>0</v>
      </c>
      <c r="J7" s="361" t="s">
        <v>339</v>
      </c>
    </row>
    <row r="9" spans="1:10" ht="14.4" customHeight="1" x14ac:dyDescent="0.3">
      <c r="A9" s="357" t="s">
        <v>335</v>
      </c>
      <c r="B9" s="358" t="s">
        <v>336</v>
      </c>
      <c r="C9" s="359" t="s">
        <v>337</v>
      </c>
      <c r="D9" s="359" t="s">
        <v>337</v>
      </c>
      <c r="E9" s="359"/>
      <c r="F9" s="359" t="s">
        <v>337</v>
      </c>
      <c r="G9" s="359" t="s">
        <v>337</v>
      </c>
      <c r="H9" s="359" t="s">
        <v>337</v>
      </c>
      <c r="I9" s="360" t="s">
        <v>337</v>
      </c>
      <c r="J9" s="361" t="s">
        <v>46</v>
      </c>
    </row>
    <row r="10" spans="1:10" ht="14.4" customHeight="1" x14ac:dyDescent="0.3">
      <c r="A10" s="357" t="s">
        <v>340</v>
      </c>
      <c r="B10" s="358" t="s">
        <v>341</v>
      </c>
      <c r="C10" s="359" t="s">
        <v>337</v>
      </c>
      <c r="D10" s="359" t="s">
        <v>337</v>
      </c>
      <c r="E10" s="359"/>
      <c r="F10" s="359" t="s">
        <v>337</v>
      </c>
      <c r="G10" s="359" t="s">
        <v>337</v>
      </c>
      <c r="H10" s="359" t="s">
        <v>337</v>
      </c>
      <c r="I10" s="360" t="s">
        <v>337</v>
      </c>
      <c r="J10" s="361" t="s">
        <v>0</v>
      </c>
    </row>
    <row r="11" spans="1:10" ht="14.4" customHeight="1" x14ac:dyDescent="0.3">
      <c r="A11" s="357" t="s">
        <v>340</v>
      </c>
      <c r="B11" s="358" t="s">
        <v>229</v>
      </c>
      <c r="C11" s="359">
        <v>0.56330000000000002</v>
      </c>
      <c r="D11" s="359">
        <v>0</v>
      </c>
      <c r="E11" s="359"/>
      <c r="F11" s="359">
        <v>0</v>
      </c>
      <c r="G11" s="359">
        <v>0.33333333333333331</v>
      </c>
      <c r="H11" s="359">
        <v>-0.33333333333333331</v>
      </c>
      <c r="I11" s="360">
        <v>0</v>
      </c>
      <c r="J11" s="361" t="s">
        <v>1</v>
      </c>
    </row>
    <row r="12" spans="1:10" ht="14.4" customHeight="1" x14ac:dyDescent="0.3">
      <c r="A12" s="357" t="s">
        <v>340</v>
      </c>
      <c r="B12" s="358" t="s">
        <v>342</v>
      </c>
      <c r="C12" s="359">
        <v>0.56330000000000002</v>
      </c>
      <c r="D12" s="359">
        <v>0</v>
      </c>
      <c r="E12" s="359"/>
      <c r="F12" s="359">
        <v>0</v>
      </c>
      <c r="G12" s="359">
        <v>0.33333333333333331</v>
      </c>
      <c r="H12" s="359">
        <v>-0.33333333333333331</v>
      </c>
      <c r="I12" s="360">
        <v>0</v>
      </c>
      <c r="J12" s="361" t="s">
        <v>343</v>
      </c>
    </row>
    <row r="13" spans="1:10" ht="14.4" customHeight="1" x14ac:dyDescent="0.3">
      <c r="A13" s="357" t="s">
        <v>337</v>
      </c>
      <c r="B13" s="358" t="s">
        <v>337</v>
      </c>
      <c r="C13" s="359" t="s">
        <v>337</v>
      </c>
      <c r="D13" s="359" t="s">
        <v>337</v>
      </c>
      <c r="E13" s="359"/>
      <c r="F13" s="359" t="s">
        <v>337</v>
      </c>
      <c r="G13" s="359" t="s">
        <v>337</v>
      </c>
      <c r="H13" s="359" t="s">
        <v>337</v>
      </c>
      <c r="I13" s="360" t="s">
        <v>337</v>
      </c>
      <c r="J13" s="361" t="s">
        <v>344</v>
      </c>
    </row>
    <row r="14" spans="1:10" ht="14.4" customHeight="1" x14ac:dyDescent="0.3">
      <c r="A14" s="357" t="s">
        <v>335</v>
      </c>
      <c r="B14" s="358" t="s">
        <v>338</v>
      </c>
      <c r="C14" s="359">
        <v>0.56330000000000002</v>
      </c>
      <c r="D14" s="359">
        <v>0</v>
      </c>
      <c r="E14" s="359"/>
      <c r="F14" s="359">
        <v>0</v>
      </c>
      <c r="G14" s="359">
        <v>0.33333333333333331</v>
      </c>
      <c r="H14" s="359">
        <v>-0.33333333333333331</v>
      </c>
      <c r="I14" s="360">
        <v>0</v>
      </c>
      <c r="J14" s="361" t="s">
        <v>339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3" t="s">
        <v>105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95" t="s">
        <v>222</v>
      </c>
      <c r="B2" s="176"/>
      <c r="C2" s="176"/>
      <c r="D2" s="176"/>
      <c r="E2" s="176"/>
      <c r="F2" s="176"/>
    </row>
    <row r="3" spans="1:10" ht="14.4" customHeight="1" thickBot="1" x14ac:dyDescent="0.35">
      <c r="A3" s="195"/>
      <c r="B3" s="176"/>
      <c r="C3" s="253">
        <v>2013</v>
      </c>
      <c r="D3" s="254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8" t="s">
        <v>0</v>
      </c>
      <c r="B4" s="259" t="s">
        <v>195</v>
      </c>
      <c r="C4" s="301" t="s">
        <v>50</v>
      </c>
      <c r="D4" s="302"/>
      <c r="E4" s="260"/>
      <c r="F4" s="255" t="s">
        <v>50</v>
      </c>
      <c r="G4" s="256" t="s">
        <v>51</v>
      </c>
      <c r="H4" s="256" t="s">
        <v>45</v>
      </c>
      <c r="I4" s="257" t="s">
        <v>52</v>
      </c>
    </row>
    <row r="5" spans="1:10" ht="14.4" customHeight="1" x14ac:dyDescent="0.3">
      <c r="A5" s="357" t="s">
        <v>335</v>
      </c>
      <c r="B5" s="358" t="s">
        <v>336</v>
      </c>
      <c r="C5" s="359" t="s">
        <v>337</v>
      </c>
      <c r="D5" s="359" t="s">
        <v>337</v>
      </c>
      <c r="E5" s="359"/>
      <c r="F5" s="359" t="s">
        <v>337</v>
      </c>
      <c r="G5" s="359" t="s">
        <v>337</v>
      </c>
      <c r="H5" s="359" t="s">
        <v>337</v>
      </c>
      <c r="I5" s="360" t="s">
        <v>337</v>
      </c>
      <c r="J5" s="361" t="s">
        <v>46</v>
      </c>
    </row>
    <row r="6" spans="1:10" ht="14.4" customHeight="1" x14ac:dyDescent="0.3">
      <c r="A6" s="357" t="s">
        <v>335</v>
      </c>
      <c r="B6" s="358" t="s">
        <v>231</v>
      </c>
      <c r="C6" s="359">
        <v>0.18515999999999999</v>
      </c>
      <c r="D6" s="359">
        <v>0</v>
      </c>
      <c r="E6" s="359"/>
      <c r="F6" s="359" t="s">
        <v>337</v>
      </c>
      <c r="G6" s="359" t="s">
        <v>337</v>
      </c>
      <c r="H6" s="359" t="s">
        <v>337</v>
      </c>
      <c r="I6" s="360" t="s">
        <v>337</v>
      </c>
      <c r="J6" s="361" t="s">
        <v>1</v>
      </c>
    </row>
    <row r="7" spans="1:10" ht="14.4" customHeight="1" x14ac:dyDescent="0.3">
      <c r="A7" s="357" t="s">
        <v>335</v>
      </c>
      <c r="B7" s="358" t="s">
        <v>232</v>
      </c>
      <c r="C7" s="359">
        <v>4.6379999999999998E-2</v>
      </c>
      <c r="D7" s="359">
        <v>0</v>
      </c>
      <c r="E7" s="359"/>
      <c r="F7" s="359" t="s">
        <v>337</v>
      </c>
      <c r="G7" s="359" t="s">
        <v>337</v>
      </c>
      <c r="H7" s="359" t="s">
        <v>337</v>
      </c>
      <c r="I7" s="360" t="s">
        <v>337</v>
      </c>
      <c r="J7" s="361" t="s">
        <v>1</v>
      </c>
    </row>
    <row r="8" spans="1:10" ht="14.4" customHeight="1" x14ac:dyDescent="0.3">
      <c r="A8" s="357" t="s">
        <v>335</v>
      </c>
      <c r="B8" s="358" t="s">
        <v>338</v>
      </c>
      <c r="C8" s="359">
        <v>0.23154</v>
      </c>
      <c r="D8" s="359">
        <v>0</v>
      </c>
      <c r="E8" s="359"/>
      <c r="F8" s="359" t="s">
        <v>337</v>
      </c>
      <c r="G8" s="359" t="s">
        <v>337</v>
      </c>
      <c r="H8" s="359" t="s">
        <v>337</v>
      </c>
      <c r="I8" s="360" t="s">
        <v>337</v>
      </c>
      <c r="J8" s="361" t="s">
        <v>339</v>
      </c>
    </row>
    <row r="10" spans="1:10" ht="14.4" customHeight="1" x14ac:dyDescent="0.3">
      <c r="A10" s="357" t="s">
        <v>335</v>
      </c>
      <c r="B10" s="358" t="s">
        <v>336</v>
      </c>
      <c r="C10" s="359" t="s">
        <v>337</v>
      </c>
      <c r="D10" s="359" t="s">
        <v>337</v>
      </c>
      <c r="E10" s="359"/>
      <c r="F10" s="359" t="s">
        <v>337</v>
      </c>
      <c r="G10" s="359" t="s">
        <v>337</v>
      </c>
      <c r="H10" s="359" t="s">
        <v>337</v>
      </c>
      <c r="I10" s="360" t="s">
        <v>337</v>
      </c>
      <c r="J10" s="361" t="s">
        <v>46</v>
      </c>
    </row>
    <row r="11" spans="1:10" ht="14.4" customHeight="1" x14ac:dyDescent="0.3">
      <c r="A11" s="357" t="s">
        <v>340</v>
      </c>
      <c r="B11" s="358" t="s">
        <v>341</v>
      </c>
      <c r="C11" s="359" t="s">
        <v>337</v>
      </c>
      <c r="D11" s="359" t="s">
        <v>337</v>
      </c>
      <c r="E11" s="359"/>
      <c r="F11" s="359" t="s">
        <v>337</v>
      </c>
      <c r="G11" s="359" t="s">
        <v>337</v>
      </c>
      <c r="H11" s="359" t="s">
        <v>337</v>
      </c>
      <c r="I11" s="360" t="s">
        <v>337</v>
      </c>
      <c r="J11" s="361" t="s">
        <v>0</v>
      </c>
    </row>
    <row r="12" spans="1:10" ht="14.4" customHeight="1" x14ac:dyDescent="0.3">
      <c r="A12" s="357" t="s">
        <v>340</v>
      </c>
      <c r="B12" s="358" t="s">
        <v>231</v>
      </c>
      <c r="C12" s="359">
        <v>0.18515999999999999</v>
      </c>
      <c r="D12" s="359">
        <v>0</v>
      </c>
      <c r="E12" s="359"/>
      <c r="F12" s="359" t="s">
        <v>337</v>
      </c>
      <c r="G12" s="359" t="s">
        <v>337</v>
      </c>
      <c r="H12" s="359" t="s">
        <v>337</v>
      </c>
      <c r="I12" s="360" t="s">
        <v>337</v>
      </c>
      <c r="J12" s="361" t="s">
        <v>1</v>
      </c>
    </row>
    <row r="13" spans="1:10" ht="14.4" customHeight="1" x14ac:dyDescent="0.3">
      <c r="A13" s="357" t="s">
        <v>340</v>
      </c>
      <c r="B13" s="358" t="s">
        <v>232</v>
      </c>
      <c r="C13" s="359">
        <v>4.6379999999999998E-2</v>
      </c>
      <c r="D13" s="359">
        <v>0</v>
      </c>
      <c r="E13" s="359"/>
      <c r="F13" s="359" t="s">
        <v>337</v>
      </c>
      <c r="G13" s="359" t="s">
        <v>337</v>
      </c>
      <c r="H13" s="359" t="s">
        <v>337</v>
      </c>
      <c r="I13" s="360" t="s">
        <v>337</v>
      </c>
      <c r="J13" s="361" t="s">
        <v>1</v>
      </c>
    </row>
    <row r="14" spans="1:10" ht="14.4" customHeight="1" x14ac:dyDescent="0.3">
      <c r="A14" s="357" t="s">
        <v>340</v>
      </c>
      <c r="B14" s="358" t="s">
        <v>342</v>
      </c>
      <c r="C14" s="359">
        <v>0.23154</v>
      </c>
      <c r="D14" s="359">
        <v>0</v>
      </c>
      <c r="E14" s="359"/>
      <c r="F14" s="359" t="s">
        <v>337</v>
      </c>
      <c r="G14" s="359" t="s">
        <v>337</v>
      </c>
      <c r="H14" s="359" t="s">
        <v>337</v>
      </c>
      <c r="I14" s="360" t="s">
        <v>337</v>
      </c>
      <c r="J14" s="361" t="s">
        <v>343</v>
      </c>
    </row>
    <row r="15" spans="1:10" ht="14.4" customHeight="1" x14ac:dyDescent="0.3">
      <c r="A15" s="357" t="s">
        <v>337</v>
      </c>
      <c r="B15" s="358" t="s">
        <v>337</v>
      </c>
      <c r="C15" s="359" t="s">
        <v>337</v>
      </c>
      <c r="D15" s="359" t="s">
        <v>337</v>
      </c>
      <c r="E15" s="359"/>
      <c r="F15" s="359" t="s">
        <v>337</v>
      </c>
      <c r="G15" s="359" t="s">
        <v>337</v>
      </c>
      <c r="H15" s="359" t="s">
        <v>337</v>
      </c>
      <c r="I15" s="360" t="s">
        <v>337</v>
      </c>
      <c r="J15" s="361" t="s">
        <v>344</v>
      </c>
    </row>
    <row r="16" spans="1:10" ht="14.4" customHeight="1" x14ac:dyDescent="0.3">
      <c r="A16" s="357" t="s">
        <v>335</v>
      </c>
      <c r="B16" s="358" t="s">
        <v>338</v>
      </c>
      <c r="C16" s="359">
        <v>0.23154</v>
      </c>
      <c r="D16" s="359">
        <v>0</v>
      </c>
      <c r="E16" s="359"/>
      <c r="F16" s="359" t="s">
        <v>337</v>
      </c>
      <c r="G16" s="359" t="s">
        <v>337</v>
      </c>
      <c r="H16" s="359" t="s">
        <v>337</v>
      </c>
      <c r="I16" s="360" t="s">
        <v>337</v>
      </c>
      <c r="J16" s="361" t="s">
        <v>339</v>
      </c>
    </row>
  </sheetData>
  <mergeCells count="3">
    <mergeCell ref="A1:I1"/>
    <mergeCell ref="F3:I3"/>
    <mergeCell ref="C4:D4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F5:I8 B5:D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7" width="13.109375" hidden="1" customWidth="1"/>
    <col min="18" max="18" width="13.109375" customWidth="1"/>
    <col min="19" max="30" width="13.109375" hidden="1" customWidth="1"/>
    <col min="31" max="31" width="13.109375" customWidth="1"/>
    <col min="32" max="33" width="13.109375" hidden="1" customWidth="1"/>
    <col min="34" max="34" width="13.109375" customWidth="1"/>
  </cols>
  <sheetData>
    <row r="1" spans="1:35" ht="18.600000000000001" thickBot="1" x14ac:dyDescent="0.4">
      <c r="A1" s="306" t="s">
        <v>83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</row>
    <row r="2" spans="1:35" ht="15" thickBot="1" x14ac:dyDescent="0.35">
      <c r="A2" s="195" t="s">
        <v>222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</row>
    <row r="3" spans="1:35" x14ac:dyDescent="0.3">
      <c r="A3" s="214" t="s">
        <v>156</v>
      </c>
      <c r="B3" s="307" t="s">
        <v>137</v>
      </c>
      <c r="C3" s="197">
        <v>0</v>
      </c>
      <c r="D3" s="198">
        <v>101</v>
      </c>
      <c r="E3" s="198">
        <v>102</v>
      </c>
      <c r="F3" s="217">
        <v>305</v>
      </c>
      <c r="G3" s="217">
        <v>306</v>
      </c>
      <c r="H3" s="217">
        <v>407</v>
      </c>
      <c r="I3" s="217">
        <v>408</v>
      </c>
      <c r="J3" s="217">
        <v>409</v>
      </c>
      <c r="K3" s="217">
        <v>410</v>
      </c>
      <c r="L3" s="217">
        <v>415</v>
      </c>
      <c r="M3" s="217">
        <v>416</v>
      </c>
      <c r="N3" s="217">
        <v>418</v>
      </c>
      <c r="O3" s="217">
        <v>419</v>
      </c>
      <c r="P3" s="217">
        <v>420</v>
      </c>
      <c r="Q3" s="217">
        <v>421</v>
      </c>
      <c r="R3" s="217">
        <v>522</v>
      </c>
      <c r="S3" s="217">
        <v>523</v>
      </c>
      <c r="T3" s="217">
        <v>524</v>
      </c>
      <c r="U3" s="217">
        <v>525</v>
      </c>
      <c r="V3" s="217">
        <v>526</v>
      </c>
      <c r="W3" s="217">
        <v>527</v>
      </c>
      <c r="X3" s="217">
        <v>528</v>
      </c>
      <c r="Y3" s="217">
        <v>629</v>
      </c>
      <c r="Z3" s="217">
        <v>630</v>
      </c>
      <c r="AA3" s="217">
        <v>636</v>
      </c>
      <c r="AB3" s="217">
        <v>637</v>
      </c>
      <c r="AC3" s="217">
        <v>640</v>
      </c>
      <c r="AD3" s="217">
        <v>642</v>
      </c>
      <c r="AE3" s="217">
        <v>743</v>
      </c>
      <c r="AF3" s="198">
        <v>745</v>
      </c>
      <c r="AG3" s="198">
        <v>746</v>
      </c>
      <c r="AH3" s="371">
        <v>930</v>
      </c>
      <c r="AI3" s="387"/>
    </row>
    <row r="4" spans="1:35" ht="36.6" outlineLevel="1" thickBot="1" x14ac:dyDescent="0.35">
      <c r="A4" s="215">
        <v>2015</v>
      </c>
      <c r="B4" s="308"/>
      <c r="C4" s="199" t="s">
        <v>138</v>
      </c>
      <c r="D4" s="200" t="s">
        <v>139</v>
      </c>
      <c r="E4" s="200" t="s">
        <v>140</v>
      </c>
      <c r="F4" s="218" t="s">
        <v>168</v>
      </c>
      <c r="G4" s="218" t="s">
        <v>169</v>
      </c>
      <c r="H4" s="218" t="s">
        <v>220</v>
      </c>
      <c r="I4" s="218" t="s">
        <v>170</v>
      </c>
      <c r="J4" s="218" t="s">
        <v>171</v>
      </c>
      <c r="K4" s="218" t="s">
        <v>172</v>
      </c>
      <c r="L4" s="218" t="s">
        <v>173</v>
      </c>
      <c r="M4" s="218" t="s">
        <v>174</v>
      </c>
      <c r="N4" s="218" t="s">
        <v>175</v>
      </c>
      <c r="O4" s="218" t="s">
        <v>176</v>
      </c>
      <c r="P4" s="218" t="s">
        <v>177</v>
      </c>
      <c r="Q4" s="218" t="s">
        <v>178</v>
      </c>
      <c r="R4" s="218" t="s">
        <v>179</v>
      </c>
      <c r="S4" s="218" t="s">
        <v>180</v>
      </c>
      <c r="T4" s="218" t="s">
        <v>181</v>
      </c>
      <c r="U4" s="218" t="s">
        <v>182</v>
      </c>
      <c r="V4" s="218" t="s">
        <v>183</v>
      </c>
      <c r="W4" s="218" t="s">
        <v>184</v>
      </c>
      <c r="X4" s="218" t="s">
        <v>193</v>
      </c>
      <c r="Y4" s="218" t="s">
        <v>185</v>
      </c>
      <c r="Z4" s="218" t="s">
        <v>194</v>
      </c>
      <c r="AA4" s="218" t="s">
        <v>186</v>
      </c>
      <c r="AB4" s="218" t="s">
        <v>187</v>
      </c>
      <c r="AC4" s="218" t="s">
        <v>188</v>
      </c>
      <c r="AD4" s="218" t="s">
        <v>189</v>
      </c>
      <c r="AE4" s="218" t="s">
        <v>190</v>
      </c>
      <c r="AF4" s="200" t="s">
        <v>191</v>
      </c>
      <c r="AG4" s="200" t="s">
        <v>192</v>
      </c>
      <c r="AH4" s="372" t="s">
        <v>158</v>
      </c>
      <c r="AI4" s="387"/>
    </row>
    <row r="5" spans="1:35" x14ac:dyDescent="0.3">
      <c r="A5" s="201" t="s">
        <v>141</v>
      </c>
      <c r="B5" s="237"/>
      <c r="C5" s="23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373"/>
      <c r="AI5" s="387"/>
    </row>
    <row r="6" spans="1:35" ht="15" collapsed="1" thickBot="1" x14ac:dyDescent="0.35">
      <c r="A6" s="202" t="s">
        <v>50</v>
      </c>
      <c r="B6" s="240">
        <f xml:space="preserve">
TRUNC(IF($A$4&lt;=12,SUMIFS('ON Data'!F:F,'ON Data'!$D:$D,$A$4,'ON Data'!$E:$E,1),SUMIFS('ON Data'!F:F,'ON Data'!$E:$E,1)/'ON Data'!$D$3),1)</f>
        <v>13.7</v>
      </c>
      <c r="C6" s="241">
        <f xml:space="preserve">
TRUNC(IF($A$4&lt;=12,SUMIFS('ON Data'!G:G,'ON Data'!$D:$D,$A$4,'ON Data'!$E:$E,1),SUMIFS('ON Data'!G:G,'ON Data'!$E:$E,1)/'ON Data'!$D$3),1)</f>
        <v>0</v>
      </c>
      <c r="D6" s="242">
        <f xml:space="preserve">
TRUNC(IF($A$4&lt;=12,SUMIFS('ON Data'!H:H,'ON Data'!$D:$D,$A$4,'ON Data'!$E:$E,1),SUMIFS('ON Data'!H:H,'ON Data'!$E:$E,1)/'ON Data'!$D$3),1)</f>
        <v>0</v>
      </c>
      <c r="E6" s="242">
        <f xml:space="preserve">
TRUNC(IF($A$4&lt;=12,SUMIFS('ON Data'!I:I,'ON Data'!$D:$D,$A$4,'ON Data'!$E:$E,1),SUMIFS('ON Data'!I:I,'ON Data'!$E:$E,1)/'ON Data'!$D$3),1)</f>
        <v>0</v>
      </c>
      <c r="F6" s="242">
        <f xml:space="preserve">
TRUNC(IF($A$4&lt;=12,SUMIFS('ON Data'!K:K,'ON Data'!$D:$D,$A$4,'ON Data'!$E:$E,1),SUMIFS('ON Data'!K:K,'ON Data'!$E:$E,1)/'ON Data'!$D$3),1)</f>
        <v>0</v>
      </c>
      <c r="G6" s="242">
        <f xml:space="preserve">
TRUNC(IF($A$4&lt;=12,SUMIFS('ON Data'!L:L,'ON Data'!$D:$D,$A$4,'ON Data'!$E:$E,1),SUMIFS('ON Data'!L:L,'ON Data'!$E:$E,1)/'ON Data'!$D$3),1)</f>
        <v>0</v>
      </c>
      <c r="H6" s="242">
        <f xml:space="preserve">
TRUNC(IF($A$4&lt;=12,SUMIFS('ON Data'!M:M,'ON Data'!$D:$D,$A$4,'ON Data'!$E:$E,1),SUMIFS('ON Data'!M:M,'ON Data'!$E:$E,1)/'ON Data'!$D$3),1)</f>
        <v>0</v>
      </c>
      <c r="I6" s="242">
        <f xml:space="preserve">
TRUNC(IF($A$4&lt;=12,SUMIFS('ON Data'!N:N,'ON Data'!$D:$D,$A$4,'ON Data'!$E:$E,1),SUMIFS('ON Data'!N:N,'ON Data'!$E:$E,1)/'ON Data'!$D$3),1)</f>
        <v>0</v>
      </c>
      <c r="J6" s="242">
        <f xml:space="preserve">
TRUNC(IF($A$4&lt;=12,SUMIFS('ON Data'!O:O,'ON Data'!$D:$D,$A$4,'ON Data'!$E:$E,1),SUMIFS('ON Data'!O:O,'ON Data'!$E:$E,1)/'ON Data'!$D$3),1)</f>
        <v>0</v>
      </c>
      <c r="K6" s="242">
        <f xml:space="preserve">
TRUNC(IF($A$4&lt;=12,SUMIFS('ON Data'!P:P,'ON Data'!$D:$D,$A$4,'ON Data'!$E:$E,1),SUMIFS('ON Data'!P:P,'ON Data'!$E:$E,1)/'ON Data'!$D$3),1)</f>
        <v>0</v>
      </c>
      <c r="L6" s="242">
        <f xml:space="preserve">
TRUNC(IF($A$4&lt;=12,SUMIFS('ON Data'!Q:Q,'ON Data'!$D:$D,$A$4,'ON Data'!$E:$E,1),SUMIFS('ON Data'!Q:Q,'ON Data'!$E:$E,1)/'ON Data'!$D$3),1)</f>
        <v>0</v>
      </c>
      <c r="M6" s="242">
        <f xml:space="preserve">
TRUNC(IF($A$4&lt;=12,SUMIFS('ON Data'!R:R,'ON Data'!$D:$D,$A$4,'ON Data'!$E:$E,1),SUMIFS('ON Data'!R:R,'ON Data'!$E:$E,1)/'ON Data'!$D$3),1)</f>
        <v>0</v>
      </c>
      <c r="N6" s="242">
        <f xml:space="preserve">
TRUNC(IF($A$4&lt;=12,SUMIFS('ON Data'!S:S,'ON Data'!$D:$D,$A$4,'ON Data'!$E:$E,1),SUMIFS('ON Data'!S:S,'ON Data'!$E:$E,1)/'ON Data'!$D$3),1)</f>
        <v>0</v>
      </c>
      <c r="O6" s="242">
        <f xml:space="preserve">
TRUNC(IF($A$4&lt;=12,SUMIFS('ON Data'!T:T,'ON Data'!$D:$D,$A$4,'ON Data'!$E:$E,1),SUMIFS('ON Data'!T:T,'ON Data'!$E:$E,1)/'ON Data'!$D$3),1)</f>
        <v>0</v>
      </c>
      <c r="P6" s="242">
        <f xml:space="preserve">
TRUNC(IF($A$4&lt;=12,SUMIFS('ON Data'!U:U,'ON Data'!$D:$D,$A$4,'ON Data'!$E:$E,1),SUMIFS('ON Data'!U:U,'ON Data'!$E:$E,1)/'ON Data'!$D$3),1)</f>
        <v>0</v>
      </c>
      <c r="Q6" s="242">
        <f xml:space="preserve">
TRUNC(IF($A$4&lt;=12,SUMIFS('ON Data'!V:V,'ON Data'!$D:$D,$A$4,'ON Data'!$E:$E,1),SUMIFS('ON Data'!V:V,'ON Data'!$E:$E,1)/'ON Data'!$D$3),1)</f>
        <v>0</v>
      </c>
      <c r="R6" s="242">
        <f xml:space="preserve">
TRUNC(IF($A$4&lt;=12,SUMIFS('ON Data'!W:W,'ON Data'!$D:$D,$A$4,'ON Data'!$E:$E,1),SUMIFS('ON Data'!W:W,'ON Data'!$E:$E,1)/'ON Data'!$D$3),1)</f>
        <v>9.1</v>
      </c>
      <c r="S6" s="242">
        <f xml:space="preserve">
TRUNC(IF($A$4&lt;=12,SUMIFS('ON Data'!X:X,'ON Data'!$D:$D,$A$4,'ON Data'!$E:$E,1),SUMIFS('ON Data'!X:X,'ON Data'!$E:$E,1)/'ON Data'!$D$3),1)</f>
        <v>0</v>
      </c>
      <c r="T6" s="242">
        <f xml:space="preserve">
TRUNC(IF($A$4&lt;=12,SUMIFS('ON Data'!Y:Y,'ON Data'!$D:$D,$A$4,'ON Data'!$E:$E,1),SUMIFS('ON Data'!Y:Y,'ON Data'!$E:$E,1)/'ON Data'!$D$3),1)</f>
        <v>0</v>
      </c>
      <c r="U6" s="242">
        <f xml:space="preserve">
TRUNC(IF($A$4&lt;=12,SUMIFS('ON Data'!Z:Z,'ON Data'!$D:$D,$A$4,'ON Data'!$E:$E,1),SUMIFS('ON Data'!Z:Z,'ON Data'!$E:$E,1)/'ON Data'!$D$3),1)</f>
        <v>0</v>
      </c>
      <c r="V6" s="242">
        <f xml:space="preserve">
TRUNC(IF($A$4&lt;=12,SUMIFS('ON Data'!AA:AA,'ON Data'!$D:$D,$A$4,'ON Data'!$E:$E,1),SUMIFS('ON Data'!AA:AA,'ON Data'!$E:$E,1)/'ON Data'!$D$3),1)</f>
        <v>0</v>
      </c>
      <c r="W6" s="242">
        <f xml:space="preserve">
TRUNC(IF($A$4&lt;=12,SUMIFS('ON Data'!AB:AB,'ON Data'!$D:$D,$A$4,'ON Data'!$E:$E,1),SUMIFS('ON Data'!AB:AB,'ON Data'!$E:$E,1)/'ON Data'!$D$3),1)</f>
        <v>0</v>
      </c>
      <c r="X6" s="242">
        <f xml:space="preserve">
TRUNC(IF($A$4&lt;=12,SUMIFS('ON Data'!AC:AC,'ON Data'!$D:$D,$A$4,'ON Data'!$E:$E,1),SUMIFS('ON Data'!AC:AC,'ON Data'!$E:$E,1)/'ON Data'!$D$3),1)</f>
        <v>0</v>
      </c>
      <c r="Y6" s="242">
        <f xml:space="preserve">
TRUNC(IF($A$4&lt;=12,SUMIFS('ON Data'!AD:AD,'ON Data'!$D:$D,$A$4,'ON Data'!$E:$E,1),SUMIFS('ON Data'!AD:AD,'ON Data'!$E:$E,1)/'ON Data'!$D$3),1)</f>
        <v>0</v>
      </c>
      <c r="Z6" s="242">
        <f xml:space="preserve">
TRUNC(IF($A$4&lt;=12,SUMIFS('ON Data'!AE:AE,'ON Data'!$D:$D,$A$4,'ON Data'!$E:$E,1),SUMIFS('ON Data'!AE:AE,'ON Data'!$E:$E,1)/'ON Data'!$D$3),1)</f>
        <v>0</v>
      </c>
      <c r="AA6" s="242">
        <f xml:space="preserve">
TRUNC(IF($A$4&lt;=12,SUMIFS('ON Data'!AF:AF,'ON Data'!$D:$D,$A$4,'ON Data'!$E:$E,1),SUMIFS('ON Data'!AF:AF,'ON Data'!$E:$E,1)/'ON Data'!$D$3),1)</f>
        <v>0</v>
      </c>
      <c r="AB6" s="242">
        <f xml:space="preserve">
TRUNC(IF($A$4&lt;=12,SUMIFS('ON Data'!AG:AG,'ON Data'!$D:$D,$A$4,'ON Data'!$E:$E,1),SUMIFS('ON Data'!AG:AG,'ON Data'!$E:$E,1)/'ON Data'!$D$3),1)</f>
        <v>0</v>
      </c>
      <c r="AC6" s="242">
        <f xml:space="preserve">
TRUNC(IF($A$4&lt;=12,SUMIFS('ON Data'!AH:AH,'ON Data'!$D:$D,$A$4,'ON Data'!$E:$E,1),SUMIFS('ON Data'!AH:AH,'ON Data'!$E:$E,1)/'ON Data'!$D$3),1)</f>
        <v>0</v>
      </c>
      <c r="AD6" s="242">
        <f xml:space="preserve">
TRUNC(IF($A$4&lt;=12,SUMIFS('ON Data'!AI:AI,'ON Data'!$D:$D,$A$4,'ON Data'!$E:$E,1),SUMIFS('ON Data'!AI:AI,'ON Data'!$E:$E,1)/'ON Data'!$D$3),1)</f>
        <v>0</v>
      </c>
      <c r="AE6" s="242">
        <f xml:space="preserve">
TRUNC(IF($A$4&lt;=12,SUMIFS('ON Data'!AJ:AJ,'ON Data'!$D:$D,$A$4,'ON Data'!$E:$E,1),SUMIFS('ON Data'!AJ:AJ,'ON Data'!$E:$E,1)/'ON Data'!$D$3),1)</f>
        <v>3.6</v>
      </c>
      <c r="AF6" s="242">
        <f xml:space="preserve">
TRUNC(IF($A$4&lt;=12,SUMIFS('ON Data'!AK:AK,'ON Data'!$D:$D,$A$4,'ON Data'!$E:$E,1),SUMIFS('ON Data'!AK:AK,'ON Data'!$E:$E,1)/'ON Data'!$D$3),1)</f>
        <v>0</v>
      </c>
      <c r="AG6" s="242">
        <f xml:space="preserve">
TRUNC(IF($A$4&lt;=12,SUMIFS('ON Data'!AL:AL,'ON Data'!$D:$D,$A$4,'ON Data'!$E:$E,1),SUMIFS('ON Data'!AL:AL,'ON Data'!$E:$E,1)/'ON Data'!$D$3),1)</f>
        <v>0</v>
      </c>
      <c r="AH6" s="374">
        <f xml:space="preserve">
TRUNC(IF($A$4&lt;=12,SUMIFS('ON Data'!AN:AN,'ON Data'!$D:$D,$A$4,'ON Data'!$E:$E,1),SUMIFS('ON Data'!AN:AN,'ON Data'!$E:$E,1)/'ON Data'!$D$3),1)</f>
        <v>1</v>
      </c>
      <c r="AI6" s="387"/>
    </row>
    <row r="7" spans="1:35" ht="15" hidden="1" outlineLevel="1" thickBot="1" x14ac:dyDescent="0.35">
      <c r="A7" s="202" t="s">
        <v>84</v>
      </c>
      <c r="B7" s="240"/>
      <c r="C7" s="243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374"/>
      <c r="AI7" s="387"/>
    </row>
    <row r="8" spans="1:35" ht="15" hidden="1" outlineLevel="1" thickBot="1" x14ac:dyDescent="0.35">
      <c r="A8" s="202" t="s">
        <v>52</v>
      </c>
      <c r="B8" s="240"/>
      <c r="C8" s="243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374"/>
      <c r="AI8" s="387"/>
    </row>
    <row r="9" spans="1:35" ht="15" hidden="1" outlineLevel="1" thickBot="1" x14ac:dyDescent="0.35">
      <c r="A9" s="203" t="s">
        <v>45</v>
      </c>
      <c r="B9" s="244"/>
      <c r="C9" s="245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375"/>
      <c r="AI9" s="387"/>
    </row>
    <row r="10" spans="1:35" x14ac:dyDescent="0.3">
      <c r="A10" s="204" t="s">
        <v>142</v>
      </c>
      <c r="B10" s="219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376"/>
      <c r="AI10" s="387"/>
    </row>
    <row r="11" spans="1:35" x14ac:dyDescent="0.3">
      <c r="A11" s="205" t="s">
        <v>143</v>
      </c>
      <c r="B11" s="222">
        <f xml:space="preserve">
IF($A$4&lt;=12,SUMIFS('ON Data'!F:F,'ON Data'!$D:$D,$A$4,'ON Data'!$E:$E,2),SUMIFS('ON Data'!F:F,'ON Data'!$E:$E,2))</f>
        <v>8823.2999999999993</v>
      </c>
      <c r="C11" s="223">
        <f xml:space="preserve">
IF($A$4&lt;=12,SUMIFS('ON Data'!G:G,'ON Data'!$D:$D,$A$4,'ON Data'!$E:$E,2),SUMIFS('ON Data'!G:G,'ON Data'!$E:$E,2))</f>
        <v>0</v>
      </c>
      <c r="D11" s="224">
        <f xml:space="preserve">
IF($A$4&lt;=12,SUMIFS('ON Data'!H:H,'ON Data'!$D:$D,$A$4,'ON Data'!$E:$E,2),SUMIFS('ON Data'!H:H,'ON Data'!$E:$E,2))</f>
        <v>0</v>
      </c>
      <c r="E11" s="224">
        <f xml:space="preserve">
IF($A$4&lt;=12,SUMIFS('ON Data'!I:I,'ON Data'!$D:$D,$A$4,'ON Data'!$E:$E,2),SUMIFS('ON Data'!I:I,'ON Data'!$E:$E,2))</f>
        <v>0</v>
      </c>
      <c r="F11" s="224">
        <f xml:space="preserve">
IF($A$4&lt;=12,SUMIFS('ON Data'!K:K,'ON Data'!$D:$D,$A$4,'ON Data'!$E:$E,2),SUMIFS('ON Data'!K:K,'ON Data'!$E:$E,2))</f>
        <v>0</v>
      </c>
      <c r="G11" s="224">
        <f xml:space="preserve">
IF($A$4&lt;=12,SUMIFS('ON Data'!L:L,'ON Data'!$D:$D,$A$4,'ON Data'!$E:$E,2),SUMIFS('ON Data'!L:L,'ON Data'!$E:$E,2))</f>
        <v>0</v>
      </c>
      <c r="H11" s="224">
        <f xml:space="preserve">
IF($A$4&lt;=12,SUMIFS('ON Data'!M:M,'ON Data'!$D:$D,$A$4,'ON Data'!$E:$E,2),SUMIFS('ON Data'!M:M,'ON Data'!$E:$E,2))</f>
        <v>0</v>
      </c>
      <c r="I11" s="224">
        <f xml:space="preserve">
IF($A$4&lt;=12,SUMIFS('ON Data'!N:N,'ON Data'!$D:$D,$A$4,'ON Data'!$E:$E,2),SUMIFS('ON Data'!N:N,'ON Data'!$E:$E,2))</f>
        <v>0</v>
      </c>
      <c r="J11" s="224">
        <f xml:space="preserve">
IF($A$4&lt;=12,SUMIFS('ON Data'!O:O,'ON Data'!$D:$D,$A$4,'ON Data'!$E:$E,2),SUMIFS('ON Data'!O:O,'ON Data'!$E:$E,2))</f>
        <v>0</v>
      </c>
      <c r="K11" s="224">
        <f xml:space="preserve">
IF($A$4&lt;=12,SUMIFS('ON Data'!P:P,'ON Data'!$D:$D,$A$4,'ON Data'!$E:$E,2),SUMIFS('ON Data'!P:P,'ON Data'!$E:$E,2))</f>
        <v>0</v>
      </c>
      <c r="L11" s="224">
        <f xml:space="preserve">
IF($A$4&lt;=12,SUMIFS('ON Data'!Q:Q,'ON Data'!$D:$D,$A$4,'ON Data'!$E:$E,2),SUMIFS('ON Data'!Q:Q,'ON Data'!$E:$E,2))</f>
        <v>0</v>
      </c>
      <c r="M11" s="224">
        <f xml:space="preserve">
IF($A$4&lt;=12,SUMIFS('ON Data'!R:R,'ON Data'!$D:$D,$A$4,'ON Data'!$E:$E,2),SUMIFS('ON Data'!R:R,'ON Data'!$E:$E,2))</f>
        <v>0</v>
      </c>
      <c r="N11" s="224">
        <f xml:space="preserve">
IF($A$4&lt;=12,SUMIFS('ON Data'!S:S,'ON Data'!$D:$D,$A$4,'ON Data'!$E:$E,2),SUMIFS('ON Data'!S:S,'ON Data'!$E:$E,2))</f>
        <v>0</v>
      </c>
      <c r="O11" s="224">
        <f xml:space="preserve">
IF($A$4&lt;=12,SUMIFS('ON Data'!T:T,'ON Data'!$D:$D,$A$4,'ON Data'!$E:$E,2),SUMIFS('ON Data'!T:T,'ON Data'!$E:$E,2))</f>
        <v>0</v>
      </c>
      <c r="P11" s="224">
        <f xml:space="preserve">
IF($A$4&lt;=12,SUMIFS('ON Data'!U:U,'ON Data'!$D:$D,$A$4,'ON Data'!$E:$E,2),SUMIFS('ON Data'!U:U,'ON Data'!$E:$E,2))</f>
        <v>0</v>
      </c>
      <c r="Q11" s="224">
        <f xml:space="preserve">
IF($A$4&lt;=12,SUMIFS('ON Data'!V:V,'ON Data'!$D:$D,$A$4,'ON Data'!$E:$E,2),SUMIFS('ON Data'!V:V,'ON Data'!$E:$E,2))</f>
        <v>0</v>
      </c>
      <c r="R11" s="224">
        <f xml:space="preserve">
IF($A$4&lt;=12,SUMIFS('ON Data'!W:W,'ON Data'!$D:$D,$A$4,'ON Data'!$E:$E,2),SUMIFS('ON Data'!W:W,'ON Data'!$E:$E,2))</f>
        <v>5737.5</v>
      </c>
      <c r="S11" s="224">
        <f xml:space="preserve">
IF($A$4&lt;=12,SUMIFS('ON Data'!X:X,'ON Data'!$D:$D,$A$4,'ON Data'!$E:$E,2),SUMIFS('ON Data'!X:X,'ON Data'!$E:$E,2))</f>
        <v>0</v>
      </c>
      <c r="T11" s="224">
        <f xml:space="preserve">
IF($A$4&lt;=12,SUMIFS('ON Data'!Y:Y,'ON Data'!$D:$D,$A$4,'ON Data'!$E:$E,2),SUMIFS('ON Data'!Y:Y,'ON Data'!$E:$E,2))</f>
        <v>0</v>
      </c>
      <c r="U11" s="224">
        <f xml:space="preserve">
IF($A$4&lt;=12,SUMIFS('ON Data'!Z:Z,'ON Data'!$D:$D,$A$4,'ON Data'!$E:$E,2),SUMIFS('ON Data'!Z:Z,'ON Data'!$E:$E,2))</f>
        <v>0</v>
      </c>
      <c r="V11" s="224">
        <f xml:space="preserve">
IF($A$4&lt;=12,SUMIFS('ON Data'!AA:AA,'ON Data'!$D:$D,$A$4,'ON Data'!$E:$E,2),SUMIFS('ON Data'!AA:AA,'ON Data'!$E:$E,2))</f>
        <v>0</v>
      </c>
      <c r="W11" s="224">
        <f xml:space="preserve">
IF($A$4&lt;=12,SUMIFS('ON Data'!AB:AB,'ON Data'!$D:$D,$A$4,'ON Data'!$E:$E,2),SUMIFS('ON Data'!AB:AB,'ON Data'!$E:$E,2))</f>
        <v>0</v>
      </c>
      <c r="X11" s="224">
        <f xml:space="preserve">
IF($A$4&lt;=12,SUMIFS('ON Data'!AC:AC,'ON Data'!$D:$D,$A$4,'ON Data'!$E:$E,2),SUMIFS('ON Data'!AC:AC,'ON Data'!$E:$E,2))</f>
        <v>0</v>
      </c>
      <c r="Y11" s="224">
        <f xml:space="preserve">
IF($A$4&lt;=12,SUMIFS('ON Data'!AD:AD,'ON Data'!$D:$D,$A$4,'ON Data'!$E:$E,2),SUMIFS('ON Data'!AD:AD,'ON Data'!$E:$E,2))</f>
        <v>0</v>
      </c>
      <c r="Z11" s="224">
        <f xml:space="preserve">
IF($A$4&lt;=12,SUMIFS('ON Data'!AE:AE,'ON Data'!$D:$D,$A$4,'ON Data'!$E:$E,2),SUMIFS('ON Data'!AE:AE,'ON Data'!$E:$E,2))</f>
        <v>0</v>
      </c>
      <c r="AA11" s="224">
        <f xml:space="preserve">
IF($A$4&lt;=12,SUMIFS('ON Data'!AF:AF,'ON Data'!$D:$D,$A$4,'ON Data'!$E:$E,2),SUMIFS('ON Data'!AF:AF,'ON Data'!$E:$E,2))</f>
        <v>0</v>
      </c>
      <c r="AB11" s="224">
        <f xml:space="preserve">
IF($A$4&lt;=12,SUMIFS('ON Data'!AG:AG,'ON Data'!$D:$D,$A$4,'ON Data'!$E:$E,2),SUMIFS('ON Data'!AG:AG,'ON Data'!$E:$E,2))</f>
        <v>0</v>
      </c>
      <c r="AC11" s="224">
        <f xml:space="preserve">
IF($A$4&lt;=12,SUMIFS('ON Data'!AH:AH,'ON Data'!$D:$D,$A$4,'ON Data'!$E:$E,2),SUMIFS('ON Data'!AH:AH,'ON Data'!$E:$E,2))</f>
        <v>0</v>
      </c>
      <c r="AD11" s="224">
        <f xml:space="preserve">
IF($A$4&lt;=12,SUMIFS('ON Data'!AI:AI,'ON Data'!$D:$D,$A$4,'ON Data'!$E:$E,2),SUMIFS('ON Data'!AI:AI,'ON Data'!$E:$E,2))</f>
        <v>0</v>
      </c>
      <c r="AE11" s="224">
        <f xml:space="preserve">
IF($A$4&lt;=12,SUMIFS('ON Data'!AJ:AJ,'ON Data'!$D:$D,$A$4,'ON Data'!$E:$E,2),SUMIFS('ON Data'!AJ:AJ,'ON Data'!$E:$E,2))</f>
        <v>2384.8000000000002</v>
      </c>
      <c r="AF11" s="224">
        <f xml:space="preserve">
IF($A$4&lt;=12,SUMIFS('ON Data'!AK:AK,'ON Data'!$D:$D,$A$4,'ON Data'!$E:$E,2),SUMIFS('ON Data'!AK:AK,'ON Data'!$E:$E,2))</f>
        <v>0</v>
      </c>
      <c r="AG11" s="224">
        <f xml:space="preserve">
IF($A$4&lt;=12,SUMIFS('ON Data'!AL:AL,'ON Data'!$D:$D,$A$4,'ON Data'!$E:$E,2),SUMIFS('ON Data'!AL:AL,'ON Data'!$E:$E,2))</f>
        <v>0</v>
      </c>
      <c r="AH11" s="377">
        <f xml:space="preserve">
IF($A$4&lt;=12,SUMIFS('ON Data'!AN:AN,'ON Data'!$D:$D,$A$4,'ON Data'!$E:$E,2),SUMIFS('ON Data'!AN:AN,'ON Data'!$E:$E,2))</f>
        <v>701</v>
      </c>
      <c r="AI11" s="387"/>
    </row>
    <row r="12" spans="1:35" x14ac:dyDescent="0.3">
      <c r="A12" s="205" t="s">
        <v>144</v>
      </c>
      <c r="B12" s="222">
        <f xml:space="preserve">
IF($A$4&lt;=12,SUMIFS('ON Data'!F:F,'ON Data'!$D:$D,$A$4,'ON Data'!$E:$E,3),SUMIFS('ON Data'!F:F,'ON Data'!$E:$E,3))</f>
        <v>0</v>
      </c>
      <c r="C12" s="223">
        <f xml:space="preserve">
IF($A$4&lt;=12,SUMIFS('ON Data'!G:G,'ON Data'!$D:$D,$A$4,'ON Data'!$E:$E,3),SUMIFS('ON Data'!G:G,'ON Data'!$E:$E,3))</f>
        <v>0</v>
      </c>
      <c r="D12" s="224">
        <f xml:space="preserve">
IF($A$4&lt;=12,SUMIFS('ON Data'!H:H,'ON Data'!$D:$D,$A$4,'ON Data'!$E:$E,3),SUMIFS('ON Data'!H:H,'ON Data'!$E:$E,3))</f>
        <v>0</v>
      </c>
      <c r="E12" s="224">
        <f xml:space="preserve">
IF($A$4&lt;=12,SUMIFS('ON Data'!I:I,'ON Data'!$D:$D,$A$4,'ON Data'!$E:$E,3),SUMIFS('ON Data'!I:I,'ON Data'!$E:$E,3))</f>
        <v>0</v>
      </c>
      <c r="F12" s="224">
        <f xml:space="preserve">
IF($A$4&lt;=12,SUMIFS('ON Data'!K:K,'ON Data'!$D:$D,$A$4,'ON Data'!$E:$E,3),SUMIFS('ON Data'!K:K,'ON Data'!$E:$E,3))</f>
        <v>0</v>
      </c>
      <c r="G12" s="224">
        <f xml:space="preserve">
IF($A$4&lt;=12,SUMIFS('ON Data'!L:L,'ON Data'!$D:$D,$A$4,'ON Data'!$E:$E,3),SUMIFS('ON Data'!L:L,'ON Data'!$E:$E,3))</f>
        <v>0</v>
      </c>
      <c r="H12" s="224">
        <f xml:space="preserve">
IF($A$4&lt;=12,SUMIFS('ON Data'!M:M,'ON Data'!$D:$D,$A$4,'ON Data'!$E:$E,3),SUMIFS('ON Data'!M:M,'ON Data'!$E:$E,3))</f>
        <v>0</v>
      </c>
      <c r="I12" s="224">
        <f xml:space="preserve">
IF($A$4&lt;=12,SUMIFS('ON Data'!N:N,'ON Data'!$D:$D,$A$4,'ON Data'!$E:$E,3),SUMIFS('ON Data'!N:N,'ON Data'!$E:$E,3))</f>
        <v>0</v>
      </c>
      <c r="J12" s="224">
        <f xml:space="preserve">
IF($A$4&lt;=12,SUMIFS('ON Data'!O:O,'ON Data'!$D:$D,$A$4,'ON Data'!$E:$E,3),SUMIFS('ON Data'!O:O,'ON Data'!$E:$E,3))</f>
        <v>0</v>
      </c>
      <c r="K12" s="224">
        <f xml:space="preserve">
IF($A$4&lt;=12,SUMIFS('ON Data'!P:P,'ON Data'!$D:$D,$A$4,'ON Data'!$E:$E,3),SUMIFS('ON Data'!P:P,'ON Data'!$E:$E,3))</f>
        <v>0</v>
      </c>
      <c r="L12" s="224">
        <f xml:space="preserve">
IF($A$4&lt;=12,SUMIFS('ON Data'!Q:Q,'ON Data'!$D:$D,$A$4,'ON Data'!$E:$E,3),SUMIFS('ON Data'!Q:Q,'ON Data'!$E:$E,3))</f>
        <v>0</v>
      </c>
      <c r="M12" s="224">
        <f xml:space="preserve">
IF($A$4&lt;=12,SUMIFS('ON Data'!R:R,'ON Data'!$D:$D,$A$4,'ON Data'!$E:$E,3),SUMIFS('ON Data'!R:R,'ON Data'!$E:$E,3))</f>
        <v>0</v>
      </c>
      <c r="N12" s="224">
        <f xml:space="preserve">
IF($A$4&lt;=12,SUMIFS('ON Data'!S:S,'ON Data'!$D:$D,$A$4,'ON Data'!$E:$E,3),SUMIFS('ON Data'!S:S,'ON Data'!$E:$E,3))</f>
        <v>0</v>
      </c>
      <c r="O12" s="224">
        <f xml:space="preserve">
IF($A$4&lt;=12,SUMIFS('ON Data'!T:T,'ON Data'!$D:$D,$A$4,'ON Data'!$E:$E,3),SUMIFS('ON Data'!T:T,'ON Data'!$E:$E,3))</f>
        <v>0</v>
      </c>
      <c r="P12" s="224">
        <f xml:space="preserve">
IF($A$4&lt;=12,SUMIFS('ON Data'!U:U,'ON Data'!$D:$D,$A$4,'ON Data'!$E:$E,3),SUMIFS('ON Data'!U:U,'ON Data'!$E:$E,3))</f>
        <v>0</v>
      </c>
      <c r="Q12" s="224">
        <f xml:space="preserve">
IF($A$4&lt;=12,SUMIFS('ON Data'!V:V,'ON Data'!$D:$D,$A$4,'ON Data'!$E:$E,3),SUMIFS('ON Data'!V:V,'ON Data'!$E:$E,3))</f>
        <v>0</v>
      </c>
      <c r="R12" s="224">
        <f xml:space="preserve">
IF($A$4&lt;=12,SUMIFS('ON Data'!W:W,'ON Data'!$D:$D,$A$4,'ON Data'!$E:$E,3),SUMIFS('ON Data'!W:W,'ON Data'!$E:$E,3))</f>
        <v>0</v>
      </c>
      <c r="S12" s="224">
        <f xml:space="preserve">
IF($A$4&lt;=12,SUMIFS('ON Data'!X:X,'ON Data'!$D:$D,$A$4,'ON Data'!$E:$E,3),SUMIFS('ON Data'!X:X,'ON Data'!$E:$E,3))</f>
        <v>0</v>
      </c>
      <c r="T12" s="224">
        <f xml:space="preserve">
IF($A$4&lt;=12,SUMIFS('ON Data'!Y:Y,'ON Data'!$D:$D,$A$4,'ON Data'!$E:$E,3),SUMIFS('ON Data'!Y:Y,'ON Data'!$E:$E,3))</f>
        <v>0</v>
      </c>
      <c r="U12" s="224">
        <f xml:space="preserve">
IF($A$4&lt;=12,SUMIFS('ON Data'!Z:Z,'ON Data'!$D:$D,$A$4,'ON Data'!$E:$E,3),SUMIFS('ON Data'!Z:Z,'ON Data'!$E:$E,3))</f>
        <v>0</v>
      </c>
      <c r="V12" s="224">
        <f xml:space="preserve">
IF($A$4&lt;=12,SUMIFS('ON Data'!AA:AA,'ON Data'!$D:$D,$A$4,'ON Data'!$E:$E,3),SUMIFS('ON Data'!AA:AA,'ON Data'!$E:$E,3))</f>
        <v>0</v>
      </c>
      <c r="W12" s="224">
        <f xml:space="preserve">
IF($A$4&lt;=12,SUMIFS('ON Data'!AB:AB,'ON Data'!$D:$D,$A$4,'ON Data'!$E:$E,3),SUMIFS('ON Data'!AB:AB,'ON Data'!$E:$E,3))</f>
        <v>0</v>
      </c>
      <c r="X12" s="224">
        <f xml:space="preserve">
IF($A$4&lt;=12,SUMIFS('ON Data'!AC:AC,'ON Data'!$D:$D,$A$4,'ON Data'!$E:$E,3),SUMIFS('ON Data'!AC:AC,'ON Data'!$E:$E,3))</f>
        <v>0</v>
      </c>
      <c r="Y12" s="224">
        <f xml:space="preserve">
IF($A$4&lt;=12,SUMIFS('ON Data'!AD:AD,'ON Data'!$D:$D,$A$4,'ON Data'!$E:$E,3),SUMIFS('ON Data'!AD:AD,'ON Data'!$E:$E,3))</f>
        <v>0</v>
      </c>
      <c r="Z12" s="224">
        <f xml:space="preserve">
IF($A$4&lt;=12,SUMIFS('ON Data'!AE:AE,'ON Data'!$D:$D,$A$4,'ON Data'!$E:$E,3),SUMIFS('ON Data'!AE:AE,'ON Data'!$E:$E,3))</f>
        <v>0</v>
      </c>
      <c r="AA12" s="224">
        <f xml:space="preserve">
IF($A$4&lt;=12,SUMIFS('ON Data'!AF:AF,'ON Data'!$D:$D,$A$4,'ON Data'!$E:$E,3),SUMIFS('ON Data'!AF:AF,'ON Data'!$E:$E,3))</f>
        <v>0</v>
      </c>
      <c r="AB12" s="224">
        <f xml:space="preserve">
IF($A$4&lt;=12,SUMIFS('ON Data'!AG:AG,'ON Data'!$D:$D,$A$4,'ON Data'!$E:$E,3),SUMIFS('ON Data'!AG:AG,'ON Data'!$E:$E,3))</f>
        <v>0</v>
      </c>
      <c r="AC12" s="224">
        <f xml:space="preserve">
IF($A$4&lt;=12,SUMIFS('ON Data'!AH:AH,'ON Data'!$D:$D,$A$4,'ON Data'!$E:$E,3),SUMIFS('ON Data'!AH:AH,'ON Data'!$E:$E,3))</f>
        <v>0</v>
      </c>
      <c r="AD12" s="224">
        <f xml:space="preserve">
IF($A$4&lt;=12,SUMIFS('ON Data'!AI:AI,'ON Data'!$D:$D,$A$4,'ON Data'!$E:$E,3),SUMIFS('ON Data'!AI:AI,'ON Data'!$E:$E,3))</f>
        <v>0</v>
      </c>
      <c r="AE12" s="224">
        <f xml:space="preserve">
IF($A$4&lt;=12,SUMIFS('ON Data'!AJ:AJ,'ON Data'!$D:$D,$A$4,'ON Data'!$E:$E,3),SUMIFS('ON Data'!AJ:AJ,'ON Data'!$E:$E,3))</f>
        <v>0</v>
      </c>
      <c r="AF12" s="224">
        <f xml:space="preserve">
IF($A$4&lt;=12,SUMIFS('ON Data'!AK:AK,'ON Data'!$D:$D,$A$4,'ON Data'!$E:$E,3),SUMIFS('ON Data'!AK:AK,'ON Data'!$E:$E,3))</f>
        <v>0</v>
      </c>
      <c r="AG12" s="224">
        <f xml:space="preserve">
IF($A$4&lt;=12,SUMIFS('ON Data'!AL:AL,'ON Data'!$D:$D,$A$4,'ON Data'!$E:$E,3),SUMIFS('ON Data'!AL:AL,'ON Data'!$E:$E,3))</f>
        <v>0</v>
      </c>
      <c r="AH12" s="377">
        <f xml:space="preserve">
IF($A$4&lt;=12,SUMIFS('ON Data'!AN:AN,'ON Data'!$D:$D,$A$4,'ON Data'!$E:$E,3),SUMIFS('ON Data'!AN:AN,'ON Data'!$E:$E,3))</f>
        <v>0</v>
      </c>
      <c r="AI12" s="387"/>
    </row>
    <row r="13" spans="1:35" x14ac:dyDescent="0.3">
      <c r="A13" s="205" t="s">
        <v>151</v>
      </c>
      <c r="B13" s="222">
        <f xml:space="preserve">
IF($A$4&lt;=12,SUMIFS('ON Data'!F:F,'ON Data'!$D:$D,$A$4,'ON Data'!$E:$E,4),SUMIFS('ON Data'!F:F,'ON Data'!$E:$E,4))</f>
        <v>0</v>
      </c>
      <c r="C13" s="223">
        <f xml:space="preserve">
IF($A$4&lt;=12,SUMIFS('ON Data'!G:G,'ON Data'!$D:$D,$A$4,'ON Data'!$E:$E,4),SUMIFS('ON Data'!G:G,'ON Data'!$E:$E,4))</f>
        <v>0</v>
      </c>
      <c r="D13" s="224">
        <f xml:space="preserve">
IF($A$4&lt;=12,SUMIFS('ON Data'!H:H,'ON Data'!$D:$D,$A$4,'ON Data'!$E:$E,4),SUMIFS('ON Data'!H:H,'ON Data'!$E:$E,4))</f>
        <v>0</v>
      </c>
      <c r="E13" s="224">
        <f xml:space="preserve">
IF($A$4&lt;=12,SUMIFS('ON Data'!I:I,'ON Data'!$D:$D,$A$4,'ON Data'!$E:$E,4),SUMIFS('ON Data'!I:I,'ON Data'!$E:$E,4))</f>
        <v>0</v>
      </c>
      <c r="F13" s="224">
        <f xml:space="preserve">
IF($A$4&lt;=12,SUMIFS('ON Data'!K:K,'ON Data'!$D:$D,$A$4,'ON Data'!$E:$E,4),SUMIFS('ON Data'!K:K,'ON Data'!$E:$E,4))</f>
        <v>0</v>
      </c>
      <c r="G13" s="224">
        <f xml:space="preserve">
IF($A$4&lt;=12,SUMIFS('ON Data'!L:L,'ON Data'!$D:$D,$A$4,'ON Data'!$E:$E,4),SUMIFS('ON Data'!L:L,'ON Data'!$E:$E,4))</f>
        <v>0</v>
      </c>
      <c r="H13" s="224">
        <f xml:space="preserve">
IF($A$4&lt;=12,SUMIFS('ON Data'!M:M,'ON Data'!$D:$D,$A$4,'ON Data'!$E:$E,4),SUMIFS('ON Data'!M:M,'ON Data'!$E:$E,4))</f>
        <v>0</v>
      </c>
      <c r="I13" s="224">
        <f xml:space="preserve">
IF($A$4&lt;=12,SUMIFS('ON Data'!N:N,'ON Data'!$D:$D,$A$4,'ON Data'!$E:$E,4),SUMIFS('ON Data'!N:N,'ON Data'!$E:$E,4))</f>
        <v>0</v>
      </c>
      <c r="J13" s="224">
        <f xml:space="preserve">
IF($A$4&lt;=12,SUMIFS('ON Data'!O:O,'ON Data'!$D:$D,$A$4,'ON Data'!$E:$E,4),SUMIFS('ON Data'!O:O,'ON Data'!$E:$E,4))</f>
        <v>0</v>
      </c>
      <c r="K13" s="224">
        <f xml:space="preserve">
IF($A$4&lt;=12,SUMIFS('ON Data'!P:P,'ON Data'!$D:$D,$A$4,'ON Data'!$E:$E,4),SUMIFS('ON Data'!P:P,'ON Data'!$E:$E,4))</f>
        <v>0</v>
      </c>
      <c r="L13" s="224">
        <f xml:space="preserve">
IF($A$4&lt;=12,SUMIFS('ON Data'!Q:Q,'ON Data'!$D:$D,$A$4,'ON Data'!$E:$E,4),SUMIFS('ON Data'!Q:Q,'ON Data'!$E:$E,4))</f>
        <v>0</v>
      </c>
      <c r="M13" s="224">
        <f xml:space="preserve">
IF($A$4&lt;=12,SUMIFS('ON Data'!R:R,'ON Data'!$D:$D,$A$4,'ON Data'!$E:$E,4),SUMIFS('ON Data'!R:R,'ON Data'!$E:$E,4))</f>
        <v>0</v>
      </c>
      <c r="N13" s="224">
        <f xml:space="preserve">
IF($A$4&lt;=12,SUMIFS('ON Data'!S:S,'ON Data'!$D:$D,$A$4,'ON Data'!$E:$E,4),SUMIFS('ON Data'!S:S,'ON Data'!$E:$E,4))</f>
        <v>0</v>
      </c>
      <c r="O13" s="224">
        <f xml:space="preserve">
IF($A$4&lt;=12,SUMIFS('ON Data'!T:T,'ON Data'!$D:$D,$A$4,'ON Data'!$E:$E,4),SUMIFS('ON Data'!T:T,'ON Data'!$E:$E,4))</f>
        <v>0</v>
      </c>
      <c r="P13" s="224">
        <f xml:space="preserve">
IF($A$4&lt;=12,SUMIFS('ON Data'!U:U,'ON Data'!$D:$D,$A$4,'ON Data'!$E:$E,4),SUMIFS('ON Data'!U:U,'ON Data'!$E:$E,4))</f>
        <v>0</v>
      </c>
      <c r="Q13" s="224">
        <f xml:space="preserve">
IF($A$4&lt;=12,SUMIFS('ON Data'!V:V,'ON Data'!$D:$D,$A$4,'ON Data'!$E:$E,4),SUMIFS('ON Data'!V:V,'ON Data'!$E:$E,4))</f>
        <v>0</v>
      </c>
      <c r="R13" s="224">
        <f xml:space="preserve">
IF($A$4&lt;=12,SUMIFS('ON Data'!W:W,'ON Data'!$D:$D,$A$4,'ON Data'!$E:$E,4),SUMIFS('ON Data'!W:W,'ON Data'!$E:$E,4))</f>
        <v>0</v>
      </c>
      <c r="S13" s="224">
        <f xml:space="preserve">
IF($A$4&lt;=12,SUMIFS('ON Data'!X:X,'ON Data'!$D:$D,$A$4,'ON Data'!$E:$E,4),SUMIFS('ON Data'!X:X,'ON Data'!$E:$E,4))</f>
        <v>0</v>
      </c>
      <c r="T13" s="224">
        <f xml:space="preserve">
IF($A$4&lt;=12,SUMIFS('ON Data'!Y:Y,'ON Data'!$D:$D,$A$4,'ON Data'!$E:$E,4),SUMIFS('ON Data'!Y:Y,'ON Data'!$E:$E,4))</f>
        <v>0</v>
      </c>
      <c r="U13" s="224">
        <f xml:space="preserve">
IF($A$4&lt;=12,SUMIFS('ON Data'!Z:Z,'ON Data'!$D:$D,$A$4,'ON Data'!$E:$E,4),SUMIFS('ON Data'!Z:Z,'ON Data'!$E:$E,4))</f>
        <v>0</v>
      </c>
      <c r="V13" s="224">
        <f xml:space="preserve">
IF($A$4&lt;=12,SUMIFS('ON Data'!AA:AA,'ON Data'!$D:$D,$A$4,'ON Data'!$E:$E,4),SUMIFS('ON Data'!AA:AA,'ON Data'!$E:$E,4))</f>
        <v>0</v>
      </c>
      <c r="W13" s="224">
        <f xml:space="preserve">
IF($A$4&lt;=12,SUMIFS('ON Data'!AB:AB,'ON Data'!$D:$D,$A$4,'ON Data'!$E:$E,4),SUMIFS('ON Data'!AB:AB,'ON Data'!$E:$E,4))</f>
        <v>0</v>
      </c>
      <c r="X13" s="224">
        <f xml:space="preserve">
IF($A$4&lt;=12,SUMIFS('ON Data'!AC:AC,'ON Data'!$D:$D,$A$4,'ON Data'!$E:$E,4),SUMIFS('ON Data'!AC:AC,'ON Data'!$E:$E,4))</f>
        <v>0</v>
      </c>
      <c r="Y13" s="224">
        <f xml:space="preserve">
IF($A$4&lt;=12,SUMIFS('ON Data'!AD:AD,'ON Data'!$D:$D,$A$4,'ON Data'!$E:$E,4),SUMIFS('ON Data'!AD:AD,'ON Data'!$E:$E,4))</f>
        <v>0</v>
      </c>
      <c r="Z13" s="224">
        <f xml:space="preserve">
IF($A$4&lt;=12,SUMIFS('ON Data'!AE:AE,'ON Data'!$D:$D,$A$4,'ON Data'!$E:$E,4),SUMIFS('ON Data'!AE:AE,'ON Data'!$E:$E,4))</f>
        <v>0</v>
      </c>
      <c r="AA13" s="224">
        <f xml:space="preserve">
IF($A$4&lt;=12,SUMIFS('ON Data'!AF:AF,'ON Data'!$D:$D,$A$4,'ON Data'!$E:$E,4),SUMIFS('ON Data'!AF:AF,'ON Data'!$E:$E,4))</f>
        <v>0</v>
      </c>
      <c r="AB13" s="224">
        <f xml:space="preserve">
IF($A$4&lt;=12,SUMIFS('ON Data'!AG:AG,'ON Data'!$D:$D,$A$4,'ON Data'!$E:$E,4),SUMIFS('ON Data'!AG:AG,'ON Data'!$E:$E,4))</f>
        <v>0</v>
      </c>
      <c r="AC13" s="224">
        <f xml:space="preserve">
IF($A$4&lt;=12,SUMIFS('ON Data'!AH:AH,'ON Data'!$D:$D,$A$4,'ON Data'!$E:$E,4),SUMIFS('ON Data'!AH:AH,'ON Data'!$E:$E,4))</f>
        <v>0</v>
      </c>
      <c r="AD13" s="224">
        <f xml:space="preserve">
IF($A$4&lt;=12,SUMIFS('ON Data'!AI:AI,'ON Data'!$D:$D,$A$4,'ON Data'!$E:$E,4),SUMIFS('ON Data'!AI:AI,'ON Data'!$E:$E,4))</f>
        <v>0</v>
      </c>
      <c r="AE13" s="224">
        <f xml:space="preserve">
IF($A$4&lt;=12,SUMIFS('ON Data'!AJ:AJ,'ON Data'!$D:$D,$A$4,'ON Data'!$E:$E,4),SUMIFS('ON Data'!AJ:AJ,'ON Data'!$E:$E,4))</f>
        <v>0</v>
      </c>
      <c r="AF13" s="224">
        <f xml:space="preserve">
IF($A$4&lt;=12,SUMIFS('ON Data'!AK:AK,'ON Data'!$D:$D,$A$4,'ON Data'!$E:$E,4),SUMIFS('ON Data'!AK:AK,'ON Data'!$E:$E,4))</f>
        <v>0</v>
      </c>
      <c r="AG13" s="224">
        <f xml:space="preserve">
IF($A$4&lt;=12,SUMIFS('ON Data'!AL:AL,'ON Data'!$D:$D,$A$4,'ON Data'!$E:$E,4),SUMIFS('ON Data'!AL:AL,'ON Data'!$E:$E,4))</f>
        <v>0</v>
      </c>
      <c r="AH13" s="377">
        <f xml:space="preserve">
IF($A$4&lt;=12,SUMIFS('ON Data'!AN:AN,'ON Data'!$D:$D,$A$4,'ON Data'!$E:$E,4),SUMIFS('ON Data'!AN:AN,'ON Data'!$E:$E,4))</f>
        <v>0</v>
      </c>
      <c r="AI13" s="387"/>
    </row>
    <row r="14" spans="1:35" ht="15" thickBot="1" x14ac:dyDescent="0.35">
      <c r="A14" s="206" t="s">
        <v>145</v>
      </c>
      <c r="B14" s="225">
        <f xml:space="preserve">
IF($A$4&lt;=12,SUMIFS('ON Data'!F:F,'ON Data'!$D:$D,$A$4,'ON Data'!$E:$E,5),SUMIFS('ON Data'!F:F,'ON Data'!$E:$E,5))</f>
        <v>0</v>
      </c>
      <c r="C14" s="226">
        <f xml:space="preserve">
IF($A$4&lt;=12,SUMIFS('ON Data'!G:G,'ON Data'!$D:$D,$A$4,'ON Data'!$E:$E,5),SUMIFS('ON Data'!G:G,'ON Data'!$E:$E,5))</f>
        <v>0</v>
      </c>
      <c r="D14" s="227">
        <f xml:space="preserve">
IF($A$4&lt;=12,SUMIFS('ON Data'!H:H,'ON Data'!$D:$D,$A$4,'ON Data'!$E:$E,5),SUMIFS('ON Data'!H:H,'ON Data'!$E:$E,5))</f>
        <v>0</v>
      </c>
      <c r="E14" s="227">
        <f xml:space="preserve">
IF($A$4&lt;=12,SUMIFS('ON Data'!I:I,'ON Data'!$D:$D,$A$4,'ON Data'!$E:$E,5),SUMIFS('ON Data'!I:I,'ON Data'!$E:$E,5))</f>
        <v>0</v>
      </c>
      <c r="F14" s="227">
        <f xml:space="preserve">
IF($A$4&lt;=12,SUMIFS('ON Data'!K:K,'ON Data'!$D:$D,$A$4,'ON Data'!$E:$E,5),SUMIFS('ON Data'!K:K,'ON Data'!$E:$E,5))</f>
        <v>0</v>
      </c>
      <c r="G14" s="227">
        <f xml:space="preserve">
IF($A$4&lt;=12,SUMIFS('ON Data'!L:L,'ON Data'!$D:$D,$A$4,'ON Data'!$E:$E,5),SUMIFS('ON Data'!L:L,'ON Data'!$E:$E,5))</f>
        <v>0</v>
      </c>
      <c r="H14" s="227">
        <f xml:space="preserve">
IF($A$4&lt;=12,SUMIFS('ON Data'!M:M,'ON Data'!$D:$D,$A$4,'ON Data'!$E:$E,5),SUMIFS('ON Data'!M:M,'ON Data'!$E:$E,5))</f>
        <v>0</v>
      </c>
      <c r="I14" s="227">
        <f xml:space="preserve">
IF($A$4&lt;=12,SUMIFS('ON Data'!N:N,'ON Data'!$D:$D,$A$4,'ON Data'!$E:$E,5),SUMIFS('ON Data'!N:N,'ON Data'!$E:$E,5))</f>
        <v>0</v>
      </c>
      <c r="J14" s="227">
        <f xml:space="preserve">
IF($A$4&lt;=12,SUMIFS('ON Data'!O:O,'ON Data'!$D:$D,$A$4,'ON Data'!$E:$E,5),SUMIFS('ON Data'!O:O,'ON Data'!$E:$E,5))</f>
        <v>0</v>
      </c>
      <c r="K14" s="227">
        <f xml:space="preserve">
IF($A$4&lt;=12,SUMIFS('ON Data'!P:P,'ON Data'!$D:$D,$A$4,'ON Data'!$E:$E,5),SUMIFS('ON Data'!P:P,'ON Data'!$E:$E,5))</f>
        <v>0</v>
      </c>
      <c r="L14" s="227">
        <f xml:space="preserve">
IF($A$4&lt;=12,SUMIFS('ON Data'!Q:Q,'ON Data'!$D:$D,$A$4,'ON Data'!$E:$E,5),SUMIFS('ON Data'!Q:Q,'ON Data'!$E:$E,5))</f>
        <v>0</v>
      </c>
      <c r="M14" s="227">
        <f xml:space="preserve">
IF($A$4&lt;=12,SUMIFS('ON Data'!R:R,'ON Data'!$D:$D,$A$4,'ON Data'!$E:$E,5),SUMIFS('ON Data'!R:R,'ON Data'!$E:$E,5))</f>
        <v>0</v>
      </c>
      <c r="N14" s="227">
        <f xml:space="preserve">
IF($A$4&lt;=12,SUMIFS('ON Data'!S:S,'ON Data'!$D:$D,$A$4,'ON Data'!$E:$E,5),SUMIFS('ON Data'!S:S,'ON Data'!$E:$E,5))</f>
        <v>0</v>
      </c>
      <c r="O14" s="227">
        <f xml:space="preserve">
IF($A$4&lt;=12,SUMIFS('ON Data'!T:T,'ON Data'!$D:$D,$A$4,'ON Data'!$E:$E,5),SUMIFS('ON Data'!T:T,'ON Data'!$E:$E,5))</f>
        <v>0</v>
      </c>
      <c r="P14" s="227">
        <f xml:space="preserve">
IF($A$4&lt;=12,SUMIFS('ON Data'!U:U,'ON Data'!$D:$D,$A$4,'ON Data'!$E:$E,5),SUMIFS('ON Data'!U:U,'ON Data'!$E:$E,5))</f>
        <v>0</v>
      </c>
      <c r="Q14" s="227">
        <f xml:space="preserve">
IF($A$4&lt;=12,SUMIFS('ON Data'!V:V,'ON Data'!$D:$D,$A$4,'ON Data'!$E:$E,5),SUMIFS('ON Data'!V:V,'ON Data'!$E:$E,5))</f>
        <v>0</v>
      </c>
      <c r="R14" s="227">
        <f xml:space="preserve">
IF($A$4&lt;=12,SUMIFS('ON Data'!W:W,'ON Data'!$D:$D,$A$4,'ON Data'!$E:$E,5),SUMIFS('ON Data'!W:W,'ON Data'!$E:$E,5))</f>
        <v>0</v>
      </c>
      <c r="S14" s="227">
        <f xml:space="preserve">
IF($A$4&lt;=12,SUMIFS('ON Data'!X:X,'ON Data'!$D:$D,$A$4,'ON Data'!$E:$E,5),SUMIFS('ON Data'!X:X,'ON Data'!$E:$E,5))</f>
        <v>0</v>
      </c>
      <c r="T14" s="227">
        <f xml:space="preserve">
IF($A$4&lt;=12,SUMIFS('ON Data'!Y:Y,'ON Data'!$D:$D,$A$4,'ON Data'!$E:$E,5),SUMIFS('ON Data'!Y:Y,'ON Data'!$E:$E,5))</f>
        <v>0</v>
      </c>
      <c r="U14" s="227">
        <f xml:space="preserve">
IF($A$4&lt;=12,SUMIFS('ON Data'!Z:Z,'ON Data'!$D:$D,$A$4,'ON Data'!$E:$E,5),SUMIFS('ON Data'!Z:Z,'ON Data'!$E:$E,5))</f>
        <v>0</v>
      </c>
      <c r="V14" s="227">
        <f xml:space="preserve">
IF($A$4&lt;=12,SUMIFS('ON Data'!AA:AA,'ON Data'!$D:$D,$A$4,'ON Data'!$E:$E,5),SUMIFS('ON Data'!AA:AA,'ON Data'!$E:$E,5))</f>
        <v>0</v>
      </c>
      <c r="W14" s="227">
        <f xml:space="preserve">
IF($A$4&lt;=12,SUMIFS('ON Data'!AB:AB,'ON Data'!$D:$D,$A$4,'ON Data'!$E:$E,5),SUMIFS('ON Data'!AB:AB,'ON Data'!$E:$E,5))</f>
        <v>0</v>
      </c>
      <c r="X14" s="227">
        <f xml:space="preserve">
IF($A$4&lt;=12,SUMIFS('ON Data'!AC:AC,'ON Data'!$D:$D,$A$4,'ON Data'!$E:$E,5),SUMIFS('ON Data'!AC:AC,'ON Data'!$E:$E,5))</f>
        <v>0</v>
      </c>
      <c r="Y14" s="227">
        <f xml:space="preserve">
IF($A$4&lt;=12,SUMIFS('ON Data'!AD:AD,'ON Data'!$D:$D,$A$4,'ON Data'!$E:$E,5),SUMIFS('ON Data'!AD:AD,'ON Data'!$E:$E,5))</f>
        <v>0</v>
      </c>
      <c r="Z14" s="227">
        <f xml:space="preserve">
IF($A$4&lt;=12,SUMIFS('ON Data'!AE:AE,'ON Data'!$D:$D,$A$4,'ON Data'!$E:$E,5),SUMIFS('ON Data'!AE:AE,'ON Data'!$E:$E,5))</f>
        <v>0</v>
      </c>
      <c r="AA14" s="227">
        <f xml:space="preserve">
IF($A$4&lt;=12,SUMIFS('ON Data'!AF:AF,'ON Data'!$D:$D,$A$4,'ON Data'!$E:$E,5),SUMIFS('ON Data'!AF:AF,'ON Data'!$E:$E,5))</f>
        <v>0</v>
      </c>
      <c r="AB14" s="227">
        <f xml:space="preserve">
IF($A$4&lt;=12,SUMIFS('ON Data'!AG:AG,'ON Data'!$D:$D,$A$4,'ON Data'!$E:$E,5),SUMIFS('ON Data'!AG:AG,'ON Data'!$E:$E,5))</f>
        <v>0</v>
      </c>
      <c r="AC14" s="227">
        <f xml:space="preserve">
IF($A$4&lt;=12,SUMIFS('ON Data'!AH:AH,'ON Data'!$D:$D,$A$4,'ON Data'!$E:$E,5),SUMIFS('ON Data'!AH:AH,'ON Data'!$E:$E,5))</f>
        <v>0</v>
      </c>
      <c r="AD14" s="227">
        <f xml:space="preserve">
IF($A$4&lt;=12,SUMIFS('ON Data'!AI:AI,'ON Data'!$D:$D,$A$4,'ON Data'!$E:$E,5),SUMIFS('ON Data'!AI:AI,'ON Data'!$E:$E,5))</f>
        <v>0</v>
      </c>
      <c r="AE14" s="227">
        <f xml:space="preserve">
IF($A$4&lt;=12,SUMIFS('ON Data'!AJ:AJ,'ON Data'!$D:$D,$A$4,'ON Data'!$E:$E,5),SUMIFS('ON Data'!AJ:AJ,'ON Data'!$E:$E,5))</f>
        <v>0</v>
      </c>
      <c r="AF14" s="227">
        <f xml:space="preserve">
IF($A$4&lt;=12,SUMIFS('ON Data'!AK:AK,'ON Data'!$D:$D,$A$4,'ON Data'!$E:$E,5),SUMIFS('ON Data'!AK:AK,'ON Data'!$E:$E,5))</f>
        <v>0</v>
      </c>
      <c r="AG14" s="227">
        <f xml:space="preserve">
IF($A$4&lt;=12,SUMIFS('ON Data'!AL:AL,'ON Data'!$D:$D,$A$4,'ON Data'!$E:$E,5),SUMIFS('ON Data'!AL:AL,'ON Data'!$E:$E,5))</f>
        <v>0</v>
      </c>
      <c r="AH14" s="378">
        <f xml:space="preserve">
IF($A$4&lt;=12,SUMIFS('ON Data'!AN:AN,'ON Data'!$D:$D,$A$4,'ON Data'!$E:$E,5),SUMIFS('ON Data'!AN:AN,'ON Data'!$E:$E,5))</f>
        <v>0</v>
      </c>
      <c r="AI14" s="387"/>
    </row>
    <row r="15" spans="1:35" x14ac:dyDescent="0.3">
      <c r="A15" s="132" t="s">
        <v>155</v>
      </c>
      <c r="B15" s="228"/>
      <c r="C15" s="22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379"/>
      <c r="AI15" s="387"/>
    </row>
    <row r="16" spans="1:35" x14ac:dyDescent="0.3">
      <c r="A16" s="207" t="s">
        <v>146</v>
      </c>
      <c r="B16" s="222">
        <f xml:space="preserve">
IF($A$4&lt;=12,SUMIFS('ON Data'!F:F,'ON Data'!$D:$D,$A$4,'ON Data'!$E:$E,7),SUMIFS('ON Data'!F:F,'ON Data'!$E:$E,7))</f>
        <v>0</v>
      </c>
      <c r="C16" s="223">
        <f xml:space="preserve">
IF($A$4&lt;=12,SUMIFS('ON Data'!G:G,'ON Data'!$D:$D,$A$4,'ON Data'!$E:$E,7),SUMIFS('ON Data'!G:G,'ON Data'!$E:$E,7))</f>
        <v>0</v>
      </c>
      <c r="D16" s="224">
        <f xml:space="preserve">
IF($A$4&lt;=12,SUMIFS('ON Data'!H:H,'ON Data'!$D:$D,$A$4,'ON Data'!$E:$E,7),SUMIFS('ON Data'!H:H,'ON Data'!$E:$E,7))</f>
        <v>0</v>
      </c>
      <c r="E16" s="224">
        <f xml:space="preserve">
IF($A$4&lt;=12,SUMIFS('ON Data'!I:I,'ON Data'!$D:$D,$A$4,'ON Data'!$E:$E,7),SUMIFS('ON Data'!I:I,'ON Data'!$E:$E,7))</f>
        <v>0</v>
      </c>
      <c r="F16" s="224">
        <f xml:space="preserve">
IF($A$4&lt;=12,SUMIFS('ON Data'!K:K,'ON Data'!$D:$D,$A$4,'ON Data'!$E:$E,7),SUMIFS('ON Data'!K:K,'ON Data'!$E:$E,7))</f>
        <v>0</v>
      </c>
      <c r="G16" s="224">
        <f xml:space="preserve">
IF($A$4&lt;=12,SUMIFS('ON Data'!L:L,'ON Data'!$D:$D,$A$4,'ON Data'!$E:$E,7),SUMIFS('ON Data'!L:L,'ON Data'!$E:$E,7))</f>
        <v>0</v>
      </c>
      <c r="H16" s="224">
        <f xml:space="preserve">
IF($A$4&lt;=12,SUMIFS('ON Data'!M:M,'ON Data'!$D:$D,$A$4,'ON Data'!$E:$E,7),SUMIFS('ON Data'!M:M,'ON Data'!$E:$E,7))</f>
        <v>0</v>
      </c>
      <c r="I16" s="224">
        <f xml:space="preserve">
IF($A$4&lt;=12,SUMIFS('ON Data'!N:N,'ON Data'!$D:$D,$A$4,'ON Data'!$E:$E,7),SUMIFS('ON Data'!N:N,'ON Data'!$E:$E,7))</f>
        <v>0</v>
      </c>
      <c r="J16" s="224">
        <f xml:space="preserve">
IF($A$4&lt;=12,SUMIFS('ON Data'!O:O,'ON Data'!$D:$D,$A$4,'ON Data'!$E:$E,7),SUMIFS('ON Data'!O:O,'ON Data'!$E:$E,7))</f>
        <v>0</v>
      </c>
      <c r="K16" s="224">
        <f xml:space="preserve">
IF($A$4&lt;=12,SUMIFS('ON Data'!P:P,'ON Data'!$D:$D,$A$4,'ON Data'!$E:$E,7),SUMIFS('ON Data'!P:P,'ON Data'!$E:$E,7))</f>
        <v>0</v>
      </c>
      <c r="L16" s="224">
        <f xml:space="preserve">
IF($A$4&lt;=12,SUMIFS('ON Data'!Q:Q,'ON Data'!$D:$D,$A$4,'ON Data'!$E:$E,7),SUMIFS('ON Data'!Q:Q,'ON Data'!$E:$E,7))</f>
        <v>0</v>
      </c>
      <c r="M16" s="224">
        <f xml:space="preserve">
IF($A$4&lt;=12,SUMIFS('ON Data'!R:R,'ON Data'!$D:$D,$A$4,'ON Data'!$E:$E,7),SUMIFS('ON Data'!R:R,'ON Data'!$E:$E,7))</f>
        <v>0</v>
      </c>
      <c r="N16" s="224">
        <f xml:space="preserve">
IF($A$4&lt;=12,SUMIFS('ON Data'!S:S,'ON Data'!$D:$D,$A$4,'ON Data'!$E:$E,7),SUMIFS('ON Data'!S:S,'ON Data'!$E:$E,7))</f>
        <v>0</v>
      </c>
      <c r="O16" s="224">
        <f xml:space="preserve">
IF($A$4&lt;=12,SUMIFS('ON Data'!T:T,'ON Data'!$D:$D,$A$4,'ON Data'!$E:$E,7),SUMIFS('ON Data'!T:T,'ON Data'!$E:$E,7))</f>
        <v>0</v>
      </c>
      <c r="P16" s="224">
        <f xml:space="preserve">
IF($A$4&lt;=12,SUMIFS('ON Data'!U:U,'ON Data'!$D:$D,$A$4,'ON Data'!$E:$E,7),SUMIFS('ON Data'!U:U,'ON Data'!$E:$E,7))</f>
        <v>0</v>
      </c>
      <c r="Q16" s="224">
        <f xml:space="preserve">
IF($A$4&lt;=12,SUMIFS('ON Data'!V:V,'ON Data'!$D:$D,$A$4,'ON Data'!$E:$E,7),SUMIFS('ON Data'!V:V,'ON Data'!$E:$E,7))</f>
        <v>0</v>
      </c>
      <c r="R16" s="224">
        <f xml:space="preserve">
IF($A$4&lt;=12,SUMIFS('ON Data'!W:W,'ON Data'!$D:$D,$A$4,'ON Data'!$E:$E,7),SUMIFS('ON Data'!W:W,'ON Data'!$E:$E,7))</f>
        <v>0</v>
      </c>
      <c r="S16" s="224">
        <f xml:space="preserve">
IF($A$4&lt;=12,SUMIFS('ON Data'!X:X,'ON Data'!$D:$D,$A$4,'ON Data'!$E:$E,7),SUMIFS('ON Data'!X:X,'ON Data'!$E:$E,7))</f>
        <v>0</v>
      </c>
      <c r="T16" s="224">
        <f xml:space="preserve">
IF($A$4&lt;=12,SUMIFS('ON Data'!Y:Y,'ON Data'!$D:$D,$A$4,'ON Data'!$E:$E,7),SUMIFS('ON Data'!Y:Y,'ON Data'!$E:$E,7))</f>
        <v>0</v>
      </c>
      <c r="U16" s="224">
        <f xml:space="preserve">
IF($A$4&lt;=12,SUMIFS('ON Data'!Z:Z,'ON Data'!$D:$D,$A$4,'ON Data'!$E:$E,7),SUMIFS('ON Data'!Z:Z,'ON Data'!$E:$E,7))</f>
        <v>0</v>
      </c>
      <c r="V16" s="224">
        <f xml:space="preserve">
IF($A$4&lt;=12,SUMIFS('ON Data'!AA:AA,'ON Data'!$D:$D,$A$4,'ON Data'!$E:$E,7),SUMIFS('ON Data'!AA:AA,'ON Data'!$E:$E,7))</f>
        <v>0</v>
      </c>
      <c r="W16" s="224">
        <f xml:space="preserve">
IF($A$4&lt;=12,SUMIFS('ON Data'!AB:AB,'ON Data'!$D:$D,$A$4,'ON Data'!$E:$E,7),SUMIFS('ON Data'!AB:AB,'ON Data'!$E:$E,7))</f>
        <v>0</v>
      </c>
      <c r="X16" s="224">
        <f xml:space="preserve">
IF($A$4&lt;=12,SUMIFS('ON Data'!AC:AC,'ON Data'!$D:$D,$A$4,'ON Data'!$E:$E,7),SUMIFS('ON Data'!AC:AC,'ON Data'!$E:$E,7))</f>
        <v>0</v>
      </c>
      <c r="Y16" s="224">
        <f xml:space="preserve">
IF($A$4&lt;=12,SUMIFS('ON Data'!AD:AD,'ON Data'!$D:$D,$A$4,'ON Data'!$E:$E,7),SUMIFS('ON Data'!AD:AD,'ON Data'!$E:$E,7))</f>
        <v>0</v>
      </c>
      <c r="Z16" s="224">
        <f xml:space="preserve">
IF($A$4&lt;=12,SUMIFS('ON Data'!AE:AE,'ON Data'!$D:$D,$A$4,'ON Data'!$E:$E,7),SUMIFS('ON Data'!AE:AE,'ON Data'!$E:$E,7))</f>
        <v>0</v>
      </c>
      <c r="AA16" s="224">
        <f xml:space="preserve">
IF($A$4&lt;=12,SUMIFS('ON Data'!AF:AF,'ON Data'!$D:$D,$A$4,'ON Data'!$E:$E,7),SUMIFS('ON Data'!AF:AF,'ON Data'!$E:$E,7))</f>
        <v>0</v>
      </c>
      <c r="AB16" s="224">
        <f xml:space="preserve">
IF($A$4&lt;=12,SUMIFS('ON Data'!AG:AG,'ON Data'!$D:$D,$A$4,'ON Data'!$E:$E,7),SUMIFS('ON Data'!AG:AG,'ON Data'!$E:$E,7))</f>
        <v>0</v>
      </c>
      <c r="AC16" s="224">
        <f xml:space="preserve">
IF($A$4&lt;=12,SUMIFS('ON Data'!AH:AH,'ON Data'!$D:$D,$A$4,'ON Data'!$E:$E,7),SUMIFS('ON Data'!AH:AH,'ON Data'!$E:$E,7))</f>
        <v>0</v>
      </c>
      <c r="AD16" s="224">
        <f xml:space="preserve">
IF($A$4&lt;=12,SUMIFS('ON Data'!AI:AI,'ON Data'!$D:$D,$A$4,'ON Data'!$E:$E,7),SUMIFS('ON Data'!AI:AI,'ON Data'!$E:$E,7))</f>
        <v>0</v>
      </c>
      <c r="AE16" s="224">
        <f xml:space="preserve">
IF($A$4&lt;=12,SUMIFS('ON Data'!AJ:AJ,'ON Data'!$D:$D,$A$4,'ON Data'!$E:$E,7),SUMIFS('ON Data'!AJ:AJ,'ON Data'!$E:$E,7))</f>
        <v>0</v>
      </c>
      <c r="AF16" s="224">
        <f xml:space="preserve">
IF($A$4&lt;=12,SUMIFS('ON Data'!AK:AK,'ON Data'!$D:$D,$A$4,'ON Data'!$E:$E,7),SUMIFS('ON Data'!AK:AK,'ON Data'!$E:$E,7))</f>
        <v>0</v>
      </c>
      <c r="AG16" s="224">
        <f xml:space="preserve">
IF($A$4&lt;=12,SUMIFS('ON Data'!AL:AL,'ON Data'!$D:$D,$A$4,'ON Data'!$E:$E,7),SUMIFS('ON Data'!AL:AL,'ON Data'!$E:$E,7))</f>
        <v>0</v>
      </c>
      <c r="AH16" s="377">
        <f xml:space="preserve">
IF($A$4&lt;=12,SUMIFS('ON Data'!AN:AN,'ON Data'!$D:$D,$A$4,'ON Data'!$E:$E,7),SUMIFS('ON Data'!AN:AN,'ON Data'!$E:$E,7))</f>
        <v>0</v>
      </c>
      <c r="AI16" s="387"/>
    </row>
    <row r="17" spans="1:35" x14ac:dyDescent="0.3">
      <c r="A17" s="207" t="s">
        <v>147</v>
      </c>
      <c r="B17" s="222">
        <f xml:space="preserve">
IF($A$4&lt;=12,SUMIFS('ON Data'!F:F,'ON Data'!$D:$D,$A$4,'ON Data'!$E:$E,8),SUMIFS('ON Data'!F:F,'ON Data'!$E:$E,8))</f>
        <v>0</v>
      </c>
      <c r="C17" s="223">
        <f xml:space="preserve">
IF($A$4&lt;=12,SUMIFS('ON Data'!G:G,'ON Data'!$D:$D,$A$4,'ON Data'!$E:$E,8),SUMIFS('ON Data'!G:G,'ON Data'!$E:$E,8))</f>
        <v>0</v>
      </c>
      <c r="D17" s="224">
        <f xml:space="preserve">
IF($A$4&lt;=12,SUMIFS('ON Data'!H:H,'ON Data'!$D:$D,$A$4,'ON Data'!$E:$E,8),SUMIFS('ON Data'!H:H,'ON Data'!$E:$E,8))</f>
        <v>0</v>
      </c>
      <c r="E17" s="224">
        <f xml:space="preserve">
IF($A$4&lt;=12,SUMIFS('ON Data'!I:I,'ON Data'!$D:$D,$A$4,'ON Data'!$E:$E,8),SUMIFS('ON Data'!I:I,'ON Data'!$E:$E,8))</f>
        <v>0</v>
      </c>
      <c r="F17" s="224">
        <f xml:space="preserve">
IF($A$4&lt;=12,SUMIFS('ON Data'!K:K,'ON Data'!$D:$D,$A$4,'ON Data'!$E:$E,8),SUMIFS('ON Data'!K:K,'ON Data'!$E:$E,8))</f>
        <v>0</v>
      </c>
      <c r="G17" s="224">
        <f xml:space="preserve">
IF($A$4&lt;=12,SUMIFS('ON Data'!L:L,'ON Data'!$D:$D,$A$4,'ON Data'!$E:$E,8),SUMIFS('ON Data'!L:L,'ON Data'!$E:$E,8))</f>
        <v>0</v>
      </c>
      <c r="H17" s="224">
        <f xml:space="preserve">
IF($A$4&lt;=12,SUMIFS('ON Data'!M:M,'ON Data'!$D:$D,$A$4,'ON Data'!$E:$E,8),SUMIFS('ON Data'!M:M,'ON Data'!$E:$E,8))</f>
        <v>0</v>
      </c>
      <c r="I17" s="224">
        <f xml:space="preserve">
IF($A$4&lt;=12,SUMIFS('ON Data'!N:N,'ON Data'!$D:$D,$A$4,'ON Data'!$E:$E,8),SUMIFS('ON Data'!N:N,'ON Data'!$E:$E,8))</f>
        <v>0</v>
      </c>
      <c r="J17" s="224">
        <f xml:space="preserve">
IF($A$4&lt;=12,SUMIFS('ON Data'!O:O,'ON Data'!$D:$D,$A$4,'ON Data'!$E:$E,8),SUMIFS('ON Data'!O:O,'ON Data'!$E:$E,8))</f>
        <v>0</v>
      </c>
      <c r="K17" s="224">
        <f xml:space="preserve">
IF($A$4&lt;=12,SUMIFS('ON Data'!P:P,'ON Data'!$D:$D,$A$4,'ON Data'!$E:$E,8),SUMIFS('ON Data'!P:P,'ON Data'!$E:$E,8))</f>
        <v>0</v>
      </c>
      <c r="L17" s="224">
        <f xml:space="preserve">
IF($A$4&lt;=12,SUMIFS('ON Data'!Q:Q,'ON Data'!$D:$D,$A$4,'ON Data'!$E:$E,8),SUMIFS('ON Data'!Q:Q,'ON Data'!$E:$E,8))</f>
        <v>0</v>
      </c>
      <c r="M17" s="224">
        <f xml:space="preserve">
IF($A$4&lt;=12,SUMIFS('ON Data'!R:R,'ON Data'!$D:$D,$A$4,'ON Data'!$E:$E,8),SUMIFS('ON Data'!R:R,'ON Data'!$E:$E,8))</f>
        <v>0</v>
      </c>
      <c r="N17" s="224">
        <f xml:space="preserve">
IF($A$4&lt;=12,SUMIFS('ON Data'!S:S,'ON Data'!$D:$D,$A$4,'ON Data'!$E:$E,8),SUMIFS('ON Data'!S:S,'ON Data'!$E:$E,8))</f>
        <v>0</v>
      </c>
      <c r="O17" s="224">
        <f xml:space="preserve">
IF($A$4&lt;=12,SUMIFS('ON Data'!T:T,'ON Data'!$D:$D,$A$4,'ON Data'!$E:$E,8),SUMIFS('ON Data'!T:T,'ON Data'!$E:$E,8))</f>
        <v>0</v>
      </c>
      <c r="P17" s="224">
        <f xml:space="preserve">
IF($A$4&lt;=12,SUMIFS('ON Data'!U:U,'ON Data'!$D:$D,$A$4,'ON Data'!$E:$E,8),SUMIFS('ON Data'!U:U,'ON Data'!$E:$E,8))</f>
        <v>0</v>
      </c>
      <c r="Q17" s="224">
        <f xml:space="preserve">
IF($A$4&lt;=12,SUMIFS('ON Data'!V:V,'ON Data'!$D:$D,$A$4,'ON Data'!$E:$E,8),SUMIFS('ON Data'!V:V,'ON Data'!$E:$E,8))</f>
        <v>0</v>
      </c>
      <c r="R17" s="224">
        <f xml:space="preserve">
IF($A$4&lt;=12,SUMIFS('ON Data'!W:W,'ON Data'!$D:$D,$A$4,'ON Data'!$E:$E,8),SUMIFS('ON Data'!W:W,'ON Data'!$E:$E,8))</f>
        <v>0</v>
      </c>
      <c r="S17" s="224">
        <f xml:space="preserve">
IF($A$4&lt;=12,SUMIFS('ON Data'!X:X,'ON Data'!$D:$D,$A$4,'ON Data'!$E:$E,8),SUMIFS('ON Data'!X:X,'ON Data'!$E:$E,8))</f>
        <v>0</v>
      </c>
      <c r="T17" s="224">
        <f xml:space="preserve">
IF($A$4&lt;=12,SUMIFS('ON Data'!Y:Y,'ON Data'!$D:$D,$A$4,'ON Data'!$E:$E,8),SUMIFS('ON Data'!Y:Y,'ON Data'!$E:$E,8))</f>
        <v>0</v>
      </c>
      <c r="U17" s="224">
        <f xml:space="preserve">
IF($A$4&lt;=12,SUMIFS('ON Data'!Z:Z,'ON Data'!$D:$D,$A$4,'ON Data'!$E:$E,8),SUMIFS('ON Data'!Z:Z,'ON Data'!$E:$E,8))</f>
        <v>0</v>
      </c>
      <c r="V17" s="224">
        <f xml:space="preserve">
IF($A$4&lt;=12,SUMIFS('ON Data'!AA:AA,'ON Data'!$D:$D,$A$4,'ON Data'!$E:$E,8),SUMIFS('ON Data'!AA:AA,'ON Data'!$E:$E,8))</f>
        <v>0</v>
      </c>
      <c r="W17" s="224">
        <f xml:space="preserve">
IF($A$4&lt;=12,SUMIFS('ON Data'!AB:AB,'ON Data'!$D:$D,$A$4,'ON Data'!$E:$E,8),SUMIFS('ON Data'!AB:AB,'ON Data'!$E:$E,8))</f>
        <v>0</v>
      </c>
      <c r="X17" s="224">
        <f xml:space="preserve">
IF($A$4&lt;=12,SUMIFS('ON Data'!AC:AC,'ON Data'!$D:$D,$A$4,'ON Data'!$E:$E,8),SUMIFS('ON Data'!AC:AC,'ON Data'!$E:$E,8))</f>
        <v>0</v>
      </c>
      <c r="Y17" s="224">
        <f xml:space="preserve">
IF($A$4&lt;=12,SUMIFS('ON Data'!AD:AD,'ON Data'!$D:$D,$A$4,'ON Data'!$E:$E,8),SUMIFS('ON Data'!AD:AD,'ON Data'!$E:$E,8))</f>
        <v>0</v>
      </c>
      <c r="Z17" s="224">
        <f xml:space="preserve">
IF($A$4&lt;=12,SUMIFS('ON Data'!AE:AE,'ON Data'!$D:$D,$A$4,'ON Data'!$E:$E,8),SUMIFS('ON Data'!AE:AE,'ON Data'!$E:$E,8))</f>
        <v>0</v>
      </c>
      <c r="AA17" s="224">
        <f xml:space="preserve">
IF($A$4&lt;=12,SUMIFS('ON Data'!AF:AF,'ON Data'!$D:$D,$A$4,'ON Data'!$E:$E,8),SUMIFS('ON Data'!AF:AF,'ON Data'!$E:$E,8))</f>
        <v>0</v>
      </c>
      <c r="AB17" s="224">
        <f xml:space="preserve">
IF($A$4&lt;=12,SUMIFS('ON Data'!AG:AG,'ON Data'!$D:$D,$A$4,'ON Data'!$E:$E,8),SUMIFS('ON Data'!AG:AG,'ON Data'!$E:$E,8))</f>
        <v>0</v>
      </c>
      <c r="AC17" s="224">
        <f xml:space="preserve">
IF($A$4&lt;=12,SUMIFS('ON Data'!AH:AH,'ON Data'!$D:$D,$A$4,'ON Data'!$E:$E,8),SUMIFS('ON Data'!AH:AH,'ON Data'!$E:$E,8))</f>
        <v>0</v>
      </c>
      <c r="AD17" s="224">
        <f xml:space="preserve">
IF($A$4&lt;=12,SUMIFS('ON Data'!AI:AI,'ON Data'!$D:$D,$A$4,'ON Data'!$E:$E,8),SUMIFS('ON Data'!AI:AI,'ON Data'!$E:$E,8))</f>
        <v>0</v>
      </c>
      <c r="AE17" s="224">
        <f xml:space="preserve">
IF($A$4&lt;=12,SUMIFS('ON Data'!AJ:AJ,'ON Data'!$D:$D,$A$4,'ON Data'!$E:$E,8),SUMIFS('ON Data'!AJ:AJ,'ON Data'!$E:$E,8))</f>
        <v>0</v>
      </c>
      <c r="AF17" s="224">
        <f xml:space="preserve">
IF($A$4&lt;=12,SUMIFS('ON Data'!AK:AK,'ON Data'!$D:$D,$A$4,'ON Data'!$E:$E,8),SUMIFS('ON Data'!AK:AK,'ON Data'!$E:$E,8))</f>
        <v>0</v>
      </c>
      <c r="AG17" s="224">
        <f xml:space="preserve">
IF($A$4&lt;=12,SUMIFS('ON Data'!AL:AL,'ON Data'!$D:$D,$A$4,'ON Data'!$E:$E,8),SUMIFS('ON Data'!AL:AL,'ON Data'!$E:$E,8))</f>
        <v>0</v>
      </c>
      <c r="AH17" s="377">
        <f xml:space="preserve">
IF($A$4&lt;=12,SUMIFS('ON Data'!AN:AN,'ON Data'!$D:$D,$A$4,'ON Data'!$E:$E,8),SUMIFS('ON Data'!AN:AN,'ON Data'!$E:$E,8))</f>
        <v>0</v>
      </c>
      <c r="AI17" s="387"/>
    </row>
    <row r="18" spans="1:35" x14ac:dyDescent="0.3">
      <c r="A18" s="207" t="s">
        <v>148</v>
      </c>
      <c r="B18" s="222">
        <f xml:space="preserve">
B19-B16-B17</f>
        <v>10000</v>
      </c>
      <c r="C18" s="223">
        <f t="shared" ref="C18:G18" si="0" xml:space="preserve">
C19-C16-C17</f>
        <v>0</v>
      </c>
      <c r="D18" s="224">
        <f t="shared" si="0"/>
        <v>0</v>
      </c>
      <c r="E18" s="224">
        <f t="shared" si="0"/>
        <v>0</v>
      </c>
      <c r="F18" s="224">
        <f t="shared" si="0"/>
        <v>0</v>
      </c>
      <c r="G18" s="224">
        <f t="shared" si="0"/>
        <v>0</v>
      </c>
      <c r="H18" s="224">
        <f t="shared" ref="H18:AH18" si="1" xml:space="preserve">
H19-H16-H17</f>
        <v>0</v>
      </c>
      <c r="I18" s="224">
        <f t="shared" si="1"/>
        <v>0</v>
      </c>
      <c r="J18" s="224">
        <f t="shared" si="1"/>
        <v>0</v>
      </c>
      <c r="K18" s="224">
        <f t="shared" si="1"/>
        <v>0</v>
      </c>
      <c r="L18" s="224">
        <f t="shared" si="1"/>
        <v>0</v>
      </c>
      <c r="M18" s="224">
        <f t="shared" si="1"/>
        <v>0</v>
      </c>
      <c r="N18" s="224">
        <f t="shared" si="1"/>
        <v>0</v>
      </c>
      <c r="O18" s="224">
        <f t="shared" si="1"/>
        <v>0</v>
      </c>
      <c r="P18" s="224">
        <f t="shared" si="1"/>
        <v>0</v>
      </c>
      <c r="Q18" s="224">
        <f t="shared" si="1"/>
        <v>0</v>
      </c>
      <c r="R18" s="224">
        <f t="shared" si="1"/>
        <v>10000</v>
      </c>
      <c r="S18" s="224">
        <f t="shared" si="1"/>
        <v>0</v>
      </c>
      <c r="T18" s="224">
        <f t="shared" si="1"/>
        <v>0</v>
      </c>
      <c r="U18" s="224">
        <f t="shared" si="1"/>
        <v>0</v>
      </c>
      <c r="V18" s="224">
        <f t="shared" si="1"/>
        <v>0</v>
      </c>
      <c r="W18" s="224">
        <f t="shared" si="1"/>
        <v>0</v>
      </c>
      <c r="X18" s="224">
        <f t="shared" si="1"/>
        <v>0</v>
      </c>
      <c r="Y18" s="224">
        <f t="shared" si="1"/>
        <v>0</v>
      </c>
      <c r="Z18" s="224">
        <f t="shared" si="1"/>
        <v>0</v>
      </c>
      <c r="AA18" s="224">
        <f t="shared" si="1"/>
        <v>0</v>
      </c>
      <c r="AB18" s="224">
        <f t="shared" si="1"/>
        <v>0</v>
      </c>
      <c r="AC18" s="224">
        <f t="shared" si="1"/>
        <v>0</v>
      </c>
      <c r="AD18" s="224">
        <f t="shared" si="1"/>
        <v>0</v>
      </c>
      <c r="AE18" s="224">
        <f t="shared" si="1"/>
        <v>0</v>
      </c>
      <c r="AF18" s="224">
        <f t="shared" si="1"/>
        <v>0</v>
      </c>
      <c r="AG18" s="224">
        <f t="shared" si="1"/>
        <v>0</v>
      </c>
      <c r="AH18" s="377">
        <f t="shared" si="1"/>
        <v>0</v>
      </c>
      <c r="AI18" s="387"/>
    </row>
    <row r="19" spans="1:35" ht="15" thickBot="1" x14ac:dyDescent="0.35">
      <c r="A19" s="208" t="s">
        <v>149</v>
      </c>
      <c r="B19" s="231">
        <f xml:space="preserve">
IF($A$4&lt;=12,SUMIFS('ON Data'!F:F,'ON Data'!$D:$D,$A$4,'ON Data'!$E:$E,9),SUMIFS('ON Data'!F:F,'ON Data'!$E:$E,9))</f>
        <v>10000</v>
      </c>
      <c r="C19" s="232">
        <f xml:space="preserve">
IF($A$4&lt;=12,SUMIFS('ON Data'!G:G,'ON Data'!$D:$D,$A$4,'ON Data'!$E:$E,9),SUMIFS('ON Data'!G:G,'ON Data'!$E:$E,9))</f>
        <v>0</v>
      </c>
      <c r="D19" s="233">
        <f xml:space="preserve">
IF($A$4&lt;=12,SUMIFS('ON Data'!H:H,'ON Data'!$D:$D,$A$4,'ON Data'!$E:$E,9),SUMIFS('ON Data'!H:H,'ON Data'!$E:$E,9))</f>
        <v>0</v>
      </c>
      <c r="E19" s="233">
        <f xml:space="preserve">
IF($A$4&lt;=12,SUMIFS('ON Data'!I:I,'ON Data'!$D:$D,$A$4,'ON Data'!$E:$E,9),SUMIFS('ON Data'!I:I,'ON Data'!$E:$E,9))</f>
        <v>0</v>
      </c>
      <c r="F19" s="233">
        <f xml:space="preserve">
IF($A$4&lt;=12,SUMIFS('ON Data'!K:K,'ON Data'!$D:$D,$A$4,'ON Data'!$E:$E,9),SUMIFS('ON Data'!K:K,'ON Data'!$E:$E,9))</f>
        <v>0</v>
      </c>
      <c r="G19" s="233">
        <f xml:space="preserve">
IF($A$4&lt;=12,SUMIFS('ON Data'!L:L,'ON Data'!$D:$D,$A$4,'ON Data'!$E:$E,9),SUMIFS('ON Data'!L:L,'ON Data'!$E:$E,9))</f>
        <v>0</v>
      </c>
      <c r="H19" s="233">
        <f xml:space="preserve">
IF($A$4&lt;=12,SUMIFS('ON Data'!M:M,'ON Data'!$D:$D,$A$4,'ON Data'!$E:$E,9),SUMIFS('ON Data'!M:M,'ON Data'!$E:$E,9))</f>
        <v>0</v>
      </c>
      <c r="I19" s="233">
        <f xml:space="preserve">
IF($A$4&lt;=12,SUMIFS('ON Data'!N:N,'ON Data'!$D:$D,$A$4,'ON Data'!$E:$E,9),SUMIFS('ON Data'!N:N,'ON Data'!$E:$E,9))</f>
        <v>0</v>
      </c>
      <c r="J19" s="233">
        <f xml:space="preserve">
IF($A$4&lt;=12,SUMIFS('ON Data'!O:O,'ON Data'!$D:$D,$A$4,'ON Data'!$E:$E,9),SUMIFS('ON Data'!O:O,'ON Data'!$E:$E,9))</f>
        <v>0</v>
      </c>
      <c r="K19" s="233">
        <f xml:space="preserve">
IF($A$4&lt;=12,SUMIFS('ON Data'!P:P,'ON Data'!$D:$D,$A$4,'ON Data'!$E:$E,9),SUMIFS('ON Data'!P:P,'ON Data'!$E:$E,9))</f>
        <v>0</v>
      </c>
      <c r="L19" s="233">
        <f xml:space="preserve">
IF($A$4&lt;=12,SUMIFS('ON Data'!Q:Q,'ON Data'!$D:$D,$A$4,'ON Data'!$E:$E,9),SUMIFS('ON Data'!Q:Q,'ON Data'!$E:$E,9))</f>
        <v>0</v>
      </c>
      <c r="M19" s="233">
        <f xml:space="preserve">
IF($A$4&lt;=12,SUMIFS('ON Data'!R:R,'ON Data'!$D:$D,$A$4,'ON Data'!$E:$E,9),SUMIFS('ON Data'!R:R,'ON Data'!$E:$E,9))</f>
        <v>0</v>
      </c>
      <c r="N19" s="233">
        <f xml:space="preserve">
IF($A$4&lt;=12,SUMIFS('ON Data'!S:S,'ON Data'!$D:$D,$A$4,'ON Data'!$E:$E,9),SUMIFS('ON Data'!S:S,'ON Data'!$E:$E,9))</f>
        <v>0</v>
      </c>
      <c r="O19" s="233">
        <f xml:space="preserve">
IF($A$4&lt;=12,SUMIFS('ON Data'!T:T,'ON Data'!$D:$D,$A$4,'ON Data'!$E:$E,9),SUMIFS('ON Data'!T:T,'ON Data'!$E:$E,9))</f>
        <v>0</v>
      </c>
      <c r="P19" s="233">
        <f xml:space="preserve">
IF($A$4&lt;=12,SUMIFS('ON Data'!U:U,'ON Data'!$D:$D,$A$4,'ON Data'!$E:$E,9),SUMIFS('ON Data'!U:U,'ON Data'!$E:$E,9))</f>
        <v>0</v>
      </c>
      <c r="Q19" s="233">
        <f xml:space="preserve">
IF($A$4&lt;=12,SUMIFS('ON Data'!V:V,'ON Data'!$D:$D,$A$4,'ON Data'!$E:$E,9),SUMIFS('ON Data'!V:V,'ON Data'!$E:$E,9))</f>
        <v>0</v>
      </c>
      <c r="R19" s="233">
        <f xml:space="preserve">
IF($A$4&lt;=12,SUMIFS('ON Data'!W:W,'ON Data'!$D:$D,$A$4,'ON Data'!$E:$E,9),SUMIFS('ON Data'!W:W,'ON Data'!$E:$E,9))</f>
        <v>10000</v>
      </c>
      <c r="S19" s="233">
        <f xml:space="preserve">
IF($A$4&lt;=12,SUMIFS('ON Data'!X:X,'ON Data'!$D:$D,$A$4,'ON Data'!$E:$E,9),SUMIFS('ON Data'!X:X,'ON Data'!$E:$E,9))</f>
        <v>0</v>
      </c>
      <c r="T19" s="233">
        <f xml:space="preserve">
IF($A$4&lt;=12,SUMIFS('ON Data'!Y:Y,'ON Data'!$D:$D,$A$4,'ON Data'!$E:$E,9),SUMIFS('ON Data'!Y:Y,'ON Data'!$E:$E,9))</f>
        <v>0</v>
      </c>
      <c r="U19" s="233">
        <f xml:space="preserve">
IF($A$4&lt;=12,SUMIFS('ON Data'!Z:Z,'ON Data'!$D:$D,$A$4,'ON Data'!$E:$E,9),SUMIFS('ON Data'!Z:Z,'ON Data'!$E:$E,9))</f>
        <v>0</v>
      </c>
      <c r="V19" s="233">
        <f xml:space="preserve">
IF($A$4&lt;=12,SUMIFS('ON Data'!AA:AA,'ON Data'!$D:$D,$A$4,'ON Data'!$E:$E,9),SUMIFS('ON Data'!AA:AA,'ON Data'!$E:$E,9))</f>
        <v>0</v>
      </c>
      <c r="W19" s="233">
        <f xml:space="preserve">
IF($A$4&lt;=12,SUMIFS('ON Data'!AB:AB,'ON Data'!$D:$D,$A$4,'ON Data'!$E:$E,9),SUMIFS('ON Data'!AB:AB,'ON Data'!$E:$E,9))</f>
        <v>0</v>
      </c>
      <c r="X19" s="233">
        <f xml:space="preserve">
IF($A$4&lt;=12,SUMIFS('ON Data'!AC:AC,'ON Data'!$D:$D,$A$4,'ON Data'!$E:$E,9),SUMIFS('ON Data'!AC:AC,'ON Data'!$E:$E,9))</f>
        <v>0</v>
      </c>
      <c r="Y19" s="233">
        <f xml:space="preserve">
IF($A$4&lt;=12,SUMIFS('ON Data'!AD:AD,'ON Data'!$D:$D,$A$4,'ON Data'!$E:$E,9),SUMIFS('ON Data'!AD:AD,'ON Data'!$E:$E,9))</f>
        <v>0</v>
      </c>
      <c r="Z19" s="233">
        <f xml:space="preserve">
IF($A$4&lt;=12,SUMIFS('ON Data'!AE:AE,'ON Data'!$D:$D,$A$4,'ON Data'!$E:$E,9),SUMIFS('ON Data'!AE:AE,'ON Data'!$E:$E,9))</f>
        <v>0</v>
      </c>
      <c r="AA19" s="233">
        <f xml:space="preserve">
IF($A$4&lt;=12,SUMIFS('ON Data'!AF:AF,'ON Data'!$D:$D,$A$4,'ON Data'!$E:$E,9),SUMIFS('ON Data'!AF:AF,'ON Data'!$E:$E,9))</f>
        <v>0</v>
      </c>
      <c r="AB19" s="233">
        <f xml:space="preserve">
IF($A$4&lt;=12,SUMIFS('ON Data'!AG:AG,'ON Data'!$D:$D,$A$4,'ON Data'!$E:$E,9),SUMIFS('ON Data'!AG:AG,'ON Data'!$E:$E,9))</f>
        <v>0</v>
      </c>
      <c r="AC19" s="233">
        <f xml:space="preserve">
IF($A$4&lt;=12,SUMIFS('ON Data'!AH:AH,'ON Data'!$D:$D,$A$4,'ON Data'!$E:$E,9),SUMIFS('ON Data'!AH:AH,'ON Data'!$E:$E,9))</f>
        <v>0</v>
      </c>
      <c r="AD19" s="233">
        <f xml:space="preserve">
IF($A$4&lt;=12,SUMIFS('ON Data'!AI:AI,'ON Data'!$D:$D,$A$4,'ON Data'!$E:$E,9),SUMIFS('ON Data'!AI:AI,'ON Data'!$E:$E,9))</f>
        <v>0</v>
      </c>
      <c r="AE19" s="233">
        <f xml:space="preserve">
IF($A$4&lt;=12,SUMIFS('ON Data'!AJ:AJ,'ON Data'!$D:$D,$A$4,'ON Data'!$E:$E,9),SUMIFS('ON Data'!AJ:AJ,'ON Data'!$E:$E,9))</f>
        <v>0</v>
      </c>
      <c r="AF19" s="233">
        <f xml:space="preserve">
IF($A$4&lt;=12,SUMIFS('ON Data'!AK:AK,'ON Data'!$D:$D,$A$4,'ON Data'!$E:$E,9),SUMIFS('ON Data'!AK:AK,'ON Data'!$E:$E,9))</f>
        <v>0</v>
      </c>
      <c r="AG19" s="233">
        <f xml:space="preserve">
IF($A$4&lt;=12,SUMIFS('ON Data'!AL:AL,'ON Data'!$D:$D,$A$4,'ON Data'!$E:$E,9),SUMIFS('ON Data'!AL:AL,'ON Data'!$E:$E,9))</f>
        <v>0</v>
      </c>
      <c r="AH19" s="380">
        <f xml:space="preserve">
IF($A$4&lt;=12,SUMIFS('ON Data'!AN:AN,'ON Data'!$D:$D,$A$4,'ON Data'!$E:$E,9),SUMIFS('ON Data'!AN:AN,'ON Data'!$E:$E,9))</f>
        <v>0</v>
      </c>
      <c r="AI19" s="387"/>
    </row>
    <row r="20" spans="1:35" ht="15" collapsed="1" thickBot="1" x14ac:dyDescent="0.35">
      <c r="A20" s="209" t="s">
        <v>50</v>
      </c>
      <c r="B20" s="234">
        <f xml:space="preserve">
IF($A$4&lt;=12,SUMIFS('ON Data'!F:F,'ON Data'!$D:$D,$A$4,'ON Data'!$E:$E,6),SUMIFS('ON Data'!F:F,'ON Data'!$E:$E,6))</f>
        <v>1675056</v>
      </c>
      <c r="C20" s="235">
        <f xml:space="preserve">
IF($A$4&lt;=12,SUMIFS('ON Data'!G:G,'ON Data'!$D:$D,$A$4,'ON Data'!$E:$E,6),SUMIFS('ON Data'!G:G,'ON Data'!$E:$E,6))</f>
        <v>0</v>
      </c>
      <c r="D20" s="236">
        <f xml:space="preserve">
IF($A$4&lt;=12,SUMIFS('ON Data'!H:H,'ON Data'!$D:$D,$A$4,'ON Data'!$E:$E,6),SUMIFS('ON Data'!H:H,'ON Data'!$E:$E,6))</f>
        <v>0</v>
      </c>
      <c r="E20" s="236">
        <f xml:space="preserve">
IF($A$4&lt;=12,SUMIFS('ON Data'!I:I,'ON Data'!$D:$D,$A$4,'ON Data'!$E:$E,6),SUMIFS('ON Data'!I:I,'ON Data'!$E:$E,6))</f>
        <v>0</v>
      </c>
      <c r="F20" s="236">
        <f xml:space="preserve">
IF($A$4&lt;=12,SUMIFS('ON Data'!K:K,'ON Data'!$D:$D,$A$4,'ON Data'!$E:$E,6),SUMIFS('ON Data'!K:K,'ON Data'!$E:$E,6))</f>
        <v>0</v>
      </c>
      <c r="G20" s="236">
        <f xml:space="preserve">
IF($A$4&lt;=12,SUMIFS('ON Data'!L:L,'ON Data'!$D:$D,$A$4,'ON Data'!$E:$E,6),SUMIFS('ON Data'!L:L,'ON Data'!$E:$E,6))</f>
        <v>0</v>
      </c>
      <c r="H20" s="236">
        <f xml:space="preserve">
IF($A$4&lt;=12,SUMIFS('ON Data'!M:M,'ON Data'!$D:$D,$A$4,'ON Data'!$E:$E,6),SUMIFS('ON Data'!M:M,'ON Data'!$E:$E,6))</f>
        <v>0</v>
      </c>
      <c r="I20" s="236">
        <f xml:space="preserve">
IF($A$4&lt;=12,SUMIFS('ON Data'!N:N,'ON Data'!$D:$D,$A$4,'ON Data'!$E:$E,6),SUMIFS('ON Data'!N:N,'ON Data'!$E:$E,6))</f>
        <v>0</v>
      </c>
      <c r="J20" s="236">
        <f xml:space="preserve">
IF($A$4&lt;=12,SUMIFS('ON Data'!O:O,'ON Data'!$D:$D,$A$4,'ON Data'!$E:$E,6),SUMIFS('ON Data'!O:O,'ON Data'!$E:$E,6))</f>
        <v>0</v>
      </c>
      <c r="K20" s="236">
        <f xml:space="preserve">
IF($A$4&lt;=12,SUMIFS('ON Data'!P:P,'ON Data'!$D:$D,$A$4,'ON Data'!$E:$E,6),SUMIFS('ON Data'!P:P,'ON Data'!$E:$E,6))</f>
        <v>0</v>
      </c>
      <c r="L20" s="236">
        <f xml:space="preserve">
IF($A$4&lt;=12,SUMIFS('ON Data'!Q:Q,'ON Data'!$D:$D,$A$4,'ON Data'!$E:$E,6),SUMIFS('ON Data'!Q:Q,'ON Data'!$E:$E,6))</f>
        <v>0</v>
      </c>
      <c r="M20" s="236">
        <f xml:space="preserve">
IF($A$4&lt;=12,SUMIFS('ON Data'!R:R,'ON Data'!$D:$D,$A$4,'ON Data'!$E:$E,6),SUMIFS('ON Data'!R:R,'ON Data'!$E:$E,6))</f>
        <v>0</v>
      </c>
      <c r="N20" s="236">
        <f xml:space="preserve">
IF($A$4&lt;=12,SUMIFS('ON Data'!S:S,'ON Data'!$D:$D,$A$4,'ON Data'!$E:$E,6),SUMIFS('ON Data'!S:S,'ON Data'!$E:$E,6))</f>
        <v>0</v>
      </c>
      <c r="O20" s="236">
        <f xml:space="preserve">
IF($A$4&lt;=12,SUMIFS('ON Data'!T:T,'ON Data'!$D:$D,$A$4,'ON Data'!$E:$E,6),SUMIFS('ON Data'!T:T,'ON Data'!$E:$E,6))</f>
        <v>0</v>
      </c>
      <c r="P20" s="236">
        <f xml:space="preserve">
IF($A$4&lt;=12,SUMIFS('ON Data'!U:U,'ON Data'!$D:$D,$A$4,'ON Data'!$E:$E,6),SUMIFS('ON Data'!U:U,'ON Data'!$E:$E,6))</f>
        <v>0</v>
      </c>
      <c r="Q20" s="236">
        <f xml:space="preserve">
IF($A$4&lt;=12,SUMIFS('ON Data'!V:V,'ON Data'!$D:$D,$A$4,'ON Data'!$E:$E,6),SUMIFS('ON Data'!V:V,'ON Data'!$E:$E,6))</f>
        <v>0</v>
      </c>
      <c r="R20" s="236">
        <f xml:space="preserve">
IF($A$4&lt;=12,SUMIFS('ON Data'!W:W,'ON Data'!$D:$D,$A$4,'ON Data'!$E:$E,6),SUMIFS('ON Data'!W:W,'ON Data'!$E:$E,6))</f>
        <v>1208962</v>
      </c>
      <c r="S20" s="236">
        <f xml:space="preserve">
IF($A$4&lt;=12,SUMIFS('ON Data'!X:X,'ON Data'!$D:$D,$A$4,'ON Data'!$E:$E,6),SUMIFS('ON Data'!X:X,'ON Data'!$E:$E,6))</f>
        <v>0</v>
      </c>
      <c r="T20" s="236">
        <f xml:space="preserve">
IF($A$4&lt;=12,SUMIFS('ON Data'!Y:Y,'ON Data'!$D:$D,$A$4,'ON Data'!$E:$E,6),SUMIFS('ON Data'!Y:Y,'ON Data'!$E:$E,6))</f>
        <v>0</v>
      </c>
      <c r="U20" s="236">
        <f xml:space="preserve">
IF($A$4&lt;=12,SUMIFS('ON Data'!Z:Z,'ON Data'!$D:$D,$A$4,'ON Data'!$E:$E,6),SUMIFS('ON Data'!Z:Z,'ON Data'!$E:$E,6))</f>
        <v>0</v>
      </c>
      <c r="V20" s="236">
        <f xml:space="preserve">
IF($A$4&lt;=12,SUMIFS('ON Data'!AA:AA,'ON Data'!$D:$D,$A$4,'ON Data'!$E:$E,6),SUMIFS('ON Data'!AA:AA,'ON Data'!$E:$E,6))</f>
        <v>0</v>
      </c>
      <c r="W20" s="236">
        <f xml:space="preserve">
IF($A$4&lt;=12,SUMIFS('ON Data'!AB:AB,'ON Data'!$D:$D,$A$4,'ON Data'!$E:$E,6),SUMIFS('ON Data'!AB:AB,'ON Data'!$E:$E,6))</f>
        <v>0</v>
      </c>
      <c r="X20" s="236">
        <f xml:space="preserve">
IF($A$4&lt;=12,SUMIFS('ON Data'!AC:AC,'ON Data'!$D:$D,$A$4,'ON Data'!$E:$E,6),SUMIFS('ON Data'!AC:AC,'ON Data'!$E:$E,6))</f>
        <v>0</v>
      </c>
      <c r="Y20" s="236">
        <f xml:space="preserve">
IF($A$4&lt;=12,SUMIFS('ON Data'!AD:AD,'ON Data'!$D:$D,$A$4,'ON Data'!$E:$E,6),SUMIFS('ON Data'!AD:AD,'ON Data'!$E:$E,6))</f>
        <v>0</v>
      </c>
      <c r="Z20" s="236">
        <f xml:space="preserve">
IF($A$4&lt;=12,SUMIFS('ON Data'!AE:AE,'ON Data'!$D:$D,$A$4,'ON Data'!$E:$E,6),SUMIFS('ON Data'!AE:AE,'ON Data'!$E:$E,6))</f>
        <v>0</v>
      </c>
      <c r="AA20" s="236">
        <f xml:space="preserve">
IF($A$4&lt;=12,SUMIFS('ON Data'!AF:AF,'ON Data'!$D:$D,$A$4,'ON Data'!$E:$E,6),SUMIFS('ON Data'!AF:AF,'ON Data'!$E:$E,6))</f>
        <v>0</v>
      </c>
      <c r="AB20" s="236">
        <f xml:space="preserve">
IF($A$4&lt;=12,SUMIFS('ON Data'!AG:AG,'ON Data'!$D:$D,$A$4,'ON Data'!$E:$E,6),SUMIFS('ON Data'!AG:AG,'ON Data'!$E:$E,6))</f>
        <v>0</v>
      </c>
      <c r="AC20" s="236">
        <f xml:space="preserve">
IF($A$4&lt;=12,SUMIFS('ON Data'!AH:AH,'ON Data'!$D:$D,$A$4,'ON Data'!$E:$E,6),SUMIFS('ON Data'!AH:AH,'ON Data'!$E:$E,6))</f>
        <v>0</v>
      </c>
      <c r="AD20" s="236">
        <f xml:space="preserve">
IF($A$4&lt;=12,SUMIFS('ON Data'!AI:AI,'ON Data'!$D:$D,$A$4,'ON Data'!$E:$E,6),SUMIFS('ON Data'!AI:AI,'ON Data'!$E:$E,6))</f>
        <v>0</v>
      </c>
      <c r="AE20" s="236">
        <f xml:space="preserve">
IF($A$4&lt;=12,SUMIFS('ON Data'!AJ:AJ,'ON Data'!$D:$D,$A$4,'ON Data'!$E:$E,6),SUMIFS('ON Data'!AJ:AJ,'ON Data'!$E:$E,6))</f>
        <v>385666</v>
      </c>
      <c r="AF20" s="236">
        <f xml:space="preserve">
IF($A$4&lt;=12,SUMIFS('ON Data'!AK:AK,'ON Data'!$D:$D,$A$4,'ON Data'!$E:$E,6),SUMIFS('ON Data'!AK:AK,'ON Data'!$E:$E,6))</f>
        <v>0</v>
      </c>
      <c r="AG20" s="236">
        <f xml:space="preserve">
IF($A$4&lt;=12,SUMIFS('ON Data'!AL:AL,'ON Data'!$D:$D,$A$4,'ON Data'!$E:$E,6),SUMIFS('ON Data'!AL:AL,'ON Data'!$E:$E,6))</f>
        <v>0</v>
      </c>
      <c r="AH20" s="381">
        <f xml:space="preserve">
IF($A$4&lt;=12,SUMIFS('ON Data'!AN:AN,'ON Data'!$D:$D,$A$4,'ON Data'!$E:$E,6),SUMIFS('ON Data'!AN:AN,'ON Data'!$E:$E,6))</f>
        <v>80428</v>
      </c>
      <c r="AI20" s="387"/>
    </row>
    <row r="21" spans="1:35" ht="15" hidden="1" outlineLevel="1" thickBot="1" x14ac:dyDescent="0.35">
      <c r="A21" s="202" t="s">
        <v>84</v>
      </c>
      <c r="B21" s="222">
        <f xml:space="preserve">
IF($A$4&lt;=12,SUMIFS('ON Data'!F:F,'ON Data'!$D:$D,$A$4,'ON Data'!$E:$E,12),SUMIFS('ON Data'!F:F,'ON Data'!$E:$E,12))</f>
        <v>0</v>
      </c>
      <c r="C21" s="223">
        <f xml:space="preserve">
IF($A$4&lt;=12,SUMIFS('ON Data'!G:G,'ON Data'!$D:$D,$A$4,'ON Data'!$E:$E,12),SUMIFS('ON Data'!G:G,'ON Data'!$E:$E,12))</f>
        <v>0</v>
      </c>
      <c r="D21" s="224">
        <f xml:space="preserve">
IF($A$4&lt;=12,SUMIFS('ON Data'!H:H,'ON Data'!$D:$D,$A$4,'ON Data'!$E:$E,12),SUMIFS('ON Data'!H:H,'ON Data'!$E:$E,12))</f>
        <v>0</v>
      </c>
      <c r="E21" s="224">
        <f xml:space="preserve">
IF($A$4&lt;=12,SUMIFS('ON Data'!I:I,'ON Data'!$D:$D,$A$4,'ON Data'!$E:$E,12),SUMIFS('ON Data'!I:I,'ON Data'!$E:$E,12))</f>
        <v>0</v>
      </c>
      <c r="F21" s="224">
        <f xml:space="preserve">
IF($A$4&lt;=12,SUMIFS('ON Data'!K:K,'ON Data'!$D:$D,$A$4,'ON Data'!$E:$E,12),SUMIFS('ON Data'!K:K,'ON Data'!$E:$E,12))</f>
        <v>0</v>
      </c>
      <c r="G21" s="224">
        <f xml:space="preserve">
IF($A$4&lt;=12,SUMIFS('ON Data'!L:L,'ON Data'!$D:$D,$A$4,'ON Data'!$E:$E,12),SUMIFS('ON Data'!L:L,'ON Data'!$E:$E,12))</f>
        <v>0</v>
      </c>
      <c r="H21" s="224">
        <f xml:space="preserve">
IF($A$4&lt;=12,SUMIFS('ON Data'!M:M,'ON Data'!$D:$D,$A$4,'ON Data'!$E:$E,12),SUMIFS('ON Data'!M:M,'ON Data'!$E:$E,12))</f>
        <v>0</v>
      </c>
      <c r="I21" s="224">
        <f xml:space="preserve">
IF($A$4&lt;=12,SUMIFS('ON Data'!N:N,'ON Data'!$D:$D,$A$4,'ON Data'!$E:$E,12),SUMIFS('ON Data'!N:N,'ON Data'!$E:$E,12))</f>
        <v>0</v>
      </c>
      <c r="J21" s="224">
        <f xml:space="preserve">
IF($A$4&lt;=12,SUMIFS('ON Data'!O:O,'ON Data'!$D:$D,$A$4,'ON Data'!$E:$E,12),SUMIFS('ON Data'!O:O,'ON Data'!$E:$E,12))</f>
        <v>0</v>
      </c>
      <c r="K21" s="224">
        <f xml:space="preserve">
IF($A$4&lt;=12,SUMIFS('ON Data'!P:P,'ON Data'!$D:$D,$A$4,'ON Data'!$E:$E,12),SUMIFS('ON Data'!P:P,'ON Data'!$E:$E,12))</f>
        <v>0</v>
      </c>
      <c r="L21" s="224">
        <f xml:space="preserve">
IF($A$4&lt;=12,SUMIFS('ON Data'!Q:Q,'ON Data'!$D:$D,$A$4,'ON Data'!$E:$E,12),SUMIFS('ON Data'!Q:Q,'ON Data'!$E:$E,12))</f>
        <v>0</v>
      </c>
      <c r="M21" s="224">
        <f xml:space="preserve">
IF($A$4&lt;=12,SUMIFS('ON Data'!R:R,'ON Data'!$D:$D,$A$4,'ON Data'!$E:$E,12),SUMIFS('ON Data'!R:R,'ON Data'!$E:$E,12))</f>
        <v>0</v>
      </c>
      <c r="N21" s="224">
        <f xml:space="preserve">
IF($A$4&lt;=12,SUMIFS('ON Data'!S:S,'ON Data'!$D:$D,$A$4,'ON Data'!$E:$E,12),SUMIFS('ON Data'!S:S,'ON Data'!$E:$E,12))</f>
        <v>0</v>
      </c>
      <c r="O21" s="224">
        <f xml:space="preserve">
IF($A$4&lt;=12,SUMIFS('ON Data'!T:T,'ON Data'!$D:$D,$A$4,'ON Data'!$E:$E,12),SUMIFS('ON Data'!T:T,'ON Data'!$E:$E,12))</f>
        <v>0</v>
      </c>
      <c r="P21" s="224">
        <f xml:space="preserve">
IF($A$4&lt;=12,SUMIFS('ON Data'!U:U,'ON Data'!$D:$D,$A$4,'ON Data'!$E:$E,12),SUMIFS('ON Data'!U:U,'ON Data'!$E:$E,12))</f>
        <v>0</v>
      </c>
      <c r="Q21" s="224">
        <f xml:space="preserve">
IF($A$4&lt;=12,SUMIFS('ON Data'!V:V,'ON Data'!$D:$D,$A$4,'ON Data'!$E:$E,12),SUMIFS('ON Data'!V:V,'ON Data'!$E:$E,12))</f>
        <v>0</v>
      </c>
      <c r="R21" s="224">
        <f xml:space="preserve">
IF($A$4&lt;=12,SUMIFS('ON Data'!W:W,'ON Data'!$D:$D,$A$4,'ON Data'!$E:$E,12),SUMIFS('ON Data'!W:W,'ON Data'!$E:$E,12))</f>
        <v>0</v>
      </c>
      <c r="S21" s="224">
        <f xml:space="preserve">
IF($A$4&lt;=12,SUMIFS('ON Data'!X:X,'ON Data'!$D:$D,$A$4,'ON Data'!$E:$E,12),SUMIFS('ON Data'!X:X,'ON Data'!$E:$E,12))</f>
        <v>0</v>
      </c>
      <c r="T21" s="224">
        <f xml:space="preserve">
IF($A$4&lt;=12,SUMIFS('ON Data'!Y:Y,'ON Data'!$D:$D,$A$4,'ON Data'!$E:$E,12),SUMIFS('ON Data'!Y:Y,'ON Data'!$E:$E,12))</f>
        <v>0</v>
      </c>
      <c r="U21" s="224">
        <f xml:space="preserve">
IF($A$4&lt;=12,SUMIFS('ON Data'!Z:Z,'ON Data'!$D:$D,$A$4,'ON Data'!$E:$E,12),SUMIFS('ON Data'!Z:Z,'ON Data'!$E:$E,12))</f>
        <v>0</v>
      </c>
      <c r="V21" s="224">
        <f xml:space="preserve">
IF($A$4&lt;=12,SUMIFS('ON Data'!AA:AA,'ON Data'!$D:$D,$A$4,'ON Data'!$E:$E,12),SUMIFS('ON Data'!AA:AA,'ON Data'!$E:$E,12))</f>
        <v>0</v>
      </c>
      <c r="W21" s="224">
        <f xml:space="preserve">
IF($A$4&lt;=12,SUMIFS('ON Data'!AB:AB,'ON Data'!$D:$D,$A$4,'ON Data'!$E:$E,12),SUMIFS('ON Data'!AB:AB,'ON Data'!$E:$E,12))</f>
        <v>0</v>
      </c>
      <c r="X21" s="224">
        <f xml:space="preserve">
IF($A$4&lt;=12,SUMIFS('ON Data'!AC:AC,'ON Data'!$D:$D,$A$4,'ON Data'!$E:$E,12),SUMIFS('ON Data'!AC:AC,'ON Data'!$E:$E,12))</f>
        <v>0</v>
      </c>
      <c r="Y21" s="224">
        <f xml:space="preserve">
IF($A$4&lt;=12,SUMIFS('ON Data'!AD:AD,'ON Data'!$D:$D,$A$4,'ON Data'!$E:$E,12),SUMIFS('ON Data'!AD:AD,'ON Data'!$E:$E,12))</f>
        <v>0</v>
      </c>
      <c r="Z21" s="224">
        <f xml:space="preserve">
IF($A$4&lt;=12,SUMIFS('ON Data'!AE:AE,'ON Data'!$D:$D,$A$4,'ON Data'!$E:$E,12),SUMIFS('ON Data'!AE:AE,'ON Data'!$E:$E,12))</f>
        <v>0</v>
      </c>
      <c r="AA21" s="224">
        <f xml:space="preserve">
IF($A$4&lt;=12,SUMIFS('ON Data'!AF:AF,'ON Data'!$D:$D,$A$4,'ON Data'!$E:$E,12),SUMIFS('ON Data'!AF:AF,'ON Data'!$E:$E,12))</f>
        <v>0</v>
      </c>
      <c r="AB21" s="224">
        <f xml:space="preserve">
IF($A$4&lt;=12,SUMIFS('ON Data'!AG:AG,'ON Data'!$D:$D,$A$4,'ON Data'!$E:$E,12),SUMIFS('ON Data'!AG:AG,'ON Data'!$E:$E,12))</f>
        <v>0</v>
      </c>
      <c r="AC21" s="224">
        <f xml:space="preserve">
IF($A$4&lt;=12,SUMIFS('ON Data'!AH:AH,'ON Data'!$D:$D,$A$4,'ON Data'!$E:$E,12),SUMIFS('ON Data'!AH:AH,'ON Data'!$E:$E,12))</f>
        <v>0</v>
      </c>
      <c r="AD21" s="224">
        <f xml:space="preserve">
IF($A$4&lt;=12,SUMIFS('ON Data'!AI:AI,'ON Data'!$D:$D,$A$4,'ON Data'!$E:$E,12),SUMIFS('ON Data'!AI:AI,'ON Data'!$E:$E,12))</f>
        <v>0</v>
      </c>
      <c r="AE21" s="224">
        <f xml:space="preserve">
IF($A$4&lt;=12,SUMIFS('ON Data'!AJ:AJ,'ON Data'!$D:$D,$A$4,'ON Data'!$E:$E,12),SUMIFS('ON Data'!AJ:AJ,'ON Data'!$E:$E,12))</f>
        <v>0</v>
      </c>
      <c r="AF21" s="224">
        <f xml:space="preserve">
IF($A$4&lt;=12,SUMIFS('ON Data'!AK:AK,'ON Data'!$D:$D,$A$4,'ON Data'!$E:$E,12),SUMIFS('ON Data'!AK:AK,'ON Data'!$E:$E,12))</f>
        <v>0</v>
      </c>
      <c r="AG21" s="224">
        <f xml:space="preserve">
IF($A$4&lt;=12,SUMIFS('ON Data'!AL:AL,'ON Data'!$D:$D,$A$4,'ON Data'!$E:$E,12),SUMIFS('ON Data'!AL:AL,'ON Data'!$E:$E,12))</f>
        <v>0</v>
      </c>
      <c r="AH21" s="377">
        <f xml:space="preserve">
IF($A$4&lt;=12,SUMIFS('ON Data'!AN:AN,'ON Data'!$D:$D,$A$4,'ON Data'!$E:$E,12),SUMIFS('ON Data'!AN:AN,'ON Data'!$E:$E,12))</f>
        <v>0</v>
      </c>
      <c r="AI21" s="387"/>
    </row>
    <row r="22" spans="1:35" ht="15" hidden="1" outlineLevel="1" thickBot="1" x14ac:dyDescent="0.35">
      <c r="A22" s="202" t="s">
        <v>52</v>
      </c>
      <c r="B22" s="267" t="str">
        <f xml:space="preserve">
IF(OR(B21="",B21=0),"",B20/B21)</f>
        <v/>
      </c>
      <c r="C22" s="268" t="str">
        <f t="shared" ref="C22:G22" si="2" xml:space="preserve">
IF(OR(C21="",C21=0),"",C20/C21)</f>
        <v/>
      </c>
      <c r="D22" s="269" t="str">
        <f t="shared" si="2"/>
        <v/>
      </c>
      <c r="E22" s="269" t="str">
        <f t="shared" si="2"/>
        <v/>
      </c>
      <c r="F22" s="269" t="str">
        <f t="shared" si="2"/>
        <v/>
      </c>
      <c r="G22" s="269" t="str">
        <f t="shared" si="2"/>
        <v/>
      </c>
      <c r="H22" s="269" t="str">
        <f t="shared" ref="H22:AH22" si="3" xml:space="preserve">
IF(OR(H21="",H21=0),"",H20/H21)</f>
        <v/>
      </c>
      <c r="I22" s="269" t="str">
        <f t="shared" si="3"/>
        <v/>
      </c>
      <c r="J22" s="269" t="str">
        <f t="shared" si="3"/>
        <v/>
      </c>
      <c r="K22" s="269" t="str">
        <f t="shared" si="3"/>
        <v/>
      </c>
      <c r="L22" s="269" t="str">
        <f t="shared" si="3"/>
        <v/>
      </c>
      <c r="M22" s="269" t="str">
        <f t="shared" si="3"/>
        <v/>
      </c>
      <c r="N22" s="269" t="str">
        <f t="shared" si="3"/>
        <v/>
      </c>
      <c r="O22" s="269" t="str">
        <f t="shared" si="3"/>
        <v/>
      </c>
      <c r="P22" s="269" t="str">
        <f t="shared" si="3"/>
        <v/>
      </c>
      <c r="Q22" s="269" t="str">
        <f t="shared" si="3"/>
        <v/>
      </c>
      <c r="R22" s="269" t="str">
        <f t="shared" si="3"/>
        <v/>
      </c>
      <c r="S22" s="269" t="str">
        <f t="shared" si="3"/>
        <v/>
      </c>
      <c r="T22" s="269" t="str">
        <f t="shared" si="3"/>
        <v/>
      </c>
      <c r="U22" s="269" t="str">
        <f t="shared" si="3"/>
        <v/>
      </c>
      <c r="V22" s="269" t="str">
        <f t="shared" si="3"/>
        <v/>
      </c>
      <c r="W22" s="269" t="str">
        <f t="shared" si="3"/>
        <v/>
      </c>
      <c r="X22" s="269" t="str">
        <f t="shared" si="3"/>
        <v/>
      </c>
      <c r="Y22" s="269" t="str">
        <f t="shared" si="3"/>
        <v/>
      </c>
      <c r="Z22" s="269" t="str">
        <f t="shared" si="3"/>
        <v/>
      </c>
      <c r="AA22" s="269" t="str">
        <f t="shared" si="3"/>
        <v/>
      </c>
      <c r="AB22" s="269" t="str">
        <f t="shared" si="3"/>
        <v/>
      </c>
      <c r="AC22" s="269" t="str">
        <f t="shared" si="3"/>
        <v/>
      </c>
      <c r="AD22" s="269" t="str">
        <f t="shared" si="3"/>
        <v/>
      </c>
      <c r="AE22" s="269" t="str">
        <f t="shared" si="3"/>
        <v/>
      </c>
      <c r="AF22" s="269" t="str">
        <f t="shared" si="3"/>
        <v/>
      </c>
      <c r="AG22" s="269" t="str">
        <f t="shared" si="3"/>
        <v/>
      </c>
      <c r="AH22" s="382" t="str">
        <f t="shared" si="3"/>
        <v/>
      </c>
      <c r="AI22" s="387"/>
    </row>
    <row r="23" spans="1:35" ht="15" hidden="1" outlineLevel="1" thickBot="1" x14ac:dyDescent="0.35">
      <c r="A23" s="210" t="s">
        <v>45</v>
      </c>
      <c r="B23" s="225">
        <f xml:space="preserve">
IF(B21="","",B20-B21)</f>
        <v>1675056</v>
      </c>
      <c r="C23" s="226">
        <f t="shared" ref="C23:G23" si="4" xml:space="preserve">
IF(C21="","",C20-C21)</f>
        <v>0</v>
      </c>
      <c r="D23" s="227">
        <f t="shared" si="4"/>
        <v>0</v>
      </c>
      <c r="E23" s="227">
        <f t="shared" si="4"/>
        <v>0</v>
      </c>
      <c r="F23" s="227">
        <f t="shared" si="4"/>
        <v>0</v>
      </c>
      <c r="G23" s="227">
        <f t="shared" si="4"/>
        <v>0</v>
      </c>
      <c r="H23" s="227">
        <f t="shared" ref="H23:AH23" si="5" xml:space="preserve">
IF(H21="","",H20-H21)</f>
        <v>0</v>
      </c>
      <c r="I23" s="227">
        <f t="shared" si="5"/>
        <v>0</v>
      </c>
      <c r="J23" s="227">
        <f t="shared" si="5"/>
        <v>0</v>
      </c>
      <c r="K23" s="227">
        <f t="shared" si="5"/>
        <v>0</v>
      </c>
      <c r="L23" s="227">
        <f t="shared" si="5"/>
        <v>0</v>
      </c>
      <c r="M23" s="227">
        <f t="shared" si="5"/>
        <v>0</v>
      </c>
      <c r="N23" s="227">
        <f t="shared" si="5"/>
        <v>0</v>
      </c>
      <c r="O23" s="227">
        <f t="shared" si="5"/>
        <v>0</v>
      </c>
      <c r="P23" s="227">
        <f t="shared" si="5"/>
        <v>0</v>
      </c>
      <c r="Q23" s="227">
        <f t="shared" si="5"/>
        <v>0</v>
      </c>
      <c r="R23" s="227">
        <f t="shared" si="5"/>
        <v>1208962</v>
      </c>
      <c r="S23" s="227">
        <f t="shared" si="5"/>
        <v>0</v>
      </c>
      <c r="T23" s="227">
        <f t="shared" si="5"/>
        <v>0</v>
      </c>
      <c r="U23" s="227">
        <f t="shared" si="5"/>
        <v>0</v>
      </c>
      <c r="V23" s="227">
        <f t="shared" si="5"/>
        <v>0</v>
      </c>
      <c r="W23" s="227">
        <f t="shared" si="5"/>
        <v>0</v>
      </c>
      <c r="X23" s="227">
        <f t="shared" si="5"/>
        <v>0</v>
      </c>
      <c r="Y23" s="227">
        <f t="shared" si="5"/>
        <v>0</v>
      </c>
      <c r="Z23" s="227">
        <f t="shared" si="5"/>
        <v>0</v>
      </c>
      <c r="AA23" s="227">
        <f t="shared" si="5"/>
        <v>0</v>
      </c>
      <c r="AB23" s="227">
        <f t="shared" si="5"/>
        <v>0</v>
      </c>
      <c r="AC23" s="227">
        <f t="shared" si="5"/>
        <v>0</v>
      </c>
      <c r="AD23" s="227">
        <f t="shared" si="5"/>
        <v>0</v>
      </c>
      <c r="AE23" s="227">
        <f t="shared" si="5"/>
        <v>385666</v>
      </c>
      <c r="AF23" s="227">
        <f t="shared" si="5"/>
        <v>0</v>
      </c>
      <c r="AG23" s="227">
        <f t="shared" si="5"/>
        <v>0</v>
      </c>
      <c r="AH23" s="378">
        <f t="shared" si="5"/>
        <v>80428</v>
      </c>
      <c r="AI23" s="387"/>
    </row>
    <row r="24" spans="1:35" x14ac:dyDescent="0.3">
      <c r="A24" s="204" t="s">
        <v>150</v>
      </c>
      <c r="B24" s="251" t="s">
        <v>3</v>
      </c>
      <c r="C24" s="388" t="s">
        <v>161</v>
      </c>
      <c r="D24" s="362"/>
      <c r="E24" s="363"/>
      <c r="F24" s="363" t="s">
        <v>162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83" t="s">
        <v>163</v>
      </c>
      <c r="AI24" s="387"/>
    </row>
    <row r="25" spans="1:35" x14ac:dyDescent="0.3">
      <c r="A25" s="205" t="s">
        <v>50</v>
      </c>
      <c r="B25" s="222">
        <f xml:space="preserve">
SUM(C25:AH25)</f>
        <v>500</v>
      </c>
      <c r="C25" s="389">
        <f xml:space="preserve">
IF($A$4&lt;=12,SUMIFS('ON Data'!H:H,'ON Data'!$D:$D,$A$4,'ON Data'!$E:$E,10),SUMIFS('ON Data'!H:H,'ON Data'!$E:$E,10))</f>
        <v>0</v>
      </c>
      <c r="D25" s="364"/>
      <c r="E25" s="365"/>
      <c r="F25" s="365">
        <f xml:space="preserve">
IF($A$4&lt;=12,SUMIFS('ON Data'!K:K,'ON Data'!$D:$D,$A$4,'ON Data'!$E:$E,10),SUMIFS('ON Data'!K:K,'ON Data'!$E:$E,10))</f>
        <v>500</v>
      </c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65"/>
      <c r="AH25" s="384">
        <f xml:space="preserve">
IF($A$4&lt;=12,SUMIFS('ON Data'!AN:AN,'ON Data'!$D:$D,$A$4,'ON Data'!$E:$E,10),SUMIFS('ON Data'!AN:AN,'ON Data'!$E:$E,10))</f>
        <v>0</v>
      </c>
      <c r="AI25" s="387"/>
    </row>
    <row r="26" spans="1:35" x14ac:dyDescent="0.3">
      <c r="A26" s="211" t="s">
        <v>160</v>
      </c>
      <c r="B26" s="231">
        <f xml:space="preserve">
SUM(C26:AH26)</f>
        <v>9333.3333333333339</v>
      </c>
      <c r="C26" s="389">
        <f xml:space="preserve">
IF($A$4&lt;=12,SUMIFS('ON Data'!H:H,'ON Data'!$D:$D,$A$4,'ON Data'!$E:$E,11),SUMIFS('ON Data'!H:H,'ON Data'!$E:$E,11))</f>
        <v>0</v>
      </c>
      <c r="D26" s="364"/>
      <c r="E26" s="365"/>
      <c r="F26" s="366">
        <f xml:space="preserve">
IF($A$4&lt;=12,SUMIFS('ON Data'!K:K,'ON Data'!$D:$D,$A$4,'ON Data'!$E:$E,11),SUMIFS('ON Data'!K:K,'ON Data'!$E:$E,11))</f>
        <v>9333.3333333333339</v>
      </c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84">
        <f xml:space="preserve">
IF($A$4&lt;=12,SUMIFS('ON Data'!AN:AN,'ON Data'!$D:$D,$A$4,'ON Data'!$E:$E,11),SUMIFS('ON Data'!AN:AN,'ON Data'!$E:$E,11))</f>
        <v>0</v>
      </c>
      <c r="AI26" s="387"/>
    </row>
    <row r="27" spans="1:35" x14ac:dyDescent="0.3">
      <c r="A27" s="211" t="s">
        <v>52</v>
      </c>
      <c r="B27" s="252">
        <f xml:space="preserve">
IF(B26=0,0,B25/B26)</f>
        <v>5.3571428571428568E-2</v>
      </c>
      <c r="C27" s="390">
        <f xml:space="preserve">
IF(C26=0,0,C25/C26)</f>
        <v>0</v>
      </c>
      <c r="D27" s="367"/>
      <c r="E27" s="368"/>
      <c r="F27" s="368">
        <f xml:space="preserve">
IF(F26=0,0,F25/F26)</f>
        <v>5.3571428571428568E-2</v>
      </c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8"/>
      <c r="AF27" s="368"/>
      <c r="AG27" s="368"/>
      <c r="AH27" s="385">
        <f xml:space="preserve">
IF(AH26=0,0,AH25/AH26)</f>
        <v>0</v>
      </c>
      <c r="AI27" s="387"/>
    </row>
    <row r="28" spans="1:35" ht="15" thickBot="1" x14ac:dyDescent="0.35">
      <c r="A28" s="211" t="s">
        <v>159</v>
      </c>
      <c r="B28" s="231">
        <f xml:space="preserve">
SUM(C28:AH28)</f>
        <v>8833.3333333333339</v>
      </c>
      <c r="C28" s="391">
        <f xml:space="preserve">
C26-C25</f>
        <v>0</v>
      </c>
      <c r="D28" s="369"/>
      <c r="E28" s="370"/>
      <c r="F28" s="370">
        <f xml:space="preserve">
F26-F25</f>
        <v>8833.3333333333339</v>
      </c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70"/>
      <c r="AH28" s="386">
        <f xml:space="preserve">
AH26-AH25</f>
        <v>0</v>
      </c>
      <c r="AI28" s="387"/>
    </row>
    <row r="29" spans="1:35" x14ac:dyDescent="0.3">
      <c r="A29" s="212"/>
      <c r="B29" s="212"/>
      <c r="C29" s="213"/>
      <c r="D29" s="212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2"/>
      <c r="AG29" s="212"/>
      <c r="AH29" s="212"/>
    </row>
    <row r="30" spans="1:35" x14ac:dyDescent="0.3">
      <c r="A30" s="85" t="s">
        <v>115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20"/>
    </row>
    <row r="31" spans="1:35" x14ac:dyDescent="0.3">
      <c r="A31" s="86" t="s">
        <v>157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20"/>
    </row>
    <row r="32" spans="1:35" ht="14.4" customHeight="1" x14ac:dyDescent="0.3">
      <c r="A32" s="248" t="s">
        <v>154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</row>
    <row r="33" spans="1:1" x14ac:dyDescent="0.3">
      <c r="A33" s="250" t="s">
        <v>164</v>
      </c>
    </row>
    <row r="34" spans="1:1" x14ac:dyDescent="0.3">
      <c r="A34" s="250" t="s">
        <v>165</v>
      </c>
    </row>
    <row r="35" spans="1:1" x14ac:dyDescent="0.3">
      <c r="A35" s="250" t="s">
        <v>166</v>
      </c>
    </row>
    <row r="36" spans="1:1" x14ac:dyDescent="0.3">
      <c r="A36" s="250" t="s">
        <v>167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2015-05-21T19:40:53Z</dcterms:modified>
</cp:coreProperties>
</file>