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Osobní náklady" sheetId="419" r:id="rId11"/>
    <sheet name="ON Data" sheetId="418" state="hidden" r:id="rId12"/>
    <sheet name="ZV Vykáz.-A" sheetId="344" r:id="rId13"/>
    <sheet name="ZV Vykáz.-A Lékaři" sheetId="429" r:id="rId14"/>
    <sheet name="ZV Vykáz.-A Detail" sheetId="345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4" hidden="1">'ZV Vykáz.-A Detail'!$A$5:$Q$5</definedName>
    <definedName name="_xlnm._FilterDatabase" localSheetId="13" hidden="1">'ZV Vykáz.-A Lékaři'!$A$4:$A$5</definedName>
    <definedName name="_xlnm._FilterDatabase" localSheetId="16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9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6" i="414"/>
  <c r="C13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Q3" i="377" l="1"/>
  <c r="F13" i="339"/>
  <c r="E13" i="339"/>
  <c r="E15" i="339" s="1"/>
  <c r="H12" i="339"/>
  <c r="G12" i="339"/>
  <c r="A4" i="383"/>
  <c r="A22" i="383"/>
  <c r="A21" i="383"/>
  <c r="A20" i="383"/>
  <c r="A18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<sst xmlns="http://schemas.openxmlformats.org/spreadsheetml/2006/main" count="1203" uniqueCount="488">
  <si>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</si>
  <si>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</si>
  <si>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</si>
  <si>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</si>
  <si>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</si>
  <si>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</si>
  <si>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</si>
  <si>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</si>
  <si>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</si>
  <si>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</si>
  <si>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</si>
  <si>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</si>
  <si>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</si>
  <si>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</si>
  <si>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</si>
  <si>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</si>
  <si>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</si>
  <si>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</si>
  <si>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</si>
  <si>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</si>
  <si>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</si>
  <si>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</si>
  <si>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</si>
  <si>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</si>
  <si>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</si>
  <si>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</si>
  <si>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</si>
  <si>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</si>
  <si>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</si>
  <si>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</si>
  <si>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</si>
  <si>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</si>
  <si>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</si>
  <si>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</si>
  <si>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</si>
  <si>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</si>
  <si>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</si>
  <si>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</si>
  <si>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</si>
  <si>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</si>
  <si>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</si>
  <si>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</si>
  <si>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</si>
  <si>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</si>
  <si>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</si>
  <si>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</si>
  <si>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</si>
  <si>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</si>
  <si>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</si>
  <si>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</si>
  <si>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</si>
  <si>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</si>
  <si>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</si>
  <si>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</si>
  <si>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</si>
  <si>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</si>
  <si>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</si>
  <si>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</si>
  <si>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</si>
  <si>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</si>
  <si>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</si>
  <si>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</si>
  <si>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</si>
  <si>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</si>
  <si>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</si>
  <si>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</si>
  <si>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</si>
  <si>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</si>
  <si>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</si>
  <si>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</si>
  <si>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</si>
  <si>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</si>
  <si>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</si>
  <si>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</si>
  <si>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</si>
  <si>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</si>
  <si>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</si>
  <si>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</si>
  <si>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</si>
  <si>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</si>
  <si>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</si>
  <si>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</si>
  <si>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</si>
  <si>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</si>
  <si>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</si>
  <si>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</si>
  <si>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</si>
  <si>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</si>
  <si>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</si>
  <si>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</si>
  <si>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</si>
  <si>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</si>
  <si>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</si>
  <si>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</si>
  <si>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</si>
  <si>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</si>
  <si>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</si>
  <si>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</si>
  <si>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</si>
  <si>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</si>
  <si>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</si>
  <si>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</si>
  <si>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</si>
  <si>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</si>
  <si>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</si>
  <si>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</si>
  <si>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</si>
  <si>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</si>
  <si>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</si>
  <si>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</si>
  <si>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</si>
  <si>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</si>
  <si>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</si>
  <si>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</si>
  <si>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</si>
  <si>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</si>
  <si>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</si>
  <si>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</si>
  <si>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</si>
  <si>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</si>
  <si>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</si>
  <si>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</si>
  <si>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</si>
  <si>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</si>
  <si>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</si>
  <si>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</si>
  <si>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</si>
  <si>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</si>
  <si>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</si>
  <si>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</si>
  <si>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</si>
  <si>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</si>
  <si>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</si>
  <si>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</si>
  <si>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</si>
  <si>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</si>
  <si>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</si>
  <si>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</si>
  <si>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</si>
  <si>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</si>
  <si>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</si>
  <si>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</si>
  <si>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</si>
  <si>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</si>
  <si>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</si>
  <si>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</si>
  <si>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</si>
  <si>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</si>
  <si>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</si>
  <si>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</si>
  <si>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</si>
  <si>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</si>
  <si>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</si>
  <si>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</si>
  <si>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</si>
  <si>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</si>
  <si>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</si>
  <si>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</si>
  <si>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</si>
  <si>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</si>
  <si>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</si>
  <si>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</si>
  <si>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</si>
  <si>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</si>
  <si>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</si>
  <si>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</si>
  <si>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</si>
  <si>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</si>
  <si>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</si>
  <si>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</si>
  <si>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</si>
  <si>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</si>
  <si>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</si>
  <si>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</si>
  <si>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</si>
  <si>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</si>
  <si>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</si>
  <si>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</si>
  <si>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</si>
  <si>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</si>
  <si>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</si>
  <si>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</si>
  <si>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</si>
  <si>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</si>
  <si>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</si>
  <si>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</si>
  <si>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</si>
  <si>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</si>
  <si>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</si>
  <si>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</si>
  <si>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</si>
  <si>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</si>
  <si>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</si>
  <si>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</si>
  <si>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</si>
  <si>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</si>
  <si>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</si>
  <si>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</si>
  <si>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</si>
  <si>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</si>
  <si>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</si>
  <si>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</si>
  <si>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</si>
  <si>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</si>
  <si>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</si>
  <si>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</si>
  <si>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</si>
  <si>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</si>
  <si>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</si>
  <si>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</si>
  <si>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</si>
  <si>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</si>
  <si>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</si>
  <si>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</si>
  <si>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</si>
  <si>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</si>
  <si>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</si>
  <si>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</si>
  <si>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</si>
  <si>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</si>
  <si>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</si>
  <si>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</si>
  <si>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</si>
  <si>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</si>
  <si>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</si>
  <si>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</si>
  <si>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</si>
  <si>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</si>
  <si>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</si>
  <si>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</si>
  <si>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</si>
  <si>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</si>
  <si>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</si>
  <si>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</si>
  <si>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</si>
  <si>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</si>
  <si>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</si>
  <si>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</si>
  <si>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</si>
  <si>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</si>
  <si>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</si>
  <si>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</si>
  <si>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</si>
  <si>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</si>
  <si>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</si>
  <si>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</si>
  <si>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</si>
  <si>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</si>
  <si>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</si>
  <si>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</si>
  <si>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</si>
  <si>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</si>
  <si>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</si>
  <si>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</si>
  <si>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</si>
  <si>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50115050     obvazový materiál (sk.Z_502)</t>
  </si>
  <si>
    <t>50115060     ostatní ZPr - mimo níže uvedené (sk.Z_503)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</si>
  <si>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</si>
  <si>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</si>
  <si>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</si>
  <si>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</si>
  <si>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</si>
  <si>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</si>
  <si>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</si>
  <si>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</si>
  <si>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</si>
  <si>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</si>
  <si>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</si>
  <si>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</si>
  <si>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</si>
  <si>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</si>
  <si>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</si>
  <si>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</si>
  <si>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</si>
  <si>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</si>
  <si>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51102022     opravy - Úsek inf.systémů</t>
  </si>
  <si>
    <t>--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</si>
  <si>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</si>
  <si>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</si>
  <si>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</si>
  <si>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</si>
  <si>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</si>
  <si>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</si>
  <si>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</si>
  <si>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</si>
  <si>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</si>
  <si>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</si>
  <si>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</si>
  <si>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</si>
  <si>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</si>
  <si>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</si>
  <si>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</si>
  <si>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</si>
  <si>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</si>
  <si>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</si>
  <si>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</si>
  <si>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</si>
  <si>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</si>
  <si>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</si>
  <si>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</si>
  <si>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</si>
  <si>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</si>
  <si>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</si>
  <si>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</si>
  <si>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</si>
  <si>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</si>
  <si>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</si>
  <si>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</si>
  <si>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</si>
  <si>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</si>
  <si>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</si>
  <si>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</si>
  <si>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</si>
  <si>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</si>
  <si>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</si>
  <si>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</si>
  <si>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</si>
  <si>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</si>
  <si>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</si>
  <si>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</si>
  <si>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</si>
  <si>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</si>
  <si>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</si>
  <si>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</si>
  <si>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</si>
  <si>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</si>
  <si>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</si>
  <si>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</si>
  <si>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</si>
  <si>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</si>
  <si>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</si>
  <si>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</si>
  <si>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</si>
  <si>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</si>
  <si>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</si>
  <si>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</si>
  <si>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</si>
  <si>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</si>
  <si>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</si>
  <si>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</si>
  <si>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</si>
  <si>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</si>
  <si>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</si>
  <si>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</si>
  <si>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</si>
  <si>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64924446     Teoretické ústavy - poplatky za vjezd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</si>
  <si>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</si>
  <si>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</si>
  <si>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</si>
  <si>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</si>
  <si>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</si>
  <si>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</si>
  <si>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</si>
  <si>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</si>
  <si>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79903003     výkony dopravy - nákladní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</si>
  <si>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</si>
  <si>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</si>
  <si>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</si>
  <si>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</si>
  <si>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</si>
  <si>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</si>
  <si>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</si>
  <si>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Oddělení klinické psychologie</t>
  </si>
  <si>
    <t/>
  </si>
  <si>
    <t>Oddělení klinické psychologie Celkem</t>
  </si>
  <si>
    <t>SumaKL</t>
  </si>
  <si>
    <t>3921</t>
  </si>
  <si>
    <t>ambulance - odborná poradna</t>
  </si>
  <si>
    <t>ambulance - odborná poradna Celkem</t>
  </si>
  <si>
    <t>SumaNS</t>
  </si>
  <si>
    <t>mezeraNS</t>
  </si>
  <si>
    <t>50113001</t>
  </si>
  <si>
    <t>O</t>
  </si>
  <si>
    <t>900240</t>
  </si>
  <si>
    <t>DZ TRIXO LIND 500ML</t>
  </si>
  <si>
    <t>Oddělení klinické psychologie, ambulance - odborná</t>
  </si>
  <si>
    <t>Lékárna - léčiva</t>
  </si>
  <si>
    <t>39 - Oddělení klinické psychologie</t>
  </si>
  <si>
    <t>3921 - ambulance - odborná poradna</t>
  </si>
  <si>
    <t>ON Data</t>
  </si>
  <si>
    <t>901 - Pracoviště klinické psychologie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</si>
  <si>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</si>
  <si>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</si>
  <si>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</si>
  <si>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</si>
  <si>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</si>
  <si>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Dařílková Naděžda</t>
  </si>
  <si>
    <t>Dlabačová Marie</t>
  </si>
  <si>
    <t>Halířová Monika</t>
  </si>
  <si>
    <t>Hradilová Michaela</t>
  </si>
  <si>
    <t>Hubáčková Lia</t>
  </si>
  <si>
    <t>Kasalová Petra</t>
  </si>
  <si>
    <t>Kolářová Jana</t>
  </si>
  <si>
    <t>Kreiselová Silvie</t>
  </si>
  <si>
    <t>Kubíček Zdenek</t>
  </si>
  <si>
    <t>Machová Karolína</t>
  </si>
  <si>
    <t>Svozilová Simona</t>
  </si>
  <si>
    <t>Škrobánková Alexandra</t>
  </si>
  <si>
    <t>Šmídová Magdaléna</t>
  </si>
  <si>
    <t>Štecková Tereza</t>
  </si>
  <si>
    <t>Tenglerová Petra</t>
  </si>
  <si>
    <t>Zdravotní výkony vykázané na pracovišti v rámci ambulantní péče dle lékařů *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</si>
  <si>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</si>
  <si>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</si>
  <si>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</si>
  <si>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</si>
  <si>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</si>
  <si>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</si>
  <si>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</si>
  <si>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</si>
  <si>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</si>
  <si>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</si>
  <si>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</si>
  <si>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</si>
  <si>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37115</t>
  </si>
  <si>
    <t>KRIZOVÁ INTERVENCE(Á 30 MINUT)</t>
  </si>
  <si>
    <t>09547</t>
  </si>
  <si>
    <t>REGULAČNÍ POPLATEK -- POJIŠTĚNEC OD ÚHRADY POPLATK</t>
  </si>
  <si>
    <t>09543</t>
  </si>
  <si>
    <t>SIGNÁLNÍ VÝKON KLINICKÉHO VYŠETŘENÍ / DO 31.12.201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</si>
  <si>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</si>
  <si>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</si>
  <si>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</si>
  <si>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</si>
  <si>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</si>
  <si>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</si>
  <si>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</si>
  <si>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</si>
  <si>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</si>
  <si>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</si>
  <si>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</si>
  <si>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</si>
  <si>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</si>
  <si>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</si>
  <si>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</si>
  <si>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</si>
  <si>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</si>
  <si>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</si>
  <si>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</si>
  <si>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</si>
  <si>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</si>
  <si>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</si>
  <si>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</si>
  <si>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</si>
  <si>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</si>
  <si>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</si>
  <si>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</si>
  <si>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</si>
  <si>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</si>
  <si>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</si>
  <si>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</si>
  <si>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</si>
  <si>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</si>
  <si>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</si>
  <si>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</si>
  <si>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</si>
  <si>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</si>
  <si>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</si>
  <si>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</si>
  <si>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</si>
  <si>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</si>
  <si>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</si>
  <si>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</si>
  <si>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</si>
  <si>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</si>
  <si>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</si>
  <si>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</si>
  <si>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</si>
  <si>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</si>
  <si>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</si>
  <si>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</si>
  <si>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</si>
  <si>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</si>
  <si>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</si>
  <si>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</si>
  <si>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</si>
  <si>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</si>
  <si>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</si>
  <si>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37125</t>
  </si>
  <si>
    <t>EMERGENTNÍ PSYCHOTERAPIE Á 60 MINUT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</si>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</sst>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9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19" xfId="0" applyFont="1" applyFill="1" applyBorder="1"/>
    <xf numFmtId="0" fontId="32" fillId="0" borderId="27" xfId="0" applyFont="1" applyFill="1" applyBorder="1"/>
    <xf numFmtId="164" fontId="32" fillId="0" borderId="27" xfId="0" applyNumberFormat="1" applyFont="1" applyFill="1" applyBorder="1"/>
    <xf numFmtId="164" fontId="32" fillId="0" borderId="27" xfId="0" applyNumberFormat="1" applyFont="1" applyFill="1" applyBorder="1" applyAlignment="1">
      <alignment horizontal="right"/>
    </xf>
    <xf numFmtId="3" fontId="32" fillId="0" borderId="27" xfId="0" applyNumberFormat="1" applyFont="1" applyFill="1" applyBorder="1"/>
    <xf numFmtId="3" fontId="32" fillId="0" borderId="20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3" fontId="32" fillId="0" borderId="64" xfId="0" applyNumberFormat="1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3" fontId="32" fillId="0" borderId="67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0" fontId="32" fillId="0" borderId="63" xfId="0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0" fontId="32" fillId="0" borderId="66" xfId="0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73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4" xfId="0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7" xfId="0" applyFont="1" applyFill="1" applyBorder="1"/>
    <xf numFmtId="9" fontId="32" fillId="0" borderId="75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0.5841930611945183</c:v>
                </c:pt>
                <c:pt idx="1">
                  <c:v>0.57434410612415743</c:v>
                </c:pt>
                <c:pt idx="2">
                  <c:v>0.5957562760714985</c:v>
                </c:pt>
                <c:pt idx="3">
                  <c:v>0.61898206044477888</c:v>
                </c:pt>
                <c:pt idx="4">
                  <c:v>0.62377542527794128</c:v>
                </c:pt>
                <c:pt idx="5">
                  <c:v>0.63218261497127703</c:v>
                </c:pt>
                <c:pt idx="6">
                  <c:v>0.57847359412007515</c:v>
                </c:pt>
                <c:pt idx="7">
                  <c:v>0.55042248986426245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932544"/>
        <c:axId val="-2079287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0.48108682295260768</c:v>
                </c:pt>
                <c:pt idx="1">
                  <c:v>0.48108682295260768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927648"/>
        <c:axId val="-207926016"/>
      </c:scatterChart>
      <c:catAx>
        <c:axId val="-20793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792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928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7932544"/>
        <c:crosses val="autoZero"/>
        <c:crossBetween val="between"/>
      </c:valAx>
      <c:valAx>
        <c:axId val="-2079276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7926016"/>
        <c:crosses val="max"/>
        <c:crossBetween val="midCat"/>
      </c:valAx>
      <c:valAx>
        <c:axId val="-2079260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79276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2" t="s">
        <v>94</v>
      </c>
      <c r="B1" s="292"/>
    </row>
    <row r="2" spans="1:3" ht="14.4" customHeight="1" thickBot="1" x14ac:dyDescent="0.35">
      <c r="A2" s="201" t="s">
        <v>246</v>
      </c>
      <c r="B2" s="41"/>
    </row>
    <row r="3" spans="1:3" ht="14.4" customHeight="1" thickBot="1" x14ac:dyDescent="0.35">
      <c r="A3" s="288" t="s">
        <v>116</v>
      </c>
      <c r="B3" s="289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248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0" t="s">
        <v>95</v>
      </c>
      <c r="B10" s="289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100</v>
      </c>
    </row>
    <row r="12" spans="1:3" ht="14.4" customHeight="1" x14ac:dyDescent="0.3">
      <c r="A12" s="119" t="str">
        <f t="shared" ref="A12:A15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19" t="str">
        <f t="shared" si="2"/>
        <v>LŽ Statim</v>
      </c>
      <c r="B13" s="275" t="s">
        <v>209</v>
      </c>
      <c r="C13" s="42" t="s">
        <v>219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102</v>
      </c>
    </row>
    <row r="15" spans="1:3" ht="14.4" customHeight="1" thickBot="1" x14ac:dyDescent="0.35">
      <c r="A15" s="121" t="str">
        <f t="shared" si="2"/>
        <v>Osobní náklady</v>
      </c>
      <c r="B15" s="66" t="s">
        <v>92</v>
      </c>
      <c r="C15" s="42" t="s">
        <v>103</v>
      </c>
    </row>
    <row r="16" spans="1:3" ht="14.4" customHeight="1" thickBot="1" x14ac:dyDescent="0.35">
      <c r="A16" s="69"/>
      <c r="B16" s="69"/>
    </row>
    <row r="17" spans="1:3" ht="14.4" customHeight="1" thickBot="1" x14ac:dyDescent="0.35">
      <c r="A17" s="291" t="s">
        <v>96</v>
      </c>
      <c r="B17" s="289"/>
    </row>
    <row r="18" spans="1:3" ht="14.4" customHeight="1" x14ac:dyDescent="0.3">
      <c r="A18" s="122" t="str">
        <f t="shared" ref="A18:A22" si="4">HYPERLINK("#'"&amp;C18&amp;"'!A1",C18)</f>
        <v>ZV Vykáz.-A</v>
      </c>
      <c r="B18" s="65" t="s">
        <v>381</v>
      </c>
      <c r="C18" s="42" t="s">
        <v>106</v>
      </c>
    </row>
    <row r="19" spans="1:3" ht="14.4" customHeight="1" x14ac:dyDescent="0.3">
      <c r="A19" s="119" t="str">
        <f t="shared" ref="A19" si="5">HYPERLINK("#'"&amp;C19&amp;"'!A1",C19)</f>
        <v>ZV Vykáz.-A Lékaři</v>
      </c>
      <c r="B19" s="66" t="s">
        <v>401</v>
      </c>
      <c r="C19" s="42" t="s">
        <v>222</v>
      </c>
    </row>
    <row r="20" spans="1:3" ht="14.4" customHeight="1" x14ac:dyDescent="0.3">
      <c r="A20" s="119" t="str">
        <f t="shared" si="4"/>
        <v>ZV Vykáz.-A Detail</v>
      </c>
      <c r="B20" s="66" t="s">
        <v>432</v>
      </c>
      <c r="C20" s="42" t="s">
        <v>107</v>
      </c>
    </row>
    <row r="21" spans="1:3" ht="14.4" customHeight="1" x14ac:dyDescent="0.3">
      <c r="A21" s="119" t="str">
        <f t="shared" si="4"/>
        <v>ZV Vykáz.-H</v>
      </c>
      <c r="B21" s="66" t="s">
        <v>110</v>
      </c>
      <c r="C21" s="42" t="s">
        <v>108</v>
      </c>
    </row>
    <row r="22" spans="1:3" ht="14.4" customHeight="1" x14ac:dyDescent="0.3">
      <c r="A22" s="119" t="str">
        <f t="shared" si="4"/>
        <v>ZV Vykáz.-H Detail</v>
      </c>
      <c r="B22" s="66" t="s">
        <v>487</v>
      </c>
      <c r="C22" s="42" t="s">
        <v>109</v>
      </c>
    </row>
  </sheetData>
  <mergeCells count="4">
    <mergeCell ref="A3:B3"/>
    <mergeCell ref="A10:B10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0" customWidth="1"/>
    <col min="2" max="2" width="61.109375" style="180" customWidth="1"/>
    <col min="3" max="3" width="9.5546875" style="105" customWidth="1"/>
    <col min="4" max="4" width="9.5546875" style="181" customWidth="1"/>
    <col min="5" max="5" width="2.21875" style="181" customWidth="1"/>
    <col min="6" max="6" width="9.5546875" style="182" customWidth="1"/>
    <col min="7" max="7" width="9.5546875" style="179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1" t="s">
        <v>115</v>
      </c>
      <c r="B1" s="322"/>
      <c r="C1" s="322"/>
      <c r="D1" s="322"/>
      <c r="E1" s="322"/>
      <c r="F1" s="322"/>
      <c r="G1" s="293"/>
      <c r="H1" s="323"/>
      <c r="I1" s="323"/>
    </row>
    <row r="2" spans="1:10" ht="14.4" customHeight="1" thickBot="1" x14ac:dyDescent="0.35">
      <c r="A2" s="201" t="s">
        <v>246</v>
      </c>
      <c r="B2" s="178"/>
      <c r="C2" s="178"/>
      <c r="D2" s="178"/>
      <c r="E2" s="178"/>
      <c r="F2" s="178"/>
    </row>
    <row r="3" spans="1:10" ht="14.4" customHeight="1" thickBot="1" x14ac:dyDescent="0.35">
      <c r="A3" s="201"/>
      <c r="B3" s="178"/>
      <c r="C3" s="259">
        <v>2013</v>
      </c>
      <c r="D3" s="260">
        <v>2014</v>
      </c>
      <c r="E3" s="7"/>
      <c r="F3" s="316">
        <v>2015</v>
      </c>
      <c r="G3" s="317"/>
      <c r="H3" s="317"/>
      <c r="I3" s="318"/>
    </row>
    <row r="4" spans="1:10" ht="14.4" customHeight="1" thickBot="1" x14ac:dyDescent="0.35">
      <c r="A4" s="264" t="s">
        <v>0</v>
      </c>
      <c r="B4" s="265" t="s">
        <v>208</v>
      </c>
      <c r="C4" s="319" t="s">
        <v>59</v>
      </c>
      <c r="D4" s="320"/>
      <c r="E4" s="266"/>
      <c r="F4" s="261" t="s">
        <v>59</v>
      </c>
      <c r="G4" s="262" t="s">
        <v>60</v>
      </c>
      <c r="H4" s="262" t="s">
        <v>54</v>
      </c>
      <c r="I4" s="263" t="s">
        <v>61</v>
      </c>
    </row>
    <row r="5" spans="1:10" ht="14.4" customHeight="1" x14ac:dyDescent="0.3">
      <c r="A5" s="388" t="s">
        <v>361</v>
      </c>
      <c r="B5" s="389" t="s">
        <v>362</v>
      </c>
      <c r="C5" s="390" t="s">
        <v>363</v>
      </c>
      <c r="D5" s="390" t="s">
        <v>363</v>
      </c>
      <c r="E5" s="390"/>
      <c r="F5" s="390" t="s">
        <v>363</v>
      </c>
      <c r="G5" s="390" t="s">
        <v>363</v>
      </c>
      <c r="H5" s="390" t="s">
        <v>363</v>
      </c>
      <c r="I5" s="391" t="s">
        <v>363</v>
      </c>
      <c r="J5" s="392" t="s">
        <v>55</v>
      </c>
    </row>
    <row r="6" spans="1:10" ht="14.4" customHeight="1" x14ac:dyDescent="0.3">
      <c r="A6" s="388" t="s">
        <v>361</v>
      </c>
      <c r="B6" s="389" t="s">
        <v>255</v>
      </c>
      <c r="C6" s="390">
        <v>0.18515999999999999</v>
      </c>
      <c r="D6" s="390">
        <v>0</v>
      </c>
      <c r="E6" s="390"/>
      <c r="F6" s="390" t="s">
        <v>363</v>
      </c>
      <c r="G6" s="390" t="s">
        <v>363</v>
      </c>
      <c r="H6" s="390" t="s">
        <v>363</v>
      </c>
      <c r="I6" s="391" t="s">
        <v>363</v>
      </c>
      <c r="J6" s="392" t="s">
        <v>1</v>
      </c>
    </row>
    <row r="7" spans="1:10" ht="14.4" customHeight="1" x14ac:dyDescent="0.3">
      <c r="A7" s="388" t="s">
        <v>361</v>
      </c>
      <c r="B7" s="389" t="s">
        <v>256</v>
      </c>
      <c r="C7" s="390">
        <v>4.6379999999999998E-2</v>
      </c>
      <c r="D7" s="390">
        <v>0</v>
      </c>
      <c r="E7" s="390"/>
      <c r="F7" s="390" t="s">
        <v>363</v>
      </c>
      <c r="G7" s="390" t="s">
        <v>363</v>
      </c>
      <c r="H7" s="390" t="s">
        <v>363</v>
      </c>
      <c r="I7" s="391" t="s">
        <v>363</v>
      </c>
      <c r="J7" s="392" t="s">
        <v>1</v>
      </c>
    </row>
    <row r="8" spans="1:10" ht="14.4" customHeight="1" x14ac:dyDescent="0.3">
      <c r="A8" s="388" t="s">
        <v>361</v>
      </c>
      <c r="B8" s="389" t="s">
        <v>364</v>
      </c>
      <c r="C8" s="390">
        <v>0.23154</v>
      </c>
      <c r="D8" s="390">
        <v>0</v>
      </c>
      <c r="E8" s="390"/>
      <c r="F8" s="390" t="s">
        <v>363</v>
      </c>
      <c r="G8" s="390" t="s">
        <v>363</v>
      </c>
      <c r="H8" s="390" t="s">
        <v>363</v>
      </c>
      <c r="I8" s="391" t="s">
        <v>363</v>
      </c>
      <c r="J8" s="392" t="s">
        <v>365</v>
      </c>
    </row>
    <row r="10" spans="1:10" ht="14.4" customHeight="1" x14ac:dyDescent="0.3">
      <c r="A10" s="388" t="s">
        <v>361</v>
      </c>
      <c r="B10" s="389" t="s">
        <v>362</v>
      </c>
      <c r="C10" s="390" t="s">
        <v>363</v>
      </c>
      <c r="D10" s="390" t="s">
        <v>363</v>
      </c>
      <c r="E10" s="390"/>
      <c r="F10" s="390" t="s">
        <v>363</v>
      </c>
      <c r="G10" s="390" t="s">
        <v>363</v>
      </c>
      <c r="H10" s="390" t="s">
        <v>363</v>
      </c>
      <c r="I10" s="391" t="s">
        <v>363</v>
      </c>
      <c r="J10" s="392" t="s">
        <v>55</v>
      </c>
    </row>
    <row r="11" spans="1:10" ht="14.4" customHeight="1" x14ac:dyDescent="0.3">
      <c r="A11" s="388" t="s">
        <v>366</v>
      </c>
      <c r="B11" s="389" t="s">
        <v>367</v>
      </c>
      <c r="C11" s="390" t="s">
        <v>363</v>
      </c>
      <c r="D11" s="390" t="s">
        <v>363</v>
      </c>
      <c r="E11" s="390"/>
      <c r="F11" s="390" t="s">
        <v>363</v>
      </c>
      <c r="G11" s="390" t="s">
        <v>363</v>
      </c>
      <c r="H11" s="390" t="s">
        <v>363</v>
      </c>
      <c r="I11" s="391" t="s">
        <v>363</v>
      </c>
      <c r="J11" s="392" t="s">
        <v>0</v>
      </c>
    </row>
    <row r="12" spans="1:10" ht="14.4" customHeight="1" x14ac:dyDescent="0.3">
      <c r="A12" s="388" t="s">
        <v>366</v>
      </c>
      <c r="B12" s="389" t="s">
        <v>255</v>
      </c>
      <c r="C12" s="390">
        <v>0.18515999999999999</v>
      </c>
      <c r="D12" s="390">
        <v>0</v>
      </c>
      <c r="E12" s="390"/>
      <c r="F12" s="390" t="s">
        <v>363</v>
      </c>
      <c r="G12" s="390" t="s">
        <v>363</v>
      </c>
      <c r="H12" s="390" t="s">
        <v>363</v>
      </c>
      <c r="I12" s="391" t="s">
        <v>363</v>
      </c>
      <c r="J12" s="392" t="s">
        <v>1</v>
      </c>
    </row>
    <row r="13" spans="1:10" ht="14.4" customHeight="1" x14ac:dyDescent="0.3">
      <c r="A13" s="388" t="s">
        <v>366</v>
      </c>
      <c r="B13" s="389" t="s">
        <v>256</v>
      </c>
      <c r="C13" s="390">
        <v>4.6379999999999998E-2</v>
      </c>
      <c r="D13" s="390">
        <v>0</v>
      </c>
      <c r="E13" s="390"/>
      <c r="F13" s="390" t="s">
        <v>363</v>
      </c>
      <c r="G13" s="390" t="s">
        <v>363</v>
      </c>
      <c r="H13" s="390" t="s">
        <v>363</v>
      </c>
      <c r="I13" s="391" t="s">
        <v>363</v>
      </c>
      <c r="J13" s="392" t="s">
        <v>1</v>
      </c>
    </row>
    <row r="14" spans="1:10" ht="14.4" customHeight="1" x14ac:dyDescent="0.3">
      <c r="A14" s="388" t="s">
        <v>366</v>
      </c>
      <c r="B14" s="389" t="s">
        <v>368</v>
      </c>
      <c r="C14" s="390">
        <v>0.23154</v>
      </c>
      <c r="D14" s="390">
        <v>0</v>
      </c>
      <c r="E14" s="390"/>
      <c r="F14" s="390" t="s">
        <v>363</v>
      </c>
      <c r="G14" s="390" t="s">
        <v>363</v>
      </c>
      <c r="H14" s="390" t="s">
        <v>363</v>
      </c>
      <c r="I14" s="391" t="s">
        <v>363</v>
      </c>
      <c r="J14" s="392" t="s">
        <v>369</v>
      </c>
    </row>
    <row r="15" spans="1:10" ht="14.4" customHeight="1" x14ac:dyDescent="0.3">
      <c r="A15" s="388" t="s">
        <v>363</v>
      </c>
      <c r="B15" s="389" t="s">
        <v>363</v>
      </c>
      <c r="C15" s="390" t="s">
        <v>363</v>
      </c>
      <c r="D15" s="390" t="s">
        <v>363</v>
      </c>
      <c r="E15" s="390"/>
      <c r="F15" s="390" t="s">
        <v>363</v>
      </c>
      <c r="G15" s="390" t="s">
        <v>363</v>
      </c>
      <c r="H15" s="390" t="s">
        <v>363</v>
      </c>
      <c r="I15" s="391" t="s">
        <v>363</v>
      </c>
      <c r="J15" s="392" t="s">
        <v>370</v>
      </c>
    </row>
    <row r="16" spans="1:10" ht="14.4" customHeight="1" x14ac:dyDescent="0.3">
      <c r="A16" s="388" t="s">
        <v>361</v>
      </c>
      <c r="B16" s="389" t="s">
        <v>364</v>
      </c>
      <c r="C16" s="390">
        <v>0.23154</v>
      </c>
      <c r="D16" s="390">
        <v>0</v>
      </c>
      <c r="E16" s="390"/>
      <c r="F16" s="390" t="s">
        <v>363</v>
      </c>
      <c r="G16" s="390" t="s">
        <v>363</v>
      </c>
      <c r="H16" s="390" t="s">
        <v>363</v>
      </c>
      <c r="I16" s="391" t="s">
        <v>363</v>
      </c>
      <c r="J16" s="392" t="s">
        <v>365</v>
      </c>
    </row>
  </sheetData>
  <mergeCells count="3">
    <mergeCell ref="A1:I1"/>
    <mergeCell ref="F3:I3"/>
    <mergeCell ref="C4:D4"/>
  </mergeCells>
  <conditionalFormatting sqref="F9 F17:F65537">
    <cfRule type="cellIs" dxfId="20" priority="18" stopIfTrue="1" operator="greaterThan">
      <formula>1</formula>
    </cfRule>
  </conditionalFormatting>
  <conditionalFormatting sqref="H5:H8">
    <cfRule type="expression" dxfId="19" priority="14">
      <formula>$H5&gt;0</formula>
    </cfRule>
  </conditionalFormatting>
  <conditionalFormatting sqref="I5:I8">
    <cfRule type="expression" dxfId="18" priority="15">
      <formula>$I5&gt;1</formula>
    </cfRule>
  </conditionalFormatting>
  <conditionalFormatting sqref="B5:B8">
    <cfRule type="expression" dxfId="17" priority="11">
      <formula>OR($J5="NS",$J5="SumaNS",$J5="Účet")</formula>
    </cfRule>
  </conditionalFormatting>
  <conditionalFormatting sqref="F5:I8 B5:D8">
    <cfRule type="expression" dxfId="16" priority="17">
      <formula>AND($J5&lt;&gt;"",$J5&lt;&gt;"mezeraKL")</formula>
    </cfRule>
  </conditionalFormatting>
  <conditionalFormatting sqref="B5:D8 F5:I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4" priority="13">
      <formula>OR($J5="SumaNS",$J5="NS")</formula>
    </cfRule>
  </conditionalFormatting>
  <conditionalFormatting sqref="A5:A8">
    <cfRule type="expression" dxfId="13" priority="9">
      <formula>AND($J5&lt;&gt;"mezeraKL",$J5&lt;&gt;"")</formula>
    </cfRule>
  </conditionalFormatting>
  <conditionalFormatting sqref="A5:A8">
    <cfRule type="expression" dxfId="12" priority="10">
      <formula>AND($J5&lt;&gt;"",$J5&lt;&gt;"mezeraKL")</formula>
    </cfRule>
  </conditionalFormatting>
  <conditionalFormatting sqref="H10:H16">
    <cfRule type="expression" dxfId="11" priority="5">
      <formula>$H10&gt;0</formula>
    </cfRule>
  </conditionalFormatting>
  <conditionalFormatting sqref="A10:A16">
    <cfRule type="expression" dxfId="10" priority="2">
      <formula>AND($J10&lt;&gt;"mezeraKL",$J10&lt;&gt;"")</formula>
    </cfRule>
  </conditionalFormatting>
  <conditionalFormatting sqref="I10:I16">
    <cfRule type="expression" dxfId="9" priority="6">
      <formula>$I10&gt;1</formula>
    </cfRule>
  </conditionalFormatting>
  <conditionalFormatting sqref="B10:B16">
    <cfRule type="expression" dxfId="8" priority="1">
      <formula>OR($J10="NS",$J10="SumaNS",$J10="Účet")</formula>
    </cfRule>
  </conditionalFormatting>
  <conditionalFormatting sqref="A10:D16 F10:I16">
    <cfRule type="expression" dxfId="7" priority="8">
      <formula>AND($J10&lt;&gt;"",$J10&lt;&gt;"mezeraKL")</formula>
    </cfRule>
  </conditionalFormatting>
  <conditionalFormatting sqref="B10:D16 F10:I16">
    <cfRule type="expression" dxfId="6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5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17" width="13.109375" hidden="1" customWidth="1"/>
    <col min="18" max="18" width="13.109375" customWidth="1"/>
    <col min="19" max="30" width="13.109375" hidden="1" customWidth="1"/>
    <col min="31" max="31" width="13.109375" customWidth="1"/>
    <col min="32" max="33" width="13.109375" hidden="1" customWidth="1"/>
    <col min="34" max="34" width="13.109375" customWidth="1"/>
  </cols>
  <sheetData>
    <row r="1" spans="1:35" ht="18.600000000000001" thickBot="1" x14ac:dyDescent="0.4">
      <c r="A1" s="336" t="s">
        <v>92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</row>
    <row r="2" spans="1:35" ht="15" thickBot="1" x14ac:dyDescent="0.35">
      <c r="A2" s="201" t="s">
        <v>246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</row>
    <row r="3" spans="1:35" x14ac:dyDescent="0.3">
      <c r="A3" s="220" t="s">
        <v>169</v>
      </c>
      <c r="B3" s="337" t="s">
        <v>150</v>
      </c>
      <c r="C3" s="203">
        <v>0</v>
      </c>
      <c r="D3" s="204">
        <v>101</v>
      </c>
      <c r="E3" s="204">
        <v>102</v>
      </c>
      <c r="F3" s="223">
        <v>305</v>
      </c>
      <c r="G3" s="223">
        <v>306</v>
      </c>
      <c r="H3" s="223">
        <v>407</v>
      </c>
      <c r="I3" s="223">
        <v>408</v>
      </c>
      <c r="J3" s="223">
        <v>409</v>
      </c>
      <c r="K3" s="223">
        <v>410</v>
      </c>
      <c r="L3" s="223">
        <v>415</v>
      </c>
      <c r="M3" s="223">
        <v>416</v>
      </c>
      <c r="N3" s="223">
        <v>418</v>
      </c>
      <c r="O3" s="223">
        <v>419</v>
      </c>
      <c r="P3" s="223">
        <v>420</v>
      </c>
      <c r="Q3" s="223">
        <v>421</v>
      </c>
      <c r="R3" s="223">
        <v>522</v>
      </c>
      <c r="S3" s="223">
        <v>523</v>
      </c>
      <c r="T3" s="223">
        <v>524</v>
      </c>
      <c r="U3" s="223">
        <v>525</v>
      </c>
      <c r="V3" s="223">
        <v>526</v>
      </c>
      <c r="W3" s="223">
        <v>527</v>
      </c>
      <c r="X3" s="223">
        <v>528</v>
      </c>
      <c r="Y3" s="223">
        <v>629</v>
      </c>
      <c r="Z3" s="223">
        <v>630</v>
      </c>
      <c r="AA3" s="223">
        <v>636</v>
      </c>
      <c r="AB3" s="223">
        <v>637</v>
      </c>
      <c r="AC3" s="223">
        <v>640</v>
      </c>
      <c r="AD3" s="223">
        <v>642</v>
      </c>
      <c r="AE3" s="223">
        <v>743</v>
      </c>
      <c r="AF3" s="204">
        <v>745</v>
      </c>
      <c r="AG3" s="204">
        <v>746</v>
      </c>
      <c r="AH3" s="436">
        <v>930</v>
      </c>
      <c r="AI3" s="452"/>
    </row>
    <row r="4" spans="1:35" ht="36.6" outlineLevel="1" thickBot="1" x14ac:dyDescent="0.35">
      <c r="A4" s="221">
        <v>2015</v>
      </c>
      <c r="B4" s="338"/>
      <c r="C4" s="205" t="s">
        <v>151</v>
      </c>
      <c r="D4" s="206" t="s">
        <v>152</v>
      </c>
      <c r="E4" s="206" t="s">
        <v>153</v>
      </c>
      <c r="F4" s="224" t="s">
        <v>181</v>
      </c>
      <c r="G4" s="224" t="s">
        <v>182</v>
      </c>
      <c r="H4" s="224" t="s">
        <v>244</v>
      </c>
      <c r="I4" s="224" t="s">
        <v>183</v>
      </c>
      <c r="J4" s="224" t="s">
        <v>184</v>
      </c>
      <c r="K4" s="224" t="s">
        <v>185</v>
      </c>
      <c r="L4" s="224" t="s">
        <v>186</v>
      </c>
      <c r="M4" s="224" t="s">
        <v>187</v>
      </c>
      <c r="N4" s="224" t="s">
        <v>188</v>
      </c>
      <c r="O4" s="224" t="s">
        <v>189</v>
      </c>
      <c r="P4" s="224" t="s">
        <v>190</v>
      </c>
      <c r="Q4" s="224" t="s">
        <v>191</v>
      </c>
      <c r="R4" s="224" t="s">
        <v>192</v>
      </c>
      <c r="S4" s="224" t="s">
        <v>193</v>
      </c>
      <c r="T4" s="224" t="s">
        <v>194</v>
      </c>
      <c r="U4" s="224" t="s">
        <v>195</v>
      </c>
      <c r="V4" s="224" t="s">
        <v>196</v>
      </c>
      <c r="W4" s="224" t="s">
        <v>197</v>
      </c>
      <c r="X4" s="224" t="s">
        <v>206</v>
      </c>
      <c r="Y4" s="224" t="s">
        <v>198</v>
      </c>
      <c r="Z4" s="224" t="s">
        <v>207</v>
      </c>
      <c r="AA4" s="224" t="s">
        <v>199</v>
      </c>
      <c r="AB4" s="224" t="s">
        <v>200</v>
      </c>
      <c r="AC4" s="224" t="s">
        <v>201</v>
      </c>
      <c r="AD4" s="224" t="s">
        <v>202</v>
      </c>
      <c r="AE4" s="224" t="s">
        <v>203</v>
      </c>
      <c r="AF4" s="206" t="s">
        <v>204</v>
      </c>
      <c r="AG4" s="206" t="s">
        <v>205</v>
      </c>
      <c r="AH4" s="437" t="s">
        <v>171</v>
      </c>
      <c r="AI4" s="452"/>
    </row>
    <row r="5" spans="1:35" x14ac:dyDescent="0.3">
      <c r="A5" s="207" t="s">
        <v>154</v>
      </c>
      <c r="B5" s="243"/>
      <c r="C5" s="244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438"/>
      <c r="AI5" s="452"/>
    </row>
    <row r="6" spans="1:35" ht="15" collapsed="1" thickBot="1" x14ac:dyDescent="0.35">
      <c r="A6" s="208" t="s">
        <v>59</v>
      </c>
      <c r="B6" s="246">
        <f xml:space="preserve">
TRUNC(IF($A$4&lt;=12,SUMIFS('ON Data'!F:F,'ON Data'!$D:$D,$A$4,'ON Data'!$E:$E,1),SUMIFS('ON Data'!F:F,'ON Data'!$E:$E,1)/'ON Data'!$D$3),1)</f>
        <v>13.4</v>
      </c>
      <c r="C6" s="247">
        <f xml:space="preserve">
TRUNC(IF($A$4&lt;=12,SUMIFS('ON Data'!G:G,'ON Data'!$D:$D,$A$4,'ON Data'!$E:$E,1),SUMIFS('ON Data'!G:G,'ON Data'!$E:$E,1)/'ON Data'!$D$3),1)</f>
        <v>0</v>
      </c>
      <c r="D6" s="248">
        <f xml:space="preserve">
TRUNC(IF($A$4&lt;=12,SUMIFS('ON Data'!H:H,'ON Data'!$D:$D,$A$4,'ON Data'!$E:$E,1),SUMIFS('ON Data'!H:H,'ON Data'!$E:$E,1)/'ON Data'!$D$3),1)</f>
        <v>0</v>
      </c>
      <c r="E6" s="248">
        <f xml:space="preserve">
TRUNC(IF($A$4&lt;=12,SUMIFS('ON Data'!I:I,'ON Data'!$D:$D,$A$4,'ON Data'!$E:$E,1),SUMIFS('ON Data'!I:I,'ON Data'!$E:$E,1)/'ON Data'!$D$3),1)</f>
        <v>0</v>
      </c>
      <c r="F6" s="248">
        <f xml:space="preserve">
TRUNC(IF($A$4&lt;=12,SUMIFS('ON Data'!K:K,'ON Data'!$D:$D,$A$4,'ON Data'!$E:$E,1),SUMIFS('ON Data'!K:K,'ON Data'!$E:$E,1)/'ON Data'!$D$3),1)</f>
        <v>0</v>
      </c>
      <c r="G6" s="248">
        <f xml:space="preserve">
TRUNC(IF($A$4&lt;=12,SUMIFS('ON Data'!L:L,'ON Data'!$D:$D,$A$4,'ON Data'!$E:$E,1),SUMIFS('ON Data'!L:L,'ON Data'!$E:$E,1)/'ON Data'!$D$3),1)</f>
        <v>0</v>
      </c>
      <c r="H6" s="248">
        <f xml:space="preserve">
TRUNC(IF($A$4&lt;=12,SUMIFS('ON Data'!M:M,'ON Data'!$D:$D,$A$4,'ON Data'!$E:$E,1),SUMIFS('ON Data'!M:M,'ON Data'!$E:$E,1)/'ON Data'!$D$3),1)</f>
        <v>0</v>
      </c>
      <c r="I6" s="248">
        <f xml:space="preserve">
TRUNC(IF($A$4&lt;=12,SUMIFS('ON Data'!N:N,'ON Data'!$D:$D,$A$4,'ON Data'!$E:$E,1),SUMIFS('ON Data'!N:N,'ON Data'!$E:$E,1)/'ON Data'!$D$3),1)</f>
        <v>0</v>
      </c>
      <c r="J6" s="248">
        <f xml:space="preserve">
TRUNC(IF($A$4&lt;=12,SUMIFS('ON Data'!O:O,'ON Data'!$D:$D,$A$4,'ON Data'!$E:$E,1),SUMIFS('ON Data'!O:O,'ON Data'!$E:$E,1)/'ON Data'!$D$3),1)</f>
        <v>0</v>
      </c>
      <c r="K6" s="248">
        <f xml:space="preserve">
TRUNC(IF($A$4&lt;=12,SUMIFS('ON Data'!P:P,'ON Data'!$D:$D,$A$4,'ON Data'!$E:$E,1),SUMIFS('ON Data'!P:P,'ON Data'!$E:$E,1)/'ON Data'!$D$3),1)</f>
        <v>0</v>
      </c>
      <c r="L6" s="248">
        <f xml:space="preserve">
TRUNC(IF($A$4&lt;=12,SUMIFS('ON Data'!Q:Q,'ON Data'!$D:$D,$A$4,'ON Data'!$E:$E,1),SUMIFS('ON Data'!Q:Q,'ON Data'!$E:$E,1)/'ON Data'!$D$3),1)</f>
        <v>0</v>
      </c>
      <c r="M6" s="248">
        <f xml:space="preserve">
TRUNC(IF($A$4&lt;=12,SUMIFS('ON Data'!R:R,'ON Data'!$D:$D,$A$4,'ON Data'!$E:$E,1),SUMIFS('ON Data'!R:R,'ON Data'!$E:$E,1)/'ON Data'!$D$3),1)</f>
        <v>0</v>
      </c>
      <c r="N6" s="248">
        <f xml:space="preserve">
TRUNC(IF($A$4&lt;=12,SUMIFS('ON Data'!S:S,'ON Data'!$D:$D,$A$4,'ON Data'!$E:$E,1),SUMIFS('ON Data'!S:S,'ON Data'!$E:$E,1)/'ON Data'!$D$3),1)</f>
        <v>0</v>
      </c>
      <c r="O6" s="248">
        <f xml:space="preserve">
TRUNC(IF($A$4&lt;=12,SUMIFS('ON Data'!T:T,'ON Data'!$D:$D,$A$4,'ON Data'!$E:$E,1),SUMIFS('ON Data'!T:T,'ON Data'!$E:$E,1)/'ON Data'!$D$3),1)</f>
        <v>0</v>
      </c>
      <c r="P6" s="248">
        <f xml:space="preserve">
TRUNC(IF($A$4&lt;=12,SUMIFS('ON Data'!U:U,'ON Data'!$D:$D,$A$4,'ON Data'!$E:$E,1),SUMIFS('ON Data'!U:U,'ON Data'!$E:$E,1)/'ON Data'!$D$3),1)</f>
        <v>0</v>
      </c>
      <c r="Q6" s="248">
        <f xml:space="preserve">
TRUNC(IF($A$4&lt;=12,SUMIFS('ON Data'!V:V,'ON Data'!$D:$D,$A$4,'ON Data'!$E:$E,1),SUMIFS('ON Data'!V:V,'ON Data'!$E:$E,1)/'ON Data'!$D$3),1)</f>
        <v>0</v>
      </c>
      <c r="R6" s="248">
        <f xml:space="preserve">
TRUNC(IF($A$4&lt;=12,SUMIFS('ON Data'!W:W,'ON Data'!$D:$D,$A$4,'ON Data'!$E:$E,1),SUMIFS('ON Data'!W:W,'ON Data'!$E:$E,1)/'ON Data'!$D$3),1)</f>
        <v>8.8000000000000007</v>
      </c>
      <c r="S6" s="248">
        <f xml:space="preserve">
TRUNC(IF($A$4&lt;=12,SUMIFS('ON Data'!X:X,'ON Data'!$D:$D,$A$4,'ON Data'!$E:$E,1),SUMIFS('ON Data'!X:X,'ON Data'!$E:$E,1)/'ON Data'!$D$3),1)</f>
        <v>0</v>
      </c>
      <c r="T6" s="248">
        <f xml:space="preserve">
TRUNC(IF($A$4&lt;=12,SUMIFS('ON Data'!Y:Y,'ON Data'!$D:$D,$A$4,'ON Data'!$E:$E,1),SUMIFS('ON Data'!Y:Y,'ON Data'!$E:$E,1)/'ON Data'!$D$3),1)</f>
        <v>0</v>
      </c>
      <c r="U6" s="248">
        <f xml:space="preserve">
TRUNC(IF($A$4&lt;=12,SUMIFS('ON Data'!Z:Z,'ON Data'!$D:$D,$A$4,'ON Data'!$E:$E,1),SUMIFS('ON Data'!Z:Z,'ON Data'!$E:$E,1)/'ON Data'!$D$3),1)</f>
        <v>0</v>
      </c>
      <c r="V6" s="248">
        <f xml:space="preserve">
TRUNC(IF($A$4&lt;=12,SUMIFS('ON Data'!AA:AA,'ON Data'!$D:$D,$A$4,'ON Data'!$E:$E,1),SUMIFS('ON Data'!AA:AA,'ON Data'!$E:$E,1)/'ON Data'!$D$3),1)</f>
        <v>0</v>
      </c>
      <c r="W6" s="248">
        <f xml:space="preserve">
TRUNC(IF($A$4&lt;=12,SUMIFS('ON Data'!AB:AB,'ON Data'!$D:$D,$A$4,'ON Data'!$E:$E,1),SUMIFS('ON Data'!AB:AB,'ON Data'!$E:$E,1)/'ON Data'!$D$3),1)</f>
        <v>0</v>
      </c>
      <c r="X6" s="248">
        <f xml:space="preserve">
TRUNC(IF($A$4&lt;=12,SUMIFS('ON Data'!AC:AC,'ON Data'!$D:$D,$A$4,'ON Data'!$E:$E,1),SUMIFS('ON Data'!AC:AC,'ON Data'!$E:$E,1)/'ON Data'!$D$3),1)</f>
        <v>0</v>
      </c>
      <c r="Y6" s="248">
        <f xml:space="preserve">
TRUNC(IF($A$4&lt;=12,SUMIFS('ON Data'!AD:AD,'ON Data'!$D:$D,$A$4,'ON Data'!$E:$E,1),SUMIFS('ON Data'!AD:AD,'ON Data'!$E:$E,1)/'ON Data'!$D$3),1)</f>
        <v>0</v>
      </c>
      <c r="Z6" s="248">
        <f xml:space="preserve">
TRUNC(IF($A$4&lt;=12,SUMIFS('ON Data'!AE:AE,'ON Data'!$D:$D,$A$4,'ON Data'!$E:$E,1),SUMIFS('ON Data'!AE:AE,'ON Data'!$E:$E,1)/'ON Data'!$D$3),1)</f>
        <v>0</v>
      </c>
      <c r="AA6" s="248">
        <f xml:space="preserve">
TRUNC(IF($A$4&lt;=12,SUMIFS('ON Data'!AF:AF,'ON Data'!$D:$D,$A$4,'ON Data'!$E:$E,1),SUMIFS('ON Data'!AF:AF,'ON Data'!$E:$E,1)/'ON Data'!$D$3),1)</f>
        <v>0</v>
      </c>
      <c r="AB6" s="248">
        <f xml:space="preserve">
TRUNC(IF($A$4&lt;=12,SUMIFS('ON Data'!AG:AG,'ON Data'!$D:$D,$A$4,'ON Data'!$E:$E,1),SUMIFS('ON Data'!AG:AG,'ON Data'!$E:$E,1)/'ON Data'!$D$3),1)</f>
        <v>0</v>
      </c>
      <c r="AC6" s="248">
        <f xml:space="preserve">
TRUNC(IF($A$4&lt;=12,SUMIFS('ON Data'!AH:AH,'ON Data'!$D:$D,$A$4,'ON Data'!$E:$E,1),SUMIFS('ON Data'!AH:AH,'ON Data'!$E:$E,1)/'ON Data'!$D$3),1)</f>
        <v>0</v>
      </c>
      <c r="AD6" s="248">
        <f xml:space="preserve">
TRUNC(IF($A$4&lt;=12,SUMIFS('ON Data'!AI:AI,'ON Data'!$D:$D,$A$4,'ON Data'!$E:$E,1),SUMIFS('ON Data'!AI:AI,'ON Data'!$E:$E,1)/'ON Data'!$D$3),1)</f>
        <v>0</v>
      </c>
      <c r="AE6" s="248">
        <f xml:space="preserve">
TRUNC(IF($A$4&lt;=12,SUMIFS('ON Data'!AJ:AJ,'ON Data'!$D:$D,$A$4,'ON Data'!$E:$E,1),SUMIFS('ON Data'!AJ:AJ,'ON Data'!$E:$E,1)/'ON Data'!$D$3),1)</f>
        <v>3.6</v>
      </c>
      <c r="AF6" s="248">
        <f xml:space="preserve">
TRUNC(IF($A$4&lt;=12,SUMIFS('ON Data'!AK:AK,'ON Data'!$D:$D,$A$4,'ON Data'!$E:$E,1),SUMIFS('ON Data'!AK:AK,'ON Data'!$E:$E,1)/'ON Data'!$D$3),1)</f>
        <v>0</v>
      </c>
      <c r="AG6" s="248">
        <f xml:space="preserve">
TRUNC(IF($A$4&lt;=12,SUMIFS('ON Data'!AL:AL,'ON Data'!$D:$D,$A$4,'ON Data'!$E:$E,1),SUMIFS('ON Data'!AL:AL,'ON Data'!$E:$E,1)/'ON Data'!$D$3),1)</f>
        <v>0</v>
      </c>
      <c r="AH6" s="439">
        <f xml:space="preserve">
TRUNC(IF($A$4&lt;=12,SUMIFS('ON Data'!AN:AN,'ON Data'!$D:$D,$A$4,'ON Data'!$E:$E,1),SUMIFS('ON Data'!AN:AN,'ON Data'!$E:$E,1)/'ON Data'!$D$3),1)</f>
        <v>1</v>
      </c>
      <c r="AI6" s="452"/>
    </row>
    <row r="7" spans="1:35" ht="15" hidden="1" outlineLevel="1" thickBot="1" x14ac:dyDescent="0.35">
      <c r="A7" s="208" t="s">
        <v>93</v>
      </c>
      <c r="B7" s="246"/>
      <c r="C7" s="249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439"/>
      <c r="AI7" s="452"/>
    </row>
    <row r="8" spans="1:35" ht="15" hidden="1" outlineLevel="1" thickBot="1" x14ac:dyDescent="0.35">
      <c r="A8" s="208" t="s">
        <v>61</v>
      </c>
      <c r="B8" s="246"/>
      <c r="C8" s="249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439"/>
      <c r="AI8" s="452"/>
    </row>
    <row r="9" spans="1:35" ht="15" hidden="1" outlineLevel="1" thickBot="1" x14ac:dyDescent="0.35">
      <c r="A9" s="209" t="s">
        <v>54</v>
      </c>
      <c r="B9" s="250"/>
      <c r="C9" s="251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440"/>
      <c r="AI9" s="452"/>
    </row>
    <row r="10" spans="1:35" x14ac:dyDescent="0.3">
      <c r="A10" s="210" t="s">
        <v>155</v>
      </c>
      <c r="B10" s="225"/>
      <c r="C10" s="226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441"/>
      <c r="AI10" s="452"/>
    </row>
    <row r="11" spans="1:35" x14ac:dyDescent="0.3">
      <c r="A11" s="211" t="s">
        <v>156</v>
      </c>
      <c r="B11" s="228">
        <f xml:space="preserve">
IF($A$4&lt;=12,SUMIFS('ON Data'!F:F,'ON Data'!$D:$D,$A$4,'ON Data'!$E:$E,2),SUMIFS('ON Data'!F:F,'ON Data'!$E:$E,2))</f>
        <v>16303.8</v>
      </c>
      <c r="C11" s="229">
        <f xml:space="preserve">
IF($A$4&lt;=12,SUMIFS('ON Data'!G:G,'ON Data'!$D:$D,$A$4,'ON Data'!$E:$E,2),SUMIFS('ON Data'!G:G,'ON Data'!$E:$E,2))</f>
        <v>0</v>
      </c>
      <c r="D11" s="230">
        <f xml:space="preserve">
IF($A$4&lt;=12,SUMIFS('ON Data'!H:H,'ON Data'!$D:$D,$A$4,'ON Data'!$E:$E,2),SUMIFS('ON Data'!H:H,'ON Data'!$E:$E,2))</f>
        <v>0</v>
      </c>
      <c r="E11" s="230">
        <f xml:space="preserve">
IF($A$4&lt;=12,SUMIFS('ON Data'!I:I,'ON Data'!$D:$D,$A$4,'ON Data'!$E:$E,2),SUMIFS('ON Data'!I:I,'ON Data'!$E:$E,2))</f>
        <v>0</v>
      </c>
      <c r="F11" s="230">
        <f xml:space="preserve">
IF($A$4&lt;=12,SUMIFS('ON Data'!K:K,'ON Data'!$D:$D,$A$4,'ON Data'!$E:$E,2),SUMIFS('ON Data'!K:K,'ON Data'!$E:$E,2))</f>
        <v>0</v>
      </c>
      <c r="G11" s="230">
        <f xml:space="preserve">
IF($A$4&lt;=12,SUMIFS('ON Data'!L:L,'ON Data'!$D:$D,$A$4,'ON Data'!$E:$E,2),SUMIFS('ON Data'!L:L,'ON Data'!$E:$E,2))</f>
        <v>0</v>
      </c>
      <c r="H11" s="230">
        <f xml:space="preserve">
IF($A$4&lt;=12,SUMIFS('ON Data'!M:M,'ON Data'!$D:$D,$A$4,'ON Data'!$E:$E,2),SUMIFS('ON Data'!M:M,'ON Data'!$E:$E,2))</f>
        <v>0</v>
      </c>
      <c r="I11" s="230">
        <f xml:space="preserve">
IF($A$4&lt;=12,SUMIFS('ON Data'!N:N,'ON Data'!$D:$D,$A$4,'ON Data'!$E:$E,2),SUMIFS('ON Data'!N:N,'ON Data'!$E:$E,2))</f>
        <v>0</v>
      </c>
      <c r="J11" s="230">
        <f xml:space="preserve">
IF($A$4&lt;=12,SUMIFS('ON Data'!O:O,'ON Data'!$D:$D,$A$4,'ON Data'!$E:$E,2),SUMIFS('ON Data'!O:O,'ON Data'!$E:$E,2))</f>
        <v>0</v>
      </c>
      <c r="K11" s="230">
        <f xml:space="preserve">
IF($A$4&lt;=12,SUMIFS('ON Data'!P:P,'ON Data'!$D:$D,$A$4,'ON Data'!$E:$E,2),SUMIFS('ON Data'!P:P,'ON Data'!$E:$E,2))</f>
        <v>0</v>
      </c>
      <c r="L11" s="230">
        <f xml:space="preserve">
IF($A$4&lt;=12,SUMIFS('ON Data'!Q:Q,'ON Data'!$D:$D,$A$4,'ON Data'!$E:$E,2),SUMIFS('ON Data'!Q:Q,'ON Data'!$E:$E,2))</f>
        <v>0</v>
      </c>
      <c r="M11" s="230">
        <f xml:space="preserve">
IF($A$4&lt;=12,SUMIFS('ON Data'!R:R,'ON Data'!$D:$D,$A$4,'ON Data'!$E:$E,2),SUMIFS('ON Data'!R:R,'ON Data'!$E:$E,2))</f>
        <v>0</v>
      </c>
      <c r="N11" s="230">
        <f xml:space="preserve">
IF($A$4&lt;=12,SUMIFS('ON Data'!S:S,'ON Data'!$D:$D,$A$4,'ON Data'!$E:$E,2),SUMIFS('ON Data'!S:S,'ON Data'!$E:$E,2))</f>
        <v>0</v>
      </c>
      <c r="O11" s="230">
        <f xml:space="preserve">
IF($A$4&lt;=12,SUMIFS('ON Data'!T:T,'ON Data'!$D:$D,$A$4,'ON Data'!$E:$E,2),SUMIFS('ON Data'!T:T,'ON Data'!$E:$E,2))</f>
        <v>0</v>
      </c>
      <c r="P11" s="230">
        <f xml:space="preserve">
IF($A$4&lt;=12,SUMIFS('ON Data'!U:U,'ON Data'!$D:$D,$A$4,'ON Data'!$E:$E,2),SUMIFS('ON Data'!U:U,'ON Data'!$E:$E,2))</f>
        <v>0</v>
      </c>
      <c r="Q11" s="230">
        <f xml:space="preserve">
IF($A$4&lt;=12,SUMIFS('ON Data'!V:V,'ON Data'!$D:$D,$A$4,'ON Data'!$E:$E,2),SUMIFS('ON Data'!V:V,'ON Data'!$E:$E,2))</f>
        <v>0</v>
      </c>
      <c r="R11" s="230">
        <f xml:space="preserve">
IF($A$4&lt;=12,SUMIFS('ON Data'!W:W,'ON Data'!$D:$D,$A$4,'ON Data'!$E:$E,2),SUMIFS('ON Data'!W:W,'ON Data'!$E:$E,2))</f>
        <v>10584</v>
      </c>
      <c r="S11" s="230">
        <f xml:space="preserve">
IF($A$4&lt;=12,SUMIFS('ON Data'!X:X,'ON Data'!$D:$D,$A$4,'ON Data'!$E:$E,2),SUMIFS('ON Data'!X:X,'ON Data'!$E:$E,2))</f>
        <v>0</v>
      </c>
      <c r="T11" s="230">
        <f xml:space="preserve">
IF($A$4&lt;=12,SUMIFS('ON Data'!Y:Y,'ON Data'!$D:$D,$A$4,'ON Data'!$E:$E,2),SUMIFS('ON Data'!Y:Y,'ON Data'!$E:$E,2))</f>
        <v>0</v>
      </c>
      <c r="U11" s="230">
        <f xml:space="preserve">
IF($A$4&lt;=12,SUMIFS('ON Data'!Z:Z,'ON Data'!$D:$D,$A$4,'ON Data'!$E:$E,2),SUMIFS('ON Data'!Z:Z,'ON Data'!$E:$E,2))</f>
        <v>0</v>
      </c>
      <c r="V11" s="230">
        <f xml:space="preserve">
IF($A$4&lt;=12,SUMIFS('ON Data'!AA:AA,'ON Data'!$D:$D,$A$4,'ON Data'!$E:$E,2),SUMIFS('ON Data'!AA:AA,'ON Data'!$E:$E,2))</f>
        <v>0</v>
      </c>
      <c r="W11" s="230">
        <f xml:space="preserve">
IF($A$4&lt;=12,SUMIFS('ON Data'!AB:AB,'ON Data'!$D:$D,$A$4,'ON Data'!$E:$E,2),SUMIFS('ON Data'!AB:AB,'ON Data'!$E:$E,2))</f>
        <v>0</v>
      </c>
      <c r="X11" s="230">
        <f xml:space="preserve">
IF($A$4&lt;=12,SUMIFS('ON Data'!AC:AC,'ON Data'!$D:$D,$A$4,'ON Data'!$E:$E,2),SUMIFS('ON Data'!AC:AC,'ON Data'!$E:$E,2))</f>
        <v>0</v>
      </c>
      <c r="Y11" s="230">
        <f xml:space="preserve">
IF($A$4&lt;=12,SUMIFS('ON Data'!AD:AD,'ON Data'!$D:$D,$A$4,'ON Data'!$E:$E,2),SUMIFS('ON Data'!AD:AD,'ON Data'!$E:$E,2))</f>
        <v>0</v>
      </c>
      <c r="Z11" s="230">
        <f xml:space="preserve">
IF($A$4&lt;=12,SUMIFS('ON Data'!AE:AE,'ON Data'!$D:$D,$A$4,'ON Data'!$E:$E,2),SUMIFS('ON Data'!AE:AE,'ON Data'!$E:$E,2))</f>
        <v>0</v>
      </c>
      <c r="AA11" s="230">
        <f xml:space="preserve">
IF($A$4&lt;=12,SUMIFS('ON Data'!AF:AF,'ON Data'!$D:$D,$A$4,'ON Data'!$E:$E,2),SUMIFS('ON Data'!AF:AF,'ON Data'!$E:$E,2))</f>
        <v>0</v>
      </c>
      <c r="AB11" s="230">
        <f xml:space="preserve">
IF($A$4&lt;=12,SUMIFS('ON Data'!AG:AG,'ON Data'!$D:$D,$A$4,'ON Data'!$E:$E,2),SUMIFS('ON Data'!AG:AG,'ON Data'!$E:$E,2))</f>
        <v>0</v>
      </c>
      <c r="AC11" s="230">
        <f xml:space="preserve">
IF($A$4&lt;=12,SUMIFS('ON Data'!AH:AH,'ON Data'!$D:$D,$A$4,'ON Data'!$E:$E,2),SUMIFS('ON Data'!AH:AH,'ON Data'!$E:$E,2))</f>
        <v>0</v>
      </c>
      <c r="AD11" s="230">
        <f xml:space="preserve">
IF($A$4&lt;=12,SUMIFS('ON Data'!AI:AI,'ON Data'!$D:$D,$A$4,'ON Data'!$E:$E,2),SUMIFS('ON Data'!AI:AI,'ON Data'!$E:$E,2))</f>
        <v>0</v>
      </c>
      <c r="AE11" s="230">
        <f xml:space="preserve">
IF($A$4&lt;=12,SUMIFS('ON Data'!AJ:AJ,'ON Data'!$D:$D,$A$4,'ON Data'!$E:$E,2),SUMIFS('ON Data'!AJ:AJ,'ON Data'!$E:$E,2))</f>
        <v>4394.8</v>
      </c>
      <c r="AF11" s="230">
        <f xml:space="preserve">
IF($A$4&lt;=12,SUMIFS('ON Data'!AK:AK,'ON Data'!$D:$D,$A$4,'ON Data'!$E:$E,2),SUMIFS('ON Data'!AK:AK,'ON Data'!$E:$E,2))</f>
        <v>0</v>
      </c>
      <c r="AG11" s="230">
        <f xml:space="preserve">
IF($A$4&lt;=12,SUMIFS('ON Data'!AL:AL,'ON Data'!$D:$D,$A$4,'ON Data'!$E:$E,2),SUMIFS('ON Data'!AL:AL,'ON Data'!$E:$E,2))</f>
        <v>0</v>
      </c>
      <c r="AH11" s="442">
        <f xml:space="preserve">
IF($A$4&lt;=12,SUMIFS('ON Data'!AN:AN,'ON Data'!$D:$D,$A$4,'ON Data'!$E:$E,2),SUMIFS('ON Data'!AN:AN,'ON Data'!$E:$E,2))</f>
        <v>1325</v>
      </c>
      <c r="AI11" s="452"/>
    </row>
    <row r="12" spans="1:35" x14ac:dyDescent="0.3">
      <c r="A12" s="211" t="s">
        <v>157</v>
      </c>
      <c r="B12" s="228">
        <f xml:space="preserve">
IF($A$4&lt;=12,SUMIFS('ON Data'!F:F,'ON Data'!$D:$D,$A$4,'ON Data'!$E:$E,3),SUMIFS('ON Data'!F:F,'ON Data'!$E:$E,3))</f>
        <v>0</v>
      </c>
      <c r="C12" s="229">
        <f xml:space="preserve">
IF($A$4&lt;=12,SUMIFS('ON Data'!G:G,'ON Data'!$D:$D,$A$4,'ON Data'!$E:$E,3),SUMIFS('ON Data'!G:G,'ON Data'!$E:$E,3))</f>
        <v>0</v>
      </c>
      <c r="D12" s="230">
        <f xml:space="preserve">
IF($A$4&lt;=12,SUMIFS('ON Data'!H:H,'ON Data'!$D:$D,$A$4,'ON Data'!$E:$E,3),SUMIFS('ON Data'!H:H,'ON Data'!$E:$E,3))</f>
        <v>0</v>
      </c>
      <c r="E12" s="230">
        <f xml:space="preserve">
IF($A$4&lt;=12,SUMIFS('ON Data'!I:I,'ON Data'!$D:$D,$A$4,'ON Data'!$E:$E,3),SUMIFS('ON Data'!I:I,'ON Data'!$E:$E,3))</f>
        <v>0</v>
      </c>
      <c r="F12" s="230">
        <f xml:space="preserve">
IF($A$4&lt;=12,SUMIFS('ON Data'!K:K,'ON Data'!$D:$D,$A$4,'ON Data'!$E:$E,3),SUMIFS('ON Data'!K:K,'ON Data'!$E:$E,3))</f>
        <v>0</v>
      </c>
      <c r="G12" s="230">
        <f xml:space="preserve">
IF($A$4&lt;=12,SUMIFS('ON Data'!L:L,'ON Data'!$D:$D,$A$4,'ON Data'!$E:$E,3),SUMIFS('ON Data'!L:L,'ON Data'!$E:$E,3))</f>
        <v>0</v>
      </c>
      <c r="H12" s="230">
        <f xml:space="preserve">
IF($A$4&lt;=12,SUMIFS('ON Data'!M:M,'ON Data'!$D:$D,$A$4,'ON Data'!$E:$E,3),SUMIFS('ON Data'!M:M,'ON Data'!$E:$E,3))</f>
        <v>0</v>
      </c>
      <c r="I12" s="230">
        <f xml:space="preserve">
IF($A$4&lt;=12,SUMIFS('ON Data'!N:N,'ON Data'!$D:$D,$A$4,'ON Data'!$E:$E,3),SUMIFS('ON Data'!N:N,'ON Data'!$E:$E,3))</f>
        <v>0</v>
      </c>
      <c r="J12" s="230">
        <f xml:space="preserve">
IF($A$4&lt;=12,SUMIFS('ON Data'!O:O,'ON Data'!$D:$D,$A$4,'ON Data'!$E:$E,3),SUMIFS('ON Data'!O:O,'ON Data'!$E:$E,3))</f>
        <v>0</v>
      </c>
      <c r="K12" s="230">
        <f xml:space="preserve">
IF($A$4&lt;=12,SUMIFS('ON Data'!P:P,'ON Data'!$D:$D,$A$4,'ON Data'!$E:$E,3),SUMIFS('ON Data'!P:P,'ON Data'!$E:$E,3))</f>
        <v>0</v>
      </c>
      <c r="L12" s="230">
        <f xml:space="preserve">
IF($A$4&lt;=12,SUMIFS('ON Data'!Q:Q,'ON Data'!$D:$D,$A$4,'ON Data'!$E:$E,3),SUMIFS('ON Data'!Q:Q,'ON Data'!$E:$E,3))</f>
        <v>0</v>
      </c>
      <c r="M12" s="230">
        <f xml:space="preserve">
IF($A$4&lt;=12,SUMIFS('ON Data'!R:R,'ON Data'!$D:$D,$A$4,'ON Data'!$E:$E,3),SUMIFS('ON Data'!R:R,'ON Data'!$E:$E,3))</f>
        <v>0</v>
      </c>
      <c r="N12" s="230">
        <f xml:space="preserve">
IF($A$4&lt;=12,SUMIFS('ON Data'!S:S,'ON Data'!$D:$D,$A$4,'ON Data'!$E:$E,3),SUMIFS('ON Data'!S:S,'ON Data'!$E:$E,3))</f>
        <v>0</v>
      </c>
      <c r="O12" s="230">
        <f xml:space="preserve">
IF($A$4&lt;=12,SUMIFS('ON Data'!T:T,'ON Data'!$D:$D,$A$4,'ON Data'!$E:$E,3),SUMIFS('ON Data'!T:T,'ON Data'!$E:$E,3))</f>
        <v>0</v>
      </c>
      <c r="P12" s="230">
        <f xml:space="preserve">
IF($A$4&lt;=12,SUMIFS('ON Data'!U:U,'ON Data'!$D:$D,$A$4,'ON Data'!$E:$E,3),SUMIFS('ON Data'!U:U,'ON Data'!$E:$E,3))</f>
        <v>0</v>
      </c>
      <c r="Q12" s="230">
        <f xml:space="preserve">
IF($A$4&lt;=12,SUMIFS('ON Data'!V:V,'ON Data'!$D:$D,$A$4,'ON Data'!$E:$E,3),SUMIFS('ON Data'!V:V,'ON Data'!$E:$E,3))</f>
        <v>0</v>
      </c>
      <c r="R12" s="230">
        <f xml:space="preserve">
IF($A$4&lt;=12,SUMIFS('ON Data'!W:W,'ON Data'!$D:$D,$A$4,'ON Data'!$E:$E,3),SUMIFS('ON Data'!W:W,'ON Data'!$E:$E,3))</f>
        <v>0</v>
      </c>
      <c r="S12" s="230">
        <f xml:space="preserve">
IF($A$4&lt;=12,SUMIFS('ON Data'!X:X,'ON Data'!$D:$D,$A$4,'ON Data'!$E:$E,3),SUMIFS('ON Data'!X:X,'ON Data'!$E:$E,3))</f>
        <v>0</v>
      </c>
      <c r="T12" s="230">
        <f xml:space="preserve">
IF($A$4&lt;=12,SUMIFS('ON Data'!Y:Y,'ON Data'!$D:$D,$A$4,'ON Data'!$E:$E,3),SUMIFS('ON Data'!Y:Y,'ON Data'!$E:$E,3))</f>
        <v>0</v>
      </c>
      <c r="U12" s="230">
        <f xml:space="preserve">
IF($A$4&lt;=12,SUMIFS('ON Data'!Z:Z,'ON Data'!$D:$D,$A$4,'ON Data'!$E:$E,3),SUMIFS('ON Data'!Z:Z,'ON Data'!$E:$E,3))</f>
        <v>0</v>
      </c>
      <c r="V12" s="230">
        <f xml:space="preserve">
IF($A$4&lt;=12,SUMIFS('ON Data'!AA:AA,'ON Data'!$D:$D,$A$4,'ON Data'!$E:$E,3),SUMIFS('ON Data'!AA:AA,'ON Data'!$E:$E,3))</f>
        <v>0</v>
      </c>
      <c r="W12" s="230">
        <f xml:space="preserve">
IF($A$4&lt;=12,SUMIFS('ON Data'!AB:AB,'ON Data'!$D:$D,$A$4,'ON Data'!$E:$E,3),SUMIFS('ON Data'!AB:AB,'ON Data'!$E:$E,3))</f>
        <v>0</v>
      </c>
      <c r="X12" s="230">
        <f xml:space="preserve">
IF($A$4&lt;=12,SUMIFS('ON Data'!AC:AC,'ON Data'!$D:$D,$A$4,'ON Data'!$E:$E,3),SUMIFS('ON Data'!AC:AC,'ON Data'!$E:$E,3))</f>
        <v>0</v>
      </c>
      <c r="Y12" s="230">
        <f xml:space="preserve">
IF($A$4&lt;=12,SUMIFS('ON Data'!AD:AD,'ON Data'!$D:$D,$A$4,'ON Data'!$E:$E,3),SUMIFS('ON Data'!AD:AD,'ON Data'!$E:$E,3))</f>
        <v>0</v>
      </c>
      <c r="Z12" s="230">
        <f xml:space="preserve">
IF($A$4&lt;=12,SUMIFS('ON Data'!AE:AE,'ON Data'!$D:$D,$A$4,'ON Data'!$E:$E,3),SUMIFS('ON Data'!AE:AE,'ON Data'!$E:$E,3))</f>
        <v>0</v>
      </c>
      <c r="AA12" s="230">
        <f xml:space="preserve">
IF($A$4&lt;=12,SUMIFS('ON Data'!AF:AF,'ON Data'!$D:$D,$A$4,'ON Data'!$E:$E,3),SUMIFS('ON Data'!AF:AF,'ON Data'!$E:$E,3))</f>
        <v>0</v>
      </c>
      <c r="AB12" s="230">
        <f xml:space="preserve">
IF($A$4&lt;=12,SUMIFS('ON Data'!AG:AG,'ON Data'!$D:$D,$A$4,'ON Data'!$E:$E,3),SUMIFS('ON Data'!AG:AG,'ON Data'!$E:$E,3))</f>
        <v>0</v>
      </c>
      <c r="AC12" s="230">
        <f xml:space="preserve">
IF($A$4&lt;=12,SUMIFS('ON Data'!AH:AH,'ON Data'!$D:$D,$A$4,'ON Data'!$E:$E,3),SUMIFS('ON Data'!AH:AH,'ON Data'!$E:$E,3))</f>
        <v>0</v>
      </c>
      <c r="AD12" s="230">
        <f xml:space="preserve">
IF($A$4&lt;=12,SUMIFS('ON Data'!AI:AI,'ON Data'!$D:$D,$A$4,'ON Data'!$E:$E,3),SUMIFS('ON Data'!AI:AI,'ON Data'!$E:$E,3))</f>
        <v>0</v>
      </c>
      <c r="AE12" s="230">
        <f xml:space="preserve">
IF($A$4&lt;=12,SUMIFS('ON Data'!AJ:AJ,'ON Data'!$D:$D,$A$4,'ON Data'!$E:$E,3),SUMIFS('ON Data'!AJ:AJ,'ON Data'!$E:$E,3))</f>
        <v>0</v>
      </c>
      <c r="AF12" s="230">
        <f xml:space="preserve">
IF($A$4&lt;=12,SUMIFS('ON Data'!AK:AK,'ON Data'!$D:$D,$A$4,'ON Data'!$E:$E,3),SUMIFS('ON Data'!AK:AK,'ON Data'!$E:$E,3))</f>
        <v>0</v>
      </c>
      <c r="AG12" s="230">
        <f xml:space="preserve">
IF($A$4&lt;=12,SUMIFS('ON Data'!AL:AL,'ON Data'!$D:$D,$A$4,'ON Data'!$E:$E,3),SUMIFS('ON Data'!AL:AL,'ON Data'!$E:$E,3))</f>
        <v>0</v>
      </c>
      <c r="AH12" s="442">
        <f xml:space="preserve">
IF($A$4&lt;=12,SUMIFS('ON Data'!AN:AN,'ON Data'!$D:$D,$A$4,'ON Data'!$E:$E,3),SUMIFS('ON Data'!AN:AN,'ON Data'!$E:$E,3))</f>
        <v>0</v>
      </c>
      <c r="AI12" s="452"/>
    </row>
    <row r="13" spans="1:35" x14ac:dyDescent="0.3">
      <c r="A13" s="211" t="s">
        <v>164</v>
      </c>
      <c r="B13" s="228">
        <f xml:space="preserve">
IF($A$4&lt;=12,SUMIFS('ON Data'!F:F,'ON Data'!$D:$D,$A$4,'ON Data'!$E:$E,4),SUMIFS('ON Data'!F:F,'ON Data'!$E:$E,4))</f>
        <v>0</v>
      </c>
      <c r="C13" s="229">
        <f xml:space="preserve">
IF($A$4&lt;=12,SUMIFS('ON Data'!G:G,'ON Data'!$D:$D,$A$4,'ON Data'!$E:$E,4),SUMIFS('ON Data'!G:G,'ON Data'!$E:$E,4))</f>
        <v>0</v>
      </c>
      <c r="D13" s="230">
        <f xml:space="preserve">
IF($A$4&lt;=12,SUMIFS('ON Data'!H:H,'ON Data'!$D:$D,$A$4,'ON Data'!$E:$E,4),SUMIFS('ON Data'!H:H,'ON Data'!$E:$E,4))</f>
        <v>0</v>
      </c>
      <c r="E13" s="230">
        <f xml:space="preserve">
IF($A$4&lt;=12,SUMIFS('ON Data'!I:I,'ON Data'!$D:$D,$A$4,'ON Data'!$E:$E,4),SUMIFS('ON Data'!I:I,'ON Data'!$E:$E,4))</f>
        <v>0</v>
      </c>
      <c r="F13" s="230">
        <f xml:space="preserve">
IF($A$4&lt;=12,SUMIFS('ON Data'!K:K,'ON Data'!$D:$D,$A$4,'ON Data'!$E:$E,4),SUMIFS('ON Data'!K:K,'ON Data'!$E:$E,4))</f>
        <v>0</v>
      </c>
      <c r="G13" s="230">
        <f xml:space="preserve">
IF($A$4&lt;=12,SUMIFS('ON Data'!L:L,'ON Data'!$D:$D,$A$4,'ON Data'!$E:$E,4),SUMIFS('ON Data'!L:L,'ON Data'!$E:$E,4))</f>
        <v>0</v>
      </c>
      <c r="H13" s="230">
        <f xml:space="preserve">
IF($A$4&lt;=12,SUMIFS('ON Data'!M:M,'ON Data'!$D:$D,$A$4,'ON Data'!$E:$E,4),SUMIFS('ON Data'!M:M,'ON Data'!$E:$E,4))</f>
        <v>0</v>
      </c>
      <c r="I13" s="230">
        <f xml:space="preserve">
IF($A$4&lt;=12,SUMIFS('ON Data'!N:N,'ON Data'!$D:$D,$A$4,'ON Data'!$E:$E,4),SUMIFS('ON Data'!N:N,'ON Data'!$E:$E,4))</f>
        <v>0</v>
      </c>
      <c r="J13" s="230">
        <f xml:space="preserve">
IF($A$4&lt;=12,SUMIFS('ON Data'!O:O,'ON Data'!$D:$D,$A$4,'ON Data'!$E:$E,4),SUMIFS('ON Data'!O:O,'ON Data'!$E:$E,4))</f>
        <v>0</v>
      </c>
      <c r="K13" s="230">
        <f xml:space="preserve">
IF($A$4&lt;=12,SUMIFS('ON Data'!P:P,'ON Data'!$D:$D,$A$4,'ON Data'!$E:$E,4),SUMIFS('ON Data'!P:P,'ON Data'!$E:$E,4))</f>
        <v>0</v>
      </c>
      <c r="L13" s="230">
        <f xml:space="preserve">
IF($A$4&lt;=12,SUMIFS('ON Data'!Q:Q,'ON Data'!$D:$D,$A$4,'ON Data'!$E:$E,4),SUMIFS('ON Data'!Q:Q,'ON Data'!$E:$E,4))</f>
        <v>0</v>
      </c>
      <c r="M13" s="230">
        <f xml:space="preserve">
IF($A$4&lt;=12,SUMIFS('ON Data'!R:R,'ON Data'!$D:$D,$A$4,'ON Data'!$E:$E,4),SUMIFS('ON Data'!R:R,'ON Data'!$E:$E,4))</f>
        <v>0</v>
      </c>
      <c r="N13" s="230">
        <f xml:space="preserve">
IF($A$4&lt;=12,SUMIFS('ON Data'!S:S,'ON Data'!$D:$D,$A$4,'ON Data'!$E:$E,4),SUMIFS('ON Data'!S:S,'ON Data'!$E:$E,4))</f>
        <v>0</v>
      </c>
      <c r="O13" s="230">
        <f xml:space="preserve">
IF($A$4&lt;=12,SUMIFS('ON Data'!T:T,'ON Data'!$D:$D,$A$4,'ON Data'!$E:$E,4),SUMIFS('ON Data'!T:T,'ON Data'!$E:$E,4))</f>
        <v>0</v>
      </c>
      <c r="P13" s="230">
        <f xml:space="preserve">
IF($A$4&lt;=12,SUMIFS('ON Data'!U:U,'ON Data'!$D:$D,$A$4,'ON Data'!$E:$E,4),SUMIFS('ON Data'!U:U,'ON Data'!$E:$E,4))</f>
        <v>0</v>
      </c>
      <c r="Q13" s="230">
        <f xml:space="preserve">
IF($A$4&lt;=12,SUMIFS('ON Data'!V:V,'ON Data'!$D:$D,$A$4,'ON Data'!$E:$E,4),SUMIFS('ON Data'!V:V,'ON Data'!$E:$E,4))</f>
        <v>0</v>
      </c>
      <c r="R13" s="230">
        <f xml:space="preserve">
IF($A$4&lt;=12,SUMIFS('ON Data'!W:W,'ON Data'!$D:$D,$A$4,'ON Data'!$E:$E,4),SUMIFS('ON Data'!W:W,'ON Data'!$E:$E,4))</f>
        <v>0</v>
      </c>
      <c r="S13" s="230">
        <f xml:space="preserve">
IF($A$4&lt;=12,SUMIFS('ON Data'!X:X,'ON Data'!$D:$D,$A$4,'ON Data'!$E:$E,4),SUMIFS('ON Data'!X:X,'ON Data'!$E:$E,4))</f>
        <v>0</v>
      </c>
      <c r="T13" s="230">
        <f xml:space="preserve">
IF($A$4&lt;=12,SUMIFS('ON Data'!Y:Y,'ON Data'!$D:$D,$A$4,'ON Data'!$E:$E,4),SUMIFS('ON Data'!Y:Y,'ON Data'!$E:$E,4))</f>
        <v>0</v>
      </c>
      <c r="U13" s="230">
        <f xml:space="preserve">
IF($A$4&lt;=12,SUMIFS('ON Data'!Z:Z,'ON Data'!$D:$D,$A$4,'ON Data'!$E:$E,4),SUMIFS('ON Data'!Z:Z,'ON Data'!$E:$E,4))</f>
        <v>0</v>
      </c>
      <c r="V13" s="230">
        <f xml:space="preserve">
IF($A$4&lt;=12,SUMIFS('ON Data'!AA:AA,'ON Data'!$D:$D,$A$4,'ON Data'!$E:$E,4),SUMIFS('ON Data'!AA:AA,'ON Data'!$E:$E,4))</f>
        <v>0</v>
      </c>
      <c r="W13" s="230">
        <f xml:space="preserve">
IF($A$4&lt;=12,SUMIFS('ON Data'!AB:AB,'ON Data'!$D:$D,$A$4,'ON Data'!$E:$E,4),SUMIFS('ON Data'!AB:AB,'ON Data'!$E:$E,4))</f>
        <v>0</v>
      </c>
      <c r="X13" s="230">
        <f xml:space="preserve">
IF($A$4&lt;=12,SUMIFS('ON Data'!AC:AC,'ON Data'!$D:$D,$A$4,'ON Data'!$E:$E,4),SUMIFS('ON Data'!AC:AC,'ON Data'!$E:$E,4))</f>
        <v>0</v>
      </c>
      <c r="Y13" s="230">
        <f xml:space="preserve">
IF($A$4&lt;=12,SUMIFS('ON Data'!AD:AD,'ON Data'!$D:$D,$A$4,'ON Data'!$E:$E,4),SUMIFS('ON Data'!AD:AD,'ON Data'!$E:$E,4))</f>
        <v>0</v>
      </c>
      <c r="Z13" s="230">
        <f xml:space="preserve">
IF($A$4&lt;=12,SUMIFS('ON Data'!AE:AE,'ON Data'!$D:$D,$A$4,'ON Data'!$E:$E,4),SUMIFS('ON Data'!AE:AE,'ON Data'!$E:$E,4))</f>
        <v>0</v>
      </c>
      <c r="AA13" s="230">
        <f xml:space="preserve">
IF($A$4&lt;=12,SUMIFS('ON Data'!AF:AF,'ON Data'!$D:$D,$A$4,'ON Data'!$E:$E,4),SUMIFS('ON Data'!AF:AF,'ON Data'!$E:$E,4))</f>
        <v>0</v>
      </c>
      <c r="AB13" s="230">
        <f xml:space="preserve">
IF($A$4&lt;=12,SUMIFS('ON Data'!AG:AG,'ON Data'!$D:$D,$A$4,'ON Data'!$E:$E,4),SUMIFS('ON Data'!AG:AG,'ON Data'!$E:$E,4))</f>
        <v>0</v>
      </c>
      <c r="AC13" s="230">
        <f xml:space="preserve">
IF($A$4&lt;=12,SUMIFS('ON Data'!AH:AH,'ON Data'!$D:$D,$A$4,'ON Data'!$E:$E,4),SUMIFS('ON Data'!AH:AH,'ON Data'!$E:$E,4))</f>
        <v>0</v>
      </c>
      <c r="AD13" s="230">
        <f xml:space="preserve">
IF($A$4&lt;=12,SUMIFS('ON Data'!AI:AI,'ON Data'!$D:$D,$A$4,'ON Data'!$E:$E,4),SUMIFS('ON Data'!AI:AI,'ON Data'!$E:$E,4))</f>
        <v>0</v>
      </c>
      <c r="AE13" s="230">
        <f xml:space="preserve">
IF($A$4&lt;=12,SUMIFS('ON Data'!AJ:AJ,'ON Data'!$D:$D,$A$4,'ON Data'!$E:$E,4),SUMIFS('ON Data'!AJ:AJ,'ON Data'!$E:$E,4))</f>
        <v>0</v>
      </c>
      <c r="AF13" s="230">
        <f xml:space="preserve">
IF($A$4&lt;=12,SUMIFS('ON Data'!AK:AK,'ON Data'!$D:$D,$A$4,'ON Data'!$E:$E,4),SUMIFS('ON Data'!AK:AK,'ON Data'!$E:$E,4))</f>
        <v>0</v>
      </c>
      <c r="AG13" s="230">
        <f xml:space="preserve">
IF($A$4&lt;=12,SUMIFS('ON Data'!AL:AL,'ON Data'!$D:$D,$A$4,'ON Data'!$E:$E,4),SUMIFS('ON Data'!AL:AL,'ON Data'!$E:$E,4))</f>
        <v>0</v>
      </c>
      <c r="AH13" s="442">
        <f xml:space="preserve">
IF($A$4&lt;=12,SUMIFS('ON Data'!AN:AN,'ON Data'!$D:$D,$A$4,'ON Data'!$E:$E,4),SUMIFS('ON Data'!AN:AN,'ON Data'!$E:$E,4))</f>
        <v>0</v>
      </c>
      <c r="AI13" s="452"/>
    </row>
    <row r="14" spans="1:35" ht="15" thickBot="1" x14ac:dyDescent="0.35">
      <c r="A14" s="212" t="s">
        <v>158</v>
      </c>
      <c r="B14" s="231">
        <f xml:space="preserve">
IF($A$4&lt;=12,SUMIFS('ON Data'!F:F,'ON Data'!$D:$D,$A$4,'ON Data'!$E:$E,5),SUMIFS('ON Data'!F:F,'ON Data'!$E:$E,5))</f>
        <v>0</v>
      </c>
      <c r="C14" s="232">
        <f xml:space="preserve">
IF($A$4&lt;=12,SUMIFS('ON Data'!G:G,'ON Data'!$D:$D,$A$4,'ON Data'!$E:$E,5),SUMIFS('ON Data'!G:G,'ON Data'!$E:$E,5))</f>
        <v>0</v>
      </c>
      <c r="D14" s="233">
        <f xml:space="preserve">
IF($A$4&lt;=12,SUMIFS('ON Data'!H:H,'ON Data'!$D:$D,$A$4,'ON Data'!$E:$E,5),SUMIFS('ON Data'!H:H,'ON Data'!$E:$E,5))</f>
        <v>0</v>
      </c>
      <c r="E14" s="233">
        <f xml:space="preserve">
IF($A$4&lt;=12,SUMIFS('ON Data'!I:I,'ON Data'!$D:$D,$A$4,'ON Data'!$E:$E,5),SUMIFS('ON Data'!I:I,'ON Data'!$E:$E,5))</f>
        <v>0</v>
      </c>
      <c r="F14" s="233">
        <f xml:space="preserve">
IF($A$4&lt;=12,SUMIFS('ON Data'!K:K,'ON Data'!$D:$D,$A$4,'ON Data'!$E:$E,5),SUMIFS('ON Data'!K:K,'ON Data'!$E:$E,5))</f>
        <v>0</v>
      </c>
      <c r="G14" s="233">
        <f xml:space="preserve">
IF($A$4&lt;=12,SUMIFS('ON Data'!L:L,'ON Data'!$D:$D,$A$4,'ON Data'!$E:$E,5),SUMIFS('ON Data'!L:L,'ON Data'!$E:$E,5))</f>
        <v>0</v>
      </c>
      <c r="H14" s="233">
        <f xml:space="preserve">
IF($A$4&lt;=12,SUMIFS('ON Data'!M:M,'ON Data'!$D:$D,$A$4,'ON Data'!$E:$E,5),SUMIFS('ON Data'!M:M,'ON Data'!$E:$E,5))</f>
        <v>0</v>
      </c>
      <c r="I14" s="233">
        <f xml:space="preserve">
IF($A$4&lt;=12,SUMIFS('ON Data'!N:N,'ON Data'!$D:$D,$A$4,'ON Data'!$E:$E,5),SUMIFS('ON Data'!N:N,'ON Data'!$E:$E,5))</f>
        <v>0</v>
      </c>
      <c r="J14" s="233">
        <f xml:space="preserve">
IF($A$4&lt;=12,SUMIFS('ON Data'!O:O,'ON Data'!$D:$D,$A$4,'ON Data'!$E:$E,5),SUMIFS('ON Data'!O:O,'ON Data'!$E:$E,5))</f>
        <v>0</v>
      </c>
      <c r="K14" s="233">
        <f xml:space="preserve">
IF($A$4&lt;=12,SUMIFS('ON Data'!P:P,'ON Data'!$D:$D,$A$4,'ON Data'!$E:$E,5),SUMIFS('ON Data'!P:P,'ON Data'!$E:$E,5))</f>
        <v>0</v>
      </c>
      <c r="L14" s="233">
        <f xml:space="preserve">
IF($A$4&lt;=12,SUMIFS('ON Data'!Q:Q,'ON Data'!$D:$D,$A$4,'ON Data'!$E:$E,5),SUMIFS('ON Data'!Q:Q,'ON Data'!$E:$E,5))</f>
        <v>0</v>
      </c>
      <c r="M14" s="233">
        <f xml:space="preserve">
IF($A$4&lt;=12,SUMIFS('ON Data'!R:R,'ON Data'!$D:$D,$A$4,'ON Data'!$E:$E,5),SUMIFS('ON Data'!R:R,'ON Data'!$E:$E,5))</f>
        <v>0</v>
      </c>
      <c r="N14" s="233">
        <f xml:space="preserve">
IF($A$4&lt;=12,SUMIFS('ON Data'!S:S,'ON Data'!$D:$D,$A$4,'ON Data'!$E:$E,5),SUMIFS('ON Data'!S:S,'ON Data'!$E:$E,5))</f>
        <v>0</v>
      </c>
      <c r="O14" s="233">
        <f xml:space="preserve">
IF($A$4&lt;=12,SUMIFS('ON Data'!T:T,'ON Data'!$D:$D,$A$4,'ON Data'!$E:$E,5),SUMIFS('ON Data'!T:T,'ON Data'!$E:$E,5))</f>
        <v>0</v>
      </c>
      <c r="P14" s="233">
        <f xml:space="preserve">
IF($A$4&lt;=12,SUMIFS('ON Data'!U:U,'ON Data'!$D:$D,$A$4,'ON Data'!$E:$E,5),SUMIFS('ON Data'!U:U,'ON Data'!$E:$E,5))</f>
        <v>0</v>
      </c>
      <c r="Q14" s="233">
        <f xml:space="preserve">
IF($A$4&lt;=12,SUMIFS('ON Data'!V:V,'ON Data'!$D:$D,$A$4,'ON Data'!$E:$E,5),SUMIFS('ON Data'!V:V,'ON Data'!$E:$E,5))</f>
        <v>0</v>
      </c>
      <c r="R14" s="233">
        <f xml:space="preserve">
IF($A$4&lt;=12,SUMIFS('ON Data'!W:W,'ON Data'!$D:$D,$A$4,'ON Data'!$E:$E,5),SUMIFS('ON Data'!W:W,'ON Data'!$E:$E,5))</f>
        <v>0</v>
      </c>
      <c r="S14" s="233">
        <f xml:space="preserve">
IF($A$4&lt;=12,SUMIFS('ON Data'!X:X,'ON Data'!$D:$D,$A$4,'ON Data'!$E:$E,5),SUMIFS('ON Data'!X:X,'ON Data'!$E:$E,5))</f>
        <v>0</v>
      </c>
      <c r="T14" s="233">
        <f xml:space="preserve">
IF($A$4&lt;=12,SUMIFS('ON Data'!Y:Y,'ON Data'!$D:$D,$A$4,'ON Data'!$E:$E,5),SUMIFS('ON Data'!Y:Y,'ON Data'!$E:$E,5))</f>
        <v>0</v>
      </c>
      <c r="U14" s="233">
        <f xml:space="preserve">
IF($A$4&lt;=12,SUMIFS('ON Data'!Z:Z,'ON Data'!$D:$D,$A$4,'ON Data'!$E:$E,5),SUMIFS('ON Data'!Z:Z,'ON Data'!$E:$E,5))</f>
        <v>0</v>
      </c>
      <c r="V14" s="233">
        <f xml:space="preserve">
IF($A$4&lt;=12,SUMIFS('ON Data'!AA:AA,'ON Data'!$D:$D,$A$4,'ON Data'!$E:$E,5),SUMIFS('ON Data'!AA:AA,'ON Data'!$E:$E,5))</f>
        <v>0</v>
      </c>
      <c r="W14" s="233">
        <f xml:space="preserve">
IF($A$4&lt;=12,SUMIFS('ON Data'!AB:AB,'ON Data'!$D:$D,$A$4,'ON Data'!$E:$E,5),SUMIFS('ON Data'!AB:AB,'ON Data'!$E:$E,5))</f>
        <v>0</v>
      </c>
      <c r="X14" s="233">
        <f xml:space="preserve">
IF($A$4&lt;=12,SUMIFS('ON Data'!AC:AC,'ON Data'!$D:$D,$A$4,'ON Data'!$E:$E,5),SUMIFS('ON Data'!AC:AC,'ON Data'!$E:$E,5))</f>
        <v>0</v>
      </c>
      <c r="Y14" s="233">
        <f xml:space="preserve">
IF($A$4&lt;=12,SUMIFS('ON Data'!AD:AD,'ON Data'!$D:$D,$A$4,'ON Data'!$E:$E,5),SUMIFS('ON Data'!AD:AD,'ON Data'!$E:$E,5))</f>
        <v>0</v>
      </c>
      <c r="Z14" s="233">
        <f xml:space="preserve">
IF($A$4&lt;=12,SUMIFS('ON Data'!AE:AE,'ON Data'!$D:$D,$A$4,'ON Data'!$E:$E,5),SUMIFS('ON Data'!AE:AE,'ON Data'!$E:$E,5))</f>
        <v>0</v>
      </c>
      <c r="AA14" s="233">
        <f xml:space="preserve">
IF($A$4&lt;=12,SUMIFS('ON Data'!AF:AF,'ON Data'!$D:$D,$A$4,'ON Data'!$E:$E,5),SUMIFS('ON Data'!AF:AF,'ON Data'!$E:$E,5))</f>
        <v>0</v>
      </c>
      <c r="AB14" s="233">
        <f xml:space="preserve">
IF($A$4&lt;=12,SUMIFS('ON Data'!AG:AG,'ON Data'!$D:$D,$A$4,'ON Data'!$E:$E,5),SUMIFS('ON Data'!AG:AG,'ON Data'!$E:$E,5))</f>
        <v>0</v>
      </c>
      <c r="AC14" s="233">
        <f xml:space="preserve">
IF($A$4&lt;=12,SUMIFS('ON Data'!AH:AH,'ON Data'!$D:$D,$A$4,'ON Data'!$E:$E,5),SUMIFS('ON Data'!AH:AH,'ON Data'!$E:$E,5))</f>
        <v>0</v>
      </c>
      <c r="AD14" s="233">
        <f xml:space="preserve">
IF($A$4&lt;=12,SUMIFS('ON Data'!AI:AI,'ON Data'!$D:$D,$A$4,'ON Data'!$E:$E,5),SUMIFS('ON Data'!AI:AI,'ON Data'!$E:$E,5))</f>
        <v>0</v>
      </c>
      <c r="AE14" s="233">
        <f xml:space="preserve">
IF($A$4&lt;=12,SUMIFS('ON Data'!AJ:AJ,'ON Data'!$D:$D,$A$4,'ON Data'!$E:$E,5),SUMIFS('ON Data'!AJ:AJ,'ON Data'!$E:$E,5))</f>
        <v>0</v>
      </c>
      <c r="AF14" s="233">
        <f xml:space="preserve">
IF($A$4&lt;=12,SUMIFS('ON Data'!AK:AK,'ON Data'!$D:$D,$A$4,'ON Data'!$E:$E,5),SUMIFS('ON Data'!AK:AK,'ON Data'!$E:$E,5))</f>
        <v>0</v>
      </c>
      <c r="AG14" s="233">
        <f xml:space="preserve">
IF($A$4&lt;=12,SUMIFS('ON Data'!AL:AL,'ON Data'!$D:$D,$A$4,'ON Data'!$E:$E,5),SUMIFS('ON Data'!AL:AL,'ON Data'!$E:$E,5))</f>
        <v>0</v>
      </c>
      <c r="AH14" s="443">
        <f xml:space="preserve">
IF($A$4&lt;=12,SUMIFS('ON Data'!AN:AN,'ON Data'!$D:$D,$A$4,'ON Data'!$E:$E,5),SUMIFS('ON Data'!AN:AN,'ON Data'!$E:$E,5))</f>
        <v>0</v>
      </c>
      <c r="AI14" s="452"/>
    </row>
    <row r="15" spans="1:35" x14ac:dyDescent="0.3">
      <c r="A15" s="135" t="s">
        <v>168</v>
      </c>
      <c r="B15" s="234"/>
      <c r="C15" s="235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444"/>
      <c r="AI15" s="452"/>
    </row>
    <row r="16" spans="1:35" x14ac:dyDescent="0.3">
      <c r="A16" s="213" t="s">
        <v>159</v>
      </c>
      <c r="B16" s="228">
        <f xml:space="preserve">
IF($A$4&lt;=12,SUMIFS('ON Data'!F:F,'ON Data'!$D:$D,$A$4,'ON Data'!$E:$E,7),SUMIFS('ON Data'!F:F,'ON Data'!$E:$E,7))</f>
        <v>0</v>
      </c>
      <c r="C16" s="229">
        <f xml:space="preserve">
IF($A$4&lt;=12,SUMIFS('ON Data'!G:G,'ON Data'!$D:$D,$A$4,'ON Data'!$E:$E,7),SUMIFS('ON Data'!G:G,'ON Data'!$E:$E,7))</f>
        <v>0</v>
      </c>
      <c r="D16" s="230">
        <f xml:space="preserve">
IF($A$4&lt;=12,SUMIFS('ON Data'!H:H,'ON Data'!$D:$D,$A$4,'ON Data'!$E:$E,7),SUMIFS('ON Data'!H:H,'ON Data'!$E:$E,7))</f>
        <v>0</v>
      </c>
      <c r="E16" s="230">
        <f xml:space="preserve">
IF($A$4&lt;=12,SUMIFS('ON Data'!I:I,'ON Data'!$D:$D,$A$4,'ON Data'!$E:$E,7),SUMIFS('ON Data'!I:I,'ON Data'!$E:$E,7))</f>
        <v>0</v>
      </c>
      <c r="F16" s="230">
        <f xml:space="preserve">
IF($A$4&lt;=12,SUMIFS('ON Data'!K:K,'ON Data'!$D:$D,$A$4,'ON Data'!$E:$E,7),SUMIFS('ON Data'!K:K,'ON Data'!$E:$E,7))</f>
        <v>0</v>
      </c>
      <c r="G16" s="230">
        <f xml:space="preserve">
IF($A$4&lt;=12,SUMIFS('ON Data'!L:L,'ON Data'!$D:$D,$A$4,'ON Data'!$E:$E,7),SUMIFS('ON Data'!L:L,'ON Data'!$E:$E,7))</f>
        <v>0</v>
      </c>
      <c r="H16" s="230">
        <f xml:space="preserve">
IF($A$4&lt;=12,SUMIFS('ON Data'!M:M,'ON Data'!$D:$D,$A$4,'ON Data'!$E:$E,7),SUMIFS('ON Data'!M:M,'ON Data'!$E:$E,7))</f>
        <v>0</v>
      </c>
      <c r="I16" s="230">
        <f xml:space="preserve">
IF($A$4&lt;=12,SUMIFS('ON Data'!N:N,'ON Data'!$D:$D,$A$4,'ON Data'!$E:$E,7),SUMIFS('ON Data'!N:N,'ON Data'!$E:$E,7))</f>
        <v>0</v>
      </c>
      <c r="J16" s="230">
        <f xml:space="preserve">
IF($A$4&lt;=12,SUMIFS('ON Data'!O:O,'ON Data'!$D:$D,$A$4,'ON Data'!$E:$E,7),SUMIFS('ON Data'!O:O,'ON Data'!$E:$E,7))</f>
        <v>0</v>
      </c>
      <c r="K16" s="230">
        <f xml:space="preserve">
IF($A$4&lt;=12,SUMIFS('ON Data'!P:P,'ON Data'!$D:$D,$A$4,'ON Data'!$E:$E,7),SUMIFS('ON Data'!P:P,'ON Data'!$E:$E,7))</f>
        <v>0</v>
      </c>
      <c r="L16" s="230">
        <f xml:space="preserve">
IF($A$4&lt;=12,SUMIFS('ON Data'!Q:Q,'ON Data'!$D:$D,$A$4,'ON Data'!$E:$E,7),SUMIFS('ON Data'!Q:Q,'ON Data'!$E:$E,7))</f>
        <v>0</v>
      </c>
      <c r="M16" s="230">
        <f xml:space="preserve">
IF($A$4&lt;=12,SUMIFS('ON Data'!R:R,'ON Data'!$D:$D,$A$4,'ON Data'!$E:$E,7),SUMIFS('ON Data'!R:R,'ON Data'!$E:$E,7))</f>
        <v>0</v>
      </c>
      <c r="N16" s="230">
        <f xml:space="preserve">
IF($A$4&lt;=12,SUMIFS('ON Data'!S:S,'ON Data'!$D:$D,$A$4,'ON Data'!$E:$E,7),SUMIFS('ON Data'!S:S,'ON Data'!$E:$E,7))</f>
        <v>0</v>
      </c>
      <c r="O16" s="230">
        <f xml:space="preserve">
IF($A$4&lt;=12,SUMIFS('ON Data'!T:T,'ON Data'!$D:$D,$A$4,'ON Data'!$E:$E,7),SUMIFS('ON Data'!T:T,'ON Data'!$E:$E,7))</f>
        <v>0</v>
      </c>
      <c r="P16" s="230">
        <f xml:space="preserve">
IF($A$4&lt;=12,SUMIFS('ON Data'!U:U,'ON Data'!$D:$D,$A$4,'ON Data'!$E:$E,7),SUMIFS('ON Data'!U:U,'ON Data'!$E:$E,7))</f>
        <v>0</v>
      </c>
      <c r="Q16" s="230">
        <f xml:space="preserve">
IF($A$4&lt;=12,SUMIFS('ON Data'!V:V,'ON Data'!$D:$D,$A$4,'ON Data'!$E:$E,7),SUMIFS('ON Data'!V:V,'ON Data'!$E:$E,7))</f>
        <v>0</v>
      </c>
      <c r="R16" s="230">
        <f xml:space="preserve">
IF($A$4&lt;=12,SUMIFS('ON Data'!W:W,'ON Data'!$D:$D,$A$4,'ON Data'!$E:$E,7),SUMIFS('ON Data'!W:W,'ON Data'!$E:$E,7))</f>
        <v>0</v>
      </c>
      <c r="S16" s="230">
        <f xml:space="preserve">
IF($A$4&lt;=12,SUMIFS('ON Data'!X:X,'ON Data'!$D:$D,$A$4,'ON Data'!$E:$E,7),SUMIFS('ON Data'!X:X,'ON Data'!$E:$E,7))</f>
        <v>0</v>
      </c>
      <c r="T16" s="230">
        <f xml:space="preserve">
IF($A$4&lt;=12,SUMIFS('ON Data'!Y:Y,'ON Data'!$D:$D,$A$4,'ON Data'!$E:$E,7),SUMIFS('ON Data'!Y:Y,'ON Data'!$E:$E,7))</f>
        <v>0</v>
      </c>
      <c r="U16" s="230">
        <f xml:space="preserve">
IF($A$4&lt;=12,SUMIFS('ON Data'!Z:Z,'ON Data'!$D:$D,$A$4,'ON Data'!$E:$E,7),SUMIFS('ON Data'!Z:Z,'ON Data'!$E:$E,7))</f>
        <v>0</v>
      </c>
      <c r="V16" s="230">
        <f xml:space="preserve">
IF($A$4&lt;=12,SUMIFS('ON Data'!AA:AA,'ON Data'!$D:$D,$A$4,'ON Data'!$E:$E,7),SUMIFS('ON Data'!AA:AA,'ON Data'!$E:$E,7))</f>
        <v>0</v>
      </c>
      <c r="W16" s="230">
        <f xml:space="preserve">
IF($A$4&lt;=12,SUMIFS('ON Data'!AB:AB,'ON Data'!$D:$D,$A$4,'ON Data'!$E:$E,7),SUMIFS('ON Data'!AB:AB,'ON Data'!$E:$E,7))</f>
        <v>0</v>
      </c>
      <c r="X16" s="230">
        <f xml:space="preserve">
IF($A$4&lt;=12,SUMIFS('ON Data'!AC:AC,'ON Data'!$D:$D,$A$4,'ON Data'!$E:$E,7),SUMIFS('ON Data'!AC:AC,'ON Data'!$E:$E,7))</f>
        <v>0</v>
      </c>
      <c r="Y16" s="230">
        <f xml:space="preserve">
IF($A$4&lt;=12,SUMIFS('ON Data'!AD:AD,'ON Data'!$D:$D,$A$4,'ON Data'!$E:$E,7),SUMIFS('ON Data'!AD:AD,'ON Data'!$E:$E,7))</f>
        <v>0</v>
      </c>
      <c r="Z16" s="230">
        <f xml:space="preserve">
IF($A$4&lt;=12,SUMIFS('ON Data'!AE:AE,'ON Data'!$D:$D,$A$4,'ON Data'!$E:$E,7),SUMIFS('ON Data'!AE:AE,'ON Data'!$E:$E,7))</f>
        <v>0</v>
      </c>
      <c r="AA16" s="230">
        <f xml:space="preserve">
IF($A$4&lt;=12,SUMIFS('ON Data'!AF:AF,'ON Data'!$D:$D,$A$4,'ON Data'!$E:$E,7),SUMIFS('ON Data'!AF:AF,'ON Data'!$E:$E,7))</f>
        <v>0</v>
      </c>
      <c r="AB16" s="230">
        <f xml:space="preserve">
IF($A$4&lt;=12,SUMIFS('ON Data'!AG:AG,'ON Data'!$D:$D,$A$4,'ON Data'!$E:$E,7),SUMIFS('ON Data'!AG:AG,'ON Data'!$E:$E,7))</f>
        <v>0</v>
      </c>
      <c r="AC16" s="230">
        <f xml:space="preserve">
IF($A$4&lt;=12,SUMIFS('ON Data'!AH:AH,'ON Data'!$D:$D,$A$4,'ON Data'!$E:$E,7),SUMIFS('ON Data'!AH:AH,'ON Data'!$E:$E,7))</f>
        <v>0</v>
      </c>
      <c r="AD16" s="230">
        <f xml:space="preserve">
IF($A$4&lt;=12,SUMIFS('ON Data'!AI:AI,'ON Data'!$D:$D,$A$4,'ON Data'!$E:$E,7),SUMIFS('ON Data'!AI:AI,'ON Data'!$E:$E,7))</f>
        <v>0</v>
      </c>
      <c r="AE16" s="230">
        <f xml:space="preserve">
IF($A$4&lt;=12,SUMIFS('ON Data'!AJ:AJ,'ON Data'!$D:$D,$A$4,'ON Data'!$E:$E,7),SUMIFS('ON Data'!AJ:AJ,'ON Data'!$E:$E,7))</f>
        <v>0</v>
      </c>
      <c r="AF16" s="230">
        <f xml:space="preserve">
IF($A$4&lt;=12,SUMIFS('ON Data'!AK:AK,'ON Data'!$D:$D,$A$4,'ON Data'!$E:$E,7),SUMIFS('ON Data'!AK:AK,'ON Data'!$E:$E,7))</f>
        <v>0</v>
      </c>
      <c r="AG16" s="230">
        <f xml:space="preserve">
IF($A$4&lt;=12,SUMIFS('ON Data'!AL:AL,'ON Data'!$D:$D,$A$4,'ON Data'!$E:$E,7),SUMIFS('ON Data'!AL:AL,'ON Data'!$E:$E,7))</f>
        <v>0</v>
      </c>
      <c r="AH16" s="442">
        <f xml:space="preserve">
IF($A$4&lt;=12,SUMIFS('ON Data'!AN:AN,'ON Data'!$D:$D,$A$4,'ON Data'!$E:$E,7),SUMIFS('ON Data'!AN:AN,'ON Data'!$E:$E,7))</f>
        <v>0</v>
      </c>
      <c r="AI16" s="452"/>
    </row>
    <row r="17" spans="1:35" x14ac:dyDescent="0.3">
      <c r="A17" s="213" t="s">
        <v>160</v>
      </c>
      <c r="B17" s="228">
        <f xml:space="preserve">
IF($A$4&lt;=12,SUMIFS('ON Data'!F:F,'ON Data'!$D:$D,$A$4,'ON Data'!$E:$E,8),SUMIFS('ON Data'!F:F,'ON Data'!$E:$E,8))</f>
        <v>0</v>
      </c>
      <c r="C17" s="229">
        <f xml:space="preserve">
IF($A$4&lt;=12,SUMIFS('ON Data'!G:G,'ON Data'!$D:$D,$A$4,'ON Data'!$E:$E,8),SUMIFS('ON Data'!G:G,'ON Data'!$E:$E,8))</f>
        <v>0</v>
      </c>
      <c r="D17" s="230">
        <f xml:space="preserve">
IF($A$4&lt;=12,SUMIFS('ON Data'!H:H,'ON Data'!$D:$D,$A$4,'ON Data'!$E:$E,8),SUMIFS('ON Data'!H:H,'ON Data'!$E:$E,8))</f>
        <v>0</v>
      </c>
      <c r="E17" s="230">
        <f xml:space="preserve">
IF($A$4&lt;=12,SUMIFS('ON Data'!I:I,'ON Data'!$D:$D,$A$4,'ON Data'!$E:$E,8),SUMIFS('ON Data'!I:I,'ON Data'!$E:$E,8))</f>
        <v>0</v>
      </c>
      <c r="F17" s="230">
        <f xml:space="preserve">
IF($A$4&lt;=12,SUMIFS('ON Data'!K:K,'ON Data'!$D:$D,$A$4,'ON Data'!$E:$E,8),SUMIFS('ON Data'!K:K,'ON Data'!$E:$E,8))</f>
        <v>0</v>
      </c>
      <c r="G17" s="230">
        <f xml:space="preserve">
IF($A$4&lt;=12,SUMIFS('ON Data'!L:L,'ON Data'!$D:$D,$A$4,'ON Data'!$E:$E,8),SUMIFS('ON Data'!L:L,'ON Data'!$E:$E,8))</f>
        <v>0</v>
      </c>
      <c r="H17" s="230">
        <f xml:space="preserve">
IF($A$4&lt;=12,SUMIFS('ON Data'!M:M,'ON Data'!$D:$D,$A$4,'ON Data'!$E:$E,8),SUMIFS('ON Data'!M:M,'ON Data'!$E:$E,8))</f>
        <v>0</v>
      </c>
      <c r="I17" s="230">
        <f xml:space="preserve">
IF($A$4&lt;=12,SUMIFS('ON Data'!N:N,'ON Data'!$D:$D,$A$4,'ON Data'!$E:$E,8),SUMIFS('ON Data'!N:N,'ON Data'!$E:$E,8))</f>
        <v>0</v>
      </c>
      <c r="J17" s="230">
        <f xml:space="preserve">
IF($A$4&lt;=12,SUMIFS('ON Data'!O:O,'ON Data'!$D:$D,$A$4,'ON Data'!$E:$E,8),SUMIFS('ON Data'!O:O,'ON Data'!$E:$E,8))</f>
        <v>0</v>
      </c>
      <c r="K17" s="230">
        <f xml:space="preserve">
IF($A$4&lt;=12,SUMIFS('ON Data'!P:P,'ON Data'!$D:$D,$A$4,'ON Data'!$E:$E,8),SUMIFS('ON Data'!P:P,'ON Data'!$E:$E,8))</f>
        <v>0</v>
      </c>
      <c r="L17" s="230">
        <f xml:space="preserve">
IF($A$4&lt;=12,SUMIFS('ON Data'!Q:Q,'ON Data'!$D:$D,$A$4,'ON Data'!$E:$E,8),SUMIFS('ON Data'!Q:Q,'ON Data'!$E:$E,8))</f>
        <v>0</v>
      </c>
      <c r="M17" s="230">
        <f xml:space="preserve">
IF($A$4&lt;=12,SUMIFS('ON Data'!R:R,'ON Data'!$D:$D,$A$4,'ON Data'!$E:$E,8),SUMIFS('ON Data'!R:R,'ON Data'!$E:$E,8))</f>
        <v>0</v>
      </c>
      <c r="N17" s="230">
        <f xml:space="preserve">
IF($A$4&lt;=12,SUMIFS('ON Data'!S:S,'ON Data'!$D:$D,$A$4,'ON Data'!$E:$E,8),SUMIFS('ON Data'!S:S,'ON Data'!$E:$E,8))</f>
        <v>0</v>
      </c>
      <c r="O17" s="230">
        <f xml:space="preserve">
IF($A$4&lt;=12,SUMIFS('ON Data'!T:T,'ON Data'!$D:$D,$A$4,'ON Data'!$E:$E,8),SUMIFS('ON Data'!T:T,'ON Data'!$E:$E,8))</f>
        <v>0</v>
      </c>
      <c r="P17" s="230">
        <f xml:space="preserve">
IF($A$4&lt;=12,SUMIFS('ON Data'!U:U,'ON Data'!$D:$D,$A$4,'ON Data'!$E:$E,8),SUMIFS('ON Data'!U:U,'ON Data'!$E:$E,8))</f>
        <v>0</v>
      </c>
      <c r="Q17" s="230">
        <f xml:space="preserve">
IF($A$4&lt;=12,SUMIFS('ON Data'!V:V,'ON Data'!$D:$D,$A$4,'ON Data'!$E:$E,8),SUMIFS('ON Data'!V:V,'ON Data'!$E:$E,8))</f>
        <v>0</v>
      </c>
      <c r="R17" s="230">
        <f xml:space="preserve">
IF($A$4&lt;=12,SUMIFS('ON Data'!W:W,'ON Data'!$D:$D,$A$4,'ON Data'!$E:$E,8),SUMIFS('ON Data'!W:W,'ON Data'!$E:$E,8))</f>
        <v>0</v>
      </c>
      <c r="S17" s="230">
        <f xml:space="preserve">
IF($A$4&lt;=12,SUMIFS('ON Data'!X:X,'ON Data'!$D:$D,$A$4,'ON Data'!$E:$E,8),SUMIFS('ON Data'!X:X,'ON Data'!$E:$E,8))</f>
        <v>0</v>
      </c>
      <c r="T17" s="230">
        <f xml:space="preserve">
IF($A$4&lt;=12,SUMIFS('ON Data'!Y:Y,'ON Data'!$D:$D,$A$4,'ON Data'!$E:$E,8),SUMIFS('ON Data'!Y:Y,'ON Data'!$E:$E,8))</f>
        <v>0</v>
      </c>
      <c r="U17" s="230">
        <f xml:space="preserve">
IF($A$4&lt;=12,SUMIFS('ON Data'!Z:Z,'ON Data'!$D:$D,$A$4,'ON Data'!$E:$E,8),SUMIFS('ON Data'!Z:Z,'ON Data'!$E:$E,8))</f>
        <v>0</v>
      </c>
      <c r="V17" s="230">
        <f xml:space="preserve">
IF($A$4&lt;=12,SUMIFS('ON Data'!AA:AA,'ON Data'!$D:$D,$A$4,'ON Data'!$E:$E,8),SUMIFS('ON Data'!AA:AA,'ON Data'!$E:$E,8))</f>
        <v>0</v>
      </c>
      <c r="W17" s="230">
        <f xml:space="preserve">
IF($A$4&lt;=12,SUMIFS('ON Data'!AB:AB,'ON Data'!$D:$D,$A$4,'ON Data'!$E:$E,8),SUMIFS('ON Data'!AB:AB,'ON Data'!$E:$E,8))</f>
        <v>0</v>
      </c>
      <c r="X17" s="230">
        <f xml:space="preserve">
IF($A$4&lt;=12,SUMIFS('ON Data'!AC:AC,'ON Data'!$D:$D,$A$4,'ON Data'!$E:$E,8),SUMIFS('ON Data'!AC:AC,'ON Data'!$E:$E,8))</f>
        <v>0</v>
      </c>
      <c r="Y17" s="230">
        <f xml:space="preserve">
IF($A$4&lt;=12,SUMIFS('ON Data'!AD:AD,'ON Data'!$D:$D,$A$4,'ON Data'!$E:$E,8),SUMIFS('ON Data'!AD:AD,'ON Data'!$E:$E,8))</f>
        <v>0</v>
      </c>
      <c r="Z17" s="230">
        <f xml:space="preserve">
IF($A$4&lt;=12,SUMIFS('ON Data'!AE:AE,'ON Data'!$D:$D,$A$4,'ON Data'!$E:$E,8),SUMIFS('ON Data'!AE:AE,'ON Data'!$E:$E,8))</f>
        <v>0</v>
      </c>
      <c r="AA17" s="230">
        <f xml:space="preserve">
IF($A$4&lt;=12,SUMIFS('ON Data'!AF:AF,'ON Data'!$D:$D,$A$4,'ON Data'!$E:$E,8),SUMIFS('ON Data'!AF:AF,'ON Data'!$E:$E,8))</f>
        <v>0</v>
      </c>
      <c r="AB17" s="230">
        <f xml:space="preserve">
IF($A$4&lt;=12,SUMIFS('ON Data'!AG:AG,'ON Data'!$D:$D,$A$4,'ON Data'!$E:$E,8),SUMIFS('ON Data'!AG:AG,'ON Data'!$E:$E,8))</f>
        <v>0</v>
      </c>
      <c r="AC17" s="230">
        <f xml:space="preserve">
IF($A$4&lt;=12,SUMIFS('ON Data'!AH:AH,'ON Data'!$D:$D,$A$4,'ON Data'!$E:$E,8),SUMIFS('ON Data'!AH:AH,'ON Data'!$E:$E,8))</f>
        <v>0</v>
      </c>
      <c r="AD17" s="230">
        <f xml:space="preserve">
IF($A$4&lt;=12,SUMIFS('ON Data'!AI:AI,'ON Data'!$D:$D,$A$4,'ON Data'!$E:$E,8),SUMIFS('ON Data'!AI:AI,'ON Data'!$E:$E,8))</f>
        <v>0</v>
      </c>
      <c r="AE17" s="230">
        <f xml:space="preserve">
IF($A$4&lt;=12,SUMIFS('ON Data'!AJ:AJ,'ON Data'!$D:$D,$A$4,'ON Data'!$E:$E,8),SUMIFS('ON Data'!AJ:AJ,'ON Data'!$E:$E,8))</f>
        <v>0</v>
      </c>
      <c r="AF17" s="230">
        <f xml:space="preserve">
IF($A$4&lt;=12,SUMIFS('ON Data'!AK:AK,'ON Data'!$D:$D,$A$4,'ON Data'!$E:$E,8),SUMIFS('ON Data'!AK:AK,'ON Data'!$E:$E,8))</f>
        <v>0</v>
      </c>
      <c r="AG17" s="230">
        <f xml:space="preserve">
IF($A$4&lt;=12,SUMIFS('ON Data'!AL:AL,'ON Data'!$D:$D,$A$4,'ON Data'!$E:$E,8),SUMIFS('ON Data'!AL:AL,'ON Data'!$E:$E,8))</f>
        <v>0</v>
      </c>
      <c r="AH17" s="442">
        <f xml:space="preserve">
IF($A$4&lt;=12,SUMIFS('ON Data'!AN:AN,'ON Data'!$D:$D,$A$4,'ON Data'!$E:$E,8),SUMIFS('ON Data'!AN:AN,'ON Data'!$E:$E,8))</f>
        <v>0</v>
      </c>
      <c r="AI17" s="452"/>
    </row>
    <row r="18" spans="1:35" x14ac:dyDescent="0.3">
      <c r="A18" s="213" t="s">
        <v>161</v>
      </c>
      <c r="B18" s="228">
        <f xml:space="preserve">
B19-B16-B17</f>
        <v>176702</v>
      </c>
      <c r="C18" s="229">
        <f t="shared" ref="C18:G18" si="0" xml:space="preserve">
C19-C16-C17</f>
        <v>0</v>
      </c>
      <c r="D18" s="230">
        <f t="shared" si="0"/>
        <v>0</v>
      </c>
      <c r="E18" s="230">
        <f t="shared" si="0"/>
        <v>0</v>
      </c>
      <c r="F18" s="230">
        <f t="shared" si="0"/>
        <v>0</v>
      </c>
      <c r="G18" s="230">
        <f t="shared" si="0"/>
        <v>0</v>
      </c>
      <c r="H18" s="230">
        <f t="shared" ref="H18:AH18" si="1" xml:space="preserve">
H19-H16-H17</f>
        <v>0</v>
      </c>
      <c r="I18" s="230">
        <f t="shared" si="1"/>
        <v>0</v>
      </c>
      <c r="J18" s="230">
        <f t="shared" si="1"/>
        <v>0</v>
      </c>
      <c r="K18" s="230">
        <f t="shared" si="1"/>
        <v>0</v>
      </c>
      <c r="L18" s="230">
        <f t="shared" si="1"/>
        <v>0</v>
      </c>
      <c r="M18" s="230">
        <f t="shared" si="1"/>
        <v>0</v>
      </c>
      <c r="N18" s="230">
        <f t="shared" si="1"/>
        <v>0</v>
      </c>
      <c r="O18" s="230">
        <f t="shared" si="1"/>
        <v>0</v>
      </c>
      <c r="P18" s="230">
        <f t="shared" si="1"/>
        <v>0</v>
      </c>
      <c r="Q18" s="230">
        <f t="shared" si="1"/>
        <v>0</v>
      </c>
      <c r="R18" s="230">
        <f t="shared" si="1"/>
        <v>131230</v>
      </c>
      <c r="S18" s="230">
        <f t="shared" si="1"/>
        <v>0</v>
      </c>
      <c r="T18" s="230">
        <f t="shared" si="1"/>
        <v>0</v>
      </c>
      <c r="U18" s="230">
        <f t="shared" si="1"/>
        <v>0</v>
      </c>
      <c r="V18" s="230">
        <f t="shared" si="1"/>
        <v>0</v>
      </c>
      <c r="W18" s="230">
        <f t="shared" si="1"/>
        <v>0</v>
      </c>
      <c r="X18" s="230">
        <f t="shared" si="1"/>
        <v>0</v>
      </c>
      <c r="Y18" s="230">
        <f t="shared" si="1"/>
        <v>0</v>
      </c>
      <c r="Z18" s="230">
        <f t="shared" si="1"/>
        <v>0</v>
      </c>
      <c r="AA18" s="230">
        <f t="shared" si="1"/>
        <v>0</v>
      </c>
      <c r="AB18" s="230">
        <f t="shared" si="1"/>
        <v>0</v>
      </c>
      <c r="AC18" s="230">
        <f t="shared" si="1"/>
        <v>0</v>
      </c>
      <c r="AD18" s="230">
        <f t="shared" si="1"/>
        <v>0</v>
      </c>
      <c r="AE18" s="230">
        <f t="shared" si="1"/>
        <v>40192</v>
      </c>
      <c r="AF18" s="230">
        <f t="shared" si="1"/>
        <v>0</v>
      </c>
      <c r="AG18" s="230">
        <f t="shared" si="1"/>
        <v>0</v>
      </c>
      <c r="AH18" s="442">
        <f t="shared" si="1"/>
        <v>5280</v>
      </c>
      <c r="AI18" s="452"/>
    </row>
    <row r="19" spans="1:35" ht="15" thickBot="1" x14ac:dyDescent="0.35">
      <c r="A19" s="214" t="s">
        <v>162</v>
      </c>
      <c r="B19" s="237">
        <f xml:space="preserve">
IF($A$4&lt;=12,SUMIFS('ON Data'!F:F,'ON Data'!$D:$D,$A$4,'ON Data'!$E:$E,9),SUMIFS('ON Data'!F:F,'ON Data'!$E:$E,9))</f>
        <v>176702</v>
      </c>
      <c r="C19" s="238">
        <f xml:space="preserve">
IF($A$4&lt;=12,SUMIFS('ON Data'!G:G,'ON Data'!$D:$D,$A$4,'ON Data'!$E:$E,9),SUMIFS('ON Data'!G:G,'ON Data'!$E:$E,9))</f>
        <v>0</v>
      </c>
      <c r="D19" s="239">
        <f xml:space="preserve">
IF($A$4&lt;=12,SUMIFS('ON Data'!H:H,'ON Data'!$D:$D,$A$4,'ON Data'!$E:$E,9),SUMIFS('ON Data'!H:H,'ON Data'!$E:$E,9))</f>
        <v>0</v>
      </c>
      <c r="E19" s="239">
        <f xml:space="preserve">
IF($A$4&lt;=12,SUMIFS('ON Data'!I:I,'ON Data'!$D:$D,$A$4,'ON Data'!$E:$E,9),SUMIFS('ON Data'!I:I,'ON Data'!$E:$E,9))</f>
        <v>0</v>
      </c>
      <c r="F19" s="239">
        <f xml:space="preserve">
IF($A$4&lt;=12,SUMIFS('ON Data'!K:K,'ON Data'!$D:$D,$A$4,'ON Data'!$E:$E,9),SUMIFS('ON Data'!K:K,'ON Data'!$E:$E,9))</f>
        <v>0</v>
      </c>
      <c r="G19" s="239">
        <f xml:space="preserve">
IF($A$4&lt;=12,SUMIFS('ON Data'!L:L,'ON Data'!$D:$D,$A$4,'ON Data'!$E:$E,9),SUMIFS('ON Data'!L:L,'ON Data'!$E:$E,9))</f>
        <v>0</v>
      </c>
      <c r="H19" s="239">
        <f xml:space="preserve">
IF($A$4&lt;=12,SUMIFS('ON Data'!M:M,'ON Data'!$D:$D,$A$4,'ON Data'!$E:$E,9),SUMIFS('ON Data'!M:M,'ON Data'!$E:$E,9))</f>
        <v>0</v>
      </c>
      <c r="I19" s="239">
        <f xml:space="preserve">
IF($A$4&lt;=12,SUMIFS('ON Data'!N:N,'ON Data'!$D:$D,$A$4,'ON Data'!$E:$E,9),SUMIFS('ON Data'!N:N,'ON Data'!$E:$E,9))</f>
        <v>0</v>
      </c>
      <c r="J19" s="239">
        <f xml:space="preserve">
IF($A$4&lt;=12,SUMIFS('ON Data'!O:O,'ON Data'!$D:$D,$A$4,'ON Data'!$E:$E,9),SUMIFS('ON Data'!O:O,'ON Data'!$E:$E,9))</f>
        <v>0</v>
      </c>
      <c r="K19" s="239">
        <f xml:space="preserve">
IF($A$4&lt;=12,SUMIFS('ON Data'!P:P,'ON Data'!$D:$D,$A$4,'ON Data'!$E:$E,9),SUMIFS('ON Data'!P:P,'ON Data'!$E:$E,9))</f>
        <v>0</v>
      </c>
      <c r="L19" s="239">
        <f xml:space="preserve">
IF($A$4&lt;=12,SUMIFS('ON Data'!Q:Q,'ON Data'!$D:$D,$A$4,'ON Data'!$E:$E,9),SUMIFS('ON Data'!Q:Q,'ON Data'!$E:$E,9))</f>
        <v>0</v>
      </c>
      <c r="M19" s="239">
        <f xml:space="preserve">
IF($A$4&lt;=12,SUMIFS('ON Data'!R:R,'ON Data'!$D:$D,$A$4,'ON Data'!$E:$E,9),SUMIFS('ON Data'!R:R,'ON Data'!$E:$E,9))</f>
        <v>0</v>
      </c>
      <c r="N19" s="239">
        <f xml:space="preserve">
IF($A$4&lt;=12,SUMIFS('ON Data'!S:S,'ON Data'!$D:$D,$A$4,'ON Data'!$E:$E,9),SUMIFS('ON Data'!S:S,'ON Data'!$E:$E,9))</f>
        <v>0</v>
      </c>
      <c r="O19" s="239">
        <f xml:space="preserve">
IF($A$4&lt;=12,SUMIFS('ON Data'!T:T,'ON Data'!$D:$D,$A$4,'ON Data'!$E:$E,9),SUMIFS('ON Data'!T:T,'ON Data'!$E:$E,9))</f>
        <v>0</v>
      </c>
      <c r="P19" s="239">
        <f xml:space="preserve">
IF($A$4&lt;=12,SUMIFS('ON Data'!U:U,'ON Data'!$D:$D,$A$4,'ON Data'!$E:$E,9),SUMIFS('ON Data'!U:U,'ON Data'!$E:$E,9))</f>
        <v>0</v>
      </c>
      <c r="Q19" s="239">
        <f xml:space="preserve">
IF($A$4&lt;=12,SUMIFS('ON Data'!V:V,'ON Data'!$D:$D,$A$4,'ON Data'!$E:$E,9),SUMIFS('ON Data'!V:V,'ON Data'!$E:$E,9))</f>
        <v>0</v>
      </c>
      <c r="R19" s="239">
        <f xml:space="preserve">
IF($A$4&lt;=12,SUMIFS('ON Data'!W:W,'ON Data'!$D:$D,$A$4,'ON Data'!$E:$E,9),SUMIFS('ON Data'!W:W,'ON Data'!$E:$E,9))</f>
        <v>131230</v>
      </c>
      <c r="S19" s="239">
        <f xml:space="preserve">
IF($A$4&lt;=12,SUMIFS('ON Data'!X:X,'ON Data'!$D:$D,$A$4,'ON Data'!$E:$E,9),SUMIFS('ON Data'!X:X,'ON Data'!$E:$E,9))</f>
        <v>0</v>
      </c>
      <c r="T19" s="239">
        <f xml:space="preserve">
IF($A$4&lt;=12,SUMIFS('ON Data'!Y:Y,'ON Data'!$D:$D,$A$4,'ON Data'!$E:$E,9),SUMIFS('ON Data'!Y:Y,'ON Data'!$E:$E,9))</f>
        <v>0</v>
      </c>
      <c r="U19" s="239">
        <f xml:space="preserve">
IF($A$4&lt;=12,SUMIFS('ON Data'!Z:Z,'ON Data'!$D:$D,$A$4,'ON Data'!$E:$E,9),SUMIFS('ON Data'!Z:Z,'ON Data'!$E:$E,9))</f>
        <v>0</v>
      </c>
      <c r="V19" s="239">
        <f xml:space="preserve">
IF($A$4&lt;=12,SUMIFS('ON Data'!AA:AA,'ON Data'!$D:$D,$A$4,'ON Data'!$E:$E,9),SUMIFS('ON Data'!AA:AA,'ON Data'!$E:$E,9))</f>
        <v>0</v>
      </c>
      <c r="W19" s="239">
        <f xml:space="preserve">
IF($A$4&lt;=12,SUMIFS('ON Data'!AB:AB,'ON Data'!$D:$D,$A$4,'ON Data'!$E:$E,9),SUMIFS('ON Data'!AB:AB,'ON Data'!$E:$E,9))</f>
        <v>0</v>
      </c>
      <c r="X19" s="239">
        <f xml:space="preserve">
IF($A$4&lt;=12,SUMIFS('ON Data'!AC:AC,'ON Data'!$D:$D,$A$4,'ON Data'!$E:$E,9),SUMIFS('ON Data'!AC:AC,'ON Data'!$E:$E,9))</f>
        <v>0</v>
      </c>
      <c r="Y19" s="239">
        <f xml:space="preserve">
IF($A$4&lt;=12,SUMIFS('ON Data'!AD:AD,'ON Data'!$D:$D,$A$4,'ON Data'!$E:$E,9),SUMIFS('ON Data'!AD:AD,'ON Data'!$E:$E,9))</f>
        <v>0</v>
      </c>
      <c r="Z19" s="239">
        <f xml:space="preserve">
IF($A$4&lt;=12,SUMIFS('ON Data'!AE:AE,'ON Data'!$D:$D,$A$4,'ON Data'!$E:$E,9),SUMIFS('ON Data'!AE:AE,'ON Data'!$E:$E,9))</f>
        <v>0</v>
      </c>
      <c r="AA19" s="239">
        <f xml:space="preserve">
IF($A$4&lt;=12,SUMIFS('ON Data'!AF:AF,'ON Data'!$D:$D,$A$4,'ON Data'!$E:$E,9),SUMIFS('ON Data'!AF:AF,'ON Data'!$E:$E,9))</f>
        <v>0</v>
      </c>
      <c r="AB19" s="239">
        <f xml:space="preserve">
IF($A$4&lt;=12,SUMIFS('ON Data'!AG:AG,'ON Data'!$D:$D,$A$4,'ON Data'!$E:$E,9),SUMIFS('ON Data'!AG:AG,'ON Data'!$E:$E,9))</f>
        <v>0</v>
      </c>
      <c r="AC19" s="239">
        <f xml:space="preserve">
IF($A$4&lt;=12,SUMIFS('ON Data'!AH:AH,'ON Data'!$D:$D,$A$4,'ON Data'!$E:$E,9),SUMIFS('ON Data'!AH:AH,'ON Data'!$E:$E,9))</f>
        <v>0</v>
      </c>
      <c r="AD19" s="239">
        <f xml:space="preserve">
IF($A$4&lt;=12,SUMIFS('ON Data'!AI:AI,'ON Data'!$D:$D,$A$4,'ON Data'!$E:$E,9),SUMIFS('ON Data'!AI:AI,'ON Data'!$E:$E,9))</f>
        <v>0</v>
      </c>
      <c r="AE19" s="239">
        <f xml:space="preserve">
IF($A$4&lt;=12,SUMIFS('ON Data'!AJ:AJ,'ON Data'!$D:$D,$A$4,'ON Data'!$E:$E,9),SUMIFS('ON Data'!AJ:AJ,'ON Data'!$E:$E,9))</f>
        <v>40192</v>
      </c>
      <c r="AF19" s="239">
        <f xml:space="preserve">
IF($A$4&lt;=12,SUMIFS('ON Data'!AK:AK,'ON Data'!$D:$D,$A$4,'ON Data'!$E:$E,9),SUMIFS('ON Data'!AK:AK,'ON Data'!$E:$E,9))</f>
        <v>0</v>
      </c>
      <c r="AG19" s="239">
        <f xml:space="preserve">
IF($A$4&lt;=12,SUMIFS('ON Data'!AL:AL,'ON Data'!$D:$D,$A$4,'ON Data'!$E:$E,9),SUMIFS('ON Data'!AL:AL,'ON Data'!$E:$E,9))</f>
        <v>0</v>
      </c>
      <c r="AH19" s="445">
        <f xml:space="preserve">
IF($A$4&lt;=12,SUMIFS('ON Data'!AN:AN,'ON Data'!$D:$D,$A$4,'ON Data'!$E:$E,9),SUMIFS('ON Data'!AN:AN,'ON Data'!$E:$E,9))</f>
        <v>5280</v>
      </c>
      <c r="AI19" s="452"/>
    </row>
    <row r="20" spans="1:35" ht="15" collapsed="1" thickBot="1" x14ac:dyDescent="0.35">
      <c r="A20" s="215" t="s">
        <v>59</v>
      </c>
      <c r="B20" s="240">
        <f xml:space="preserve">
IF($A$4&lt;=12,SUMIFS('ON Data'!F:F,'ON Data'!$D:$D,$A$4,'ON Data'!$E:$E,6),SUMIFS('ON Data'!F:F,'ON Data'!$E:$E,6))</f>
        <v>3438134</v>
      </c>
      <c r="C20" s="241">
        <f xml:space="preserve">
IF($A$4&lt;=12,SUMIFS('ON Data'!G:G,'ON Data'!$D:$D,$A$4,'ON Data'!$E:$E,6),SUMIFS('ON Data'!G:G,'ON Data'!$E:$E,6))</f>
        <v>0</v>
      </c>
      <c r="D20" s="242">
        <f xml:space="preserve">
IF($A$4&lt;=12,SUMIFS('ON Data'!H:H,'ON Data'!$D:$D,$A$4,'ON Data'!$E:$E,6),SUMIFS('ON Data'!H:H,'ON Data'!$E:$E,6))</f>
        <v>0</v>
      </c>
      <c r="E20" s="242">
        <f xml:space="preserve">
IF($A$4&lt;=12,SUMIFS('ON Data'!I:I,'ON Data'!$D:$D,$A$4,'ON Data'!$E:$E,6),SUMIFS('ON Data'!I:I,'ON Data'!$E:$E,6))</f>
        <v>0</v>
      </c>
      <c r="F20" s="242">
        <f xml:space="preserve">
IF($A$4&lt;=12,SUMIFS('ON Data'!K:K,'ON Data'!$D:$D,$A$4,'ON Data'!$E:$E,6),SUMIFS('ON Data'!K:K,'ON Data'!$E:$E,6))</f>
        <v>0</v>
      </c>
      <c r="G20" s="242">
        <f xml:space="preserve">
IF($A$4&lt;=12,SUMIFS('ON Data'!L:L,'ON Data'!$D:$D,$A$4,'ON Data'!$E:$E,6),SUMIFS('ON Data'!L:L,'ON Data'!$E:$E,6))</f>
        <v>0</v>
      </c>
      <c r="H20" s="242">
        <f xml:space="preserve">
IF($A$4&lt;=12,SUMIFS('ON Data'!M:M,'ON Data'!$D:$D,$A$4,'ON Data'!$E:$E,6),SUMIFS('ON Data'!M:M,'ON Data'!$E:$E,6))</f>
        <v>0</v>
      </c>
      <c r="I20" s="242">
        <f xml:space="preserve">
IF($A$4&lt;=12,SUMIFS('ON Data'!N:N,'ON Data'!$D:$D,$A$4,'ON Data'!$E:$E,6),SUMIFS('ON Data'!N:N,'ON Data'!$E:$E,6))</f>
        <v>0</v>
      </c>
      <c r="J20" s="242">
        <f xml:space="preserve">
IF($A$4&lt;=12,SUMIFS('ON Data'!O:O,'ON Data'!$D:$D,$A$4,'ON Data'!$E:$E,6),SUMIFS('ON Data'!O:O,'ON Data'!$E:$E,6))</f>
        <v>0</v>
      </c>
      <c r="K20" s="242">
        <f xml:space="preserve">
IF($A$4&lt;=12,SUMIFS('ON Data'!P:P,'ON Data'!$D:$D,$A$4,'ON Data'!$E:$E,6),SUMIFS('ON Data'!P:P,'ON Data'!$E:$E,6))</f>
        <v>0</v>
      </c>
      <c r="L20" s="242">
        <f xml:space="preserve">
IF($A$4&lt;=12,SUMIFS('ON Data'!Q:Q,'ON Data'!$D:$D,$A$4,'ON Data'!$E:$E,6),SUMIFS('ON Data'!Q:Q,'ON Data'!$E:$E,6))</f>
        <v>0</v>
      </c>
      <c r="M20" s="242">
        <f xml:space="preserve">
IF($A$4&lt;=12,SUMIFS('ON Data'!R:R,'ON Data'!$D:$D,$A$4,'ON Data'!$E:$E,6),SUMIFS('ON Data'!R:R,'ON Data'!$E:$E,6))</f>
        <v>0</v>
      </c>
      <c r="N20" s="242">
        <f xml:space="preserve">
IF($A$4&lt;=12,SUMIFS('ON Data'!S:S,'ON Data'!$D:$D,$A$4,'ON Data'!$E:$E,6),SUMIFS('ON Data'!S:S,'ON Data'!$E:$E,6))</f>
        <v>0</v>
      </c>
      <c r="O20" s="242">
        <f xml:space="preserve">
IF($A$4&lt;=12,SUMIFS('ON Data'!T:T,'ON Data'!$D:$D,$A$4,'ON Data'!$E:$E,6),SUMIFS('ON Data'!T:T,'ON Data'!$E:$E,6))</f>
        <v>0</v>
      </c>
      <c r="P20" s="242">
        <f xml:space="preserve">
IF($A$4&lt;=12,SUMIFS('ON Data'!U:U,'ON Data'!$D:$D,$A$4,'ON Data'!$E:$E,6),SUMIFS('ON Data'!U:U,'ON Data'!$E:$E,6))</f>
        <v>0</v>
      </c>
      <c r="Q20" s="242">
        <f xml:space="preserve">
IF($A$4&lt;=12,SUMIFS('ON Data'!V:V,'ON Data'!$D:$D,$A$4,'ON Data'!$E:$E,6),SUMIFS('ON Data'!V:V,'ON Data'!$E:$E,6))</f>
        <v>0</v>
      </c>
      <c r="R20" s="242">
        <f xml:space="preserve">
IF($A$4&lt;=12,SUMIFS('ON Data'!W:W,'ON Data'!$D:$D,$A$4,'ON Data'!$E:$E,6),SUMIFS('ON Data'!W:W,'ON Data'!$E:$E,6))</f>
        <v>2474018</v>
      </c>
      <c r="S20" s="242">
        <f xml:space="preserve">
IF($A$4&lt;=12,SUMIFS('ON Data'!X:X,'ON Data'!$D:$D,$A$4,'ON Data'!$E:$E,6),SUMIFS('ON Data'!X:X,'ON Data'!$E:$E,6))</f>
        <v>0</v>
      </c>
      <c r="T20" s="242">
        <f xml:space="preserve">
IF($A$4&lt;=12,SUMIFS('ON Data'!Y:Y,'ON Data'!$D:$D,$A$4,'ON Data'!$E:$E,6),SUMIFS('ON Data'!Y:Y,'ON Data'!$E:$E,6))</f>
        <v>0</v>
      </c>
      <c r="U20" s="242">
        <f xml:space="preserve">
IF($A$4&lt;=12,SUMIFS('ON Data'!Z:Z,'ON Data'!$D:$D,$A$4,'ON Data'!$E:$E,6),SUMIFS('ON Data'!Z:Z,'ON Data'!$E:$E,6))</f>
        <v>0</v>
      </c>
      <c r="V20" s="242">
        <f xml:space="preserve">
IF($A$4&lt;=12,SUMIFS('ON Data'!AA:AA,'ON Data'!$D:$D,$A$4,'ON Data'!$E:$E,6),SUMIFS('ON Data'!AA:AA,'ON Data'!$E:$E,6))</f>
        <v>0</v>
      </c>
      <c r="W20" s="242">
        <f xml:space="preserve">
IF($A$4&lt;=12,SUMIFS('ON Data'!AB:AB,'ON Data'!$D:$D,$A$4,'ON Data'!$E:$E,6),SUMIFS('ON Data'!AB:AB,'ON Data'!$E:$E,6))</f>
        <v>0</v>
      </c>
      <c r="X20" s="242">
        <f xml:space="preserve">
IF($A$4&lt;=12,SUMIFS('ON Data'!AC:AC,'ON Data'!$D:$D,$A$4,'ON Data'!$E:$E,6),SUMIFS('ON Data'!AC:AC,'ON Data'!$E:$E,6))</f>
        <v>0</v>
      </c>
      <c r="Y20" s="242">
        <f xml:space="preserve">
IF($A$4&lt;=12,SUMIFS('ON Data'!AD:AD,'ON Data'!$D:$D,$A$4,'ON Data'!$E:$E,6),SUMIFS('ON Data'!AD:AD,'ON Data'!$E:$E,6))</f>
        <v>0</v>
      </c>
      <c r="Z20" s="242">
        <f xml:space="preserve">
IF($A$4&lt;=12,SUMIFS('ON Data'!AE:AE,'ON Data'!$D:$D,$A$4,'ON Data'!$E:$E,6),SUMIFS('ON Data'!AE:AE,'ON Data'!$E:$E,6))</f>
        <v>0</v>
      </c>
      <c r="AA20" s="242">
        <f xml:space="preserve">
IF($A$4&lt;=12,SUMIFS('ON Data'!AF:AF,'ON Data'!$D:$D,$A$4,'ON Data'!$E:$E,6),SUMIFS('ON Data'!AF:AF,'ON Data'!$E:$E,6))</f>
        <v>0</v>
      </c>
      <c r="AB20" s="242">
        <f xml:space="preserve">
IF($A$4&lt;=12,SUMIFS('ON Data'!AG:AG,'ON Data'!$D:$D,$A$4,'ON Data'!$E:$E,6),SUMIFS('ON Data'!AG:AG,'ON Data'!$E:$E,6))</f>
        <v>0</v>
      </c>
      <c r="AC20" s="242">
        <f xml:space="preserve">
IF($A$4&lt;=12,SUMIFS('ON Data'!AH:AH,'ON Data'!$D:$D,$A$4,'ON Data'!$E:$E,6),SUMIFS('ON Data'!AH:AH,'ON Data'!$E:$E,6))</f>
        <v>0</v>
      </c>
      <c r="AD20" s="242">
        <f xml:space="preserve">
IF($A$4&lt;=12,SUMIFS('ON Data'!AI:AI,'ON Data'!$D:$D,$A$4,'ON Data'!$E:$E,6),SUMIFS('ON Data'!AI:AI,'ON Data'!$E:$E,6))</f>
        <v>0</v>
      </c>
      <c r="AE20" s="242">
        <f xml:space="preserve">
IF($A$4&lt;=12,SUMIFS('ON Data'!AJ:AJ,'ON Data'!$D:$D,$A$4,'ON Data'!$E:$E,6),SUMIFS('ON Data'!AJ:AJ,'ON Data'!$E:$E,6))</f>
        <v>812216</v>
      </c>
      <c r="AF20" s="242">
        <f xml:space="preserve">
IF($A$4&lt;=12,SUMIFS('ON Data'!AK:AK,'ON Data'!$D:$D,$A$4,'ON Data'!$E:$E,6),SUMIFS('ON Data'!AK:AK,'ON Data'!$E:$E,6))</f>
        <v>0</v>
      </c>
      <c r="AG20" s="242">
        <f xml:space="preserve">
IF($A$4&lt;=12,SUMIFS('ON Data'!AL:AL,'ON Data'!$D:$D,$A$4,'ON Data'!$E:$E,6),SUMIFS('ON Data'!AL:AL,'ON Data'!$E:$E,6))</f>
        <v>0</v>
      </c>
      <c r="AH20" s="446">
        <f xml:space="preserve">
IF($A$4&lt;=12,SUMIFS('ON Data'!AN:AN,'ON Data'!$D:$D,$A$4,'ON Data'!$E:$E,6),SUMIFS('ON Data'!AN:AN,'ON Data'!$E:$E,6))</f>
        <v>151900</v>
      </c>
      <c r="AI20" s="452"/>
    </row>
    <row r="21" spans="1:35" ht="15" hidden="1" outlineLevel="1" thickBot="1" x14ac:dyDescent="0.35">
      <c r="A21" s="208" t="s">
        <v>93</v>
      </c>
      <c r="B21" s="228">
        <f xml:space="preserve">
IF($A$4&lt;=12,SUMIFS('ON Data'!F:F,'ON Data'!$D:$D,$A$4,'ON Data'!$E:$E,12),SUMIFS('ON Data'!F:F,'ON Data'!$E:$E,12))</f>
        <v>0</v>
      </c>
      <c r="C21" s="229">
        <f xml:space="preserve">
IF($A$4&lt;=12,SUMIFS('ON Data'!G:G,'ON Data'!$D:$D,$A$4,'ON Data'!$E:$E,12),SUMIFS('ON Data'!G:G,'ON Data'!$E:$E,12))</f>
        <v>0</v>
      </c>
      <c r="D21" s="230">
        <f xml:space="preserve">
IF($A$4&lt;=12,SUMIFS('ON Data'!H:H,'ON Data'!$D:$D,$A$4,'ON Data'!$E:$E,12),SUMIFS('ON Data'!H:H,'ON Data'!$E:$E,12))</f>
        <v>0</v>
      </c>
      <c r="E21" s="230">
        <f xml:space="preserve">
IF($A$4&lt;=12,SUMIFS('ON Data'!I:I,'ON Data'!$D:$D,$A$4,'ON Data'!$E:$E,12),SUMIFS('ON Data'!I:I,'ON Data'!$E:$E,12))</f>
        <v>0</v>
      </c>
      <c r="F21" s="230">
        <f xml:space="preserve">
IF($A$4&lt;=12,SUMIFS('ON Data'!K:K,'ON Data'!$D:$D,$A$4,'ON Data'!$E:$E,12),SUMIFS('ON Data'!K:K,'ON Data'!$E:$E,12))</f>
        <v>0</v>
      </c>
      <c r="G21" s="230">
        <f xml:space="preserve">
IF($A$4&lt;=12,SUMIFS('ON Data'!L:L,'ON Data'!$D:$D,$A$4,'ON Data'!$E:$E,12),SUMIFS('ON Data'!L:L,'ON Data'!$E:$E,12))</f>
        <v>0</v>
      </c>
      <c r="H21" s="230">
        <f xml:space="preserve">
IF($A$4&lt;=12,SUMIFS('ON Data'!M:M,'ON Data'!$D:$D,$A$4,'ON Data'!$E:$E,12),SUMIFS('ON Data'!M:M,'ON Data'!$E:$E,12))</f>
        <v>0</v>
      </c>
      <c r="I21" s="230">
        <f xml:space="preserve">
IF($A$4&lt;=12,SUMIFS('ON Data'!N:N,'ON Data'!$D:$D,$A$4,'ON Data'!$E:$E,12),SUMIFS('ON Data'!N:N,'ON Data'!$E:$E,12))</f>
        <v>0</v>
      </c>
      <c r="J21" s="230">
        <f xml:space="preserve">
IF($A$4&lt;=12,SUMIFS('ON Data'!O:O,'ON Data'!$D:$D,$A$4,'ON Data'!$E:$E,12),SUMIFS('ON Data'!O:O,'ON Data'!$E:$E,12))</f>
        <v>0</v>
      </c>
      <c r="K21" s="230">
        <f xml:space="preserve">
IF($A$4&lt;=12,SUMIFS('ON Data'!P:P,'ON Data'!$D:$D,$A$4,'ON Data'!$E:$E,12),SUMIFS('ON Data'!P:P,'ON Data'!$E:$E,12))</f>
        <v>0</v>
      </c>
      <c r="L21" s="230">
        <f xml:space="preserve">
IF($A$4&lt;=12,SUMIFS('ON Data'!Q:Q,'ON Data'!$D:$D,$A$4,'ON Data'!$E:$E,12),SUMIFS('ON Data'!Q:Q,'ON Data'!$E:$E,12))</f>
        <v>0</v>
      </c>
      <c r="M21" s="230">
        <f xml:space="preserve">
IF($A$4&lt;=12,SUMIFS('ON Data'!R:R,'ON Data'!$D:$D,$A$4,'ON Data'!$E:$E,12),SUMIFS('ON Data'!R:R,'ON Data'!$E:$E,12))</f>
        <v>0</v>
      </c>
      <c r="N21" s="230">
        <f xml:space="preserve">
IF($A$4&lt;=12,SUMIFS('ON Data'!S:S,'ON Data'!$D:$D,$A$4,'ON Data'!$E:$E,12),SUMIFS('ON Data'!S:S,'ON Data'!$E:$E,12))</f>
        <v>0</v>
      </c>
      <c r="O21" s="230">
        <f xml:space="preserve">
IF($A$4&lt;=12,SUMIFS('ON Data'!T:T,'ON Data'!$D:$D,$A$4,'ON Data'!$E:$E,12),SUMIFS('ON Data'!T:T,'ON Data'!$E:$E,12))</f>
        <v>0</v>
      </c>
      <c r="P21" s="230">
        <f xml:space="preserve">
IF($A$4&lt;=12,SUMIFS('ON Data'!U:U,'ON Data'!$D:$D,$A$4,'ON Data'!$E:$E,12),SUMIFS('ON Data'!U:U,'ON Data'!$E:$E,12))</f>
        <v>0</v>
      </c>
      <c r="Q21" s="230">
        <f xml:space="preserve">
IF($A$4&lt;=12,SUMIFS('ON Data'!V:V,'ON Data'!$D:$D,$A$4,'ON Data'!$E:$E,12),SUMIFS('ON Data'!V:V,'ON Data'!$E:$E,12))</f>
        <v>0</v>
      </c>
      <c r="R21" s="230">
        <f xml:space="preserve">
IF($A$4&lt;=12,SUMIFS('ON Data'!W:W,'ON Data'!$D:$D,$A$4,'ON Data'!$E:$E,12),SUMIFS('ON Data'!W:W,'ON Data'!$E:$E,12))</f>
        <v>0</v>
      </c>
      <c r="S21" s="230">
        <f xml:space="preserve">
IF($A$4&lt;=12,SUMIFS('ON Data'!X:X,'ON Data'!$D:$D,$A$4,'ON Data'!$E:$E,12),SUMIFS('ON Data'!X:X,'ON Data'!$E:$E,12))</f>
        <v>0</v>
      </c>
      <c r="T21" s="230">
        <f xml:space="preserve">
IF($A$4&lt;=12,SUMIFS('ON Data'!Y:Y,'ON Data'!$D:$D,$A$4,'ON Data'!$E:$E,12),SUMIFS('ON Data'!Y:Y,'ON Data'!$E:$E,12))</f>
        <v>0</v>
      </c>
      <c r="U21" s="230">
        <f xml:space="preserve">
IF($A$4&lt;=12,SUMIFS('ON Data'!Z:Z,'ON Data'!$D:$D,$A$4,'ON Data'!$E:$E,12),SUMIFS('ON Data'!Z:Z,'ON Data'!$E:$E,12))</f>
        <v>0</v>
      </c>
      <c r="V21" s="230">
        <f xml:space="preserve">
IF($A$4&lt;=12,SUMIFS('ON Data'!AA:AA,'ON Data'!$D:$D,$A$4,'ON Data'!$E:$E,12),SUMIFS('ON Data'!AA:AA,'ON Data'!$E:$E,12))</f>
        <v>0</v>
      </c>
      <c r="W21" s="230">
        <f xml:space="preserve">
IF($A$4&lt;=12,SUMIFS('ON Data'!AB:AB,'ON Data'!$D:$D,$A$4,'ON Data'!$E:$E,12),SUMIFS('ON Data'!AB:AB,'ON Data'!$E:$E,12))</f>
        <v>0</v>
      </c>
      <c r="X21" s="230">
        <f xml:space="preserve">
IF($A$4&lt;=12,SUMIFS('ON Data'!AC:AC,'ON Data'!$D:$D,$A$4,'ON Data'!$E:$E,12),SUMIFS('ON Data'!AC:AC,'ON Data'!$E:$E,12))</f>
        <v>0</v>
      </c>
      <c r="Y21" s="230">
        <f xml:space="preserve">
IF($A$4&lt;=12,SUMIFS('ON Data'!AD:AD,'ON Data'!$D:$D,$A$4,'ON Data'!$E:$E,12),SUMIFS('ON Data'!AD:AD,'ON Data'!$E:$E,12))</f>
        <v>0</v>
      </c>
      <c r="Z21" s="230">
        <f xml:space="preserve">
IF($A$4&lt;=12,SUMIFS('ON Data'!AE:AE,'ON Data'!$D:$D,$A$4,'ON Data'!$E:$E,12),SUMIFS('ON Data'!AE:AE,'ON Data'!$E:$E,12))</f>
        <v>0</v>
      </c>
      <c r="AA21" s="230">
        <f xml:space="preserve">
IF($A$4&lt;=12,SUMIFS('ON Data'!AF:AF,'ON Data'!$D:$D,$A$4,'ON Data'!$E:$E,12),SUMIFS('ON Data'!AF:AF,'ON Data'!$E:$E,12))</f>
        <v>0</v>
      </c>
      <c r="AB21" s="230">
        <f xml:space="preserve">
IF($A$4&lt;=12,SUMIFS('ON Data'!AG:AG,'ON Data'!$D:$D,$A$4,'ON Data'!$E:$E,12),SUMIFS('ON Data'!AG:AG,'ON Data'!$E:$E,12))</f>
        <v>0</v>
      </c>
      <c r="AC21" s="230">
        <f xml:space="preserve">
IF($A$4&lt;=12,SUMIFS('ON Data'!AH:AH,'ON Data'!$D:$D,$A$4,'ON Data'!$E:$E,12),SUMIFS('ON Data'!AH:AH,'ON Data'!$E:$E,12))</f>
        <v>0</v>
      </c>
      <c r="AD21" s="230">
        <f xml:space="preserve">
IF($A$4&lt;=12,SUMIFS('ON Data'!AI:AI,'ON Data'!$D:$D,$A$4,'ON Data'!$E:$E,12),SUMIFS('ON Data'!AI:AI,'ON Data'!$E:$E,12))</f>
        <v>0</v>
      </c>
      <c r="AE21" s="230">
        <f xml:space="preserve">
IF($A$4&lt;=12,SUMIFS('ON Data'!AJ:AJ,'ON Data'!$D:$D,$A$4,'ON Data'!$E:$E,12),SUMIFS('ON Data'!AJ:AJ,'ON Data'!$E:$E,12))</f>
        <v>0</v>
      </c>
      <c r="AF21" s="230">
        <f xml:space="preserve">
IF($A$4&lt;=12,SUMIFS('ON Data'!AK:AK,'ON Data'!$D:$D,$A$4,'ON Data'!$E:$E,12),SUMIFS('ON Data'!AK:AK,'ON Data'!$E:$E,12))</f>
        <v>0</v>
      </c>
      <c r="AG21" s="230">
        <f xml:space="preserve">
IF($A$4&lt;=12,SUMIFS('ON Data'!AL:AL,'ON Data'!$D:$D,$A$4,'ON Data'!$E:$E,12),SUMIFS('ON Data'!AL:AL,'ON Data'!$E:$E,12))</f>
        <v>0</v>
      </c>
      <c r="AH21" s="442">
        <f xml:space="preserve">
IF($A$4&lt;=12,SUMIFS('ON Data'!AN:AN,'ON Data'!$D:$D,$A$4,'ON Data'!$E:$E,12),SUMIFS('ON Data'!AN:AN,'ON Data'!$E:$E,12))</f>
        <v>0</v>
      </c>
      <c r="AI21" s="452"/>
    </row>
    <row r="22" spans="1:35" ht="15" hidden="1" outlineLevel="1" thickBot="1" x14ac:dyDescent="0.35">
      <c r="A22" s="208" t="s">
        <v>61</v>
      </c>
      <c r="B22" s="284" t="str">
        <f xml:space="preserve">
IF(OR(B21="",B21=0),"",B20/B21)</f>
        <v/>
      </c>
      <c r="C22" s="285" t="str">
        <f t="shared" ref="C22:G22" si="2" xml:space="preserve">
IF(OR(C21="",C21=0),"",C20/C21)</f>
        <v/>
      </c>
      <c r="D22" s="286" t="str">
        <f t="shared" si="2"/>
        <v/>
      </c>
      <c r="E22" s="286" t="str">
        <f t="shared" si="2"/>
        <v/>
      </c>
      <c r="F22" s="286" t="str">
        <f t="shared" si="2"/>
        <v/>
      </c>
      <c r="G22" s="286" t="str">
        <f t="shared" si="2"/>
        <v/>
      </c>
      <c r="H22" s="286" t="str">
        <f t="shared" ref="H22:AH22" si="3" xml:space="preserve">
IF(OR(H21="",H21=0),"",H20/H21)</f>
        <v/>
      </c>
      <c r="I22" s="286" t="str">
        <f t="shared" si="3"/>
        <v/>
      </c>
      <c r="J22" s="286" t="str">
        <f t="shared" si="3"/>
        <v/>
      </c>
      <c r="K22" s="286" t="str">
        <f t="shared" si="3"/>
        <v/>
      </c>
      <c r="L22" s="286" t="str">
        <f t="shared" si="3"/>
        <v/>
      </c>
      <c r="M22" s="286" t="str">
        <f t="shared" si="3"/>
        <v/>
      </c>
      <c r="N22" s="286" t="str">
        <f t="shared" si="3"/>
        <v/>
      </c>
      <c r="O22" s="286" t="str">
        <f t="shared" si="3"/>
        <v/>
      </c>
      <c r="P22" s="286" t="str">
        <f t="shared" si="3"/>
        <v/>
      </c>
      <c r="Q22" s="286" t="str">
        <f t="shared" si="3"/>
        <v/>
      </c>
      <c r="R22" s="286" t="str">
        <f t="shared" si="3"/>
        <v/>
      </c>
      <c r="S22" s="286" t="str">
        <f t="shared" si="3"/>
        <v/>
      </c>
      <c r="T22" s="286" t="str">
        <f t="shared" si="3"/>
        <v/>
      </c>
      <c r="U22" s="286" t="str">
        <f t="shared" si="3"/>
        <v/>
      </c>
      <c r="V22" s="286" t="str">
        <f t="shared" si="3"/>
        <v/>
      </c>
      <c r="W22" s="286" t="str">
        <f t="shared" si="3"/>
        <v/>
      </c>
      <c r="X22" s="286" t="str">
        <f t="shared" si="3"/>
        <v/>
      </c>
      <c r="Y22" s="286" t="str">
        <f t="shared" si="3"/>
        <v/>
      </c>
      <c r="Z22" s="286" t="str">
        <f t="shared" si="3"/>
        <v/>
      </c>
      <c r="AA22" s="286" t="str">
        <f t="shared" si="3"/>
        <v/>
      </c>
      <c r="AB22" s="286" t="str">
        <f t="shared" si="3"/>
        <v/>
      </c>
      <c r="AC22" s="286" t="str">
        <f t="shared" si="3"/>
        <v/>
      </c>
      <c r="AD22" s="286" t="str">
        <f t="shared" si="3"/>
        <v/>
      </c>
      <c r="AE22" s="286" t="str">
        <f t="shared" si="3"/>
        <v/>
      </c>
      <c r="AF22" s="286" t="str">
        <f t="shared" si="3"/>
        <v/>
      </c>
      <c r="AG22" s="286" t="str">
        <f t="shared" si="3"/>
        <v/>
      </c>
      <c r="AH22" s="447" t="str">
        <f t="shared" si="3"/>
        <v/>
      </c>
      <c r="AI22" s="452"/>
    </row>
    <row r="23" spans="1:35" ht="15" hidden="1" outlineLevel="1" thickBot="1" x14ac:dyDescent="0.35">
      <c r="A23" s="216" t="s">
        <v>54</v>
      </c>
      <c r="B23" s="231">
        <f xml:space="preserve">
IF(B21="","",B20-B21)</f>
        <v>3438134</v>
      </c>
      <c r="C23" s="232">
        <f t="shared" ref="C23:G23" si="4" xml:space="preserve">
IF(C21="","",C20-C21)</f>
        <v>0</v>
      </c>
      <c r="D23" s="233">
        <f t="shared" si="4"/>
        <v>0</v>
      </c>
      <c r="E23" s="233">
        <f t="shared" si="4"/>
        <v>0</v>
      </c>
      <c r="F23" s="233">
        <f t="shared" si="4"/>
        <v>0</v>
      </c>
      <c r="G23" s="233">
        <f t="shared" si="4"/>
        <v>0</v>
      </c>
      <c r="H23" s="233">
        <f t="shared" ref="H23:AH23" si="5" xml:space="preserve">
IF(H21="","",H20-H21)</f>
        <v>0</v>
      </c>
      <c r="I23" s="233">
        <f t="shared" si="5"/>
        <v>0</v>
      </c>
      <c r="J23" s="233">
        <f t="shared" si="5"/>
        <v>0</v>
      </c>
      <c r="K23" s="233">
        <f t="shared" si="5"/>
        <v>0</v>
      </c>
      <c r="L23" s="233">
        <f t="shared" si="5"/>
        <v>0</v>
      </c>
      <c r="M23" s="233">
        <f t="shared" si="5"/>
        <v>0</v>
      </c>
      <c r="N23" s="233">
        <f t="shared" si="5"/>
        <v>0</v>
      </c>
      <c r="O23" s="233">
        <f t="shared" si="5"/>
        <v>0</v>
      </c>
      <c r="P23" s="233">
        <f t="shared" si="5"/>
        <v>0</v>
      </c>
      <c r="Q23" s="233">
        <f t="shared" si="5"/>
        <v>0</v>
      </c>
      <c r="R23" s="233">
        <f t="shared" si="5"/>
        <v>2474018</v>
      </c>
      <c r="S23" s="233">
        <f t="shared" si="5"/>
        <v>0</v>
      </c>
      <c r="T23" s="233">
        <f t="shared" si="5"/>
        <v>0</v>
      </c>
      <c r="U23" s="233">
        <f t="shared" si="5"/>
        <v>0</v>
      </c>
      <c r="V23" s="233">
        <f t="shared" si="5"/>
        <v>0</v>
      </c>
      <c r="W23" s="233">
        <f t="shared" si="5"/>
        <v>0</v>
      </c>
      <c r="X23" s="233">
        <f t="shared" si="5"/>
        <v>0</v>
      </c>
      <c r="Y23" s="233">
        <f t="shared" si="5"/>
        <v>0</v>
      </c>
      <c r="Z23" s="233">
        <f t="shared" si="5"/>
        <v>0</v>
      </c>
      <c r="AA23" s="233">
        <f t="shared" si="5"/>
        <v>0</v>
      </c>
      <c r="AB23" s="233">
        <f t="shared" si="5"/>
        <v>0</v>
      </c>
      <c r="AC23" s="233">
        <f t="shared" si="5"/>
        <v>0</v>
      </c>
      <c r="AD23" s="233">
        <f t="shared" si="5"/>
        <v>0</v>
      </c>
      <c r="AE23" s="233">
        <f t="shared" si="5"/>
        <v>812216</v>
      </c>
      <c r="AF23" s="233">
        <f t="shared" si="5"/>
        <v>0</v>
      </c>
      <c r="AG23" s="233">
        <f t="shared" si="5"/>
        <v>0</v>
      </c>
      <c r="AH23" s="443">
        <f t="shared" si="5"/>
        <v>151900</v>
      </c>
      <c r="AI23" s="452"/>
    </row>
    <row r="24" spans="1:35" x14ac:dyDescent="0.3">
      <c r="A24" s="210" t="s">
        <v>163</v>
      </c>
      <c r="B24" s="257" t="s">
        <v>3</v>
      </c>
      <c r="C24" s="453" t="s">
        <v>174</v>
      </c>
      <c r="D24" s="427"/>
      <c r="E24" s="428"/>
      <c r="F24" s="428" t="s">
        <v>175</v>
      </c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8"/>
      <c r="AC24" s="428"/>
      <c r="AD24" s="428"/>
      <c r="AE24" s="428"/>
      <c r="AF24" s="428"/>
      <c r="AG24" s="428"/>
      <c r="AH24" s="448" t="s">
        <v>176</v>
      </c>
      <c r="AI24" s="452"/>
    </row>
    <row r="25" spans="1:35" x14ac:dyDescent="0.3">
      <c r="A25" s="211" t="s">
        <v>59</v>
      </c>
      <c r="B25" s="228">
        <f xml:space="preserve">
SUM(C25:AH25)</f>
        <v>23600</v>
      </c>
      <c r="C25" s="454">
        <f xml:space="preserve">
IF($A$4&lt;=12,SUMIFS('ON Data'!H:H,'ON Data'!$D:$D,$A$4,'ON Data'!$E:$E,10),SUMIFS('ON Data'!H:H,'ON Data'!$E:$E,10))</f>
        <v>0</v>
      </c>
      <c r="D25" s="429"/>
      <c r="E25" s="430"/>
      <c r="F25" s="430">
        <f xml:space="preserve">
IF($A$4&lt;=12,SUMIFS('ON Data'!K:K,'ON Data'!$D:$D,$A$4,'ON Data'!$E:$E,10),SUMIFS('ON Data'!K:K,'ON Data'!$E:$E,10))</f>
        <v>23600</v>
      </c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30"/>
      <c r="AC25" s="430"/>
      <c r="AD25" s="430"/>
      <c r="AE25" s="430"/>
      <c r="AF25" s="430"/>
      <c r="AG25" s="430"/>
      <c r="AH25" s="449">
        <f xml:space="preserve">
IF($A$4&lt;=12,SUMIFS('ON Data'!AN:AN,'ON Data'!$D:$D,$A$4,'ON Data'!$E:$E,10),SUMIFS('ON Data'!AN:AN,'ON Data'!$E:$E,10))</f>
        <v>0</v>
      </c>
      <c r="AI25" s="452"/>
    </row>
    <row r="26" spans="1:35" x14ac:dyDescent="0.3">
      <c r="A26" s="217" t="s">
        <v>173</v>
      </c>
      <c r="B26" s="237">
        <f xml:space="preserve">
SUM(C26:AH26)</f>
        <v>18666.666666666668</v>
      </c>
      <c r="C26" s="454">
        <f xml:space="preserve">
IF($A$4&lt;=12,SUMIFS('ON Data'!H:H,'ON Data'!$D:$D,$A$4,'ON Data'!$E:$E,11),SUMIFS('ON Data'!H:H,'ON Data'!$E:$E,11))</f>
        <v>0</v>
      </c>
      <c r="D26" s="429"/>
      <c r="E26" s="430"/>
      <c r="F26" s="431">
        <f xml:space="preserve">
IF($A$4&lt;=12,SUMIFS('ON Data'!K:K,'ON Data'!$D:$D,$A$4,'ON Data'!$E:$E,11),SUMIFS('ON Data'!K:K,'ON Data'!$E:$E,11))</f>
        <v>18666.666666666668</v>
      </c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/>
      <c r="AC26" s="431"/>
      <c r="AD26" s="431"/>
      <c r="AE26" s="431"/>
      <c r="AF26" s="431"/>
      <c r="AG26" s="431"/>
      <c r="AH26" s="449">
        <f xml:space="preserve">
IF($A$4&lt;=12,SUMIFS('ON Data'!AN:AN,'ON Data'!$D:$D,$A$4,'ON Data'!$E:$E,11),SUMIFS('ON Data'!AN:AN,'ON Data'!$E:$E,11))</f>
        <v>0</v>
      </c>
      <c r="AI26" s="452"/>
    </row>
    <row r="27" spans="1:35" x14ac:dyDescent="0.3">
      <c r="A27" s="217" t="s">
        <v>61</v>
      </c>
      <c r="B27" s="258">
        <f xml:space="preserve">
IF(B26=0,0,B25/B26)</f>
        <v>1.2642857142857142</v>
      </c>
      <c r="C27" s="455">
        <f xml:space="preserve">
IF(C26=0,0,C25/C26)</f>
        <v>0</v>
      </c>
      <c r="D27" s="432"/>
      <c r="E27" s="433"/>
      <c r="F27" s="433">
        <f xml:space="preserve">
IF(F26=0,0,F25/F26)</f>
        <v>1.2642857142857142</v>
      </c>
      <c r="G27" s="433"/>
      <c r="H27" s="433"/>
      <c r="I27" s="433"/>
      <c r="J27" s="433"/>
      <c r="K27" s="433"/>
      <c r="L27" s="433"/>
      <c r="M27" s="433"/>
      <c r="N27" s="433"/>
      <c r="O27" s="433"/>
      <c r="P27" s="433"/>
      <c r="Q27" s="433"/>
      <c r="R27" s="433"/>
      <c r="S27" s="433"/>
      <c r="T27" s="433"/>
      <c r="U27" s="433"/>
      <c r="V27" s="433"/>
      <c r="W27" s="433"/>
      <c r="X27" s="433"/>
      <c r="Y27" s="433"/>
      <c r="Z27" s="433"/>
      <c r="AA27" s="433"/>
      <c r="AB27" s="433"/>
      <c r="AC27" s="433"/>
      <c r="AD27" s="433"/>
      <c r="AE27" s="433"/>
      <c r="AF27" s="433"/>
      <c r="AG27" s="433"/>
      <c r="AH27" s="450">
        <f xml:space="preserve">
IF(AH26=0,0,AH25/AH26)</f>
        <v>0</v>
      </c>
      <c r="AI27" s="452"/>
    </row>
    <row r="28" spans="1:35" ht="15" thickBot="1" x14ac:dyDescent="0.35">
      <c r="A28" s="217" t="s">
        <v>172</v>
      </c>
      <c r="B28" s="237">
        <f xml:space="preserve">
SUM(C28:AH28)</f>
        <v>-4933.3333333333321</v>
      </c>
      <c r="C28" s="456">
        <f xml:space="preserve">
C26-C25</f>
        <v>0</v>
      </c>
      <c r="D28" s="434"/>
      <c r="E28" s="435"/>
      <c r="F28" s="435">
        <f xml:space="preserve">
F26-F25</f>
        <v>-4933.3333333333321</v>
      </c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51">
        <f xml:space="preserve">
AH26-AH25</f>
        <v>0</v>
      </c>
      <c r="AI28" s="452"/>
    </row>
    <row r="29" spans="1:35" x14ac:dyDescent="0.3">
      <c r="A29" s="218"/>
      <c r="B29" s="218"/>
      <c r="C29" s="219"/>
      <c r="D29" s="218"/>
      <c r="E29" s="218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8"/>
      <c r="AG29" s="218"/>
      <c r="AH29" s="218"/>
    </row>
    <row r="30" spans="1:35" x14ac:dyDescent="0.3">
      <c r="A30" s="88" t="s">
        <v>127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3"/>
    </row>
    <row r="31" spans="1:35" x14ac:dyDescent="0.3">
      <c r="A31" s="89" t="s">
        <v>170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3"/>
    </row>
    <row r="32" spans="1:35" ht="14.4" customHeight="1" x14ac:dyDescent="0.3">
      <c r="A32" s="254" t="s">
        <v>167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</row>
    <row r="33" spans="1:1" x14ac:dyDescent="0.3">
      <c r="A33" s="256" t="s">
        <v>177</v>
      </c>
    </row>
    <row r="34" spans="1:1" x14ac:dyDescent="0.3">
      <c r="A34" s="256" t="s">
        <v>178</v>
      </c>
    </row>
    <row r="35" spans="1:1" x14ac:dyDescent="0.3">
      <c r="A35" s="256" t="s">
        <v>179</v>
      </c>
    </row>
    <row r="36" spans="1:1" x14ac:dyDescent="0.3">
      <c r="A36" s="256" t="s">
        <v>180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3"/>
  <sheetViews>
    <sheetView showGridLines="0" showRowColHeaders="0" workbookViewId="0"/>
  </sheetViews>
  <sheetFormatPr defaultRowHeight="14.4" x14ac:dyDescent="0.3"/>
  <cols>
    <col min="1" max="16384" width="8.88671875" style="197"/>
  </cols>
  <sheetData>
    <row r="1" spans="1:41" x14ac:dyDescent="0.3">
      <c r="A1" s="197" t="s">
        <v>379</v>
      </c>
    </row>
    <row r="2" spans="1:41" x14ac:dyDescent="0.3">
      <c r="A2" s="201" t="s">
        <v>246</v>
      </c>
    </row>
    <row r="3" spans="1:41" x14ac:dyDescent="0.3">
      <c r="A3" s="197" t="s">
        <v>137</v>
      </c>
      <c r="B3" s="222">
        <v>2015</v>
      </c>
      <c r="D3" s="198">
        <f>MAX(D5:D1048576)</f>
        <v>8</v>
      </c>
      <c r="F3" s="198">
        <f>SUMIF($E5:$E1048576,"&lt;10",F5:F1048576)</f>
        <v>3631247.2</v>
      </c>
      <c r="G3" s="198">
        <f t="shared" ref="G3:AO3" si="0">SUMIF($E5:$E1048576,"&lt;10",G5:G1048576)</f>
        <v>0</v>
      </c>
      <c r="H3" s="198">
        <f t="shared" si="0"/>
        <v>0</v>
      </c>
      <c r="I3" s="198">
        <f t="shared" si="0"/>
        <v>0</v>
      </c>
      <c r="J3" s="198">
        <f t="shared" si="0"/>
        <v>0</v>
      </c>
      <c r="K3" s="198">
        <f t="shared" si="0"/>
        <v>0</v>
      </c>
      <c r="L3" s="198">
        <f t="shared" si="0"/>
        <v>0</v>
      </c>
      <c r="M3" s="198">
        <f t="shared" si="0"/>
        <v>0</v>
      </c>
      <c r="N3" s="198">
        <f t="shared" si="0"/>
        <v>0</v>
      </c>
      <c r="O3" s="198">
        <f t="shared" si="0"/>
        <v>0</v>
      </c>
      <c r="P3" s="198">
        <f t="shared" si="0"/>
        <v>0</v>
      </c>
      <c r="Q3" s="198">
        <f t="shared" si="0"/>
        <v>0</v>
      </c>
      <c r="R3" s="198">
        <f t="shared" si="0"/>
        <v>0</v>
      </c>
      <c r="S3" s="198">
        <f t="shared" si="0"/>
        <v>0</v>
      </c>
      <c r="T3" s="198">
        <f t="shared" si="0"/>
        <v>0</v>
      </c>
      <c r="U3" s="198">
        <f t="shared" si="0"/>
        <v>0</v>
      </c>
      <c r="V3" s="198">
        <f t="shared" si="0"/>
        <v>0</v>
      </c>
      <c r="W3" s="198">
        <f t="shared" si="0"/>
        <v>2615902.6</v>
      </c>
      <c r="X3" s="198">
        <f t="shared" si="0"/>
        <v>0</v>
      </c>
      <c r="Y3" s="198">
        <f t="shared" si="0"/>
        <v>0</v>
      </c>
      <c r="Z3" s="198">
        <f t="shared" si="0"/>
        <v>0</v>
      </c>
      <c r="AA3" s="198">
        <f t="shared" si="0"/>
        <v>0</v>
      </c>
      <c r="AB3" s="198">
        <f t="shared" si="0"/>
        <v>0</v>
      </c>
      <c r="AC3" s="198">
        <f t="shared" si="0"/>
        <v>0</v>
      </c>
      <c r="AD3" s="198">
        <f t="shared" si="0"/>
        <v>0</v>
      </c>
      <c r="AE3" s="198">
        <f t="shared" si="0"/>
        <v>0</v>
      </c>
      <c r="AF3" s="198">
        <f t="shared" si="0"/>
        <v>0</v>
      </c>
      <c r="AG3" s="198">
        <f t="shared" si="0"/>
        <v>0</v>
      </c>
      <c r="AH3" s="198">
        <f t="shared" si="0"/>
        <v>0</v>
      </c>
      <c r="AI3" s="198">
        <f t="shared" si="0"/>
        <v>0</v>
      </c>
      <c r="AJ3" s="198">
        <f t="shared" si="0"/>
        <v>856831.59999999986</v>
      </c>
      <c r="AK3" s="198">
        <f t="shared" si="0"/>
        <v>0</v>
      </c>
      <c r="AL3" s="198">
        <f t="shared" si="0"/>
        <v>0</v>
      </c>
      <c r="AM3" s="198">
        <f t="shared" si="0"/>
        <v>0</v>
      </c>
      <c r="AN3" s="198">
        <f t="shared" si="0"/>
        <v>158513</v>
      </c>
      <c r="AO3" s="198">
        <f t="shared" si="0"/>
        <v>0</v>
      </c>
    </row>
    <row r="4" spans="1:41" x14ac:dyDescent="0.3">
      <c r="A4" s="197" t="s">
        <v>138</v>
      </c>
      <c r="B4" s="222">
        <v>1</v>
      </c>
      <c r="C4" s="199" t="s">
        <v>5</v>
      </c>
      <c r="D4" s="200" t="s">
        <v>53</v>
      </c>
      <c r="E4" s="200" t="s">
        <v>132</v>
      </c>
      <c r="F4" s="200" t="s">
        <v>3</v>
      </c>
      <c r="G4" s="200" t="s">
        <v>133</v>
      </c>
      <c r="H4" s="200" t="s">
        <v>134</v>
      </c>
      <c r="I4" s="200" t="s">
        <v>135</v>
      </c>
      <c r="J4" s="200" t="s">
        <v>136</v>
      </c>
      <c r="K4" s="200">
        <v>305</v>
      </c>
      <c r="L4" s="200">
        <v>306</v>
      </c>
      <c r="M4" s="200">
        <v>407</v>
      </c>
      <c r="N4" s="200">
        <v>408</v>
      </c>
      <c r="O4" s="200">
        <v>409</v>
      </c>
      <c r="P4" s="200">
        <v>410</v>
      </c>
      <c r="Q4" s="200">
        <v>415</v>
      </c>
      <c r="R4" s="200">
        <v>416</v>
      </c>
      <c r="S4" s="200">
        <v>418</v>
      </c>
      <c r="T4" s="200">
        <v>419</v>
      </c>
      <c r="U4" s="200">
        <v>420</v>
      </c>
      <c r="V4" s="200">
        <v>421</v>
      </c>
      <c r="W4" s="200">
        <v>522</v>
      </c>
      <c r="X4" s="200">
        <v>523</v>
      </c>
      <c r="Y4" s="200">
        <v>524</v>
      </c>
      <c r="Z4" s="200">
        <v>525</v>
      </c>
      <c r="AA4" s="200">
        <v>526</v>
      </c>
      <c r="AB4" s="200">
        <v>527</v>
      </c>
      <c r="AC4" s="200">
        <v>528</v>
      </c>
      <c r="AD4" s="200">
        <v>629</v>
      </c>
      <c r="AE4" s="200">
        <v>630</v>
      </c>
      <c r="AF4" s="200">
        <v>636</v>
      </c>
      <c r="AG4" s="200">
        <v>637</v>
      </c>
      <c r="AH4" s="200">
        <v>640</v>
      </c>
      <c r="AI4" s="200">
        <v>642</v>
      </c>
      <c r="AJ4" s="200">
        <v>743</v>
      </c>
      <c r="AK4" s="200">
        <v>745</v>
      </c>
      <c r="AL4" s="200">
        <v>746</v>
      </c>
      <c r="AM4" s="200">
        <v>747</v>
      </c>
      <c r="AN4" s="200">
        <v>930</v>
      </c>
      <c r="AO4" s="200">
        <v>940</v>
      </c>
    </row>
    <row r="5" spans="1:41" x14ac:dyDescent="0.3">
      <c r="A5" s="197" t="s">
        <v>139</v>
      </c>
      <c r="B5" s="222">
        <v>2</v>
      </c>
      <c r="C5" s="197">
        <v>39</v>
      </c>
      <c r="D5" s="197">
        <v>1</v>
      </c>
      <c r="E5" s="197">
        <v>1</v>
      </c>
      <c r="F5" s="197">
        <v>13.8</v>
      </c>
      <c r="G5" s="197">
        <v>0</v>
      </c>
      <c r="H5" s="197">
        <v>0</v>
      </c>
      <c r="I5" s="197">
        <v>0</v>
      </c>
      <c r="J5" s="197">
        <v>0</v>
      </c>
      <c r="K5" s="197">
        <v>0</v>
      </c>
      <c r="L5" s="197">
        <v>0</v>
      </c>
      <c r="M5" s="197">
        <v>0</v>
      </c>
      <c r="N5" s="197">
        <v>0</v>
      </c>
      <c r="O5" s="197">
        <v>0</v>
      </c>
      <c r="P5" s="197">
        <v>0</v>
      </c>
      <c r="Q5" s="197">
        <v>0</v>
      </c>
      <c r="R5" s="197">
        <v>0</v>
      </c>
      <c r="S5" s="197">
        <v>0</v>
      </c>
      <c r="T5" s="197">
        <v>0</v>
      </c>
      <c r="U5" s="197">
        <v>0</v>
      </c>
      <c r="V5" s="197">
        <v>0</v>
      </c>
      <c r="W5" s="197">
        <v>9.1999999999999993</v>
      </c>
      <c r="X5" s="197">
        <v>0</v>
      </c>
      <c r="Y5" s="197">
        <v>0</v>
      </c>
      <c r="Z5" s="197">
        <v>0</v>
      </c>
      <c r="AA5" s="197">
        <v>0</v>
      </c>
      <c r="AB5" s="197">
        <v>0</v>
      </c>
      <c r="AC5" s="197">
        <v>0</v>
      </c>
      <c r="AD5" s="197">
        <v>0</v>
      </c>
      <c r="AE5" s="197">
        <v>0</v>
      </c>
      <c r="AF5" s="197">
        <v>0</v>
      </c>
      <c r="AG5" s="197">
        <v>0</v>
      </c>
      <c r="AH5" s="197">
        <v>0</v>
      </c>
      <c r="AI5" s="197">
        <v>0</v>
      </c>
      <c r="AJ5" s="197">
        <v>3.6</v>
      </c>
      <c r="AK5" s="197">
        <v>0</v>
      </c>
      <c r="AL5" s="197">
        <v>0</v>
      </c>
      <c r="AM5" s="197">
        <v>0</v>
      </c>
      <c r="AN5" s="197">
        <v>1</v>
      </c>
      <c r="AO5" s="197">
        <v>0</v>
      </c>
    </row>
    <row r="6" spans="1:41" x14ac:dyDescent="0.3">
      <c r="A6" s="197" t="s">
        <v>140</v>
      </c>
      <c r="B6" s="222">
        <v>3</v>
      </c>
      <c r="C6" s="197">
        <v>39</v>
      </c>
      <c r="D6" s="197">
        <v>1</v>
      </c>
      <c r="E6" s="197">
        <v>2</v>
      </c>
      <c r="F6" s="197">
        <v>2221.75</v>
      </c>
      <c r="G6" s="197">
        <v>0</v>
      </c>
      <c r="H6" s="197">
        <v>0</v>
      </c>
      <c r="I6" s="197">
        <v>0</v>
      </c>
      <c r="J6" s="197">
        <v>0</v>
      </c>
      <c r="K6" s="197">
        <v>0</v>
      </c>
      <c r="L6" s="197">
        <v>0</v>
      </c>
      <c r="M6" s="197">
        <v>0</v>
      </c>
      <c r="N6" s="197">
        <v>0</v>
      </c>
      <c r="O6" s="197">
        <v>0</v>
      </c>
      <c r="P6" s="197">
        <v>0</v>
      </c>
      <c r="Q6" s="197">
        <v>0</v>
      </c>
      <c r="R6" s="197">
        <v>0</v>
      </c>
      <c r="S6" s="197">
        <v>0</v>
      </c>
      <c r="T6" s="197">
        <v>0</v>
      </c>
      <c r="U6" s="197">
        <v>0</v>
      </c>
      <c r="V6" s="197">
        <v>0</v>
      </c>
      <c r="W6" s="197">
        <v>1464</v>
      </c>
      <c r="X6" s="197">
        <v>0</v>
      </c>
      <c r="Y6" s="197">
        <v>0</v>
      </c>
      <c r="Z6" s="197">
        <v>0</v>
      </c>
      <c r="AA6" s="197">
        <v>0</v>
      </c>
      <c r="AB6" s="197">
        <v>0</v>
      </c>
      <c r="AC6" s="197">
        <v>0</v>
      </c>
      <c r="AD6" s="197">
        <v>0</v>
      </c>
      <c r="AE6" s="197">
        <v>0</v>
      </c>
      <c r="AF6" s="197">
        <v>0</v>
      </c>
      <c r="AG6" s="197">
        <v>0</v>
      </c>
      <c r="AH6" s="197">
        <v>0</v>
      </c>
      <c r="AI6" s="197">
        <v>0</v>
      </c>
      <c r="AJ6" s="197">
        <v>597</v>
      </c>
      <c r="AK6" s="197">
        <v>0</v>
      </c>
      <c r="AL6" s="197">
        <v>0</v>
      </c>
      <c r="AM6" s="197">
        <v>0</v>
      </c>
      <c r="AN6" s="197">
        <v>160.75</v>
      </c>
      <c r="AO6" s="197">
        <v>0</v>
      </c>
    </row>
    <row r="7" spans="1:41" x14ac:dyDescent="0.3">
      <c r="A7" s="197" t="s">
        <v>141</v>
      </c>
      <c r="B7" s="222">
        <v>4</v>
      </c>
      <c r="C7" s="197">
        <v>39</v>
      </c>
      <c r="D7" s="197">
        <v>1</v>
      </c>
      <c r="E7" s="197">
        <v>6</v>
      </c>
      <c r="F7" s="197">
        <v>425407</v>
      </c>
      <c r="G7" s="197">
        <v>0</v>
      </c>
      <c r="H7" s="197">
        <v>0</v>
      </c>
      <c r="I7" s="197">
        <v>0</v>
      </c>
      <c r="J7" s="197">
        <v>0</v>
      </c>
      <c r="K7" s="197">
        <v>0</v>
      </c>
      <c r="L7" s="197">
        <v>0</v>
      </c>
      <c r="M7" s="197">
        <v>0</v>
      </c>
      <c r="N7" s="197">
        <v>0</v>
      </c>
      <c r="O7" s="197">
        <v>0</v>
      </c>
      <c r="P7" s="197">
        <v>0</v>
      </c>
      <c r="Q7" s="197">
        <v>0</v>
      </c>
      <c r="R7" s="197">
        <v>0</v>
      </c>
      <c r="S7" s="197">
        <v>0</v>
      </c>
      <c r="T7" s="197">
        <v>0</v>
      </c>
      <c r="U7" s="197">
        <v>0</v>
      </c>
      <c r="V7" s="197">
        <v>0</v>
      </c>
      <c r="W7" s="197">
        <v>309585</v>
      </c>
      <c r="X7" s="197">
        <v>0</v>
      </c>
      <c r="Y7" s="197">
        <v>0</v>
      </c>
      <c r="Z7" s="197">
        <v>0</v>
      </c>
      <c r="AA7" s="197">
        <v>0</v>
      </c>
      <c r="AB7" s="197">
        <v>0</v>
      </c>
      <c r="AC7" s="197">
        <v>0</v>
      </c>
      <c r="AD7" s="197">
        <v>0</v>
      </c>
      <c r="AE7" s="197">
        <v>0</v>
      </c>
      <c r="AF7" s="197">
        <v>0</v>
      </c>
      <c r="AG7" s="197">
        <v>0</v>
      </c>
      <c r="AH7" s="197">
        <v>0</v>
      </c>
      <c r="AI7" s="197">
        <v>0</v>
      </c>
      <c r="AJ7" s="197">
        <v>96843</v>
      </c>
      <c r="AK7" s="197">
        <v>0</v>
      </c>
      <c r="AL7" s="197">
        <v>0</v>
      </c>
      <c r="AM7" s="197">
        <v>0</v>
      </c>
      <c r="AN7" s="197">
        <v>18979</v>
      </c>
      <c r="AO7" s="197">
        <v>0</v>
      </c>
    </row>
    <row r="8" spans="1:41" x14ac:dyDescent="0.3">
      <c r="A8" s="197" t="s">
        <v>142</v>
      </c>
      <c r="B8" s="222">
        <v>5</v>
      </c>
      <c r="C8" s="197">
        <v>39</v>
      </c>
      <c r="D8" s="197">
        <v>1</v>
      </c>
      <c r="E8" s="197">
        <v>9</v>
      </c>
      <c r="F8" s="197">
        <v>10000</v>
      </c>
      <c r="G8" s="197">
        <v>0</v>
      </c>
      <c r="H8" s="197">
        <v>0</v>
      </c>
      <c r="I8" s="197">
        <v>0</v>
      </c>
      <c r="J8" s="197">
        <v>0</v>
      </c>
      <c r="K8" s="197">
        <v>0</v>
      </c>
      <c r="L8" s="197">
        <v>0</v>
      </c>
      <c r="M8" s="197">
        <v>0</v>
      </c>
      <c r="N8" s="197">
        <v>0</v>
      </c>
      <c r="O8" s="197">
        <v>0</v>
      </c>
      <c r="P8" s="197">
        <v>0</v>
      </c>
      <c r="Q8" s="197">
        <v>0</v>
      </c>
      <c r="R8" s="197">
        <v>0</v>
      </c>
      <c r="S8" s="197">
        <v>0</v>
      </c>
      <c r="T8" s="197">
        <v>0</v>
      </c>
      <c r="U8" s="197">
        <v>0</v>
      </c>
      <c r="V8" s="197">
        <v>0</v>
      </c>
      <c r="W8" s="197">
        <v>10000</v>
      </c>
      <c r="X8" s="197">
        <v>0</v>
      </c>
      <c r="Y8" s="197">
        <v>0</v>
      </c>
      <c r="Z8" s="197">
        <v>0</v>
      </c>
      <c r="AA8" s="197">
        <v>0</v>
      </c>
      <c r="AB8" s="197">
        <v>0</v>
      </c>
      <c r="AC8" s="197">
        <v>0</v>
      </c>
      <c r="AD8" s="197">
        <v>0</v>
      </c>
      <c r="AE8" s="197">
        <v>0</v>
      </c>
      <c r="AF8" s="197">
        <v>0</v>
      </c>
      <c r="AG8" s="197">
        <v>0</v>
      </c>
      <c r="AH8" s="197">
        <v>0</v>
      </c>
      <c r="AI8" s="197">
        <v>0</v>
      </c>
      <c r="AJ8" s="197">
        <v>0</v>
      </c>
      <c r="AK8" s="197">
        <v>0</v>
      </c>
      <c r="AL8" s="197">
        <v>0</v>
      </c>
      <c r="AM8" s="197">
        <v>0</v>
      </c>
      <c r="AN8" s="197">
        <v>0</v>
      </c>
      <c r="AO8" s="197">
        <v>0</v>
      </c>
    </row>
    <row r="9" spans="1:41" x14ac:dyDescent="0.3">
      <c r="A9" s="197" t="s">
        <v>143</v>
      </c>
      <c r="B9" s="222">
        <v>6</v>
      </c>
      <c r="C9" s="197">
        <v>39</v>
      </c>
      <c r="D9" s="197">
        <v>1</v>
      </c>
      <c r="E9" s="197">
        <v>10</v>
      </c>
      <c r="F9" s="197">
        <v>500</v>
      </c>
      <c r="G9" s="197">
        <v>0</v>
      </c>
      <c r="H9" s="197">
        <v>0</v>
      </c>
      <c r="I9" s="197">
        <v>0</v>
      </c>
      <c r="J9" s="197">
        <v>0</v>
      </c>
      <c r="K9" s="197">
        <v>500</v>
      </c>
      <c r="L9" s="197">
        <v>0</v>
      </c>
      <c r="M9" s="197">
        <v>0</v>
      </c>
      <c r="N9" s="197">
        <v>0</v>
      </c>
      <c r="O9" s="197">
        <v>0</v>
      </c>
      <c r="P9" s="197">
        <v>0</v>
      </c>
      <c r="Q9" s="197">
        <v>0</v>
      </c>
      <c r="R9" s="197">
        <v>0</v>
      </c>
      <c r="S9" s="197">
        <v>0</v>
      </c>
      <c r="T9" s="197">
        <v>0</v>
      </c>
      <c r="U9" s="197">
        <v>0</v>
      </c>
      <c r="V9" s="197">
        <v>0</v>
      </c>
      <c r="W9" s="197">
        <v>0</v>
      </c>
      <c r="X9" s="197">
        <v>0</v>
      </c>
      <c r="Y9" s="197">
        <v>0</v>
      </c>
      <c r="Z9" s="197">
        <v>0</v>
      </c>
      <c r="AA9" s="197">
        <v>0</v>
      </c>
      <c r="AB9" s="197">
        <v>0</v>
      </c>
      <c r="AC9" s="197">
        <v>0</v>
      </c>
      <c r="AD9" s="197">
        <v>0</v>
      </c>
      <c r="AE9" s="197">
        <v>0</v>
      </c>
      <c r="AF9" s="197">
        <v>0</v>
      </c>
      <c r="AG9" s="197">
        <v>0</v>
      </c>
      <c r="AH9" s="197">
        <v>0</v>
      </c>
      <c r="AI9" s="197">
        <v>0</v>
      </c>
      <c r="AJ9" s="197">
        <v>0</v>
      </c>
      <c r="AK9" s="197">
        <v>0</v>
      </c>
      <c r="AL9" s="197">
        <v>0</v>
      </c>
      <c r="AM9" s="197">
        <v>0</v>
      </c>
      <c r="AN9" s="197">
        <v>0</v>
      </c>
      <c r="AO9" s="197">
        <v>0</v>
      </c>
    </row>
    <row r="10" spans="1:41" x14ac:dyDescent="0.3">
      <c r="A10" s="197" t="s">
        <v>144</v>
      </c>
      <c r="B10" s="222">
        <v>7</v>
      </c>
      <c r="C10" s="197">
        <v>39</v>
      </c>
      <c r="D10" s="197">
        <v>1</v>
      </c>
      <c r="E10" s="197">
        <v>11</v>
      </c>
      <c r="F10" s="197">
        <v>2333.3333333333335</v>
      </c>
      <c r="G10" s="197">
        <v>0</v>
      </c>
      <c r="H10" s="197">
        <v>0</v>
      </c>
      <c r="I10" s="197">
        <v>0</v>
      </c>
      <c r="J10" s="197">
        <v>0</v>
      </c>
      <c r="K10" s="197">
        <v>2333.3333333333335</v>
      </c>
      <c r="L10" s="197">
        <v>0</v>
      </c>
      <c r="M10" s="197">
        <v>0</v>
      </c>
      <c r="N10" s="197">
        <v>0</v>
      </c>
      <c r="O10" s="197">
        <v>0</v>
      </c>
      <c r="P10" s="197">
        <v>0</v>
      </c>
      <c r="Q10" s="197">
        <v>0</v>
      </c>
      <c r="R10" s="197">
        <v>0</v>
      </c>
      <c r="S10" s="197">
        <v>0</v>
      </c>
      <c r="T10" s="197">
        <v>0</v>
      </c>
      <c r="U10" s="197">
        <v>0</v>
      </c>
      <c r="V10" s="197">
        <v>0</v>
      </c>
      <c r="W10" s="197">
        <v>0</v>
      </c>
      <c r="X10" s="197">
        <v>0</v>
      </c>
      <c r="Y10" s="197">
        <v>0</v>
      </c>
      <c r="Z10" s="197">
        <v>0</v>
      </c>
      <c r="AA10" s="197">
        <v>0</v>
      </c>
      <c r="AB10" s="197">
        <v>0</v>
      </c>
      <c r="AC10" s="197">
        <v>0</v>
      </c>
      <c r="AD10" s="197">
        <v>0</v>
      </c>
      <c r="AE10" s="197">
        <v>0</v>
      </c>
      <c r="AF10" s="197">
        <v>0</v>
      </c>
      <c r="AG10" s="197">
        <v>0</v>
      </c>
      <c r="AH10" s="197">
        <v>0</v>
      </c>
      <c r="AI10" s="197">
        <v>0</v>
      </c>
      <c r="AJ10" s="197">
        <v>0</v>
      </c>
      <c r="AK10" s="197">
        <v>0</v>
      </c>
      <c r="AL10" s="197">
        <v>0</v>
      </c>
      <c r="AM10" s="197">
        <v>0</v>
      </c>
      <c r="AN10" s="197">
        <v>0</v>
      </c>
      <c r="AO10" s="197">
        <v>0</v>
      </c>
    </row>
    <row r="11" spans="1:41" x14ac:dyDescent="0.3">
      <c r="A11" s="197" t="s">
        <v>145</v>
      </c>
      <c r="B11" s="222">
        <v>8</v>
      </c>
      <c r="C11" s="197">
        <v>39</v>
      </c>
      <c r="D11" s="197">
        <v>2</v>
      </c>
      <c r="E11" s="197">
        <v>1</v>
      </c>
      <c r="F11" s="197">
        <v>13.8</v>
      </c>
      <c r="G11" s="197">
        <v>0</v>
      </c>
      <c r="H11" s="197">
        <v>0</v>
      </c>
      <c r="I11" s="197">
        <v>0</v>
      </c>
      <c r="J11" s="197">
        <v>0</v>
      </c>
      <c r="K11" s="197">
        <v>0</v>
      </c>
      <c r="L11" s="197">
        <v>0</v>
      </c>
      <c r="M11" s="197">
        <v>0</v>
      </c>
      <c r="N11" s="197">
        <v>0</v>
      </c>
      <c r="O11" s="197">
        <v>0</v>
      </c>
      <c r="P11" s="197">
        <v>0</v>
      </c>
      <c r="Q11" s="197">
        <v>0</v>
      </c>
      <c r="R11" s="197">
        <v>0</v>
      </c>
      <c r="S11" s="197">
        <v>0</v>
      </c>
      <c r="T11" s="197">
        <v>0</v>
      </c>
      <c r="U11" s="197">
        <v>0</v>
      </c>
      <c r="V11" s="197">
        <v>0</v>
      </c>
      <c r="W11" s="197">
        <v>9.1999999999999993</v>
      </c>
      <c r="X11" s="197">
        <v>0</v>
      </c>
      <c r="Y11" s="197">
        <v>0</v>
      </c>
      <c r="Z11" s="197">
        <v>0</v>
      </c>
      <c r="AA11" s="197">
        <v>0</v>
      </c>
      <c r="AB11" s="197">
        <v>0</v>
      </c>
      <c r="AC11" s="197">
        <v>0</v>
      </c>
      <c r="AD11" s="197">
        <v>0</v>
      </c>
      <c r="AE11" s="197">
        <v>0</v>
      </c>
      <c r="AF11" s="197">
        <v>0</v>
      </c>
      <c r="AG11" s="197">
        <v>0</v>
      </c>
      <c r="AH11" s="197">
        <v>0</v>
      </c>
      <c r="AI11" s="197">
        <v>0</v>
      </c>
      <c r="AJ11" s="197">
        <v>3.6</v>
      </c>
      <c r="AK11" s="197">
        <v>0</v>
      </c>
      <c r="AL11" s="197">
        <v>0</v>
      </c>
      <c r="AM11" s="197">
        <v>0</v>
      </c>
      <c r="AN11" s="197">
        <v>1</v>
      </c>
      <c r="AO11" s="197">
        <v>0</v>
      </c>
    </row>
    <row r="12" spans="1:41" x14ac:dyDescent="0.3">
      <c r="A12" s="197" t="s">
        <v>146</v>
      </c>
      <c r="B12" s="222">
        <v>9</v>
      </c>
      <c r="C12" s="197">
        <v>39</v>
      </c>
      <c r="D12" s="197">
        <v>2</v>
      </c>
      <c r="E12" s="197">
        <v>2</v>
      </c>
      <c r="F12" s="197">
        <v>1920.3</v>
      </c>
      <c r="G12" s="197">
        <v>0</v>
      </c>
      <c r="H12" s="197">
        <v>0</v>
      </c>
      <c r="I12" s="197">
        <v>0</v>
      </c>
      <c r="J12" s="197">
        <v>0</v>
      </c>
      <c r="K12" s="197">
        <v>0</v>
      </c>
      <c r="L12" s="197">
        <v>0</v>
      </c>
      <c r="M12" s="197">
        <v>0</v>
      </c>
      <c r="N12" s="197">
        <v>0</v>
      </c>
      <c r="O12" s="197">
        <v>0</v>
      </c>
      <c r="P12" s="197">
        <v>0</v>
      </c>
      <c r="Q12" s="197">
        <v>0</v>
      </c>
      <c r="R12" s="197">
        <v>0</v>
      </c>
      <c r="S12" s="197">
        <v>0</v>
      </c>
      <c r="T12" s="197">
        <v>0</v>
      </c>
      <c r="U12" s="197">
        <v>0</v>
      </c>
      <c r="V12" s="197">
        <v>0</v>
      </c>
      <c r="W12" s="197">
        <v>1240</v>
      </c>
      <c r="X12" s="197">
        <v>0</v>
      </c>
      <c r="Y12" s="197">
        <v>0</v>
      </c>
      <c r="Z12" s="197">
        <v>0</v>
      </c>
      <c r="AA12" s="197">
        <v>0</v>
      </c>
      <c r="AB12" s="197">
        <v>0</v>
      </c>
      <c r="AC12" s="197">
        <v>0</v>
      </c>
      <c r="AD12" s="197">
        <v>0</v>
      </c>
      <c r="AE12" s="197">
        <v>0</v>
      </c>
      <c r="AF12" s="197">
        <v>0</v>
      </c>
      <c r="AG12" s="197">
        <v>0</v>
      </c>
      <c r="AH12" s="197">
        <v>0</v>
      </c>
      <c r="AI12" s="197">
        <v>0</v>
      </c>
      <c r="AJ12" s="197">
        <v>554.79999999999995</v>
      </c>
      <c r="AK12" s="197">
        <v>0</v>
      </c>
      <c r="AL12" s="197">
        <v>0</v>
      </c>
      <c r="AM12" s="197">
        <v>0</v>
      </c>
      <c r="AN12" s="197">
        <v>125.5</v>
      </c>
      <c r="AO12" s="197">
        <v>0</v>
      </c>
    </row>
    <row r="13" spans="1:41" x14ac:dyDescent="0.3">
      <c r="A13" s="197" t="s">
        <v>147</v>
      </c>
      <c r="B13" s="222">
        <v>10</v>
      </c>
      <c r="C13" s="197">
        <v>39</v>
      </c>
      <c r="D13" s="197">
        <v>2</v>
      </c>
      <c r="E13" s="197">
        <v>6</v>
      </c>
      <c r="F13" s="197">
        <v>417099</v>
      </c>
      <c r="G13" s="197">
        <v>0</v>
      </c>
      <c r="H13" s="197">
        <v>0</v>
      </c>
      <c r="I13" s="197">
        <v>0</v>
      </c>
      <c r="J13" s="197">
        <v>0</v>
      </c>
      <c r="K13" s="197">
        <v>0</v>
      </c>
      <c r="L13" s="197">
        <v>0</v>
      </c>
      <c r="M13" s="197">
        <v>0</v>
      </c>
      <c r="N13" s="197">
        <v>0</v>
      </c>
      <c r="O13" s="197">
        <v>0</v>
      </c>
      <c r="P13" s="197">
        <v>0</v>
      </c>
      <c r="Q13" s="197">
        <v>0</v>
      </c>
      <c r="R13" s="197">
        <v>0</v>
      </c>
      <c r="S13" s="197">
        <v>0</v>
      </c>
      <c r="T13" s="197">
        <v>0</v>
      </c>
      <c r="U13" s="197">
        <v>0</v>
      </c>
      <c r="V13" s="197">
        <v>0</v>
      </c>
      <c r="W13" s="197">
        <v>301988</v>
      </c>
      <c r="X13" s="197">
        <v>0</v>
      </c>
      <c r="Y13" s="197">
        <v>0</v>
      </c>
      <c r="Z13" s="197">
        <v>0</v>
      </c>
      <c r="AA13" s="197">
        <v>0</v>
      </c>
      <c r="AB13" s="197">
        <v>0</v>
      </c>
      <c r="AC13" s="197">
        <v>0</v>
      </c>
      <c r="AD13" s="197">
        <v>0</v>
      </c>
      <c r="AE13" s="197">
        <v>0</v>
      </c>
      <c r="AF13" s="197">
        <v>0</v>
      </c>
      <c r="AG13" s="197">
        <v>0</v>
      </c>
      <c r="AH13" s="197">
        <v>0</v>
      </c>
      <c r="AI13" s="197">
        <v>0</v>
      </c>
      <c r="AJ13" s="197">
        <v>96211</v>
      </c>
      <c r="AK13" s="197">
        <v>0</v>
      </c>
      <c r="AL13" s="197">
        <v>0</v>
      </c>
      <c r="AM13" s="197">
        <v>0</v>
      </c>
      <c r="AN13" s="197">
        <v>18900</v>
      </c>
      <c r="AO13" s="197">
        <v>0</v>
      </c>
    </row>
    <row r="14" spans="1:41" x14ac:dyDescent="0.3">
      <c r="A14" s="197" t="s">
        <v>148</v>
      </c>
      <c r="B14" s="222">
        <v>11</v>
      </c>
      <c r="C14" s="197">
        <v>39</v>
      </c>
      <c r="D14" s="197">
        <v>2</v>
      </c>
      <c r="E14" s="197">
        <v>11</v>
      </c>
      <c r="F14" s="197">
        <v>2333.3333333333335</v>
      </c>
      <c r="G14" s="197">
        <v>0</v>
      </c>
      <c r="H14" s="197">
        <v>0</v>
      </c>
      <c r="I14" s="197">
        <v>0</v>
      </c>
      <c r="J14" s="197">
        <v>0</v>
      </c>
      <c r="K14" s="197">
        <v>2333.3333333333335</v>
      </c>
      <c r="L14" s="197">
        <v>0</v>
      </c>
      <c r="M14" s="197">
        <v>0</v>
      </c>
      <c r="N14" s="197">
        <v>0</v>
      </c>
      <c r="O14" s="197">
        <v>0</v>
      </c>
      <c r="P14" s="197">
        <v>0</v>
      </c>
      <c r="Q14" s="197">
        <v>0</v>
      </c>
      <c r="R14" s="197">
        <v>0</v>
      </c>
      <c r="S14" s="197">
        <v>0</v>
      </c>
      <c r="T14" s="197">
        <v>0</v>
      </c>
      <c r="U14" s="197">
        <v>0</v>
      </c>
      <c r="V14" s="197">
        <v>0</v>
      </c>
      <c r="W14" s="197">
        <v>0</v>
      </c>
      <c r="X14" s="197">
        <v>0</v>
      </c>
      <c r="Y14" s="197">
        <v>0</v>
      </c>
      <c r="Z14" s="197">
        <v>0</v>
      </c>
      <c r="AA14" s="197">
        <v>0</v>
      </c>
      <c r="AB14" s="197">
        <v>0</v>
      </c>
      <c r="AC14" s="197">
        <v>0</v>
      </c>
      <c r="AD14" s="197">
        <v>0</v>
      </c>
      <c r="AE14" s="197">
        <v>0</v>
      </c>
      <c r="AF14" s="197">
        <v>0</v>
      </c>
      <c r="AG14" s="197">
        <v>0</v>
      </c>
      <c r="AH14" s="197">
        <v>0</v>
      </c>
      <c r="AI14" s="197">
        <v>0</v>
      </c>
      <c r="AJ14" s="197">
        <v>0</v>
      </c>
      <c r="AK14" s="197">
        <v>0</v>
      </c>
      <c r="AL14" s="197">
        <v>0</v>
      </c>
      <c r="AM14" s="197">
        <v>0</v>
      </c>
      <c r="AN14" s="197">
        <v>0</v>
      </c>
      <c r="AO14" s="197">
        <v>0</v>
      </c>
    </row>
    <row r="15" spans="1:41" x14ac:dyDescent="0.3">
      <c r="A15" s="197" t="s">
        <v>149</v>
      </c>
      <c r="B15" s="222">
        <v>12</v>
      </c>
      <c r="C15" s="197">
        <v>39</v>
      </c>
      <c r="D15" s="197">
        <v>3</v>
      </c>
      <c r="E15" s="197">
        <v>1</v>
      </c>
      <c r="F15" s="197">
        <v>13.8</v>
      </c>
      <c r="G15" s="197">
        <v>0</v>
      </c>
      <c r="H15" s="197">
        <v>0</v>
      </c>
      <c r="I15" s="197">
        <v>0</v>
      </c>
      <c r="J15" s="197">
        <v>0</v>
      </c>
      <c r="K15" s="197">
        <v>0</v>
      </c>
      <c r="L15" s="197">
        <v>0</v>
      </c>
      <c r="M15" s="197">
        <v>0</v>
      </c>
      <c r="N15" s="197">
        <v>0</v>
      </c>
      <c r="O15" s="197">
        <v>0</v>
      </c>
      <c r="P15" s="197">
        <v>0</v>
      </c>
      <c r="Q15" s="197">
        <v>0</v>
      </c>
      <c r="R15" s="197">
        <v>0</v>
      </c>
      <c r="S15" s="197">
        <v>0</v>
      </c>
      <c r="T15" s="197">
        <v>0</v>
      </c>
      <c r="U15" s="197">
        <v>0</v>
      </c>
      <c r="V15" s="197">
        <v>0</v>
      </c>
      <c r="W15" s="197">
        <v>9.1999999999999993</v>
      </c>
      <c r="X15" s="197">
        <v>0</v>
      </c>
      <c r="Y15" s="197">
        <v>0</v>
      </c>
      <c r="Z15" s="197">
        <v>0</v>
      </c>
      <c r="AA15" s="197">
        <v>0</v>
      </c>
      <c r="AB15" s="197">
        <v>0</v>
      </c>
      <c r="AC15" s="197">
        <v>0</v>
      </c>
      <c r="AD15" s="197">
        <v>0</v>
      </c>
      <c r="AE15" s="197">
        <v>0</v>
      </c>
      <c r="AF15" s="197">
        <v>0</v>
      </c>
      <c r="AG15" s="197">
        <v>0</v>
      </c>
      <c r="AH15" s="197">
        <v>0</v>
      </c>
      <c r="AI15" s="197">
        <v>0</v>
      </c>
      <c r="AJ15" s="197">
        <v>3.6</v>
      </c>
      <c r="AK15" s="197">
        <v>0</v>
      </c>
      <c r="AL15" s="197">
        <v>0</v>
      </c>
      <c r="AM15" s="197">
        <v>0</v>
      </c>
      <c r="AN15" s="197">
        <v>1</v>
      </c>
      <c r="AO15" s="197">
        <v>0</v>
      </c>
    </row>
    <row r="16" spans="1:41" x14ac:dyDescent="0.3">
      <c r="A16" s="197" t="s">
        <v>137</v>
      </c>
      <c r="B16" s="222">
        <v>2015</v>
      </c>
      <c r="C16" s="197">
        <v>39</v>
      </c>
      <c r="D16" s="197">
        <v>3</v>
      </c>
      <c r="E16" s="197">
        <v>2</v>
      </c>
      <c r="F16" s="197">
        <v>2296.5</v>
      </c>
      <c r="G16" s="197">
        <v>0</v>
      </c>
      <c r="H16" s="197">
        <v>0</v>
      </c>
      <c r="I16" s="197">
        <v>0</v>
      </c>
      <c r="J16" s="197">
        <v>0</v>
      </c>
      <c r="K16" s="197">
        <v>0</v>
      </c>
      <c r="L16" s="197">
        <v>0</v>
      </c>
      <c r="M16" s="197">
        <v>0</v>
      </c>
      <c r="N16" s="197">
        <v>0</v>
      </c>
      <c r="O16" s="197">
        <v>0</v>
      </c>
      <c r="P16" s="197">
        <v>0</v>
      </c>
      <c r="Q16" s="197">
        <v>0</v>
      </c>
      <c r="R16" s="197">
        <v>0</v>
      </c>
      <c r="S16" s="197">
        <v>0</v>
      </c>
      <c r="T16" s="197">
        <v>0</v>
      </c>
      <c r="U16" s="197">
        <v>0</v>
      </c>
      <c r="V16" s="197">
        <v>0</v>
      </c>
      <c r="W16" s="197">
        <v>1521.5</v>
      </c>
      <c r="X16" s="197">
        <v>0</v>
      </c>
      <c r="Y16" s="197">
        <v>0</v>
      </c>
      <c r="Z16" s="197">
        <v>0</v>
      </c>
      <c r="AA16" s="197">
        <v>0</v>
      </c>
      <c r="AB16" s="197">
        <v>0</v>
      </c>
      <c r="AC16" s="197">
        <v>0</v>
      </c>
      <c r="AD16" s="197">
        <v>0</v>
      </c>
      <c r="AE16" s="197">
        <v>0</v>
      </c>
      <c r="AF16" s="197">
        <v>0</v>
      </c>
      <c r="AG16" s="197">
        <v>0</v>
      </c>
      <c r="AH16" s="197">
        <v>0</v>
      </c>
      <c r="AI16" s="197">
        <v>0</v>
      </c>
      <c r="AJ16" s="197">
        <v>599</v>
      </c>
      <c r="AK16" s="197">
        <v>0</v>
      </c>
      <c r="AL16" s="197">
        <v>0</v>
      </c>
      <c r="AM16" s="197">
        <v>0</v>
      </c>
      <c r="AN16" s="197">
        <v>176</v>
      </c>
      <c r="AO16" s="197">
        <v>0</v>
      </c>
    </row>
    <row r="17" spans="3:41" x14ac:dyDescent="0.3">
      <c r="C17" s="197">
        <v>39</v>
      </c>
      <c r="D17" s="197">
        <v>3</v>
      </c>
      <c r="E17" s="197">
        <v>6</v>
      </c>
      <c r="F17" s="197">
        <v>415496</v>
      </c>
      <c r="G17" s="197">
        <v>0</v>
      </c>
      <c r="H17" s="197">
        <v>0</v>
      </c>
      <c r="I17" s="197">
        <v>0</v>
      </c>
      <c r="J17" s="197">
        <v>0</v>
      </c>
      <c r="K17" s="197">
        <v>0</v>
      </c>
      <c r="L17" s="197">
        <v>0</v>
      </c>
      <c r="M17" s="197">
        <v>0</v>
      </c>
      <c r="N17" s="197">
        <v>0</v>
      </c>
      <c r="O17" s="197">
        <v>0</v>
      </c>
      <c r="P17" s="197">
        <v>0</v>
      </c>
      <c r="Q17" s="197">
        <v>0</v>
      </c>
      <c r="R17" s="197">
        <v>0</v>
      </c>
      <c r="S17" s="197">
        <v>0</v>
      </c>
      <c r="T17" s="197">
        <v>0</v>
      </c>
      <c r="U17" s="197">
        <v>0</v>
      </c>
      <c r="V17" s="197">
        <v>0</v>
      </c>
      <c r="W17" s="197">
        <v>300402</v>
      </c>
      <c r="X17" s="197">
        <v>0</v>
      </c>
      <c r="Y17" s="197">
        <v>0</v>
      </c>
      <c r="Z17" s="197">
        <v>0</v>
      </c>
      <c r="AA17" s="197">
        <v>0</v>
      </c>
      <c r="AB17" s="197">
        <v>0</v>
      </c>
      <c r="AC17" s="197">
        <v>0</v>
      </c>
      <c r="AD17" s="197">
        <v>0</v>
      </c>
      <c r="AE17" s="197">
        <v>0</v>
      </c>
      <c r="AF17" s="197">
        <v>0</v>
      </c>
      <c r="AG17" s="197">
        <v>0</v>
      </c>
      <c r="AH17" s="197">
        <v>0</v>
      </c>
      <c r="AI17" s="197">
        <v>0</v>
      </c>
      <c r="AJ17" s="197">
        <v>96344</v>
      </c>
      <c r="AK17" s="197">
        <v>0</v>
      </c>
      <c r="AL17" s="197">
        <v>0</v>
      </c>
      <c r="AM17" s="197">
        <v>0</v>
      </c>
      <c r="AN17" s="197">
        <v>18750</v>
      </c>
      <c r="AO17" s="197">
        <v>0</v>
      </c>
    </row>
    <row r="18" spans="3:41" x14ac:dyDescent="0.3">
      <c r="C18" s="197">
        <v>39</v>
      </c>
      <c r="D18" s="197">
        <v>3</v>
      </c>
      <c r="E18" s="197">
        <v>11</v>
      </c>
      <c r="F18" s="197">
        <v>2333.3333333333335</v>
      </c>
      <c r="G18" s="197">
        <v>0</v>
      </c>
      <c r="H18" s="197">
        <v>0</v>
      </c>
      <c r="I18" s="197">
        <v>0</v>
      </c>
      <c r="J18" s="197">
        <v>0</v>
      </c>
      <c r="K18" s="197">
        <v>2333.3333333333335</v>
      </c>
      <c r="L18" s="197">
        <v>0</v>
      </c>
      <c r="M18" s="197">
        <v>0</v>
      </c>
      <c r="N18" s="197">
        <v>0</v>
      </c>
      <c r="O18" s="197">
        <v>0</v>
      </c>
      <c r="P18" s="197">
        <v>0</v>
      </c>
      <c r="Q18" s="197">
        <v>0</v>
      </c>
      <c r="R18" s="197">
        <v>0</v>
      </c>
      <c r="S18" s="197">
        <v>0</v>
      </c>
      <c r="T18" s="197">
        <v>0</v>
      </c>
      <c r="U18" s="197">
        <v>0</v>
      </c>
      <c r="V18" s="197">
        <v>0</v>
      </c>
      <c r="W18" s="197">
        <v>0</v>
      </c>
      <c r="X18" s="197">
        <v>0</v>
      </c>
      <c r="Y18" s="197">
        <v>0</v>
      </c>
      <c r="Z18" s="197">
        <v>0</v>
      </c>
      <c r="AA18" s="197">
        <v>0</v>
      </c>
      <c r="AB18" s="197">
        <v>0</v>
      </c>
      <c r="AC18" s="197">
        <v>0</v>
      </c>
      <c r="AD18" s="197">
        <v>0</v>
      </c>
      <c r="AE18" s="197">
        <v>0</v>
      </c>
      <c r="AF18" s="197">
        <v>0</v>
      </c>
      <c r="AG18" s="197">
        <v>0</v>
      </c>
      <c r="AH18" s="197">
        <v>0</v>
      </c>
      <c r="AI18" s="197">
        <v>0</v>
      </c>
      <c r="AJ18" s="197">
        <v>0</v>
      </c>
      <c r="AK18" s="197">
        <v>0</v>
      </c>
      <c r="AL18" s="197">
        <v>0</v>
      </c>
      <c r="AM18" s="197">
        <v>0</v>
      </c>
      <c r="AN18" s="197">
        <v>0</v>
      </c>
      <c r="AO18" s="197">
        <v>0</v>
      </c>
    </row>
    <row r="19" spans="3:41" x14ac:dyDescent="0.3">
      <c r="C19" s="197">
        <v>39</v>
      </c>
      <c r="D19" s="197">
        <v>4</v>
      </c>
      <c r="E19" s="197">
        <v>1</v>
      </c>
      <c r="F19" s="197">
        <v>13.6</v>
      </c>
      <c r="G19" s="197">
        <v>0</v>
      </c>
      <c r="H19" s="197">
        <v>0</v>
      </c>
      <c r="I19" s="197">
        <v>0</v>
      </c>
      <c r="J19" s="197">
        <v>0</v>
      </c>
      <c r="K19" s="197">
        <v>0</v>
      </c>
      <c r="L19" s="197">
        <v>0</v>
      </c>
      <c r="M19" s="197">
        <v>0</v>
      </c>
      <c r="N19" s="197">
        <v>0</v>
      </c>
      <c r="O19" s="197">
        <v>0</v>
      </c>
      <c r="P19" s="197">
        <v>0</v>
      </c>
      <c r="Q19" s="197">
        <v>0</v>
      </c>
      <c r="R19" s="197">
        <v>0</v>
      </c>
      <c r="S19" s="197">
        <v>0</v>
      </c>
      <c r="T19" s="197">
        <v>0</v>
      </c>
      <c r="U19" s="197">
        <v>0</v>
      </c>
      <c r="V19" s="197">
        <v>0</v>
      </c>
      <c r="W19" s="197">
        <v>9</v>
      </c>
      <c r="X19" s="197">
        <v>0</v>
      </c>
      <c r="Y19" s="197">
        <v>0</v>
      </c>
      <c r="Z19" s="197">
        <v>0</v>
      </c>
      <c r="AA19" s="197">
        <v>0</v>
      </c>
      <c r="AB19" s="197">
        <v>0</v>
      </c>
      <c r="AC19" s="197">
        <v>0</v>
      </c>
      <c r="AD19" s="197">
        <v>0</v>
      </c>
      <c r="AE19" s="197">
        <v>0</v>
      </c>
      <c r="AF19" s="197">
        <v>0</v>
      </c>
      <c r="AG19" s="197">
        <v>0</v>
      </c>
      <c r="AH19" s="197">
        <v>0</v>
      </c>
      <c r="AI19" s="197">
        <v>0</v>
      </c>
      <c r="AJ19" s="197">
        <v>3.6</v>
      </c>
      <c r="AK19" s="197">
        <v>0</v>
      </c>
      <c r="AL19" s="197">
        <v>0</v>
      </c>
      <c r="AM19" s="197">
        <v>0</v>
      </c>
      <c r="AN19" s="197">
        <v>1</v>
      </c>
      <c r="AO19" s="197">
        <v>0</v>
      </c>
    </row>
    <row r="20" spans="3:41" x14ac:dyDescent="0.3">
      <c r="C20" s="197">
        <v>39</v>
      </c>
      <c r="D20" s="197">
        <v>4</v>
      </c>
      <c r="E20" s="197">
        <v>2</v>
      </c>
      <c r="F20" s="197">
        <v>2384.75</v>
      </c>
      <c r="G20" s="197">
        <v>0</v>
      </c>
      <c r="H20" s="197">
        <v>0</v>
      </c>
      <c r="I20" s="197">
        <v>0</v>
      </c>
      <c r="J20" s="197">
        <v>0</v>
      </c>
      <c r="K20" s="197">
        <v>0</v>
      </c>
      <c r="L20" s="197">
        <v>0</v>
      </c>
      <c r="M20" s="197">
        <v>0</v>
      </c>
      <c r="N20" s="197">
        <v>0</v>
      </c>
      <c r="O20" s="197">
        <v>0</v>
      </c>
      <c r="P20" s="197">
        <v>0</v>
      </c>
      <c r="Q20" s="197">
        <v>0</v>
      </c>
      <c r="R20" s="197">
        <v>0</v>
      </c>
      <c r="S20" s="197">
        <v>0</v>
      </c>
      <c r="T20" s="197">
        <v>0</v>
      </c>
      <c r="U20" s="197">
        <v>0</v>
      </c>
      <c r="V20" s="197">
        <v>0</v>
      </c>
      <c r="W20" s="197">
        <v>1512</v>
      </c>
      <c r="X20" s="197">
        <v>0</v>
      </c>
      <c r="Y20" s="197">
        <v>0</v>
      </c>
      <c r="Z20" s="197">
        <v>0</v>
      </c>
      <c r="AA20" s="197">
        <v>0</v>
      </c>
      <c r="AB20" s="197">
        <v>0</v>
      </c>
      <c r="AC20" s="197">
        <v>0</v>
      </c>
      <c r="AD20" s="197">
        <v>0</v>
      </c>
      <c r="AE20" s="197">
        <v>0</v>
      </c>
      <c r="AF20" s="197">
        <v>0</v>
      </c>
      <c r="AG20" s="197">
        <v>0</v>
      </c>
      <c r="AH20" s="197">
        <v>0</v>
      </c>
      <c r="AI20" s="197">
        <v>0</v>
      </c>
      <c r="AJ20" s="197">
        <v>634</v>
      </c>
      <c r="AK20" s="197">
        <v>0</v>
      </c>
      <c r="AL20" s="197">
        <v>0</v>
      </c>
      <c r="AM20" s="197">
        <v>0</v>
      </c>
      <c r="AN20" s="197">
        <v>238.75</v>
      </c>
      <c r="AO20" s="197">
        <v>0</v>
      </c>
    </row>
    <row r="21" spans="3:41" x14ac:dyDescent="0.3">
      <c r="C21" s="197">
        <v>39</v>
      </c>
      <c r="D21" s="197">
        <v>4</v>
      </c>
      <c r="E21" s="197">
        <v>6</v>
      </c>
      <c r="F21" s="197">
        <v>417054</v>
      </c>
      <c r="G21" s="197">
        <v>0</v>
      </c>
      <c r="H21" s="197">
        <v>0</v>
      </c>
      <c r="I21" s="197">
        <v>0</v>
      </c>
      <c r="J21" s="197">
        <v>0</v>
      </c>
      <c r="K21" s="197">
        <v>0</v>
      </c>
      <c r="L21" s="197">
        <v>0</v>
      </c>
      <c r="M21" s="197">
        <v>0</v>
      </c>
      <c r="N21" s="197">
        <v>0</v>
      </c>
      <c r="O21" s="197">
        <v>0</v>
      </c>
      <c r="P21" s="197">
        <v>0</v>
      </c>
      <c r="Q21" s="197">
        <v>0</v>
      </c>
      <c r="R21" s="197">
        <v>0</v>
      </c>
      <c r="S21" s="197">
        <v>0</v>
      </c>
      <c r="T21" s="197">
        <v>0</v>
      </c>
      <c r="U21" s="197">
        <v>0</v>
      </c>
      <c r="V21" s="197">
        <v>0</v>
      </c>
      <c r="W21" s="197">
        <v>296987</v>
      </c>
      <c r="X21" s="197">
        <v>0</v>
      </c>
      <c r="Y21" s="197">
        <v>0</v>
      </c>
      <c r="Z21" s="197">
        <v>0</v>
      </c>
      <c r="AA21" s="197">
        <v>0</v>
      </c>
      <c r="AB21" s="197">
        <v>0</v>
      </c>
      <c r="AC21" s="197">
        <v>0</v>
      </c>
      <c r="AD21" s="197">
        <v>0</v>
      </c>
      <c r="AE21" s="197">
        <v>0</v>
      </c>
      <c r="AF21" s="197">
        <v>0</v>
      </c>
      <c r="AG21" s="197">
        <v>0</v>
      </c>
      <c r="AH21" s="197">
        <v>0</v>
      </c>
      <c r="AI21" s="197">
        <v>0</v>
      </c>
      <c r="AJ21" s="197">
        <v>96268</v>
      </c>
      <c r="AK21" s="197">
        <v>0</v>
      </c>
      <c r="AL21" s="197">
        <v>0</v>
      </c>
      <c r="AM21" s="197">
        <v>0</v>
      </c>
      <c r="AN21" s="197">
        <v>23799</v>
      </c>
      <c r="AO21" s="197">
        <v>0</v>
      </c>
    </row>
    <row r="22" spans="3:41" x14ac:dyDescent="0.3">
      <c r="C22" s="197">
        <v>39</v>
      </c>
      <c r="D22" s="197">
        <v>4</v>
      </c>
      <c r="E22" s="197">
        <v>11</v>
      </c>
      <c r="F22" s="197">
        <v>2333.3333333333335</v>
      </c>
      <c r="G22" s="197">
        <v>0</v>
      </c>
      <c r="H22" s="197">
        <v>0</v>
      </c>
      <c r="I22" s="197">
        <v>0</v>
      </c>
      <c r="J22" s="197">
        <v>0</v>
      </c>
      <c r="K22" s="197">
        <v>2333.3333333333335</v>
      </c>
      <c r="L22" s="197">
        <v>0</v>
      </c>
      <c r="M22" s="197">
        <v>0</v>
      </c>
      <c r="N22" s="197">
        <v>0</v>
      </c>
      <c r="O22" s="197">
        <v>0</v>
      </c>
      <c r="P22" s="197">
        <v>0</v>
      </c>
      <c r="Q22" s="197">
        <v>0</v>
      </c>
      <c r="R22" s="197">
        <v>0</v>
      </c>
      <c r="S22" s="197">
        <v>0</v>
      </c>
      <c r="T22" s="197">
        <v>0</v>
      </c>
      <c r="U22" s="197">
        <v>0</v>
      </c>
      <c r="V22" s="197">
        <v>0</v>
      </c>
      <c r="W22" s="197">
        <v>0</v>
      </c>
      <c r="X22" s="197">
        <v>0</v>
      </c>
      <c r="Y22" s="197">
        <v>0</v>
      </c>
      <c r="Z22" s="197">
        <v>0</v>
      </c>
      <c r="AA22" s="197">
        <v>0</v>
      </c>
      <c r="AB22" s="197">
        <v>0</v>
      </c>
      <c r="AC22" s="197">
        <v>0</v>
      </c>
      <c r="AD22" s="197">
        <v>0</v>
      </c>
      <c r="AE22" s="197">
        <v>0</v>
      </c>
      <c r="AF22" s="197">
        <v>0</v>
      </c>
      <c r="AG22" s="197">
        <v>0</v>
      </c>
      <c r="AH22" s="197">
        <v>0</v>
      </c>
      <c r="AI22" s="197">
        <v>0</v>
      </c>
      <c r="AJ22" s="197">
        <v>0</v>
      </c>
      <c r="AK22" s="197">
        <v>0</v>
      </c>
      <c r="AL22" s="197">
        <v>0</v>
      </c>
      <c r="AM22" s="197">
        <v>0</v>
      </c>
      <c r="AN22" s="197">
        <v>0</v>
      </c>
      <c r="AO22" s="197">
        <v>0</v>
      </c>
    </row>
    <row r="23" spans="3:41" x14ac:dyDescent="0.3">
      <c r="C23" s="197">
        <v>39</v>
      </c>
      <c r="D23" s="197">
        <v>5</v>
      </c>
      <c r="E23" s="197">
        <v>1</v>
      </c>
      <c r="F23" s="197">
        <v>12.6</v>
      </c>
      <c r="G23" s="197">
        <v>0</v>
      </c>
      <c r="H23" s="197">
        <v>0</v>
      </c>
      <c r="I23" s="197">
        <v>0</v>
      </c>
      <c r="J23" s="197">
        <v>0</v>
      </c>
      <c r="K23" s="197">
        <v>0</v>
      </c>
      <c r="L23" s="197">
        <v>0</v>
      </c>
      <c r="M23" s="197">
        <v>0</v>
      </c>
      <c r="N23" s="197">
        <v>0</v>
      </c>
      <c r="O23" s="197">
        <v>0</v>
      </c>
      <c r="P23" s="197">
        <v>0</v>
      </c>
      <c r="Q23" s="197">
        <v>0</v>
      </c>
      <c r="R23" s="197">
        <v>0</v>
      </c>
      <c r="S23" s="197">
        <v>0</v>
      </c>
      <c r="T23" s="197">
        <v>0</v>
      </c>
      <c r="U23" s="197">
        <v>0</v>
      </c>
      <c r="V23" s="197">
        <v>0</v>
      </c>
      <c r="W23" s="197">
        <v>8</v>
      </c>
      <c r="X23" s="197">
        <v>0</v>
      </c>
      <c r="Y23" s="197">
        <v>0</v>
      </c>
      <c r="Z23" s="197">
        <v>0</v>
      </c>
      <c r="AA23" s="197">
        <v>0</v>
      </c>
      <c r="AB23" s="197">
        <v>0</v>
      </c>
      <c r="AC23" s="197">
        <v>0</v>
      </c>
      <c r="AD23" s="197">
        <v>0</v>
      </c>
      <c r="AE23" s="197">
        <v>0</v>
      </c>
      <c r="AF23" s="197">
        <v>0</v>
      </c>
      <c r="AG23" s="197">
        <v>0</v>
      </c>
      <c r="AH23" s="197">
        <v>0</v>
      </c>
      <c r="AI23" s="197">
        <v>0</v>
      </c>
      <c r="AJ23" s="197">
        <v>3.6</v>
      </c>
      <c r="AK23" s="197">
        <v>0</v>
      </c>
      <c r="AL23" s="197">
        <v>0</v>
      </c>
      <c r="AM23" s="197">
        <v>0</v>
      </c>
      <c r="AN23" s="197">
        <v>1</v>
      </c>
      <c r="AO23" s="197">
        <v>0</v>
      </c>
    </row>
    <row r="24" spans="3:41" x14ac:dyDescent="0.3">
      <c r="C24" s="197">
        <v>39</v>
      </c>
      <c r="D24" s="197">
        <v>5</v>
      </c>
      <c r="E24" s="197">
        <v>2</v>
      </c>
      <c r="F24" s="197">
        <v>2075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7">
        <v>0</v>
      </c>
      <c r="M24" s="197">
        <v>0</v>
      </c>
      <c r="N24" s="197">
        <v>0</v>
      </c>
      <c r="O24" s="197">
        <v>0</v>
      </c>
      <c r="P24" s="197">
        <v>0</v>
      </c>
      <c r="Q24" s="197">
        <v>0</v>
      </c>
      <c r="R24" s="197">
        <v>0</v>
      </c>
      <c r="S24" s="197">
        <v>0</v>
      </c>
      <c r="T24" s="197">
        <v>0</v>
      </c>
      <c r="U24" s="197">
        <v>0</v>
      </c>
      <c r="V24" s="197">
        <v>0</v>
      </c>
      <c r="W24" s="197">
        <v>1303</v>
      </c>
      <c r="X24" s="197">
        <v>0</v>
      </c>
      <c r="Y24" s="197">
        <v>0</v>
      </c>
      <c r="Z24" s="197">
        <v>0</v>
      </c>
      <c r="AA24" s="197">
        <v>0</v>
      </c>
      <c r="AB24" s="197">
        <v>0</v>
      </c>
      <c r="AC24" s="197">
        <v>0</v>
      </c>
      <c r="AD24" s="197">
        <v>0</v>
      </c>
      <c r="AE24" s="197">
        <v>0</v>
      </c>
      <c r="AF24" s="197">
        <v>0</v>
      </c>
      <c r="AG24" s="197">
        <v>0</v>
      </c>
      <c r="AH24" s="197">
        <v>0</v>
      </c>
      <c r="AI24" s="197">
        <v>0</v>
      </c>
      <c r="AJ24" s="197">
        <v>604</v>
      </c>
      <c r="AK24" s="197">
        <v>0</v>
      </c>
      <c r="AL24" s="197">
        <v>0</v>
      </c>
      <c r="AM24" s="197">
        <v>0</v>
      </c>
      <c r="AN24" s="197">
        <v>168</v>
      </c>
      <c r="AO24" s="197">
        <v>0</v>
      </c>
    </row>
    <row r="25" spans="3:41" x14ac:dyDescent="0.3">
      <c r="C25" s="197">
        <v>39</v>
      </c>
      <c r="D25" s="197">
        <v>5</v>
      </c>
      <c r="E25" s="197">
        <v>6</v>
      </c>
      <c r="F25" s="197">
        <v>383945</v>
      </c>
      <c r="G25" s="197">
        <v>0</v>
      </c>
      <c r="H25" s="197">
        <v>0</v>
      </c>
      <c r="I25" s="197">
        <v>0</v>
      </c>
      <c r="J25" s="197">
        <v>0</v>
      </c>
      <c r="K25" s="197">
        <v>0</v>
      </c>
      <c r="L25" s="197">
        <v>0</v>
      </c>
      <c r="M25" s="197">
        <v>0</v>
      </c>
      <c r="N25" s="197">
        <v>0</v>
      </c>
      <c r="O25" s="197">
        <v>0</v>
      </c>
      <c r="P25" s="197">
        <v>0</v>
      </c>
      <c r="Q25" s="197">
        <v>0</v>
      </c>
      <c r="R25" s="197">
        <v>0</v>
      </c>
      <c r="S25" s="197">
        <v>0</v>
      </c>
      <c r="T25" s="197">
        <v>0</v>
      </c>
      <c r="U25" s="197">
        <v>0</v>
      </c>
      <c r="V25" s="197">
        <v>0</v>
      </c>
      <c r="W25" s="197">
        <v>270495</v>
      </c>
      <c r="X25" s="197">
        <v>0</v>
      </c>
      <c r="Y25" s="197">
        <v>0</v>
      </c>
      <c r="Z25" s="197">
        <v>0</v>
      </c>
      <c r="AA25" s="197">
        <v>0</v>
      </c>
      <c r="AB25" s="197">
        <v>0</v>
      </c>
      <c r="AC25" s="197">
        <v>0</v>
      </c>
      <c r="AD25" s="197">
        <v>0</v>
      </c>
      <c r="AE25" s="197">
        <v>0</v>
      </c>
      <c r="AF25" s="197">
        <v>0</v>
      </c>
      <c r="AG25" s="197">
        <v>0</v>
      </c>
      <c r="AH25" s="197">
        <v>0</v>
      </c>
      <c r="AI25" s="197">
        <v>0</v>
      </c>
      <c r="AJ25" s="197">
        <v>96268</v>
      </c>
      <c r="AK25" s="197">
        <v>0</v>
      </c>
      <c r="AL25" s="197">
        <v>0</v>
      </c>
      <c r="AM25" s="197">
        <v>0</v>
      </c>
      <c r="AN25" s="197">
        <v>17182</v>
      </c>
      <c r="AO25" s="197">
        <v>0</v>
      </c>
    </row>
    <row r="26" spans="3:41" x14ac:dyDescent="0.3">
      <c r="C26" s="197">
        <v>39</v>
      </c>
      <c r="D26" s="197">
        <v>5</v>
      </c>
      <c r="E26" s="197">
        <v>10</v>
      </c>
      <c r="F26" s="197">
        <v>12000</v>
      </c>
      <c r="G26" s="197">
        <v>0</v>
      </c>
      <c r="H26" s="197">
        <v>0</v>
      </c>
      <c r="I26" s="197">
        <v>0</v>
      </c>
      <c r="J26" s="197">
        <v>0</v>
      </c>
      <c r="K26" s="197">
        <v>12000</v>
      </c>
      <c r="L26" s="197">
        <v>0</v>
      </c>
      <c r="M26" s="197">
        <v>0</v>
      </c>
      <c r="N26" s="197">
        <v>0</v>
      </c>
      <c r="O26" s="197">
        <v>0</v>
      </c>
      <c r="P26" s="197">
        <v>0</v>
      </c>
      <c r="Q26" s="197">
        <v>0</v>
      </c>
      <c r="R26" s="197">
        <v>0</v>
      </c>
      <c r="S26" s="197">
        <v>0</v>
      </c>
      <c r="T26" s="197">
        <v>0</v>
      </c>
      <c r="U26" s="197">
        <v>0</v>
      </c>
      <c r="V26" s="197">
        <v>0</v>
      </c>
      <c r="W26" s="197">
        <v>0</v>
      </c>
      <c r="X26" s="197">
        <v>0</v>
      </c>
      <c r="Y26" s="197">
        <v>0</v>
      </c>
      <c r="Z26" s="197">
        <v>0</v>
      </c>
      <c r="AA26" s="197">
        <v>0</v>
      </c>
      <c r="AB26" s="197">
        <v>0</v>
      </c>
      <c r="AC26" s="197">
        <v>0</v>
      </c>
      <c r="AD26" s="197">
        <v>0</v>
      </c>
      <c r="AE26" s="197">
        <v>0</v>
      </c>
      <c r="AF26" s="197">
        <v>0</v>
      </c>
      <c r="AG26" s="197">
        <v>0</v>
      </c>
      <c r="AH26" s="197">
        <v>0</v>
      </c>
      <c r="AI26" s="197">
        <v>0</v>
      </c>
      <c r="AJ26" s="197">
        <v>0</v>
      </c>
      <c r="AK26" s="197">
        <v>0</v>
      </c>
      <c r="AL26" s="197">
        <v>0</v>
      </c>
      <c r="AM26" s="197">
        <v>0</v>
      </c>
      <c r="AN26" s="197">
        <v>0</v>
      </c>
      <c r="AO26" s="197">
        <v>0</v>
      </c>
    </row>
    <row r="27" spans="3:41" x14ac:dyDescent="0.3">
      <c r="C27" s="197">
        <v>39</v>
      </c>
      <c r="D27" s="197">
        <v>5</v>
      </c>
      <c r="E27" s="197">
        <v>11</v>
      </c>
      <c r="F27" s="197">
        <v>2333.3333333333335</v>
      </c>
      <c r="G27" s="197">
        <v>0</v>
      </c>
      <c r="H27" s="197">
        <v>0</v>
      </c>
      <c r="I27" s="197">
        <v>0</v>
      </c>
      <c r="J27" s="197">
        <v>0</v>
      </c>
      <c r="K27" s="197">
        <v>2333.3333333333335</v>
      </c>
      <c r="L27" s="197">
        <v>0</v>
      </c>
      <c r="M27" s="197">
        <v>0</v>
      </c>
      <c r="N27" s="197">
        <v>0</v>
      </c>
      <c r="O27" s="197">
        <v>0</v>
      </c>
      <c r="P27" s="197">
        <v>0</v>
      </c>
      <c r="Q27" s="197">
        <v>0</v>
      </c>
      <c r="R27" s="197">
        <v>0</v>
      </c>
      <c r="S27" s="197">
        <v>0</v>
      </c>
      <c r="T27" s="197">
        <v>0</v>
      </c>
      <c r="U27" s="197">
        <v>0</v>
      </c>
      <c r="V27" s="197">
        <v>0</v>
      </c>
      <c r="W27" s="197">
        <v>0</v>
      </c>
      <c r="X27" s="197">
        <v>0</v>
      </c>
      <c r="Y27" s="197">
        <v>0</v>
      </c>
      <c r="Z27" s="197">
        <v>0</v>
      </c>
      <c r="AA27" s="197">
        <v>0</v>
      </c>
      <c r="AB27" s="197">
        <v>0</v>
      </c>
      <c r="AC27" s="197">
        <v>0</v>
      </c>
      <c r="AD27" s="197">
        <v>0</v>
      </c>
      <c r="AE27" s="197">
        <v>0</v>
      </c>
      <c r="AF27" s="197">
        <v>0</v>
      </c>
      <c r="AG27" s="197">
        <v>0</v>
      </c>
      <c r="AH27" s="197">
        <v>0</v>
      </c>
      <c r="AI27" s="197">
        <v>0</v>
      </c>
      <c r="AJ27" s="197">
        <v>0</v>
      </c>
      <c r="AK27" s="197">
        <v>0</v>
      </c>
      <c r="AL27" s="197">
        <v>0</v>
      </c>
      <c r="AM27" s="197">
        <v>0</v>
      </c>
      <c r="AN27" s="197">
        <v>0</v>
      </c>
      <c r="AO27" s="197">
        <v>0</v>
      </c>
    </row>
    <row r="28" spans="3:41" x14ac:dyDescent="0.3">
      <c r="C28" s="197">
        <v>39</v>
      </c>
      <c r="D28" s="197">
        <v>6</v>
      </c>
      <c r="E28" s="197">
        <v>1</v>
      </c>
      <c r="F28" s="197">
        <v>12.6</v>
      </c>
      <c r="G28" s="197">
        <v>0</v>
      </c>
      <c r="H28" s="197">
        <v>0</v>
      </c>
      <c r="I28" s="197">
        <v>0</v>
      </c>
      <c r="J28" s="197">
        <v>0</v>
      </c>
      <c r="K28" s="197">
        <v>0</v>
      </c>
      <c r="L28" s="197">
        <v>0</v>
      </c>
      <c r="M28" s="197">
        <v>0</v>
      </c>
      <c r="N28" s="197">
        <v>0</v>
      </c>
      <c r="O28" s="197">
        <v>0</v>
      </c>
      <c r="P28" s="197">
        <v>0</v>
      </c>
      <c r="Q28" s="197">
        <v>0</v>
      </c>
      <c r="R28" s="197">
        <v>0</v>
      </c>
      <c r="S28" s="197">
        <v>0</v>
      </c>
      <c r="T28" s="197">
        <v>0</v>
      </c>
      <c r="U28" s="197">
        <v>0</v>
      </c>
      <c r="V28" s="197">
        <v>0</v>
      </c>
      <c r="W28" s="197">
        <v>8</v>
      </c>
      <c r="X28" s="197">
        <v>0</v>
      </c>
      <c r="Y28" s="197">
        <v>0</v>
      </c>
      <c r="Z28" s="197">
        <v>0</v>
      </c>
      <c r="AA28" s="197">
        <v>0</v>
      </c>
      <c r="AB28" s="197">
        <v>0</v>
      </c>
      <c r="AC28" s="197">
        <v>0</v>
      </c>
      <c r="AD28" s="197">
        <v>0</v>
      </c>
      <c r="AE28" s="197">
        <v>0</v>
      </c>
      <c r="AF28" s="197">
        <v>0</v>
      </c>
      <c r="AG28" s="197">
        <v>0</v>
      </c>
      <c r="AH28" s="197">
        <v>0</v>
      </c>
      <c r="AI28" s="197">
        <v>0</v>
      </c>
      <c r="AJ28" s="197">
        <v>3.6</v>
      </c>
      <c r="AK28" s="197">
        <v>0</v>
      </c>
      <c r="AL28" s="197">
        <v>0</v>
      </c>
      <c r="AM28" s="197">
        <v>0</v>
      </c>
      <c r="AN28" s="197">
        <v>1</v>
      </c>
      <c r="AO28" s="197">
        <v>0</v>
      </c>
    </row>
    <row r="29" spans="3:41" x14ac:dyDescent="0.3">
      <c r="C29" s="197">
        <v>39</v>
      </c>
      <c r="D29" s="197">
        <v>6</v>
      </c>
      <c r="E29" s="197">
        <v>2</v>
      </c>
      <c r="F29" s="197">
        <v>2066</v>
      </c>
      <c r="G29" s="197">
        <v>0</v>
      </c>
      <c r="H29" s="197">
        <v>0</v>
      </c>
      <c r="I29" s="197">
        <v>0</v>
      </c>
      <c r="J29" s="197">
        <v>0</v>
      </c>
      <c r="K29" s="197">
        <v>0</v>
      </c>
      <c r="L29" s="197">
        <v>0</v>
      </c>
      <c r="M29" s="197">
        <v>0</v>
      </c>
      <c r="N29" s="197">
        <v>0</v>
      </c>
      <c r="O29" s="197">
        <v>0</v>
      </c>
      <c r="P29" s="197">
        <v>0</v>
      </c>
      <c r="Q29" s="197">
        <v>0</v>
      </c>
      <c r="R29" s="197">
        <v>0</v>
      </c>
      <c r="S29" s="197">
        <v>0</v>
      </c>
      <c r="T29" s="197">
        <v>0</v>
      </c>
      <c r="U29" s="197">
        <v>0</v>
      </c>
      <c r="V29" s="197">
        <v>0</v>
      </c>
      <c r="W29" s="197">
        <v>1324</v>
      </c>
      <c r="X29" s="197">
        <v>0</v>
      </c>
      <c r="Y29" s="197">
        <v>0</v>
      </c>
      <c r="Z29" s="197">
        <v>0</v>
      </c>
      <c r="AA29" s="197">
        <v>0</v>
      </c>
      <c r="AB29" s="197">
        <v>0</v>
      </c>
      <c r="AC29" s="197">
        <v>0</v>
      </c>
      <c r="AD29" s="197">
        <v>0</v>
      </c>
      <c r="AE29" s="197">
        <v>0</v>
      </c>
      <c r="AF29" s="197">
        <v>0</v>
      </c>
      <c r="AG29" s="197">
        <v>0</v>
      </c>
      <c r="AH29" s="197">
        <v>0</v>
      </c>
      <c r="AI29" s="197">
        <v>0</v>
      </c>
      <c r="AJ29" s="197">
        <v>566</v>
      </c>
      <c r="AK29" s="197">
        <v>0</v>
      </c>
      <c r="AL29" s="197">
        <v>0</v>
      </c>
      <c r="AM29" s="197">
        <v>0</v>
      </c>
      <c r="AN29" s="197">
        <v>176</v>
      </c>
      <c r="AO29" s="197">
        <v>0</v>
      </c>
    </row>
    <row r="30" spans="3:41" x14ac:dyDescent="0.3">
      <c r="C30" s="197">
        <v>39</v>
      </c>
      <c r="D30" s="197">
        <v>6</v>
      </c>
      <c r="E30" s="197">
        <v>6</v>
      </c>
      <c r="F30" s="197">
        <v>391399</v>
      </c>
      <c r="G30" s="197">
        <v>0</v>
      </c>
      <c r="H30" s="197">
        <v>0</v>
      </c>
      <c r="I30" s="197">
        <v>0</v>
      </c>
      <c r="J30" s="197">
        <v>0</v>
      </c>
      <c r="K30" s="197">
        <v>0</v>
      </c>
      <c r="L30" s="197">
        <v>0</v>
      </c>
      <c r="M30" s="197">
        <v>0</v>
      </c>
      <c r="N30" s="197">
        <v>0</v>
      </c>
      <c r="O30" s="197">
        <v>0</v>
      </c>
      <c r="P30" s="197">
        <v>0</v>
      </c>
      <c r="Q30" s="197">
        <v>0</v>
      </c>
      <c r="R30" s="197">
        <v>0</v>
      </c>
      <c r="S30" s="197">
        <v>0</v>
      </c>
      <c r="T30" s="197">
        <v>0</v>
      </c>
      <c r="U30" s="197">
        <v>0</v>
      </c>
      <c r="V30" s="197">
        <v>0</v>
      </c>
      <c r="W30" s="197">
        <v>278290</v>
      </c>
      <c r="X30" s="197">
        <v>0</v>
      </c>
      <c r="Y30" s="197">
        <v>0</v>
      </c>
      <c r="Z30" s="197">
        <v>0</v>
      </c>
      <c r="AA30" s="197">
        <v>0</v>
      </c>
      <c r="AB30" s="197">
        <v>0</v>
      </c>
      <c r="AC30" s="197">
        <v>0</v>
      </c>
      <c r="AD30" s="197">
        <v>0</v>
      </c>
      <c r="AE30" s="197">
        <v>0</v>
      </c>
      <c r="AF30" s="197">
        <v>0</v>
      </c>
      <c r="AG30" s="197">
        <v>0</v>
      </c>
      <c r="AH30" s="197">
        <v>0</v>
      </c>
      <c r="AI30" s="197">
        <v>0</v>
      </c>
      <c r="AJ30" s="197">
        <v>97359</v>
      </c>
      <c r="AK30" s="197">
        <v>0</v>
      </c>
      <c r="AL30" s="197">
        <v>0</v>
      </c>
      <c r="AM30" s="197">
        <v>0</v>
      </c>
      <c r="AN30" s="197">
        <v>15750</v>
      </c>
      <c r="AO30" s="197">
        <v>0</v>
      </c>
    </row>
    <row r="31" spans="3:41" x14ac:dyDescent="0.3">
      <c r="C31" s="197">
        <v>39</v>
      </c>
      <c r="D31" s="197">
        <v>6</v>
      </c>
      <c r="E31" s="197">
        <v>9</v>
      </c>
      <c r="F31" s="197">
        <v>5438</v>
      </c>
      <c r="G31" s="197">
        <v>0</v>
      </c>
      <c r="H31" s="197">
        <v>0</v>
      </c>
      <c r="I31" s="197">
        <v>0</v>
      </c>
      <c r="J31" s="197">
        <v>0</v>
      </c>
      <c r="K31" s="197">
        <v>0</v>
      </c>
      <c r="L31" s="197">
        <v>0</v>
      </c>
      <c r="M31" s="197">
        <v>0</v>
      </c>
      <c r="N31" s="197">
        <v>0</v>
      </c>
      <c r="O31" s="197">
        <v>0</v>
      </c>
      <c r="P31" s="197">
        <v>0</v>
      </c>
      <c r="Q31" s="197">
        <v>0</v>
      </c>
      <c r="R31" s="197">
        <v>0</v>
      </c>
      <c r="S31" s="197">
        <v>0</v>
      </c>
      <c r="T31" s="197">
        <v>0</v>
      </c>
      <c r="U31" s="197">
        <v>0</v>
      </c>
      <c r="V31" s="197">
        <v>0</v>
      </c>
      <c r="W31" s="197">
        <v>5438</v>
      </c>
      <c r="X31" s="197">
        <v>0</v>
      </c>
      <c r="Y31" s="197">
        <v>0</v>
      </c>
      <c r="Z31" s="197">
        <v>0</v>
      </c>
      <c r="AA31" s="197">
        <v>0</v>
      </c>
      <c r="AB31" s="197">
        <v>0</v>
      </c>
      <c r="AC31" s="197">
        <v>0</v>
      </c>
      <c r="AD31" s="197">
        <v>0</v>
      </c>
      <c r="AE31" s="197">
        <v>0</v>
      </c>
      <c r="AF31" s="197">
        <v>0</v>
      </c>
      <c r="AG31" s="197">
        <v>0</v>
      </c>
      <c r="AH31" s="197">
        <v>0</v>
      </c>
      <c r="AI31" s="197">
        <v>0</v>
      </c>
      <c r="AJ31" s="197">
        <v>0</v>
      </c>
      <c r="AK31" s="197">
        <v>0</v>
      </c>
      <c r="AL31" s="197">
        <v>0</v>
      </c>
      <c r="AM31" s="197">
        <v>0</v>
      </c>
      <c r="AN31" s="197">
        <v>0</v>
      </c>
      <c r="AO31" s="197">
        <v>0</v>
      </c>
    </row>
    <row r="32" spans="3:41" x14ac:dyDescent="0.3">
      <c r="C32" s="197">
        <v>39</v>
      </c>
      <c r="D32" s="197">
        <v>6</v>
      </c>
      <c r="E32" s="197">
        <v>10</v>
      </c>
      <c r="F32" s="197">
        <v>2300</v>
      </c>
      <c r="G32" s="197">
        <v>0</v>
      </c>
      <c r="H32" s="197">
        <v>0</v>
      </c>
      <c r="I32" s="197">
        <v>0</v>
      </c>
      <c r="J32" s="197">
        <v>0</v>
      </c>
      <c r="K32" s="197">
        <v>2300</v>
      </c>
      <c r="L32" s="197">
        <v>0</v>
      </c>
      <c r="M32" s="197">
        <v>0</v>
      </c>
      <c r="N32" s="197">
        <v>0</v>
      </c>
      <c r="O32" s="197">
        <v>0</v>
      </c>
      <c r="P32" s="197">
        <v>0</v>
      </c>
      <c r="Q32" s="197">
        <v>0</v>
      </c>
      <c r="R32" s="197">
        <v>0</v>
      </c>
      <c r="S32" s="197">
        <v>0</v>
      </c>
      <c r="T32" s="197">
        <v>0</v>
      </c>
      <c r="U32" s="197">
        <v>0</v>
      </c>
      <c r="V32" s="197">
        <v>0</v>
      </c>
      <c r="W32" s="197">
        <v>0</v>
      </c>
      <c r="X32" s="197">
        <v>0</v>
      </c>
      <c r="Y32" s="197">
        <v>0</v>
      </c>
      <c r="Z32" s="197">
        <v>0</v>
      </c>
      <c r="AA32" s="197">
        <v>0</v>
      </c>
      <c r="AB32" s="197">
        <v>0</v>
      </c>
      <c r="AC32" s="197">
        <v>0</v>
      </c>
      <c r="AD32" s="197">
        <v>0</v>
      </c>
      <c r="AE32" s="197">
        <v>0</v>
      </c>
      <c r="AF32" s="197">
        <v>0</v>
      </c>
      <c r="AG32" s="197">
        <v>0</v>
      </c>
      <c r="AH32" s="197">
        <v>0</v>
      </c>
      <c r="AI32" s="197">
        <v>0</v>
      </c>
      <c r="AJ32" s="197">
        <v>0</v>
      </c>
      <c r="AK32" s="197">
        <v>0</v>
      </c>
      <c r="AL32" s="197">
        <v>0</v>
      </c>
      <c r="AM32" s="197">
        <v>0</v>
      </c>
      <c r="AN32" s="197">
        <v>0</v>
      </c>
      <c r="AO32" s="197">
        <v>0</v>
      </c>
    </row>
    <row r="33" spans="3:41" x14ac:dyDescent="0.3">
      <c r="C33" s="197">
        <v>39</v>
      </c>
      <c r="D33" s="197">
        <v>6</v>
      </c>
      <c r="E33" s="197">
        <v>11</v>
      </c>
      <c r="F33" s="197">
        <v>2333.3333333333335</v>
      </c>
      <c r="G33" s="197">
        <v>0</v>
      </c>
      <c r="H33" s="197">
        <v>0</v>
      </c>
      <c r="I33" s="197">
        <v>0</v>
      </c>
      <c r="J33" s="197">
        <v>0</v>
      </c>
      <c r="K33" s="197">
        <v>2333.3333333333335</v>
      </c>
      <c r="L33" s="197">
        <v>0</v>
      </c>
      <c r="M33" s="197">
        <v>0</v>
      </c>
      <c r="N33" s="197">
        <v>0</v>
      </c>
      <c r="O33" s="197">
        <v>0</v>
      </c>
      <c r="P33" s="197">
        <v>0</v>
      </c>
      <c r="Q33" s="197">
        <v>0</v>
      </c>
      <c r="R33" s="197">
        <v>0</v>
      </c>
      <c r="S33" s="197">
        <v>0</v>
      </c>
      <c r="T33" s="197">
        <v>0</v>
      </c>
      <c r="U33" s="197">
        <v>0</v>
      </c>
      <c r="V33" s="197">
        <v>0</v>
      </c>
      <c r="W33" s="197">
        <v>0</v>
      </c>
      <c r="X33" s="197">
        <v>0</v>
      </c>
      <c r="Y33" s="197">
        <v>0</v>
      </c>
      <c r="Z33" s="197">
        <v>0</v>
      </c>
      <c r="AA33" s="197">
        <v>0</v>
      </c>
      <c r="AB33" s="197">
        <v>0</v>
      </c>
      <c r="AC33" s="197">
        <v>0</v>
      </c>
      <c r="AD33" s="197">
        <v>0</v>
      </c>
      <c r="AE33" s="197">
        <v>0</v>
      </c>
      <c r="AF33" s="197">
        <v>0</v>
      </c>
      <c r="AG33" s="197">
        <v>0</v>
      </c>
      <c r="AH33" s="197">
        <v>0</v>
      </c>
      <c r="AI33" s="197">
        <v>0</v>
      </c>
      <c r="AJ33" s="197">
        <v>0</v>
      </c>
      <c r="AK33" s="197">
        <v>0</v>
      </c>
      <c r="AL33" s="197">
        <v>0</v>
      </c>
      <c r="AM33" s="197">
        <v>0</v>
      </c>
      <c r="AN33" s="197">
        <v>0</v>
      </c>
      <c r="AO33" s="197">
        <v>0</v>
      </c>
    </row>
    <row r="34" spans="3:41" x14ac:dyDescent="0.3">
      <c r="C34" s="197">
        <v>39</v>
      </c>
      <c r="D34" s="197">
        <v>7</v>
      </c>
      <c r="E34" s="197">
        <v>1</v>
      </c>
      <c r="F34" s="197">
        <v>13.6</v>
      </c>
      <c r="G34" s="197">
        <v>0</v>
      </c>
      <c r="H34" s="197">
        <v>0</v>
      </c>
      <c r="I34" s="197">
        <v>0</v>
      </c>
      <c r="J34" s="197">
        <v>0</v>
      </c>
      <c r="K34" s="197">
        <v>0</v>
      </c>
      <c r="L34" s="197">
        <v>0</v>
      </c>
      <c r="M34" s="197">
        <v>0</v>
      </c>
      <c r="N34" s="197">
        <v>0</v>
      </c>
      <c r="O34" s="197">
        <v>0</v>
      </c>
      <c r="P34" s="197">
        <v>0</v>
      </c>
      <c r="Q34" s="197">
        <v>0</v>
      </c>
      <c r="R34" s="197">
        <v>0</v>
      </c>
      <c r="S34" s="197">
        <v>0</v>
      </c>
      <c r="T34" s="197">
        <v>0</v>
      </c>
      <c r="U34" s="197">
        <v>0</v>
      </c>
      <c r="V34" s="197">
        <v>0</v>
      </c>
      <c r="W34" s="197">
        <v>9</v>
      </c>
      <c r="X34" s="197">
        <v>0</v>
      </c>
      <c r="Y34" s="197">
        <v>0</v>
      </c>
      <c r="Z34" s="197">
        <v>0</v>
      </c>
      <c r="AA34" s="197">
        <v>0</v>
      </c>
      <c r="AB34" s="197">
        <v>0</v>
      </c>
      <c r="AC34" s="197">
        <v>0</v>
      </c>
      <c r="AD34" s="197">
        <v>0</v>
      </c>
      <c r="AE34" s="197">
        <v>0</v>
      </c>
      <c r="AF34" s="197">
        <v>0</v>
      </c>
      <c r="AG34" s="197">
        <v>0</v>
      </c>
      <c r="AH34" s="197">
        <v>0</v>
      </c>
      <c r="AI34" s="197">
        <v>0</v>
      </c>
      <c r="AJ34" s="197">
        <v>3.6</v>
      </c>
      <c r="AK34" s="197">
        <v>0</v>
      </c>
      <c r="AL34" s="197">
        <v>0</v>
      </c>
      <c r="AM34" s="197">
        <v>0</v>
      </c>
      <c r="AN34" s="197">
        <v>1</v>
      </c>
      <c r="AO34" s="197">
        <v>0</v>
      </c>
    </row>
    <row r="35" spans="3:41" x14ac:dyDescent="0.3">
      <c r="C35" s="197">
        <v>39</v>
      </c>
      <c r="D35" s="197">
        <v>7</v>
      </c>
      <c r="E35" s="197">
        <v>2</v>
      </c>
      <c r="F35" s="197">
        <v>1948.5</v>
      </c>
      <c r="G35" s="197">
        <v>0</v>
      </c>
      <c r="H35" s="197">
        <v>0</v>
      </c>
      <c r="I35" s="197">
        <v>0</v>
      </c>
      <c r="J35" s="197">
        <v>0</v>
      </c>
      <c r="K35" s="197">
        <v>0</v>
      </c>
      <c r="L35" s="197">
        <v>0</v>
      </c>
      <c r="M35" s="197">
        <v>0</v>
      </c>
      <c r="N35" s="197">
        <v>0</v>
      </c>
      <c r="O35" s="197">
        <v>0</v>
      </c>
      <c r="P35" s="197">
        <v>0</v>
      </c>
      <c r="Q35" s="197">
        <v>0</v>
      </c>
      <c r="R35" s="197">
        <v>0</v>
      </c>
      <c r="S35" s="197">
        <v>0</v>
      </c>
      <c r="T35" s="197">
        <v>0</v>
      </c>
      <c r="U35" s="197">
        <v>0</v>
      </c>
      <c r="V35" s="197">
        <v>0</v>
      </c>
      <c r="W35" s="197">
        <v>1223.5</v>
      </c>
      <c r="X35" s="197">
        <v>0</v>
      </c>
      <c r="Y35" s="197">
        <v>0</v>
      </c>
      <c r="Z35" s="197">
        <v>0</v>
      </c>
      <c r="AA35" s="197">
        <v>0</v>
      </c>
      <c r="AB35" s="197">
        <v>0</v>
      </c>
      <c r="AC35" s="197">
        <v>0</v>
      </c>
      <c r="AD35" s="197">
        <v>0</v>
      </c>
      <c r="AE35" s="197">
        <v>0</v>
      </c>
      <c r="AF35" s="197">
        <v>0</v>
      </c>
      <c r="AG35" s="197">
        <v>0</v>
      </c>
      <c r="AH35" s="197">
        <v>0</v>
      </c>
      <c r="AI35" s="197">
        <v>0</v>
      </c>
      <c r="AJ35" s="197">
        <v>541</v>
      </c>
      <c r="AK35" s="197">
        <v>0</v>
      </c>
      <c r="AL35" s="197">
        <v>0</v>
      </c>
      <c r="AM35" s="197">
        <v>0</v>
      </c>
      <c r="AN35" s="197">
        <v>184</v>
      </c>
      <c r="AO35" s="197">
        <v>0</v>
      </c>
    </row>
    <row r="36" spans="3:41" x14ac:dyDescent="0.3">
      <c r="C36" s="197">
        <v>39</v>
      </c>
      <c r="D36" s="197">
        <v>7</v>
      </c>
      <c r="E36" s="197">
        <v>6</v>
      </c>
      <c r="F36" s="197">
        <v>578536</v>
      </c>
      <c r="G36" s="197">
        <v>0</v>
      </c>
      <c r="H36" s="197">
        <v>0</v>
      </c>
      <c r="I36" s="197">
        <v>0</v>
      </c>
      <c r="J36" s="197">
        <v>0</v>
      </c>
      <c r="K36" s="197">
        <v>0</v>
      </c>
      <c r="L36" s="197">
        <v>0</v>
      </c>
      <c r="M36" s="197">
        <v>0</v>
      </c>
      <c r="N36" s="197">
        <v>0</v>
      </c>
      <c r="O36" s="197">
        <v>0</v>
      </c>
      <c r="P36" s="197">
        <v>0</v>
      </c>
      <c r="Q36" s="197">
        <v>0</v>
      </c>
      <c r="R36" s="197">
        <v>0</v>
      </c>
      <c r="S36" s="197">
        <v>0</v>
      </c>
      <c r="T36" s="197">
        <v>0</v>
      </c>
      <c r="U36" s="197">
        <v>0</v>
      </c>
      <c r="V36" s="197">
        <v>0</v>
      </c>
      <c r="W36" s="197">
        <v>419935</v>
      </c>
      <c r="X36" s="197">
        <v>0</v>
      </c>
      <c r="Y36" s="197">
        <v>0</v>
      </c>
      <c r="Z36" s="197">
        <v>0</v>
      </c>
      <c r="AA36" s="197">
        <v>0</v>
      </c>
      <c r="AB36" s="197">
        <v>0</v>
      </c>
      <c r="AC36" s="197">
        <v>0</v>
      </c>
      <c r="AD36" s="197">
        <v>0</v>
      </c>
      <c r="AE36" s="197">
        <v>0</v>
      </c>
      <c r="AF36" s="197">
        <v>0</v>
      </c>
      <c r="AG36" s="197">
        <v>0</v>
      </c>
      <c r="AH36" s="197">
        <v>0</v>
      </c>
      <c r="AI36" s="197">
        <v>0</v>
      </c>
      <c r="AJ36" s="197">
        <v>137571</v>
      </c>
      <c r="AK36" s="197">
        <v>0</v>
      </c>
      <c r="AL36" s="197">
        <v>0</v>
      </c>
      <c r="AM36" s="197">
        <v>0</v>
      </c>
      <c r="AN36" s="197">
        <v>21030</v>
      </c>
      <c r="AO36" s="197">
        <v>0</v>
      </c>
    </row>
    <row r="37" spans="3:41" x14ac:dyDescent="0.3">
      <c r="C37" s="197">
        <v>39</v>
      </c>
      <c r="D37" s="197">
        <v>7</v>
      </c>
      <c r="E37" s="197">
        <v>9</v>
      </c>
      <c r="F37" s="197">
        <v>161264</v>
      </c>
      <c r="G37" s="197">
        <v>0</v>
      </c>
      <c r="H37" s="197">
        <v>0</v>
      </c>
      <c r="I37" s="197">
        <v>0</v>
      </c>
      <c r="J37" s="197">
        <v>0</v>
      </c>
      <c r="K37" s="197">
        <v>0</v>
      </c>
      <c r="L37" s="197">
        <v>0</v>
      </c>
      <c r="M37" s="197">
        <v>0</v>
      </c>
      <c r="N37" s="197">
        <v>0</v>
      </c>
      <c r="O37" s="197">
        <v>0</v>
      </c>
      <c r="P37" s="197">
        <v>0</v>
      </c>
      <c r="Q37" s="197">
        <v>0</v>
      </c>
      <c r="R37" s="197">
        <v>0</v>
      </c>
      <c r="S37" s="197">
        <v>0</v>
      </c>
      <c r="T37" s="197">
        <v>0</v>
      </c>
      <c r="U37" s="197">
        <v>0</v>
      </c>
      <c r="V37" s="197">
        <v>0</v>
      </c>
      <c r="W37" s="197">
        <v>115792</v>
      </c>
      <c r="X37" s="197">
        <v>0</v>
      </c>
      <c r="Y37" s="197">
        <v>0</v>
      </c>
      <c r="Z37" s="197">
        <v>0</v>
      </c>
      <c r="AA37" s="197">
        <v>0</v>
      </c>
      <c r="AB37" s="197">
        <v>0</v>
      </c>
      <c r="AC37" s="197">
        <v>0</v>
      </c>
      <c r="AD37" s="197">
        <v>0</v>
      </c>
      <c r="AE37" s="197">
        <v>0</v>
      </c>
      <c r="AF37" s="197">
        <v>0</v>
      </c>
      <c r="AG37" s="197">
        <v>0</v>
      </c>
      <c r="AH37" s="197">
        <v>0</v>
      </c>
      <c r="AI37" s="197">
        <v>0</v>
      </c>
      <c r="AJ37" s="197">
        <v>40192</v>
      </c>
      <c r="AK37" s="197">
        <v>0</v>
      </c>
      <c r="AL37" s="197">
        <v>0</v>
      </c>
      <c r="AM37" s="197">
        <v>0</v>
      </c>
      <c r="AN37" s="197">
        <v>5280</v>
      </c>
      <c r="AO37" s="197">
        <v>0</v>
      </c>
    </row>
    <row r="38" spans="3:41" x14ac:dyDescent="0.3">
      <c r="C38" s="197">
        <v>39</v>
      </c>
      <c r="D38" s="197">
        <v>7</v>
      </c>
      <c r="E38" s="197">
        <v>10</v>
      </c>
      <c r="F38" s="197">
        <v>8800</v>
      </c>
      <c r="G38" s="197">
        <v>0</v>
      </c>
      <c r="H38" s="197">
        <v>0</v>
      </c>
      <c r="I38" s="197">
        <v>0</v>
      </c>
      <c r="J38" s="197">
        <v>0</v>
      </c>
      <c r="K38" s="197">
        <v>8800</v>
      </c>
      <c r="L38" s="197">
        <v>0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7">
        <v>0</v>
      </c>
      <c r="S38" s="197">
        <v>0</v>
      </c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Y38" s="197">
        <v>0</v>
      </c>
      <c r="Z38" s="197">
        <v>0</v>
      </c>
      <c r="AA38" s="197">
        <v>0</v>
      </c>
      <c r="AB38" s="197">
        <v>0</v>
      </c>
      <c r="AC38" s="197">
        <v>0</v>
      </c>
      <c r="AD38" s="197">
        <v>0</v>
      </c>
      <c r="AE38" s="197">
        <v>0</v>
      </c>
      <c r="AF38" s="197">
        <v>0</v>
      </c>
      <c r="AG38" s="197">
        <v>0</v>
      </c>
      <c r="AH38" s="197">
        <v>0</v>
      </c>
      <c r="AI38" s="197">
        <v>0</v>
      </c>
      <c r="AJ38" s="197">
        <v>0</v>
      </c>
      <c r="AK38" s="197">
        <v>0</v>
      </c>
      <c r="AL38" s="197">
        <v>0</v>
      </c>
      <c r="AM38" s="197">
        <v>0</v>
      </c>
      <c r="AN38" s="197">
        <v>0</v>
      </c>
      <c r="AO38" s="197">
        <v>0</v>
      </c>
    </row>
    <row r="39" spans="3:41" x14ac:dyDescent="0.3">
      <c r="C39" s="197">
        <v>39</v>
      </c>
      <c r="D39" s="197">
        <v>7</v>
      </c>
      <c r="E39" s="197">
        <v>11</v>
      </c>
      <c r="F39" s="197">
        <v>2333.3333333333335</v>
      </c>
      <c r="G39" s="197">
        <v>0</v>
      </c>
      <c r="H39" s="197">
        <v>0</v>
      </c>
      <c r="I39" s="197">
        <v>0</v>
      </c>
      <c r="J39" s="197">
        <v>0</v>
      </c>
      <c r="K39" s="197">
        <v>2333.3333333333335</v>
      </c>
      <c r="L39" s="197">
        <v>0</v>
      </c>
      <c r="M39" s="197">
        <v>0</v>
      </c>
      <c r="N39" s="197">
        <v>0</v>
      </c>
      <c r="O39" s="197">
        <v>0</v>
      </c>
      <c r="P39" s="197">
        <v>0</v>
      </c>
      <c r="Q39" s="197">
        <v>0</v>
      </c>
      <c r="R39" s="197">
        <v>0</v>
      </c>
      <c r="S39" s="197">
        <v>0</v>
      </c>
      <c r="T39" s="197">
        <v>0</v>
      </c>
      <c r="U39" s="197">
        <v>0</v>
      </c>
      <c r="V39" s="197">
        <v>0</v>
      </c>
      <c r="W39" s="197">
        <v>0</v>
      </c>
      <c r="X39" s="197">
        <v>0</v>
      </c>
      <c r="Y39" s="197">
        <v>0</v>
      </c>
      <c r="Z39" s="197">
        <v>0</v>
      </c>
      <c r="AA39" s="197">
        <v>0</v>
      </c>
      <c r="AB39" s="197">
        <v>0</v>
      </c>
      <c r="AC39" s="197">
        <v>0</v>
      </c>
      <c r="AD39" s="197">
        <v>0</v>
      </c>
      <c r="AE39" s="197">
        <v>0</v>
      </c>
      <c r="AF39" s="197">
        <v>0</v>
      </c>
      <c r="AG39" s="197">
        <v>0</v>
      </c>
      <c r="AH39" s="197">
        <v>0</v>
      </c>
      <c r="AI39" s="197">
        <v>0</v>
      </c>
      <c r="AJ39" s="197">
        <v>0</v>
      </c>
      <c r="AK39" s="197">
        <v>0</v>
      </c>
      <c r="AL39" s="197">
        <v>0</v>
      </c>
      <c r="AM39" s="197">
        <v>0</v>
      </c>
      <c r="AN39" s="197">
        <v>0</v>
      </c>
      <c r="AO39" s="197">
        <v>0</v>
      </c>
    </row>
    <row r="40" spans="3:41" x14ac:dyDescent="0.3">
      <c r="C40" s="197">
        <v>39</v>
      </c>
      <c r="D40" s="197">
        <v>8</v>
      </c>
      <c r="E40" s="197">
        <v>1</v>
      </c>
      <c r="F40" s="197">
        <v>13.6</v>
      </c>
      <c r="G40" s="197">
        <v>0</v>
      </c>
      <c r="H40" s="197">
        <v>0</v>
      </c>
      <c r="I40" s="197">
        <v>0</v>
      </c>
      <c r="J40" s="197">
        <v>0</v>
      </c>
      <c r="K40" s="197">
        <v>0</v>
      </c>
      <c r="L40" s="197">
        <v>0</v>
      </c>
      <c r="M40" s="197">
        <v>0</v>
      </c>
      <c r="N40" s="197">
        <v>0</v>
      </c>
      <c r="O40" s="197">
        <v>0</v>
      </c>
      <c r="P40" s="197">
        <v>0</v>
      </c>
      <c r="Q40" s="197">
        <v>0</v>
      </c>
      <c r="R40" s="197">
        <v>0</v>
      </c>
      <c r="S40" s="197">
        <v>0</v>
      </c>
      <c r="T40" s="197">
        <v>0</v>
      </c>
      <c r="U40" s="197">
        <v>0</v>
      </c>
      <c r="V40" s="197">
        <v>0</v>
      </c>
      <c r="W40" s="197">
        <v>9</v>
      </c>
      <c r="X40" s="197">
        <v>0</v>
      </c>
      <c r="Y40" s="197">
        <v>0</v>
      </c>
      <c r="Z40" s="197">
        <v>0</v>
      </c>
      <c r="AA40" s="197">
        <v>0</v>
      </c>
      <c r="AB40" s="197">
        <v>0</v>
      </c>
      <c r="AC40" s="197">
        <v>0</v>
      </c>
      <c r="AD40" s="197">
        <v>0</v>
      </c>
      <c r="AE40" s="197">
        <v>0</v>
      </c>
      <c r="AF40" s="197">
        <v>0</v>
      </c>
      <c r="AG40" s="197">
        <v>0</v>
      </c>
      <c r="AH40" s="197">
        <v>0</v>
      </c>
      <c r="AI40" s="197">
        <v>0</v>
      </c>
      <c r="AJ40" s="197">
        <v>3.6</v>
      </c>
      <c r="AK40" s="197">
        <v>0</v>
      </c>
      <c r="AL40" s="197">
        <v>0</v>
      </c>
      <c r="AM40" s="197">
        <v>0</v>
      </c>
      <c r="AN40" s="197">
        <v>1</v>
      </c>
      <c r="AO40" s="197">
        <v>0</v>
      </c>
    </row>
    <row r="41" spans="3:41" x14ac:dyDescent="0.3">
      <c r="C41" s="197">
        <v>39</v>
      </c>
      <c r="D41" s="197">
        <v>8</v>
      </c>
      <c r="E41" s="197">
        <v>2</v>
      </c>
      <c r="F41" s="197">
        <v>1391</v>
      </c>
      <c r="G41" s="197">
        <v>0</v>
      </c>
      <c r="H41" s="197">
        <v>0</v>
      </c>
      <c r="I41" s="197">
        <v>0</v>
      </c>
      <c r="J41" s="197">
        <v>0</v>
      </c>
      <c r="K41" s="197">
        <v>0</v>
      </c>
      <c r="L41" s="197">
        <v>0</v>
      </c>
      <c r="M41" s="197">
        <v>0</v>
      </c>
      <c r="N41" s="197">
        <v>0</v>
      </c>
      <c r="O41" s="197">
        <v>0</v>
      </c>
      <c r="P41" s="197">
        <v>0</v>
      </c>
      <c r="Q41" s="197">
        <v>0</v>
      </c>
      <c r="R41" s="197">
        <v>0</v>
      </c>
      <c r="S41" s="197">
        <v>0</v>
      </c>
      <c r="T41" s="197">
        <v>0</v>
      </c>
      <c r="U41" s="197">
        <v>0</v>
      </c>
      <c r="V41" s="197">
        <v>0</v>
      </c>
      <c r="W41" s="197">
        <v>996</v>
      </c>
      <c r="X41" s="197">
        <v>0</v>
      </c>
      <c r="Y41" s="197">
        <v>0</v>
      </c>
      <c r="Z41" s="197">
        <v>0</v>
      </c>
      <c r="AA41" s="197">
        <v>0</v>
      </c>
      <c r="AB41" s="197">
        <v>0</v>
      </c>
      <c r="AC41" s="197">
        <v>0</v>
      </c>
      <c r="AD41" s="197">
        <v>0</v>
      </c>
      <c r="AE41" s="197">
        <v>0</v>
      </c>
      <c r="AF41" s="197">
        <v>0</v>
      </c>
      <c r="AG41" s="197">
        <v>0</v>
      </c>
      <c r="AH41" s="197">
        <v>0</v>
      </c>
      <c r="AI41" s="197">
        <v>0</v>
      </c>
      <c r="AJ41" s="197">
        <v>299</v>
      </c>
      <c r="AK41" s="197">
        <v>0</v>
      </c>
      <c r="AL41" s="197">
        <v>0</v>
      </c>
      <c r="AM41" s="197">
        <v>0</v>
      </c>
      <c r="AN41" s="197">
        <v>96</v>
      </c>
      <c r="AO41" s="197">
        <v>0</v>
      </c>
    </row>
    <row r="42" spans="3:41" x14ac:dyDescent="0.3">
      <c r="C42" s="197">
        <v>39</v>
      </c>
      <c r="D42" s="197">
        <v>8</v>
      </c>
      <c r="E42" s="197">
        <v>6</v>
      </c>
      <c r="F42" s="197">
        <v>409198</v>
      </c>
      <c r="G42" s="197">
        <v>0</v>
      </c>
      <c r="H42" s="197">
        <v>0</v>
      </c>
      <c r="I42" s="197">
        <v>0</v>
      </c>
      <c r="J42" s="197">
        <v>0</v>
      </c>
      <c r="K42" s="197">
        <v>0</v>
      </c>
      <c r="L42" s="197">
        <v>0</v>
      </c>
      <c r="M42" s="197">
        <v>0</v>
      </c>
      <c r="N42" s="197">
        <v>0</v>
      </c>
      <c r="O42" s="197">
        <v>0</v>
      </c>
      <c r="P42" s="197">
        <v>0</v>
      </c>
      <c r="Q42" s="197">
        <v>0</v>
      </c>
      <c r="R42" s="197">
        <v>0</v>
      </c>
      <c r="S42" s="197">
        <v>0</v>
      </c>
      <c r="T42" s="197">
        <v>0</v>
      </c>
      <c r="U42" s="197">
        <v>0</v>
      </c>
      <c r="V42" s="197">
        <v>0</v>
      </c>
      <c r="W42" s="197">
        <v>296336</v>
      </c>
      <c r="X42" s="197">
        <v>0</v>
      </c>
      <c r="Y42" s="197">
        <v>0</v>
      </c>
      <c r="Z42" s="197">
        <v>0</v>
      </c>
      <c r="AA42" s="197">
        <v>0</v>
      </c>
      <c r="AB42" s="197">
        <v>0</v>
      </c>
      <c r="AC42" s="197">
        <v>0</v>
      </c>
      <c r="AD42" s="197">
        <v>0</v>
      </c>
      <c r="AE42" s="197">
        <v>0</v>
      </c>
      <c r="AF42" s="197">
        <v>0</v>
      </c>
      <c r="AG42" s="197">
        <v>0</v>
      </c>
      <c r="AH42" s="197">
        <v>0</v>
      </c>
      <c r="AI42" s="197">
        <v>0</v>
      </c>
      <c r="AJ42" s="197">
        <v>95352</v>
      </c>
      <c r="AK42" s="197">
        <v>0</v>
      </c>
      <c r="AL42" s="197">
        <v>0</v>
      </c>
      <c r="AM42" s="197">
        <v>0</v>
      </c>
      <c r="AN42" s="197">
        <v>17510</v>
      </c>
      <c r="AO42" s="197">
        <v>0</v>
      </c>
    </row>
    <row r="43" spans="3:41" x14ac:dyDescent="0.3">
      <c r="C43" s="197">
        <v>39</v>
      </c>
      <c r="D43" s="197">
        <v>8</v>
      </c>
      <c r="E43" s="197">
        <v>11</v>
      </c>
      <c r="F43" s="197">
        <v>2333.3333333333335</v>
      </c>
      <c r="G43" s="197">
        <v>0</v>
      </c>
      <c r="H43" s="197">
        <v>0</v>
      </c>
      <c r="I43" s="197">
        <v>0</v>
      </c>
      <c r="J43" s="197">
        <v>0</v>
      </c>
      <c r="K43" s="197">
        <v>2333.3333333333335</v>
      </c>
      <c r="L43" s="197">
        <v>0</v>
      </c>
      <c r="M43" s="197">
        <v>0</v>
      </c>
      <c r="N43" s="197">
        <v>0</v>
      </c>
      <c r="O43" s="197">
        <v>0</v>
      </c>
      <c r="P43" s="197">
        <v>0</v>
      </c>
      <c r="Q43" s="197">
        <v>0</v>
      </c>
      <c r="R43" s="197">
        <v>0</v>
      </c>
      <c r="S43" s="197">
        <v>0</v>
      </c>
      <c r="T43" s="197">
        <v>0</v>
      </c>
      <c r="U43" s="197">
        <v>0</v>
      </c>
      <c r="V43" s="197">
        <v>0</v>
      </c>
      <c r="W43" s="197">
        <v>0</v>
      </c>
      <c r="X43" s="197">
        <v>0</v>
      </c>
      <c r="Y43" s="197">
        <v>0</v>
      </c>
      <c r="Z43" s="197">
        <v>0</v>
      </c>
      <c r="AA43" s="197">
        <v>0</v>
      </c>
      <c r="AB43" s="197">
        <v>0</v>
      </c>
      <c r="AC43" s="197">
        <v>0</v>
      </c>
      <c r="AD43" s="197">
        <v>0</v>
      </c>
      <c r="AE43" s="197">
        <v>0</v>
      </c>
      <c r="AF43" s="197">
        <v>0</v>
      </c>
      <c r="AG43" s="197">
        <v>0</v>
      </c>
      <c r="AH43" s="197">
        <v>0</v>
      </c>
      <c r="AI43" s="197">
        <v>0</v>
      </c>
      <c r="AJ43" s="197">
        <v>0</v>
      </c>
      <c r="AK43" s="197">
        <v>0</v>
      </c>
      <c r="AL43" s="197">
        <v>0</v>
      </c>
      <c r="AM43" s="197">
        <v>0</v>
      </c>
      <c r="AN43" s="197">
        <v>0</v>
      </c>
      <c r="AO43" s="19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2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2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2" customWidth="1"/>
    <col min="20" max="16384" width="8.88671875" style="105"/>
  </cols>
  <sheetData>
    <row r="1" spans="1:19" ht="18.600000000000001" customHeight="1" thickBot="1" x14ac:dyDescent="0.4">
      <c r="A1" s="339" t="s">
        <v>381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</row>
    <row r="2" spans="1:19" ht="14.4" customHeight="1" thickBot="1" x14ac:dyDescent="0.35">
      <c r="A2" s="201" t="s">
        <v>246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7" t="s">
        <v>111</v>
      </c>
      <c r="B3" s="188">
        <f>SUBTOTAL(9,B6:B1048576)/2</f>
        <v>2376751</v>
      </c>
      <c r="C3" s="189">
        <f t="shared" ref="C3:R3" si="0">SUBTOTAL(9,C6:C1048576)</f>
        <v>2</v>
      </c>
      <c r="D3" s="189">
        <f>SUBTOTAL(9,D6:D1048576)/2</f>
        <v>2867725</v>
      </c>
      <c r="E3" s="189">
        <f t="shared" si="0"/>
        <v>2.4131471912707725</v>
      </c>
      <c r="F3" s="189">
        <f>SUBTOTAL(9,F6:F1048576)/2</f>
        <v>2653472</v>
      </c>
      <c r="G3" s="190">
        <f>IF(B3&lt;&gt;0,F3/B3,"")</f>
        <v>1.1164282669913677</v>
      </c>
      <c r="H3" s="191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2" t="str">
        <f>IF(H3&lt;&gt;0,L3/H3,"")</f>
        <v/>
      </c>
      <c r="N3" s="188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IF(N3&lt;&gt;0,R3/N3,"")</f>
        <v/>
      </c>
    </row>
    <row r="4" spans="1:19" ht="14.4" customHeight="1" x14ac:dyDescent="0.3">
      <c r="A4" s="340" t="s">
        <v>245</v>
      </c>
      <c r="B4" s="341" t="s">
        <v>85</v>
      </c>
      <c r="C4" s="342"/>
      <c r="D4" s="342"/>
      <c r="E4" s="342"/>
      <c r="F4" s="342"/>
      <c r="G4" s="343"/>
      <c r="H4" s="341" t="s">
        <v>86</v>
      </c>
      <c r="I4" s="342"/>
      <c r="J4" s="342"/>
      <c r="K4" s="342"/>
      <c r="L4" s="342"/>
      <c r="M4" s="343"/>
      <c r="N4" s="341" t="s">
        <v>87</v>
      </c>
      <c r="O4" s="342"/>
      <c r="P4" s="342"/>
      <c r="Q4" s="342"/>
      <c r="R4" s="342"/>
      <c r="S4" s="343"/>
    </row>
    <row r="5" spans="1:19" ht="14.4" customHeight="1" thickBot="1" x14ac:dyDescent="0.35">
      <c r="A5" s="457"/>
      <c r="B5" s="458">
        <v>2013</v>
      </c>
      <c r="C5" s="459"/>
      <c r="D5" s="459">
        <v>2014</v>
      </c>
      <c r="E5" s="459"/>
      <c r="F5" s="459">
        <v>2015</v>
      </c>
      <c r="G5" s="460" t="s">
        <v>2</v>
      </c>
      <c r="H5" s="458">
        <v>2013</v>
      </c>
      <c r="I5" s="459"/>
      <c r="J5" s="459">
        <v>2014</v>
      </c>
      <c r="K5" s="459"/>
      <c r="L5" s="459">
        <v>2015</v>
      </c>
      <c r="M5" s="460" t="s">
        <v>2</v>
      </c>
      <c r="N5" s="458">
        <v>2013</v>
      </c>
      <c r="O5" s="459"/>
      <c r="P5" s="459">
        <v>2014</v>
      </c>
      <c r="Q5" s="459"/>
      <c r="R5" s="459">
        <v>2015</v>
      </c>
      <c r="S5" s="460" t="s">
        <v>2</v>
      </c>
    </row>
    <row r="6" spans="1:19" ht="14.4" customHeight="1" thickBot="1" x14ac:dyDescent="0.35">
      <c r="A6" s="462" t="s">
        <v>380</v>
      </c>
      <c r="B6" s="461">
        <v>2376751</v>
      </c>
      <c r="C6" s="399">
        <v>1</v>
      </c>
      <c r="D6" s="461">
        <v>2867725</v>
      </c>
      <c r="E6" s="399">
        <v>1.2065735956353862</v>
      </c>
      <c r="F6" s="461">
        <v>2653472</v>
      </c>
      <c r="G6" s="269">
        <v>1.1164282669913677</v>
      </c>
      <c r="H6" s="461"/>
      <c r="I6" s="399"/>
      <c r="J6" s="461"/>
      <c r="K6" s="399"/>
      <c r="L6" s="461"/>
      <c r="M6" s="269"/>
      <c r="N6" s="461"/>
      <c r="O6" s="399"/>
      <c r="P6" s="461"/>
      <c r="Q6" s="399"/>
      <c r="R6" s="461"/>
      <c r="S6" s="270"/>
    </row>
    <row r="7" spans="1:19" ht="14.4" customHeight="1" thickBot="1" x14ac:dyDescent="0.35"/>
    <row r="8" spans="1:19" ht="14.4" customHeight="1" thickBot="1" x14ac:dyDescent="0.35">
      <c r="A8" s="462" t="s">
        <v>366</v>
      </c>
      <c r="B8" s="461">
        <v>2376751</v>
      </c>
      <c r="C8" s="399">
        <v>1</v>
      </c>
      <c r="D8" s="461">
        <v>2867725</v>
      </c>
      <c r="E8" s="399">
        <v>1.2065735956353862</v>
      </c>
      <c r="F8" s="461">
        <v>2653472</v>
      </c>
      <c r="G8" s="269">
        <v>1.1164282669913677</v>
      </c>
      <c r="H8" s="461"/>
      <c r="I8" s="399"/>
      <c r="J8" s="461"/>
      <c r="K8" s="399"/>
      <c r="L8" s="461"/>
      <c r="M8" s="269"/>
      <c r="N8" s="461"/>
      <c r="O8" s="399"/>
      <c r="P8" s="461"/>
      <c r="Q8" s="399"/>
      <c r="R8" s="461"/>
      <c r="S8" s="270"/>
    </row>
    <row r="9" spans="1:19" ht="14.4" customHeight="1" x14ac:dyDescent="0.3">
      <c r="A9" s="463" t="s">
        <v>382</v>
      </c>
    </row>
    <row r="10" spans="1:19" ht="14.4" customHeight="1" x14ac:dyDescent="0.3">
      <c r="A10" s="464" t="s">
        <v>383</v>
      </c>
    </row>
    <row r="11" spans="1:19" ht="14.4" customHeight="1" x14ac:dyDescent="0.3">
      <c r="A11" s="463" t="s">
        <v>384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79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39" t="s">
        <v>401</v>
      </c>
      <c r="B1" s="292"/>
      <c r="C1" s="292"/>
      <c r="D1" s="292"/>
      <c r="E1" s="292"/>
      <c r="F1" s="292"/>
      <c r="G1" s="292"/>
    </row>
    <row r="2" spans="1:7" ht="14.4" customHeight="1" thickBot="1" x14ac:dyDescent="0.35">
      <c r="A2" s="201" t="s">
        <v>246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7" t="s">
        <v>111</v>
      </c>
      <c r="B3" s="281">
        <f t="shared" ref="B3:G3" si="0">SUBTOTAL(9,B6:B1048576)</f>
        <v>6827</v>
      </c>
      <c r="C3" s="282">
        <f t="shared" si="0"/>
        <v>8234</v>
      </c>
      <c r="D3" s="282">
        <f t="shared" si="0"/>
        <v>7063</v>
      </c>
      <c r="E3" s="191">
        <f t="shared" si="0"/>
        <v>2376751</v>
      </c>
      <c r="F3" s="189">
        <f t="shared" si="0"/>
        <v>2867725</v>
      </c>
      <c r="G3" s="283">
        <f t="shared" si="0"/>
        <v>2653472</v>
      </c>
    </row>
    <row r="4" spans="1:7" ht="14.4" customHeight="1" x14ac:dyDescent="0.3">
      <c r="A4" s="340" t="s">
        <v>112</v>
      </c>
      <c r="B4" s="341" t="s">
        <v>221</v>
      </c>
      <c r="C4" s="342"/>
      <c r="D4" s="342"/>
      <c r="E4" s="344" t="s">
        <v>85</v>
      </c>
      <c r="F4" s="345"/>
      <c r="G4" s="346"/>
    </row>
    <row r="5" spans="1:7" ht="14.4" customHeight="1" thickBot="1" x14ac:dyDescent="0.35">
      <c r="A5" s="457"/>
      <c r="B5" s="458">
        <v>2013</v>
      </c>
      <c r="C5" s="459">
        <v>2014</v>
      </c>
      <c r="D5" s="459">
        <v>2015</v>
      </c>
      <c r="E5" s="458">
        <v>2013</v>
      </c>
      <c r="F5" s="459">
        <v>2014</v>
      </c>
      <c r="G5" s="465">
        <v>2015</v>
      </c>
    </row>
    <row r="6" spans="1:7" ht="14.4" customHeight="1" x14ac:dyDescent="0.3">
      <c r="A6" s="410" t="s">
        <v>385</v>
      </c>
      <c r="B6" s="411">
        <v>87</v>
      </c>
      <c r="C6" s="411"/>
      <c r="D6" s="411">
        <v>173</v>
      </c>
      <c r="E6" s="467">
        <v>29624</v>
      </c>
      <c r="F6" s="467"/>
      <c r="G6" s="468">
        <v>72321</v>
      </c>
    </row>
    <row r="7" spans="1:7" ht="14.4" customHeight="1" x14ac:dyDescent="0.3">
      <c r="A7" s="476" t="s">
        <v>386</v>
      </c>
      <c r="B7" s="470">
        <v>487</v>
      </c>
      <c r="C7" s="470">
        <v>552</v>
      </c>
      <c r="D7" s="470">
        <v>406</v>
      </c>
      <c r="E7" s="471">
        <v>173600</v>
      </c>
      <c r="F7" s="471">
        <v>184471</v>
      </c>
      <c r="G7" s="472">
        <v>145564</v>
      </c>
    </row>
    <row r="8" spans="1:7" ht="14.4" customHeight="1" x14ac:dyDescent="0.3">
      <c r="A8" s="476" t="s">
        <v>387</v>
      </c>
      <c r="B8" s="470">
        <v>518</v>
      </c>
      <c r="C8" s="470">
        <v>489</v>
      </c>
      <c r="D8" s="470">
        <v>348</v>
      </c>
      <c r="E8" s="471">
        <v>166436</v>
      </c>
      <c r="F8" s="471">
        <v>174632</v>
      </c>
      <c r="G8" s="472">
        <v>121324</v>
      </c>
    </row>
    <row r="9" spans="1:7" ht="14.4" customHeight="1" x14ac:dyDescent="0.3">
      <c r="A9" s="476" t="s">
        <v>388</v>
      </c>
      <c r="B9" s="470">
        <v>934</v>
      </c>
      <c r="C9" s="470">
        <v>1037</v>
      </c>
      <c r="D9" s="470">
        <v>952</v>
      </c>
      <c r="E9" s="471">
        <v>335802</v>
      </c>
      <c r="F9" s="471">
        <v>386269</v>
      </c>
      <c r="G9" s="472">
        <v>369009</v>
      </c>
    </row>
    <row r="10" spans="1:7" ht="14.4" customHeight="1" x14ac:dyDescent="0.3">
      <c r="A10" s="476" t="s">
        <v>389</v>
      </c>
      <c r="B10" s="470">
        <v>555</v>
      </c>
      <c r="C10" s="470">
        <v>637</v>
      </c>
      <c r="D10" s="470">
        <v>695</v>
      </c>
      <c r="E10" s="471">
        <v>205794</v>
      </c>
      <c r="F10" s="471">
        <v>240396</v>
      </c>
      <c r="G10" s="472">
        <v>316997</v>
      </c>
    </row>
    <row r="11" spans="1:7" ht="14.4" customHeight="1" x14ac:dyDescent="0.3">
      <c r="A11" s="476" t="s">
        <v>390</v>
      </c>
      <c r="B11" s="470">
        <v>384</v>
      </c>
      <c r="C11" s="470">
        <v>998</v>
      </c>
      <c r="D11" s="470">
        <v>852</v>
      </c>
      <c r="E11" s="471">
        <v>128009</v>
      </c>
      <c r="F11" s="471">
        <v>330214</v>
      </c>
      <c r="G11" s="472">
        <v>294561</v>
      </c>
    </row>
    <row r="12" spans="1:7" ht="14.4" customHeight="1" x14ac:dyDescent="0.3">
      <c r="A12" s="476" t="s">
        <v>391</v>
      </c>
      <c r="B12" s="470"/>
      <c r="C12" s="470">
        <v>20</v>
      </c>
      <c r="D12" s="470"/>
      <c r="E12" s="471"/>
      <c r="F12" s="471">
        <v>6440</v>
      </c>
      <c r="G12" s="472"/>
    </row>
    <row r="13" spans="1:7" ht="14.4" customHeight="1" x14ac:dyDescent="0.3">
      <c r="A13" s="476" t="s">
        <v>392</v>
      </c>
      <c r="B13" s="470">
        <v>721</v>
      </c>
      <c r="C13" s="470">
        <v>1055</v>
      </c>
      <c r="D13" s="470">
        <v>944</v>
      </c>
      <c r="E13" s="471">
        <v>233460</v>
      </c>
      <c r="F13" s="471">
        <v>349156</v>
      </c>
      <c r="G13" s="472">
        <v>340304</v>
      </c>
    </row>
    <row r="14" spans="1:7" ht="14.4" customHeight="1" x14ac:dyDescent="0.3">
      <c r="A14" s="476" t="s">
        <v>393</v>
      </c>
      <c r="B14" s="470">
        <v>72</v>
      </c>
      <c r="C14" s="470">
        <v>234</v>
      </c>
      <c r="D14" s="470">
        <v>386</v>
      </c>
      <c r="E14" s="471">
        <v>24958</v>
      </c>
      <c r="F14" s="471">
        <v>75742</v>
      </c>
      <c r="G14" s="472">
        <v>138609</v>
      </c>
    </row>
    <row r="15" spans="1:7" ht="14.4" customHeight="1" x14ac:dyDescent="0.3">
      <c r="A15" s="476" t="s">
        <v>394</v>
      </c>
      <c r="B15" s="470">
        <v>450</v>
      </c>
      <c r="C15" s="470">
        <v>228</v>
      </c>
      <c r="D15" s="470">
        <v>396</v>
      </c>
      <c r="E15" s="471">
        <v>145603</v>
      </c>
      <c r="F15" s="471">
        <v>80624</v>
      </c>
      <c r="G15" s="472">
        <v>131056</v>
      </c>
    </row>
    <row r="16" spans="1:7" ht="14.4" customHeight="1" x14ac:dyDescent="0.3">
      <c r="A16" s="476" t="s">
        <v>395</v>
      </c>
      <c r="B16" s="470">
        <v>804</v>
      </c>
      <c r="C16" s="470">
        <v>1026</v>
      </c>
      <c r="D16" s="470">
        <v>375</v>
      </c>
      <c r="E16" s="471">
        <v>261532</v>
      </c>
      <c r="F16" s="471">
        <v>330232</v>
      </c>
      <c r="G16" s="472">
        <v>120113</v>
      </c>
    </row>
    <row r="17" spans="1:7" ht="14.4" customHeight="1" x14ac:dyDescent="0.3">
      <c r="A17" s="476" t="s">
        <v>396</v>
      </c>
      <c r="B17" s="470">
        <v>6</v>
      </c>
      <c r="C17" s="470"/>
      <c r="D17" s="470"/>
      <c r="E17" s="471">
        <v>1914</v>
      </c>
      <c r="F17" s="471"/>
      <c r="G17" s="472"/>
    </row>
    <row r="18" spans="1:7" ht="14.4" customHeight="1" x14ac:dyDescent="0.3">
      <c r="A18" s="476" t="s">
        <v>397</v>
      </c>
      <c r="B18" s="470">
        <v>64</v>
      </c>
      <c r="C18" s="470">
        <v>99</v>
      </c>
      <c r="D18" s="470">
        <v>114</v>
      </c>
      <c r="E18" s="471">
        <v>20416</v>
      </c>
      <c r="F18" s="471">
        <v>30004</v>
      </c>
      <c r="G18" s="472">
        <v>36822</v>
      </c>
    </row>
    <row r="19" spans="1:7" ht="14.4" customHeight="1" x14ac:dyDescent="0.3">
      <c r="A19" s="476" t="s">
        <v>398</v>
      </c>
      <c r="B19" s="470">
        <v>882</v>
      </c>
      <c r="C19" s="470">
        <v>934</v>
      </c>
      <c r="D19" s="470">
        <v>732</v>
      </c>
      <c r="E19" s="471">
        <v>337921</v>
      </c>
      <c r="F19" s="471">
        <v>338805</v>
      </c>
      <c r="G19" s="472">
        <v>294639</v>
      </c>
    </row>
    <row r="20" spans="1:7" ht="14.4" customHeight="1" x14ac:dyDescent="0.3">
      <c r="A20" s="476" t="s">
        <v>399</v>
      </c>
      <c r="B20" s="470">
        <v>611</v>
      </c>
      <c r="C20" s="470">
        <v>649</v>
      </c>
      <c r="D20" s="470">
        <v>558</v>
      </c>
      <c r="E20" s="471">
        <v>231294</v>
      </c>
      <c r="F20" s="471">
        <v>252240</v>
      </c>
      <c r="G20" s="472">
        <v>229294</v>
      </c>
    </row>
    <row r="21" spans="1:7" ht="14.4" customHeight="1" thickBot="1" x14ac:dyDescent="0.35">
      <c r="A21" s="477" t="s">
        <v>400</v>
      </c>
      <c r="B21" s="414">
        <v>252</v>
      </c>
      <c r="C21" s="414">
        <v>276</v>
      </c>
      <c r="D21" s="414">
        <v>132</v>
      </c>
      <c r="E21" s="474">
        <v>80388</v>
      </c>
      <c r="F21" s="474">
        <v>88500</v>
      </c>
      <c r="G21" s="475">
        <v>42859</v>
      </c>
    </row>
    <row r="22" spans="1:7" ht="14.4" customHeight="1" x14ac:dyDescent="0.3">
      <c r="A22" s="463" t="s">
        <v>382</v>
      </c>
    </row>
    <row r="23" spans="1:7" ht="14.4" customHeight="1" x14ac:dyDescent="0.3">
      <c r="A23" s="464" t="s">
        <v>383</v>
      </c>
    </row>
    <row r="24" spans="1:7" ht="14.4" customHeight="1" x14ac:dyDescent="0.3">
      <c r="A24" s="463" t="s">
        <v>384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9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79" customWidth="1"/>
    <col min="8" max="9" width="9.33203125" style="105" hidden="1" customWidth="1"/>
    <col min="10" max="11" width="11.109375" style="179" customWidth="1"/>
    <col min="12" max="13" width="9.33203125" style="105" hidden="1" customWidth="1"/>
    <col min="14" max="15" width="11.109375" style="179" customWidth="1"/>
    <col min="16" max="16" width="11.109375" style="182" customWidth="1"/>
    <col min="17" max="17" width="11.109375" style="179" customWidth="1"/>
    <col min="18" max="16384" width="8.88671875" style="105"/>
  </cols>
  <sheetData>
    <row r="1" spans="1:17" ht="18.600000000000001" customHeight="1" thickBot="1" x14ac:dyDescent="0.4">
      <c r="A1" s="292" t="s">
        <v>432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201" t="s">
        <v>246</v>
      </c>
      <c r="B2" s="287"/>
      <c r="C2" s="106"/>
      <c r="D2" s="280"/>
      <c r="E2" s="106"/>
      <c r="F2" s="195"/>
      <c r="G2" s="195"/>
      <c r="H2" s="106"/>
      <c r="I2" s="106"/>
      <c r="J2" s="195"/>
      <c r="K2" s="195"/>
      <c r="L2" s="106"/>
      <c r="M2" s="106"/>
      <c r="N2" s="195"/>
      <c r="O2" s="195"/>
      <c r="P2" s="196"/>
      <c r="Q2" s="195"/>
    </row>
    <row r="3" spans="1:17" ht="14.4" customHeight="1" thickBot="1" x14ac:dyDescent="0.35">
      <c r="E3" s="63" t="s">
        <v>111</v>
      </c>
      <c r="F3" s="77">
        <f t="shared" ref="F3:O3" si="0">SUBTOTAL(9,F6:F1048576)</f>
        <v>6827</v>
      </c>
      <c r="G3" s="78">
        <f t="shared" si="0"/>
        <v>2376751</v>
      </c>
      <c r="H3" s="58"/>
      <c r="I3" s="58"/>
      <c r="J3" s="78">
        <f t="shared" si="0"/>
        <v>8234</v>
      </c>
      <c r="K3" s="78">
        <f t="shared" si="0"/>
        <v>2867725</v>
      </c>
      <c r="L3" s="58"/>
      <c r="M3" s="58"/>
      <c r="N3" s="78">
        <f t="shared" si="0"/>
        <v>7063</v>
      </c>
      <c r="O3" s="78">
        <f t="shared" si="0"/>
        <v>2653472</v>
      </c>
      <c r="P3" s="59">
        <f>IF(G3=0,0,O3/G3)</f>
        <v>1.1164282669913677</v>
      </c>
      <c r="Q3" s="79">
        <f>IF(N3=0,0,O3/N3)</f>
        <v>375.68625230072206</v>
      </c>
    </row>
    <row r="4" spans="1:17" ht="14.4" customHeight="1" x14ac:dyDescent="0.3">
      <c r="A4" s="348" t="s">
        <v>81</v>
      </c>
      <c r="B4" s="355" t="s">
        <v>0</v>
      </c>
      <c r="C4" s="349" t="s">
        <v>82</v>
      </c>
      <c r="D4" s="354" t="s">
        <v>57</v>
      </c>
      <c r="E4" s="350" t="s">
        <v>56</v>
      </c>
      <c r="F4" s="351">
        <v>2013</v>
      </c>
      <c r="G4" s="352"/>
      <c r="H4" s="76"/>
      <c r="I4" s="76"/>
      <c r="J4" s="351">
        <v>2014</v>
      </c>
      <c r="K4" s="352"/>
      <c r="L4" s="76"/>
      <c r="M4" s="76"/>
      <c r="N4" s="351">
        <v>2015</v>
      </c>
      <c r="O4" s="352"/>
      <c r="P4" s="353" t="s">
        <v>2</v>
      </c>
      <c r="Q4" s="347" t="s">
        <v>84</v>
      </c>
    </row>
    <row r="5" spans="1:17" ht="14.4" customHeight="1" thickBot="1" x14ac:dyDescent="0.35">
      <c r="A5" s="478"/>
      <c r="B5" s="479"/>
      <c r="C5" s="480"/>
      <c r="D5" s="481"/>
      <c r="E5" s="482"/>
      <c r="F5" s="483" t="s">
        <v>58</v>
      </c>
      <c r="G5" s="484" t="s">
        <v>14</v>
      </c>
      <c r="H5" s="485"/>
      <c r="I5" s="485"/>
      <c r="J5" s="483" t="s">
        <v>58</v>
      </c>
      <c r="K5" s="484" t="s">
        <v>14</v>
      </c>
      <c r="L5" s="485"/>
      <c r="M5" s="485"/>
      <c r="N5" s="483" t="s">
        <v>58</v>
      </c>
      <c r="O5" s="484" t="s">
        <v>14</v>
      </c>
      <c r="P5" s="486"/>
      <c r="Q5" s="487"/>
    </row>
    <row r="6" spans="1:17" ht="14.4" customHeight="1" x14ac:dyDescent="0.3">
      <c r="A6" s="466" t="s">
        <v>402</v>
      </c>
      <c r="B6" s="488" t="s">
        <v>366</v>
      </c>
      <c r="C6" s="488" t="s">
        <v>403</v>
      </c>
      <c r="D6" s="488" t="s">
        <v>404</v>
      </c>
      <c r="E6" s="488" t="s">
        <v>405</v>
      </c>
      <c r="F6" s="411">
        <v>1</v>
      </c>
      <c r="G6" s="411">
        <v>34</v>
      </c>
      <c r="H6" s="488">
        <v>1</v>
      </c>
      <c r="I6" s="488">
        <v>34</v>
      </c>
      <c r="J6" s="411">
        <v>1</v>
      </c>
      <c r="K6" s="411">
        <v>34</v>
      </c>
      <c r="L6" s="488">
        <v>1</v>
      </c>
      <c r="M6" s="488">
        <v>34</v>
      </c>
      <c r="N6" s="411"/>
      <c r="O6" s="411"/>
      <c r="P6" s="412"/>
      <c r="Q6" s="423"/>
    </row>
    <row r="7" spans="1:17" ht="14.4" customHeight="1" x14ac:dyDescent="0.3">
      <c r="A7" s="469" t="s">
        <v>402</v>
      </c>
      <c r="B7" s="489" t="s">
        <v>366</v>
      </c>
      <c r="C7" s="489" t="s">
        <v>403</v>
      </c>
      <c r="D7" s="489" t="s">
        <v>406</v>
      </c>
      <c r="E7" s="489" t="s">
        <v>407</v>
      </c>
      <c r="F7" s="470">
        <v>50</v>
      </c>
      <c r="G7" s="470">
        <v>3450</v>
      </c>
      <c r="H7" s="489">
        <v>1</v>
      </c>
      <c r="I7" s="489">
        <v>69</v>
      </c>
      <c r="J7" s="470">
        <v>52</v>
      </c>
      <c r="K7" s="470">
        <v>3620</v>
      </c>
      <c r="L7" s="489">
        <v>1.0492753623188407</v>
      </c>
      <c r="M7" s="489">
        <v>69.615384615384613</v>
      </c>
      <c r="N7" s="470">
        <v>38</v>
      </c>
      <c r="O7" s="470">
        <v>2660</v>
      </c>
      <c r="P7" s="490">
        <v>0.77101449275362322</v>
      </c>
      <c r="Q7" s="491">
        <v>70</v>
      </c>
    </row>
    <row r="8" spans="1:17" ht="14.4" customHeight="1" x14ac:dyDescent="0.3">
      <c r="A8" s="469" t="s">
        <v>402</v>
      </c>
      <c r="B8" s="489" t="s">
        <v>366</v>
      </c>
      <c r="C8" s="489" t="s">
        <v>403</v>
      </c>
      <c r="D8" s="489" t="s">
        <v>408</v>
      </c>
      <c r="E8" s="489" t="s">
        <v>409</v>
      </c>
      <c r="F8" s="470">
        <v>4308</v>
      </c>
      <c r="G8" s="470">
        <v>1374252</v>
      </c>
      <c r="H8" s="489">
        <v>1</v>
      </c>
      <c r="I8" s="489">
        <v>319</v>
      </c>
      <c r="J8" s="470">
        <v>4804</v>
      </c>
      <c r="K8" s="470">
        <v>1541329</v>
      </c>
      <c r="L8" s="489">
        <v>1.1215766831701901</v>
      </c>
      <c r="M8" s="489">
        <v>320.84283930058285</v>
      </c>
      <c r="N8" s="470">
        <v>4044</v>
      </c>
      <c r="O8" s="470">
        <v>1306212</v>
      </c>
      <c r="P8" s="490">
        <v>0.95048942988622176</v>
      </c>
      <c r="Q8" s="491">
        <v>323</v>
      </c>
    </row>
    <row r="9" spans="1:17" ht="14.4" customHeight="1" x14ac:dyDescent="0.3">
      <c r="A9" s="469" t="s">
        <v>402</v>
      </c>
      <c r="B9" s="489" t="s">
        <v>366</v>
      </c>
      <c r="C9" s="489" t="s">
        <v>403</v>
      </c>
      <c r="D9" s="489" t="s">
        <v>410</v>
      </c>
      <c r="E9" s="489" t="s">
        <v>411</v>
      </c>
      <c r="F9" s="470"/>
      <c r="G9" s="470"/>
      <c r="H9" s="489"/>
      <c r="I9" s="489"/>
      <c r="J9" s="470"/>
      <c r="K9" s="470"/>
      <c r="L9" s="489"/>
      <c r="M9" s="489"/>
      <c r="N9" s="470">
        <v>92</v>
      </c>
      <c r="O9" s="470">
        <v>19780</v>
      </c>
      <c r="P9" s="490"/>
      <c r="Q9" s="491">
        <v>215</v>
      </c>
    </row>
    <row r="10" spans="1:17" ht="14.4" customHeight="1" x14ac:dyDescent="0.3">
      <c r="A10" s="469" t="s">
        <v>402</v>
      </c>
      <c r="B10" s="489" t="s">
        <v>366</v>
      </c>
      <c r="C10" s="489" t="s">
        <v>403</v>
      </c>
      <c r="D10" s="489" t="s">
        <v>412</v>
      </c>
      <c r="E10" s="489" t="s">
        <v>413</v>
      </c>
      <c r="F10" s="470">
        <v>458</v>
      </c>
      <c r="G10" s="470">
        <v>146102</v>
      </c>
      <c r="H10" s="489">
        <v>1</v>
      </c>
      <c r="I10" s="489">
        <v>319</v>
      </c>
      <c r="J10" s="470">
        <v>1089</v>
      </c>
      <c r="K10" s="470">
        <v>349644</v>
      </c>
      <c r="L10" s="489">
        <v>2.3931499911021068</v>
      </c>
      <c r="M10" s="489">
        <v>321.06887052341597</v>
      </c>
      <c r="N10" s="470">
        <v>787</v>
      </c>
      <c r="O10" s="470">
        <v>254201</v>
      </c>
      <c r="P10" s="490">
        <v>1.7398872020916893</v>
      </c>
      <c r="Q10" s="491">
        <v>323</v>
      </c>
    </row>
    <row r="11" spans="1:17" ht="14.4" customHeight="1" x14ac:dyDescent="0.3">
      <c r="A11" s="469" t="s">
        <v>402</v>
      </c>
      <c r="B11" s="489" t="s">
        <v>366</v>
      </c>
      <c r="C11" s="489" t="s">
        <v>403</v>
      </c>
      <c r="D11" s="489" t="s">
        <v>414</v>
      </c>
      <c r="E11" s="489" t="s">
        <v>415</v>
      </c>
      <c r="F11" s="470">
        <v>296</v>
      </c>
      <c r="G11" s="470">
        <v>94424</v>
      </c>
      <c r="H11" s="489">
        <v>1</v>
      </c>
      <c r="I11" s="489">
        <v>319</v>
      </c>
      <c r="J11" s="470">
        <v>384</v>
      </c>
      <c r="K11" s="470">
        <v>123237</v>
      </c>
      <c r="L11" s="489">
        <v>1.3051448784207405</v>
      </c>
      <c r="M11" s="489">
        <v>320.9296875</v>
      </c>
      <c r="N11" s="470">
        <v>340</v>
      </c>
      <c r="O11" s="470">
        <v>109820</v>
      </c>
      <c r="P11" s="490">
        <v>1.1630517665000424</v>
      </c>
      <c r="Q11" s="491">
        <v>323</v>
      </c>
    </row>
    <row r="12" spans="1:17" ht="14.4" customHeight="1" x14ac:dyDescent="0.3">
      <c r="A12" s="469" t="s">
        <v>402</v>
      </c>
      <c r="B12" s="489" t="s">
        <v>366</v>
      </c>
      <c r="C12" s="489" t="s">
        <v>403</v>
      </c>
      <c r="D12" s="489" t="s">
        <v>416</v>
      </c>
      <c r="E12" s="489" t="s">
        <v>417</v>
      </c>
      <c r="F12" s="470">
        <v>3</v>
      </c>
      <c r="G12" s="470">
        <v>0</v>
      </c>
      <c r="H12" s="489"/>
      <c r="I12" s="489">
        <v>0</v>
      </c>
      <c r="J12" s="470">
        <v>2</v>
      </c>
      <c r="K12" s="470">
        <v>0</v>
      </c>
      <c r="L12" s="489"/>
      <c r="M12" s="489">
        <v>0</v>
      </c>
      <c r="N12" s="470"/>
      <c r="O12" s="470"/>
      <c r="P12" s="490"/>
      <c r="Q12" s="491"/>
    </row>
    <row r="13" spans="1:17" ht="14.4" customHeight="1" x14ac:dyDescent="0.3">
      <c r="A13" s="469" t="s">
        <v>402</v>
      </c>
      <c r="B13" s="489" t="s">
        <v>366</v>
      </c>
      <c r="C13" s="489" t="s">
        <v>403</v>
      </c>
      <c r="D13" s="489" t="s">
        <v>418</v>
      </c>
      <c r="E13" s="489" t="s">
        <v>419</v>
      </c>
      <c r="F13" s="470">
        <v>295</v>
      </c>
      <c r="G13" s="470">
        <v>0</v>
      </c>
      <c r="H13" s="489"/>
      <c r="I13" s="489">
        <v>0</v>
      </c>
      <c r="J13" s="470">
        <v>326</v>
      </c>
      <c r="K13" s="470">
        <v>0</v>
      </c>
      <c r="L13" s="489"/>
      <c r="M13" s="489">
        <v>0</v>
      </c>
      <c r="N13" s="470"/>
      <c r="O13" s="470"/>
      <c r="P13" s="490"/>
      <c r="Q13" s="491"/>
    </row>
    <row r="14" spans="1:17" ht="14.4" customHeight="1" x14ac:dyDescent="0.3">
      <c r="A14" s="469" t="s">
        <v>402</v>
      </c>
      <c r="B14" s="489" t="s">
        <v>366</v>
      </c>
      <c r="C14" s="489" t="s">
        <v>403</v>
      </c>
      <c r="D14" s="489" t="s">
        <v>420</v>
      </c>
      <c r="E14" s="489" t="s">
        <v>421</v>
      </c>
      <c r="F14" s="470">
        <v>469</v>
      </c>
      <c r="G14" s="470">
        <v>252322</v>
      </c>
      <c r="H14" s="489">
        <v>1</v>
      </c>
      <c r="I14" s="489">
        <v>538</v>
      </c>
      <c r="J14" s="470">
        <v>428</v>
      </c>
      <c r="K14" s="470">
        <v>231884</v>
      </c>
      <c r="L14" s="489">
        <v>0.91900032498157114</v>
      </c>
      <c r="M14" s="489">
        <v>541.78504672897191</v>
      </c>
      <c r="N14" s="470">
        <v>634</v>
      </c>
      <c r="O14" s="470">
        <v>346164</v>
      </c>
      <c r="P14" s="490">
        <v>1.3719136658713866</v>
      </c>
      <c r="Q14" s="491">
        <v>546</v>
      </c>
    </row>
    <row r="15" spans="1:17" ht="14.4" customHeight="1" x14ac:dyDescent="0.3">
      <c r="A15" s="469" t="s">
        <v>402</v>
      </c>
      <c r="B15" s="489" t="s">
        <v>366</v>
      </c>
      <c r="C15" s="489" t="s">
        <v>403</v>
      </c>
      <c r="D15" s="489" t="s">
        <v>422</v>
      </c>
      <c r="E15" s="489" t="s">
        <v>423</v>
      </c>
      <c r="F15" s="470">
        <v>583</v>
      </c>
      <c r="G15" s="470">
        <v>314237</v>
      </c>
      <c r="H15" s="489">
        <v>1</v>
      </c>
      <c r="I15" s="489">
        <v>539</v>
      </c>
      <c r="J15" s="470">
        <v>612</v>
      </c>
      <c r="K15" s="470">
        <v>331722</v>
      </c>
      <c r="L15" s="489">
        <v>1.0556427155299981</v>
      </c>
      <c r="M15" s="489">
        <v>542.02941176470586</v>
      </c>
      <c r="N15" s="470">
        <v>513</v>
      </c>
      <c r="O15" s="470">
        <v>280611</v>
      </c>
      <c r="P15" s="490">
        <v>0.89299159551548668</v>
      </c>
      <c r="Q15" s="491">
        <v>547</v>
      </c>
    </row>
    <row r="16" spans="1:17" ht="14.4" customHeight="1" x14ac:dyDescent="0.3">
      <c r="A16" s="469" t="s">
        <v>402</v>
      </c>
      <c r="B16" s="489" t="s">
        <v>366</v>
      </c>
      <c r="C16" s="489" t="s">
        <v>403</v>
      </c>
      <c r="D16" s="489" t="s">
        <v>424</v>
      </c>
      <c r="E16" s="489" t="s">
        <v>425</v>
      </c>
      <c r="F16" s="470">
        <v>15</v>
      </c>
      <c r="G16" s="470">
        <v>4035</v>
      </c>
      <c r="H16" s="489">
        <v>1</v>
      </c>
      <c r="I16" s="489">
        <v>269</v>
      </c>
      <c r="J16" s="470">
        <v>13</v>
      </c>
      <c r="K16" s="470">
        <v>3536</v>
      </c>
      <c r="L16" s="489">
        <v>0.87633209417596036</v>
      </c>
      <c r="M16" s="489">
        <v>272</v>
      </c>
      <c r="N16" s="470">
        <v>8</v>
      </c>
      <c r="O16" s="470">
        <v>2184</v>
      </c>
      <c r="P16" s="490">
        <v>0.54126394052044613</v>
      </c>
      <c r="Q16" s="491">
        <v>273</v>
      </c>
    </row>
    <row r="17" spans="1:17" ht="14.4" customHeight="1" x14ac:dyDescent="0.3">
      <c r="A17" s="469" t="s">
        <v>402</v>
      </c>
      <c r="B17" s="489" t="s">
        <v>366</v>
      </c>
      <c r="C17" s="489" t="s">
        <v>403</v>
      </c>
      <c r="D17" s="489" t="s">
        <v>426</v>
      </c>
      <c r="E17" s="489" t="s">
        <v>427</v>
      </c>
      <c r="F17" s="470">
        <v>133</v>
      </c>
      <c r="G17" s="470">
        <v>71687</v>
      </c>
      <c r="H17" s="489">
        <v>1</v>
      </c>
      <c r="I17" s="489">
        <v>539</v>
      </c>
      <c r="J17" s="470">
        <v>261</v>
      </c>
      <c r="K17" s="470">
        <v>141615</v>
      </c>
      <c r="L17" s="489">
        <v>1.9754627756775984</v>
      </c>
      <c r="M17" s="489">
        <v>542.58620689655174</v>
      </c>
      <c r="N17" s="470">
        <v>418</v>
      </c>
      <c r="O17" s="470">
        <v>228646</v>
      </c>
      <c r="P17" s="490">
        <v>3.1895043731778427</v>
      </c>
      <c r="Q17" s="491">
        <v>547</v>
      </c>
    </row>
    <row r="18" spans="1:17" ht="14.4" customHeight="1" x14ac:dyDescent="0.3">
      <c r="A18" s="469" t="s">
        <v>402</v>
      </c>
      <c r="B18" s="489" t="s">
        <v>366</v>
      </c>
      <c r="C18" s="489" t="s">
        <v>403</v>
      </c>
      <c r="D18" s="489" t="s">
        <v>428</v>
      </c>
      <c r="E18" s="489" t="s">
        <v>429</v>
      </c>
      <c r="F18" s="470">
        <v>216</v>
      </c>
      <c r="G18" s="470">
        <v>116208</v>
      </c>
      <c r="H18" s="489">
        <v>1</v>
      </c>
      <c r="I18" s="489">
        <v>538</v>
      </c>
      <c r="J18" s="470">
        <v>258</v>
      </c>
      <c r="K18" s="470">
        <v>140028</v>
      </c>
      <c r="L18" s="489">
        <v>1.2049772821148286</v>
      </c>
      <c r="M18" s="489">
        <v>542.74418604651157</v>
      </c>
      <c r="N18" s="470">
        <v>189</v>
      </c>
      <c r="O18" s="470">
        <v>103194</v>
      </c>
      <c r="P18" s="490">
        <v>0.88801115241635686</v>
      </c>
      <c r="Q18" s="491">
        <v>546</v>
      </c>
    </row>
    <row r="19" spans="1:17" ht="14.4" customHeight="1" thickBot="1" x14ac:dyDescent="0.35">
      <c r="A19" s="473" t="s">
        <v>402</v>
      </c>
      <c r="B19" s="492" t="s">
        <v>366</v>
      </c>
      <c r="C19" s="492" t="s">
        <v>403</v>
      </c>
      <c r="D19" s="492" t="s">
        <v>430</v>
      </c>
      <c r="E19" s="492" t="s">
        <v>431</v>
      </c>
      <c r="F19" s="414"/>
      <c r="G19" s="414"/>
      <c r="H19" s="492"/>
      <c r="I19" s="492"/>
      <c r="J19" s="414">
        <v>4</v>
      </c>
      <c r="K19" s="414">
        <v>1076</v>
      </c>
      <c r="L19" s="492"/>
      <c r="M19" s="492">
        <v>269</v>
      </c>
      <c r="N19" s="414"/>
      <c r="O19" s="414"/>
      <c r="P19" s="415"/>
      <c r="Q19" s="424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2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2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2" customWidth="1"/>
    <col min="20" max="16384" width="8.88671875" style="105"/>
  </cols>
  <sheetData>
    <row r="1" spans="1:19" ht="18.600000000000001" customHeight="1" thickBot="1" x14ac:dyDescent="0.4">
      <c r="A1" s="301" t="s">
        <v>110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</row>
    <row r="2" spans="1:19" ht="14.4" customHeight="1" thickBot="1" x14ac:dyDescent="0.35">
      <c r="A2" s="201" t="s">
        <v>246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111</v>
      </c>
      <c r="B3" s="188">
        <f>SUBTOTAL(9,B6:B1048576)</f>
        <v>2520464</v>
      </c>
      <c r="C3" s="189">
        <f t="shared" ref="C3:R3" si="0">SUBTOTAL(9,C6:C1048576)</f>
        <v>24</v>
      </c>
      <c r="D3" s="189">
        <f t="shared" si="0"/>
        <v>2496689</v>
      </c>
      <c r="E3" s="189">
        <f t="shared" si="0"/>
        <v>41.276374722376005</v>
      </c>
      <c r="F3" s="189">
        <f t="shared" si="0"/>
        <v>2944268</v>
      </c>
      <c r="G3" s="192">
        <f>IF(B3&lt;&gt;0,F3/B3,"")</f>
        <v>1.1681452304020212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IF(H3&lt;&gt;0,L3/H3,"")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IF(N3&lt;&gt;0,R3/N3,"")</f>
        <v/>
      </c>
    </row>
    <row r="4" spans="1:19" ht="14.4" customHeight="1" x14ac:dyDescent="0.3">
      <c r="A4" s="340" t="s">
        <v>91</v>
      </c>
      <c r="B4" s="341" t="s">
        <v>85</v>
      </c>
      <c r="C4" s="342"/>
      <c r="D4" s="342"/>
      <c r="E4" s="342"/>
      <c r="F4" s="342"/>
      <c r="G4" s="343"/>
      <c r="H4" s="341" t="s">
        <v>86</v>
      </c>
      <c r="I4" s="342"/>
      <c r="J4" s="342"/>
      <c r="K4" s="342"/>
      <c r="L4" s="342"/>
      <c r="M4" s="343"/>
      <c r="N4" s="341" t="s">
        <v>87</v>
      </c>
      <c r="O4" s="342"/>
      <c r="P4" s="342"/>
      <c r="Q4" s="342"/>
      <c r="R4" s="342"/>
      <c r="S4" s="343"/>
    </row>
    <row r="5" spans="1:19" ht="14.4" customHeight="1" thickBot="1" x14ac:dyDescent="0.35">
      <c r="A5" s="457"/>
      <c r="B5" s="458">
        <v>2013</v>
      </c>
      <c r="C5" s="459"/>
      <c r="D5" s="459">
        <v>2014</v>
      </c>
      <c r="E5" s="459"/>
      <c r="F5" s="459">
        <v>2015</v>
      </c>
      <c r="G5" s="460" t="s">
        <v>2</v>
      </c>
      <c r="H5" s="458">
        <v>2013</v>
      </c>
      <c r="I5" s="459"/>
      <c r="J5" s="459">
        <v>2014</v>
      </c>
      <c r="K5" s="459"/>
      <c r="L5" s="459">
        <v>2015</v>
      </c>
      <c r="M5" s="460" t="s">
        <v>2</v>
      </c>
      <c r="N5" s="458">
        <v>2013</v>
      </c>
      <c r="O5" s="459"/>
      <c r="P5" s="459">
        <v>2014</v>
      </c>
      <c r="Q5" s="459"/>
      <c r="R5" s="459">
        <v>2015</v>
      </c>
      <c r="S5" s="460" t="s">
        <v>2</v>
      </c>
    </row>
    <row r="6" spans="1:19" ht="14.4" customHeight="1" x14ac:dyDescent="0.3">
      <c r="A6" s="410" t="s">
        <v>433</v>
      </c>
      <c r="B6" s="467">
        <v>42984</v>
      </c>
      <c r="C6" s="488">
        <v>1</v>
      </c>
      <c r="D6" s="467">
        <v>27888</v>
      </c>
      <c r="E6" s="488">
        <v>0.64879955332216643</v>
      </c>
      <c r="F6" s="467">
        <v>27916</v>
      </c>
      <c r="G6" s="412">
        <v>0.64945095849618462</v>
      </c>
      <c r="H6" s="467"/>
      <c r="I6" s="488"/>
      <c r="J6" s="467"/>
      <c r="K6" s="488"/>
      <c r="L6" s="467"/>
      <c r="M6" s="412"/>
      <c r="N6" s="467"/>
      <c r="O6" s="488"/>
      <c r="P6" s="467"/>
      <c r="Q6" s="488"/>
      <c r="R6" s="467"/>
      <c r="S6" s="413"/>
    </row>
    <row r="7" spans="1:19" ht="14.4" customHeight="1" x14ac:dyDescent="0.3">
      <c r="A7" s="476" t="s">
        <v>434</v>
      </c>
      <c r="B7" s="471">
        <v>25520</v>
      </c>
      <c r="C7" s="489">
        <v>1</v>
      </c>
      <c r="D7" s="471">
        <v>7066</v>
      </c>
      <c r="E7" s="489">
        <v>0.27688087774294673</v>
      </c>
      <c r="F7" s="471">
        <v>7752</v>
      </c>
      <c r="G7" s="490">
        <v>0.3037617554858934</v>
      </c>
      <c r="H7" s="471"/>
      <c r="I7" s="489"/>
      <c r="J7" s="471"/>
      <c r="K7" s="489"/>
      <c r="L7" s="471"/>
      <c r="M7" s="490"/>
      <c r="N7" s="471"/>
      <c r="O7" s="489"/>
      <c r="P7" s="471"/>
      <c r="Q7" s="489"/>
      <c r="R7" s="471"/>
      <c r="S7" s="493"/>
    </row>
    <row r="8" spans="1:19" ht="14.4" customHeight="1" x14ac:dyDescent="0.3">
      <c r="A8" s="476" t="s">
        <v>435</v>
      </c>
      <c r="B8" s="471">
        <v>37556</v>
      </c>
      <c r="C8" s="489">
        <v>1</v>
      </c>
      <c r="D8" s="471">
        <v>94418</v>
      </c>
      <c r="E8" s="489">
        <v>2.5140590052188729</v>
      </c>
      <c r="F8" s="471">
        <v>127659</v>
      </c>
      <c r="G8" s="490">
        <v>3.3991639152199382</v>
      </c>
      <c r="H8" s="471"/>
      <c r="I8" s="489"/>
      <c r="J8" s="471"/>
      <c r="K8" s="489"/>
      <c r="L8" s="471"/>
      <c r="M8" s="490"/>
      <c r="N8" s="471"/>
      <c r="O8" s="489"/>
      <c r="P8" s="471"/>
      <c r="Q8" s="489"/>
      <c r="R8" s="471"/>
      <c r="S8" s="493"/>
    </row>
    <row r="9" spans="1:19" ht="14.4" customHeight="1" x14ac:dyDescent="0.3">
      <c r="A9" s="476" t="s">
        <v>436</v>
      </c>
      <c r="B9" s="471">
        <v>47350</v>
      </c>
      <c r="C9" s="489">
        <v>1</v>
      </c>
      <c r="D9" s="471">
        <v>51388</v>
      </c>
      <c r="E9" s="489">
        <v>1.0852798310454066</v>
      </c>
      <c r="F9" s="471">
        <v>64600</v>
      </c>
      <c r="G9" s="490">
        <v>1.3643083421330517</v>
      </c>
      <c r="H9" s="471"/>
      <c r="I9" s="489"/>
      <c r="J9" s="471"/>
      <c r="K9" s="489"/>
      <c r="L9" s="471"/>
      <c r="M9" s="490"/>
      <c r="N9" s="471"/>
      <c r="O9" s="489"/>
      <c r="P9" s="471"/>
      <c r="Q9" s="489"/>
      <c r="R9" s="471"/>
      <c r="S9" s="493"/>
    </row>
    <row r="10" spans="1:19" ht="14.4" customHeight="1" x14ac:dyDescent="0.3">
      <c r="A10" s="476" t="s">
        <v>437</v>
      </c>
      <c r="B10" s="471">
        <v>2552</v>
      </c>
      <c r="C10" s="489">
        <v>1</v>
      </c>
      <c r="D10" s="471">
        <v>16678</v>
      </c>
      <c r="E10" s="489">
        <v>6.5352664576802511</v>
      </c>
      <c r="F10" s="471">
        <v>8721</v>
      </c>
      <c r="G10" s="490">
        <v>3.417319749216301</v>
      </c>
      <c r="H10" s="471"/>
      <c r="I10" s="489"/>
      <c r="J10" s="471"/>
      <c r="K10" s="489"/>
      <c r="L10" s="471"/>
      <c r="M10" s="490"/>
      <c r="N10" s="471"/>
      <c r="O10" s="489"/>
      <c r="P10" s="471"/>
      <c r="Q10" s="489"/>
      <c r="R10" s="471"/>
      <c r="S10" s="493"/>
    </row>
    <row r="11" spans="1:19" ht="14.4" customHeight="1" x14ac:dyDescent="0.3">
      <c r="A11" s="476" t="s">
        <v>438</v>
      </c>
      <c r="B11" s="471"/>
      <c r="C11" s="489"/>
      <c r="D11" s="471">
        <v>8216</v>
      </c>
      <c r="E11" s="489"/>
      <c r="F11" s="471"/>
      <c r="G11" s="490"/>
      <c r="H11" s="471"/>
      <c r="I11" s="489"/>
      <c r="J11" s="471"/>
      <c r="K11" s="489"/>
      <c r="L11" s="471"/>
      <c r="M11" s="490"/>
      <c r="N11" s="471"/>
      <c r="O11" s="489"/>
      <c r="P11" s="471"/>
      <c r="Q11" s="489"/>
      <c r="R11" s="471"/>
      <c r="S11" s="493"/>
    </row>
    <row r="12" spans="1:19" ht="14.4" customHeight="1" x14ac:dyDescent="0.3">
      <c r="A12" s="476" t="s">
        <v>439</v>
      </c>
      <c r="B12" s="471">
        <v>1276</v>
      </c>
      <c r="C12" s="489">
        <v>1</v>
      </c>
      <c r="D12" s="471">
        <v>1288</v>
      </c>
      <c r="E12" s="489">
        <v>1.0094043887147335</v>
      </c>
      <c r="F12" s="471">
        <v>2584</v>
      </c>
      <c r="G12" s="490">
        <v>2.0250783699059562</v>
      </c>
      <c r="H12" s="471"/>
      <c r="I12" s="489"/>
      <c r="J12" s="471"/>
      <c r="K12" s="489"/>
      <c r="L12" s="471"/>
      <c r="M12" s="490"/>
      <c r="N12" s="471"/>
      <c r="O12" s="489"/>
      <c r="P12" s="471"/>
      <c r="Q12" s="489"/>
      <c r="R12" s="471"/>
      <c r="S12" s="493"/>
    </row>
    <row r="13" spans="1:19" ht="14.4" customHeight="1" x14ac:dyDescent="0.3">
      <c r="A13" s="476" t="s">
        <v>440</v>
      </c>
      <c r="B13" s="471">
        <v>341606</v>
      </c>
      <c r="C13" s="489">
        <v>1</v>
      </c>
      <c r="D13" s="471">
        <v>325513</v>
      </c>
      <c r="E13" s="489">
        <v>0.95289017171829538</v>
      </c>
      <c r="F13" s="471">
        <v>345610</v>
      </c>
      <c r="G13" s="490">
        <v>1.0117211056011897</v>
      </c>
      <c r="H13" s="471"/>
      <c r="I13" s="489"/>
      <c r="J13" s="471"/>
      <c r="K13" s="489"/>
      <c r="L13" s="471"/>
      <c r="M13" s="490"/>
      <c r="N13" s="471"/>
      <c r="O13" s="489"/>
      <c r="P13" s="471"/>
      <c r="Q13" s="489"/>
      <c r="R13" s="471"/>
      <c r="S13" s="493"/>
    </row>
    <row r="14" spans="1:19" ht="14.4" customHeight="1" x14ac:dyDescent="0.3">
      <c r="A14" s="476" t="s">
        <v>441</v>
      </c>
      <c r="B14" s="471">
        <v>2552</v>
      </c>
      <c r="C14" s="489">
        <v>1</v>
      </c>
      <c r="D14" s="471">
        <v>3840</v>
      </c>
      <c r="E14" s="489">
        <v>1.5047021943573669</v>
      </c>
      <c r="F14" s="471"/>
      <c r="G14" s="490"/>
      <c r="H14" s="471"/>
      <c r="I14" s="489"/>
      <c r="J14" s="471"/>
      <c r="K14" s="489"/>
      <c r="L14" s="471"/>
      <c r="M14" s="490"/>
      <c r="N14" s="471"/>
      <c r="O14" s="489"/>
      <c r="P14" s="471"/>
      <c r="Q14" s="489"/>
      <c r="R14" s="471"/>
      <c r="S14" s="493"/>
    </row>
    <row r="15" spans="1:19" ht="14.4" customHeight="1" x14ac:dyDescent="0.3">
      <c r="A15" s="476" t="s">
        <v>442</v>
      </c>
      <c r="B15" s="471">
        <v>392288</v>
      </c>
      <c r="C15" s="489">
        <v>1</v>
      </c>
      <c r="D15" s="471">
        <v>362927</v>
      </c>
      <c r="E15" s="489">
        <v>0.92515447834244224</v>
      </c>
      <c r="F15" s="471">
        <v>351265</v>
      </c>
      <c r="G15" s="490">
        <v>0.89542631943877971</v>
      </c>
      <c r="H15" s="471"/>
      <c r="I15" s="489"/>
      <c r="J15" s="471"/>
      <c r="K15" s="489"/>
      <c r="L15" s="471"/>
      <c r="M15" s="490"/>
      <c r="N15" s="471"/>
      <c r="O15" s="489"/>
      <c r="P15" s="471"/>
      <c r="Q15" s="489"/>
      <c r="R15" s="471"/>
      <c r="S15" s="493"/>
    </row>
    <row r="16" spans="1:19" ht="14.4" customHeight="1" x14ac:dyDescent="0.3">
      <c r="A16" s="476" t="s">
        <v>443</v>
      </c>
      <c r="B16" s="471">
        <v>1276</v>
      </c>
      <c r="C16" s="489">
        <v>1</v>
      </c>
      <c r="D16" s="471"/>
      <c r="E16" s="489"/>
      <c r="F16" s="471">
        <v>15504</v>
      </c>
      <c r="G16" s="490">
        <v>12.150470219435737</v>
      </c>
      <c r="H16" s="471"/>
      <c r="I16" s="489"/>
      <c r="J16" s="471"/>
      <c r="K16" s="489"/>
      <c r="L16" s="471"/>
      <c r="M16" s="490"/>
      <c r="N16" s="471"/>
      <c r="O16" s="489"/>
      <c r="P16" s="471"/>
      <c r="Q16" s="489"/>
      <c r="R16" s="471"/>
      <c r="S16" s="493"/>
    </row>
    <row r="17" spans="1:19" ht="14.4" customHeight="1" x14ac:dyDescent="0.3">
      <c r="A17" s="476" t="s">
        <v>444</v>
      </c>
      <c r="B17" s="471">
        <v>12998</v>
      </c>
      <c r="C17" s="489">
        <v>1</v>
      </c>
      <c r="D17" s="471"/>
      <c r="E17" s="489"/>
      <c r="F17" s="471">
        <v>28424</v>
      </c>
      <c r="G17" s="490">
        <v>2.1867979689182953</v>
      </c>
      <c r="H17" s="471"/>
      <c r="I17" s="489"/>
      <c r="J17" s="471"/>
      <c r="K17" s="489"/>
      <c r="L17" s="471"/>
      <c r="M17" s="490"/>
      <c r="N17" s="471"/>
      <c r="O17" s="489"/>
      <c r="P17" s="471"/>
      <c r="Q17" s="489"/>
      <c r="R17" s="471"/>
      <c r="S17" s="493"/>
    </row>
    <row r="18" spans="1:19" ht="14.4" customHeight="1" x14ac:dyDescent="0.3">
      <c r="A18" s="476" t="s">
        <v>445</v>
      </c>
      <c r="B18" s="471">
        <v>7018</v>
      </c>
      <c r="C18" s="489">
        <v>1</v>
      </c>
      <c r="D18" s="471">
        <v>7728</v>
      </c>
      <c r="E18" s="489">
        <v>1.1011684240524366</v>
      </c>
      <c r="F18" s="471">
        <v>42636</v>
      </c>
      <c r="G18" s="490">
        <v>6.0752351097178687</v>
      </c>
      <c r="H18" s="471"/>
      <c r="I18" s="489"/>
      <c r="J18" s="471"/>
      <c r="K18" s="489"/>
      <c r="L18" s="471"/>
      <c r="M18" s="490"/>
      <c r="N18" s="471"/>
      <c r="O18" s="489"/>
      <c r="P18" s="471"/>
      <c r="Q18" s="489"/>
      <c r="R18" s="471"/>
      <c r="S18" s="493"/>
    </row>
    <row r="19" spans="1:19" ht="14.4" customHeight="1" x14ac:dyDescent="0.3">
      <c r="A19" s="476" t="s">
        <v>446</v>
      </c>
      <c r="B19" s="471"/>
      <c r="C19" s="489"/>
      <c r="D19" s="471">
        <v>966</v>
      </c>
      <c r="E19" s="489"/>
      <c r="F19" s="471"/>
      <c r="G19" s="490"/>
      <c r="H19" s="471"/>
      <c r="I19" s="489"/>
      <c r="J19" s="471"/>
      <c r="K19" s="489"/>
      <c r="L19" s="471"/>
      <c r="M19" s="490"/>
      <c r="N19" s="471"/>
      <c r="O19" s="489"/>
      <c r="P19" s="471"/>
      <c r="Q19" s="489"/>
      <c r="R19" s="471"/>
      <c r="S19" s="493"/>
    </row>
    <row r="20" spans="1:19" ht="14.4" customHeight="1" x14ac:dyDescent="0.3">
      <c r="A20" s="476" t="s">
        <v>447</v>
      </c>
      <c r="B20" s="471">
        <v>703913</v>
      </c>
      <c r="C20" s="489">
        <v>1</v>
      </c>
      <c r="D20" s="471">
        <v>431107</v>
      </c>
      <c r="E20" s="489">
        <v>0.61244358322690451</v>
      </c>
      <c r="F20" s="471">
        <v>364519</v>
      </c>
      <c r="G20" s="490">
        <v>0.51784666571010907</v>
      </c>
      <c r="H20" s="471"/>
      <c r="I20" s="489"/>
      <c r="J20" s="471"/>
      <c r="K20" s="489"/>
      <c r="L20" s="471"/>
      <c r="M20" s="490"/>
      <c r="N20" s="471"/>
      <c r="O20" s="489"/>
      <c r="P20" s="471"/>
      <c r="Q20" s="489"/>
      <c r="R20" s="471"/>
      <c r="S20" s="493"/>
    </row>
    <row r="21" spans="1:19" ht="14.4" customHeight="1" x14ac:dyDescent="0.3">
      <c r="A21" s="476" t="s">
        <v>448</v>
      </c>
      <c r="B21" s="471">
        <v>339231</v>
      </c>
      <c r="C21" s="489">
        <v>1</v>
      </c>
      <c r="D21" s="471">
        <v>486032</v>
      </c>
      <c r="E21" s="489">
        <v>1.4327464176328224</v>
      </c>
      <c r="F21" s="471">
        <v>623595</v>
      </c>
      <c r="G21" s="490">
        <v>1.8382606542444528</v>
      </c>
      <c r="H21" s="471"/>
      <c r="I21" s="489"/>
      <c r="J21" s="471"/>
      <c r="K21" s="489"/>
      <c r="L21" s="471"/>
      <c r="M21" s="490"/>
      <c r="N21" s="471"/>
      <c r="O21" s="489"/>
      <c r="P21" s="471"/>
      <c r="Q21" s="489"/>
      <c r="R21" s="471"/>
      <c r="S21" s="493"/>
    </row>
    <row r="22" spans="1:19" ht="14.4" customHeight="1" x14ac:dyDescent="0.3">
      <c r="A22" s="476" t="s">
        <v>449</v>
      </c>
      <c r="B22" s="471">
        <v>7532</v>
      </c>
      <c r="C22" s="489">
        <v>1</v>
      </c>
      <c r="D22" s="471">
        <v>7816</v>
      </c>
      <c r="E22" s="489">
        <v>1.0377057886351566</v>
      </c>
      <c r="F22" s="471">
        <v>20056</v>
      </c>
      <c r="G22" s="490">
        <v>2.6627721720658521</v>
      </c>
      <c r="H22" s="471"/>
      <c r="I22" s="489"/>
      <c r="J22" s="471"/>
      <c r="K22" s="489"/>
      <c r="L22" s="471"/>
      <c r="M22" s="490"/>
      <c r="N22" s="471"/>
      <c r="O22" s="489"/>
      <c r="P22" s="471"/>
      <c r="Q22" s="489"/>
      <c r="R22" s="471"/>
      <c r="S22" s="493"/>
    </row>
    <row r="23" spans="1:19" ht="14.4" customHeight="1" x14ac:dyDescent="0.3">
      <c r="A23" s="476" t="s">
        <v>450</v>
      </c>
      <c r="B23" s="471">
        <v>7056</v>
      </c>
      <c r="C23" s="489">
        <v>1</v>
      </c>
      <c r="D23" s="471">
        <v>8580</v>
      </c>
      <c r="E23" s="489">
        <v>1.2159863945578231</v>
      </c>
      <c r="F23" s="471">
        <v>15504</v>
      </c>
      <c r="G23" s="490">
        <v>2.1972789115646258</v>
      </c>
      <c r="H23" s="471"/>
      <c r="I23" s="489"/>
      <c r="J23" s="471"/>
      <c r="K23" s="489"/>
      <c r="L23" s="471"/>
      <c r="M23" s="490"/>
      <c r="N23" s="471"/>
      <c r="O23" s="489"/>
      <c r="P23" s="471"/>
      <c r="Q23" s="489"/>
      <c r="R23" s="471"/>
      <c r="S23" s="493"/>
    </row>
    <row r="24" spans="1:19" ht="14.4" customHeight="1" x14ac:dyDescent="0.3">
      <c r="A24" s="476" t="s">
        <v>451</v>
      </c>
      <c r="B24" s="471">
        <v>139641</v>
      </c>
      <c r="C24" s="489">
        <v>1</v>
      </c>
      <c r="D24" s="471">
        <v>185898</v>
      </c>
      <c r="E24" s="489">
        <v>1.331256579371388</v>
      </c>
      <c r="F24" s="471">
        <v>198366</v>
      </c>
      <c r="G24" s="490">
        <v>1.420542677293918</v>
      </c>
      <c r="H24" s="471"/>
      <c r="I24" s="489"/>
      <c r="J24" s="471"/>
      <c r="K24" s="489"/>
      <c r="L24" s="471"/>
      <c r="M24" s="490"/>
      <c r="N24" s="471"/>
      <c r="O24" s="489"/>
      <c r="P24" s="471"/>
      <c r="Q24" s="489"/>
      <c r="R24" s="471"/>
      <c r="S24" s="493"/>
    </row>
    <row r="25" spans="1:19" ht="14.4" customHeight="1" x14ac:dyDescent="0.3">
      <c r="A25" s="476" t="s">
        <v>452</v>
      </c>
      <c r="B25" s="471">
        <v>1276</v>
      </c>
      <c r="C25" s="489">
        <v>1</v>
      </c>
      <c r="D25" s="471">
        <v>8968</v>
      </c>
      <c r="E25" s="489">
        <v>7.0282131661442007</v>
      </c>
      <c r="F25" s="471">
        <v>19380</v>
      </c>
      <c r="G25" s="490">
        <v>15.18808777429467</v>
      </c>
      <c r="H25" s="471"/>
      <c r="I25" s="489"/>
      <c r="J25" s="471"/>
      <c r="K25" s="489"/>
      <c r="L25" s="471"/>
      <c r="M25" s="490"/>
      <c r="N25" s="471"/>
      <c r="O25" s="489"/>
      <c r="P25" s="471"/>
      <c r="Q25" s="489"/>
      <c r="R25" s="471"/>
      <c r="S25" s="493"/>
    </row>
    <row r="26" spans="1:19" ht="14.4" customHeight="1" x14ac:dyDescent="0.3">
      <c r="A26" s="476" t="s">
        <v>453</v>
      </c>
      <c r="B26" s="471">
        <v>11084</v>
      </c>
      <c r="C26" s="489">
        <v>1</v>
      </c>
      <c r="D26" s="471">
        <v>37856</v>
      </c>
      <c r="E26" s="489">
        <v>3.4153735113677373</v>
      </c>
      <c r="F26" s="471">
        <v>114895</v>
      </c>
      <c r="G26" s="490">
        <v>10.365842656080837</v>
      </c>
      <c r="H26" s="471"/>
      <c r="I26" s="489"/>
      <c r="J26" s="471"/>
      <c r="K26" s="489"/>
      <c r="L26" s="471"/>
      <c r="M26" s="490"/>
      <c r="N26" s="471"/>
      <c r="O26" s="489"/>
      <c r="P26" s="471"/>
      <c r="Q26" s="489"/>
      <c r="R26" s="471"/>
      <c r="S26" s="493"/>
    </row>
    <row r="27" spans="1:19" ht="14.4" customHeight="1" x14ac:dyDescent="0.3">
      <c r="A27" s="476" t="s">
        <v>454</v>
      </c>
      <c r="B27" s="471">
        <v>9108</v>
      </c>
      <c r="C27" s="489">
        <v>1</v>
      </c>
      <c r="D27" s="471">
        <v>22786</v>
      </c>
      <c r="E27" s="489">
        <v>2.5017566974088714</v>
      </c>
      <c r="F27" s="471">
        <v>86916</v>
      </c>
      <c r="G27" s="490">
        <v>9.5428194993412383</v>
      </c>
      <c r="H27" s="471"/>
      <c r="I27" s="489"/>
      <c r="J27" s="471"/>
      <c r="K27" s="489"/>
      <c r="L27" s="471"/>
      <c r="M27" s="490"/>
      <c r="N27" s="471"/>
      <c r="O27" s="489"/>
      <c r="P27" s="471"/>
      <c r="Q27" s="489"/>
      <c r="R27" s="471"/>
      <c r="S27" s="493"/>
    </row>
    <row r="28" spans="1:19" ht="14.4" customHeight="1" x14ac:dyDescent="0.3">
      <c r="A28" s="476" t="s">
        <v>455</v>
      </c>
      <c r="B28" s="471">
        <v>42446</v>
      </c>
      <c r="C28" s="489">
        <v>1</v>
      </c>
      <c r="D28" s="471">
        <v>67440</v>
      </c>
      <c r="E28" s="489">
        <v>1.5888422937379258</v>
      </c>
      <c r="F28" s="471">
        <v>97872</v>
      </c>
      <c r="G28" s="490">
        <v>2.3058003109833671</v>
      </c>
      <c r="H28" s="471"/>
      <c r="I28" s="489"/>
      <c r="J28" s="471"/>
      <c r="K28" s="489"/>
      <c r="L28" s="471"/>
      <c r="M28" s="490"/>
      <c r="N28" s="471"/>
      <c r="O28" s="489"/>
      <c r="P28" s="471"/>
      <c r="Q28" s="489"/>
      <c r="R28" s="471"/>
      <c r="S28" s="493"/>
    </row>
    <row r="29" spans="1:19" ht="14.4" customHeight="1" x14ac:dyDescent="0.3">
      <c r="A29" s="476" t="s">
        <v>456</v>
      </c>
      <c r="B29" s="471">
        <v>321871</v>
      </c>
      <c r="C29" s="489">
        <v>1</v>
      </c>
      <c r="D29" s="471">
        <v>291260</v>
      </c>
      <c r="E29" s="489">
        <v>0.90489668221119646</v>
      </c>
      <c r="F29" s="471">
        <v>354654</v>
      </c>
      <c r="G29" s="490">
        <v>1.1018513628130524</v>
      </c>
      <c r="H29" s="471"/>
      <c r="I29" s="489"/>
      <c r="J29" s="471"/>
      <c r="K29" s="489"/>
      <c r="L29" s="471"/>
      <c r="M29" s="490"/>
      <c r="N29" s="471"/>
      <c r="O29" s="489"/>
      <c r="P29" s="471"/>
      <c r="Q29" s="489"/>
      <c r="R29" s="471"/>
      <c r="S29" s="493"/>
    </row>
    <row r="30" spans="1:19" ht="14.4" customHeight="1" x14ac:dyDescent="0.3">
      <c r="A30" s="476" t="s">
        <v>457</v>
      </c>
      <c r="B30" s="471">
        <v>7656</v>
      </c>
      <c r="C30" s="489">
        <v>1</v>
      </c>
      <c r="D30" s="471">
        <v>13726</v>
      </c>
      <c r="E30" s="489">
        <v>1.7928422152560084</v>
      </c>
      <c r="F30" s="471"/>
      <c r="G30" s="490"/>
      <c r="H30" s="471"/>
      <c r="I30" s="489"/>
      <c r="J30" s="471"/>
      <c r="K30" s="489"/>
      <c r="L30" s="471"/>
      <c r="M30" s="490"/>
      <c r="N30" s="471"/>
      <c r="O30" s="489"/>
      <c r="P30" s="471"/>
      <c r="Q30" s="489"/>
      <c r="R30" s="471"/>
      <c r="S30" s="493"/>
    </row>
    <row r="31" spans="1:19" ht="14.4" customHeight="1" thickBot="1" x14ac:dyDescent="0.35">
      <c r="A31" s="477" t="s">
        <v>458</v>
      </c>
      <c r="B31" s="474">
        <v>14674</v>
      </c>
      <c r="C31" s="492">
        <v>1</v>
      </c>
      <c r="D31" s="474">
        <v>27304</v>
      </c>
      <c r="E31" s="492">
        <v>1.860706010631048</v>
      </c>
      <c r="F31" s="474">
        <v>25840</v>
      </c>
      <c r="G31" s="415">
        <v>1.760937712961701</v>
      </c>
      <c r="H31" s="474"/>
      <c r="I31" s="492"/>
      <c r="J31" s="474"/>
      <c r="K31" s="492"/>
      <c r="L31" s="474"/>
      <c r="M31" s="415"/>
      <c r="N31" s="474"/>
      <c r="O31" s="492"/>
      <c r="P31" s="474"/>
      <c r="Q31" s="492"/>
      <c r="R31" s="474"/>
      <c r="S31" s="41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79" customWidth="1"/>
    <col min="8" max="9" width="9.33203125" style="179" hidden="1" customWidth="1"/>
    <col min="10" max="11" width="11.109375" style="179" customWidth="1"/>
    <col min="12" max="13" width="9.33203125" style="179" hidden="1" customWidth="1"/>
    <col min="14" max="15" width="11.109375" style="179" customWidth="1"/>
    <col min="16" max="16" width="11.109375" style="182" customWidth="1"/>
    <col min="17" max="17" width="11.109375" style="179" customWidth="1"/>
    <col min="18" max="16384" width="8.88671875" style="105"/>
  </cols>
  <sheetData>
    <row r="1" spans="1:17" ht="18.600000000000001" customHeight="1" thickBot="1" x14ac:dyDescent="0.4">
      <c r="A1" s="292" t="s">
        <v>487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201" t="s">
        <v>246</v>
      </c>
      <c r="B2" s="106"/>
      <c r="C2" s="106"/>
      <c r="D2" s="106"/>
      <c r="E2" s="1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111</v>
      </c>
      <c r="F3" s="77">
        <f t="shared" ref="F3:O3" si="0">SUBTOTAL(9,F6:F1048576)</f>
        <v>7311</v>
      </c>
      <c r="G3" s="78">
        <f t="shared" si="0"/>
        <v>2520464</v>
      </c>
      <c r="H3" s="78"/>
      <c r="I3" s="78"/>
      <c r="J3" s="78">
        <f t="shared" si="0"/>
        <v>7096</v>
      </c>
      <c r="K3" s="78">
        <f t="shared" si="0"/>
        <v>2496689</v>
      </c>
      <c r="L3" s="78"/>
      <c r="M3" s="78"/>
      <c r="N3" s="78">
        <f t="shared" si="0"/>
        <v>8083</v>
      </c>
      <c r="O3" s="78">
        <f t="shared" si="0"/>
        <v>2944268</v>
      </c>
      <c r="P3" s="59">
        <f>IF(G3=0,0,O3/G3)</f>
        <v>1.1681452304020212</v>
      </c>
      <c r="Q3" s="79">
        <f>IF(N3=0,0,O3/N3)</f>
        <v>364.2543610045775</v>
      </c>
    </row>
    <row r="4" spans="1:17" ht="14.4" customHeight="1" x14ac:dyDescent="0.3">
      <c r="A4" s="349" t="s">
        <v>55</v>
      </c>
      <c r="B4" s="348" t="s">
        <v>81</v>
      </c>
      <c r="C4" s="349" t="s">
        <v>82</v>
      </c>
      <c r="D4" s="358" t="s">
        <v>83</v>
      </c>
      <c r="E4" s="350" t="s">
        <v>56</v>
      </c>
      <c r="F4" s="356">
        <v>2013</v>
      </c>
      <c r="G4" s="357"/>
      <c r="H4" s="80"/>
      <c r="I4" s="80"/>
      <c r="J4" s="356">
        <v>2014</v>
      </c>
      <c r="K4" s="357"/>
      <c r="L4" s="80"/>
      <c r="M4" s="80"/>
      <c r="N4" s="356">
        <v>2015</v>
      </c>
      <c r="O4" s="357"/>
      <c r="P4" s="359" t="s">
        <v>2</v>
      </c>
      <c r="Q4" s="347" t="s">
        <v>84</v>
      </c>
    </row>
    <row r="5" spans="1:17" ht="14.4" customHeight="1" thickBot="1" x14ac:dyDescent="0.35">
      <c r="A5" s="480"/>
      <c r="B5" s="478"/>
      <c r="C5" s="480"/>
      <c r="D5" s="494"/>
      <c r="E5" s="482"/>
      <c r="F5" s="495" t="s">
        <v>58</v>
      </c>
      <c r="G5" s="496" t="s">
        <v>14</v>
      </c>
      <c r="H5" s="497"/>
      <c r="I5" s="497"/>
      <c r="J5" s="495" t="s">
        <v>58</v>
      </c>
      <c r="K5" s="496" t="s">
        <v>14</v>
      </c>
      <c r="L5" s="497"/>
      <c r="M5" s="497"/>
      <c r="N5" s="495" t="s">
        <v>58</v>
      </c>
      <c r="O5" s="496" t="s">
        <v>14</v>
      </c>
      <c r="P5" s="498"/>
      <c r="Q5" s="487"/>
    </row>
    <row r="6" spans="1:17" ht="14.4" customHeight="1" x14ac:dyDescent="0.3">
      <c r="A6" s="466" t="s">
        <v>459</v>
      </c>
      <c r="B6" s="488" t="s">
        <v>402</v>
      </c>
      <c r="C6" s="488" t="s">
        <v>403</v>
      </c>
      <c r="D6" s="488" t="s">
        <v>408</v>
      </c>
      <c r="E6" s="488" t="s">
        <v>409</v>
      </c>
      <c r="F6" s="411">
        <v>128</v>
      </c>
      <c r="G6" s="411">
        <v>40832</v>
      </c>
      <c r="H6" s="411">
        <v>1</v>
      </c>
      <c r="I6" s="411">
        <v>319</v>
      </c>
      <c r="J6" s="411">
        <v>87</v>
      </c>
      <c r="K6" s="411">
        <v>27888</v>
      </c>
      <c r="L6" s="411">
        <v>0.68299373040752354</v>
      </c>
      <c r="M6" s="411">
        <v>320.55172413793105</v>
      </c>
      <c r="N6" s="411">
        <v>56</v>
      </c>
      <c r="O6" s="411">
        <v>18088</v>
      </c>
      <c r="P6" s="412">
        <v>0.4429858934169279</v>
      </c>
      <c r="Q6" s="423">
        <v>323</v>
      </c>
    </row>
    <row r="7" spans="1:17" ht="14.4" customHeight="1" x14ac:dyDescent="0.3">
      <c r="A7" s="469" t="s">
        <v>459</v>
      </c>
      <c r="B7" s="489" t="s">
        <v>402</v>
      </c>
      <c r="C7" s="489" t="s">
        <v>403</v>
      </c>
      <c r="D7" s="489" t="s">
        <v>420</v>
      </c>
      <c r="E7" s="489" t="s">
        <v>421</v>
      </c>
      <c r="F7" s="470">
        <v>4</v>
      </c>
      <c r="G7" s="470">
        <v>2152</v>
      </c>
      <c r="H7" s="470">
        <v>1</v>
      </c>
      <c r="I7" s="470">
        <v>538</v>
      </c>
      <c r="J7" s="470"/>
      <c r="K7" s="470"/>
      <c r="L7" s="470"/>
      <c r="M7" s="470"/>
      <c r="N7" s="470">
        <v>18</v>
      </c>
      <c r="O7" s="470">
        <v>9828</v>
      </c>
      <c r="P7" s="490">
        <v>4.5669144981412639</v>
      </c>
      <c r="Q7" s="491">
        <v>546</v>
      </c>
    </row>
    <row r="8" spans="1:17" ht="14.4" customHeight="1" x14ac:dyDescent="0.3">
      <c r="A8" s="469" t="s">
        <v>460</v>
      </c>
      <c r="B8" s="489" t="s">
        <v>402</v>
      </c>
      <c r="C8" s="489" t="s">
        <v>403</v>
      </c>
      <c r="D8" s="489" t="s">
        <v>408</v>
      </c>
      <c r="E8" s="489" t="s">
        <v>409</v>
      </c>
      <c r="F8" s="470">
        <v>80</v>
      </c>
      <c r="G8" s="470">
        <v>25520</v>
      </c>
      <c r="H8" s="470">
        <v>1</v>
      </c>
      <c r="I8" s="470">
        <v>319</v>
      </c>
      <c r="J8" s="470">
        <v>6</v>
      </c>
      <c r="K8" s="470">
        <v>1914</v>
      </c>
      <c r="L8" s="470">
        <v>7.4999999999999997E-2</v>
      </c>
      <c r="M8" s="470">
        <v>319</v>
      </c>
      <c r="N8" s="470">
        <v>20</v>
      </c>
      <c r="O8" s="470">
        <v>6460</v>
      </c>
      <c r="P8" s="490">
        <v>0.25313479623824453</v>
      </c>
      <c r="Q8" s="491">
        <v>323</v>
      </c>
    </row>
    <row r="9" spans="1:17" ht="14.4" customHeight="1" x14ac:dyDescent="0.3">
      <c r="A9" s="469" t="s">
        <v>460</v>
      </c>
      <c r="B9" s="489" t="s">
        <v>402</v>
      </c>
      <c r="C9" s="489" t="s">
        <v>403</v>
      </c>
      <c r="D9" s="489" t="s">
        <v>414</v>
      </c>
      <c r="E9" s="489" t="s">
        <v>415</v>
      </c>
      <c r="F9" s="470"/>
      <c r="G9" s="470"/>
      <c r="H9" s="470"/>
      <c r="I9" s="470"/>
      <c r="J9" s="470">
        <v>16</v>
      </c>
      <c r="K9" s="470">
        <v>5152</v>
      </c>
      <c r="L9" s="470"/>
      <c r="M9" s="470">
        <v>322</v>
      </c>
      <c r="N9" s="470">
        <v>4</v>
      </c>
      <c r="O9" s="470">
        <v>1292</v>
      </c>
      <c r="P9" s="490"/>
      <c r="Q9" s="491">
        <v>323</v>
      </c>
    </row>
    <row r="10" spans="1:17" ht="14.4" customHeight="1" x14ac:dyDescent="0.3">
      <c r="A10" s="469" t="s">
        <v>461</v>
      </c>
      <c r="B10" s="489" t="s">
        <v>402</v>
      </c>
      <c r="C10" s="489" t="s">
        <v>403</v>
      </c>
      <c r="D10" s="489" t="s">
        <v>408</v>
      </c>
      <c r="E10" s="489" t="s">
        <v>409</v>
      </c>
      <c r="F10" s="470">
        <v>84</v>
      </c>
      <c r="G10" s="470">
        <v>26796</v>
      </c>
      <c r="H10" s="470">
        <v>1</v>
      </c>
      <c r="I10" s="470">
        <v>319</v>
      </c>
      <c r="J10" s="470">
        <v>232</v>
      </c>
      <c r="K10" s="470">
        <v>74368</v>
      </c>
      <c r="L10" s="470">
        <v>2.7753396029258099</v>
      </c>
      <c r="M10" s="470">
        <v>320.55172413793105</v>
      </c>
      <c r="N10" s="470">
        <v>185</v>
      </c>
      <c r="O10" s="470">
        <v>59755</v>
      </c>
      <c r="P10" s="490">
        <v>2.2299970144797729</v>
      </c>
      <c r="Q10" s="491">
        <v>323</v>
      </c>
    </row>
    <row r="11" spans="1:17" ht="14.4" customHeight="1" x14ac:dyDescent="0.3">
      <c r="A11" s="469" t="s">
        <v>461</v>
      </c>
      <c r="B11" s="489" t="s">
        <v>402</v>
      </c>
      <c r="C11" s="489" t="s">
        <v>403</v>
      </c>
      <c r="D11" s="489" t="s">
        <v>412</v>
      </c>
      <c r="E11" s="489" t="s">
        <v>413</v>
      </c>
      <c r="F11" s="470"/>
      <c r="G11" s="470"/>
      <c r="H11" s="470"/>
      <c r="I11" s="470"/>
      <c r="J11" s="470"/>
      <c r="K11" s="470"/>
      <c r="L11" s="470"/>
      <c r="M11" s="470"/>
      <c r="N11" s="470">
        <v>4</v>
      </c>
      <c r="O11" s="470">
        <v>1292</v>
      </c>
      <c r="P11" s="490"/>
      <c r="Q11" s="491">
        <v>323</v>
      </c>
    </row>
    <row r="12" spans="1:17" ht="14.4" customHeight="1" x14ac:dyDescent="0.3">
      <c r="A12" s="469" t="s">
        <v>461</v>
      </c>
      <c r="B12" s="489" t="s">
        <v>402</v>
      </c>
      <c r="C12" s="489" t="s">
        <v>403</v>
      </c>
      <c r="D12" s="489" t="s">
        <v>420</v>
      </c>
      <c r="E12" s="489" t="s">
        <v>421</v>
      </c>
      <c r="F12" s="470">
        <v>20</v>
      </c>
      <c r="G12" s="470">
        <v>10760</v>
      </c>
      <c r="H12" s="470">
        <v>1</v>
      </c>
      <c r="I12" s="470">
        <v>538</v>
      </c>
      <c r="J12" s="470">
        <v>37</v>
      </c>
      <c r="K12" s="470">
        <v>20050</v>
      </c>
      <c r="L12" s="470">
        <v>1.8633828996282529</v>
      </c>
      <c r="M12" s="470">
        <v>541.89189189189187</v>
      </c>
      <c r="N12" s="470">
        <v>122</v>
      </c>
      <c r="O12" s="470">
        <v>66612</v>
      </c>
      <c r="P12" s="490">
        <v>6.1907063197026027</v>
      </c>
      <c r="Q12" s="491">
        <v>546</v>
      </c>
    </row>
    <row r="13" spans="1:17" ht="14.4" customHeight="1" x14ac:dyDescent="0.3">
      <c r="A13" s="469" t="s">
        <v>462</v>
      </c>
      <c r="B13" s="489" t="s">
        <v>402</v>
      </c>
      <c r="C13" s="489" t="s">
        <v>403</v>
      </c>
      <c r="D13" s="489" t="s">
        <v>406</v>
      </c>
      <c r="E13" s="489" t="s">
        <v>407</v>
      </c>
      <c r="F13" s="470">
        <v>2</v>
      </c>
      <c r="G13" s="470">
        <v>138</v>
      </c>
      <c r="H13" s="470">
        <v>1</v>
      </c>
      <c r="I13" s="470">
        <v>69</v>
      </c>
      <c r="J13" s="470"/>
      <c r="K13" s="470"/>
      <c r="L13" s="470"/>
      <c r="M13" s="470"/>
      <c r="N13" s="470"/>
      <c r="O13" s="470"/>
      <c r="P13" s="490"/>
      <c r="Q13" s="491"/>
    </row>
    <row r="14" spans="1:17" ht="14.4" customHeight="1" x14ac:dyDescent="0.3">
      <c r="A14" s="469" t="s">
        <v>462</v>
      </c>
      <c r="B14" s="489" t="s">
        <v>402</v>
      </c>
      <c r="C14" s="489" t="s">
        <v>403</v>
      </c>
      <c r="D14" s="489" t="s">
        <v>408</v>
      </c>
      <c r="E14" s="489" t="s">
        <v>409</v>
      </c>
      <c r="F14" s="470">
        <v>148</v>
      </c>
      <c r="G14" s="470">
        <v>47212</v>
      </c>
      <c r="H14" s="470">
        <v>1</v>
      </c>
      <c r="I14" s="470">
        <v>319</v>
      </c>
      <c r="J14" s="470">
        <v>160</v>
      </c>
      <c r="K14" s="470">
        <v>51388</v>
      </c>
      <c r="L14" s="470">
        <v>1.0884520884520885</v>
      </c>
      <c r="M14" s="470">
        <v>321.17500000000001</v>
      </c>
      <c r="N14" s="470">
        <v>200</v>
      </c>
      <c r="O14" s="470">
        <v>64600</v>
      </c>
      <c r="P14" s="490">
        <v>1.3682961958824027</v>
      </c>
      <c r="Q14" s="491">
        <v>323</v>
      </c>
    </row>
    <row r="15" spans="1:17" ht="14.4" customHeight="1" x14ac:dyDescent="0.3">
      <c r="A15" s="469" t="s">
        <v>463</v>
      </c>
      <c r="B15" s="489" t="s">
        <v>402</v>
      </c>
      <c r="C15" s="489" t="s">
        <v>403</v>
      </c>
      <c r="D15" s="489" t="s">
        <v>408</v>
      </c>
      <c r="E15" s="489" t="s">
        <v>409</v>
      </c>
      <c r="F15" s="470">
        <v>8</v>
      </c>
      <c r="G15" s="470">
        <v>2552</v>
      </c>
      <c r="H15" s="470">
        <v>1</v>
      </c>
      <c r="I15" s="470">
        <v>319</v>
      </c>
      <c r="J15" s="470">
        <v>48</v>
      </c>
      <c r="K15" s="470">
        <v>15390</v>
      </c>
      <c r="L15" s="470">
        <v>6.0305642633228844</v>
      </c>
      <c r="M15" s="470">
        <v>320.625</v>
      </c>
      <c r="N15" s="470">
        <v>27</v>
      </c>
      <c r="O15" s="470">
        <v>8721</v>
      </c>
      <c r="P15" s="490">
        <v>3.417319749216301</v>
      </c>
      <c r="Q15" s="491">
        <v>323</v>
      </c>
    </row>
    <row r="16" spans="1:17" ht="14.4" customHeight="1" x14ac:dyDescent="0.3">
      <c r="A16" s="469" t="s">
        <v>463</v>
      </c>
      <c r="B16" s="489" t="s">
        <v>402</v>
      </c>
      <c r="C16" s="489" t="s">
        <v>403</v>
      </c>
      <c r="D16" s="489" t="s">
        <v>414</v>
      </c>
      <c r="E16" s="489" t="s">
        <v>415</v>
      </c>
      <c r="F16" s="470"/>
      <c r="G16" s="470"/>
      <c r="H16" s="470"/>
      <c r="I16" s="470"/>
      <c r="J16" s="470">
        <v>4</v>
      </c>
      <c r="K16" s="470">
        <v>1288</v>
      </c>
      <c r="L16" s="470"/>
      <c r="M16" s="470">
        <v>322</v>
      </c>
      <c r="N16" s="470"/>
      <c r="O16" s="470"/>
      <c r="P16" s="490"/>
      <c r="Q16" s="491"/>
    </row>
    <row r="17" spans="1:17" ht="14.4" customHeight="1" x14ac:dyDescent="0.3">
      <c r="A17" s="469" t="s">
        <v>464</v>
      </c>
      <c r="B17" s="489" t="s">
        <v>402</v>
      </c>
      <c r="C17" s="489" t="s">
        <v>403</v>
      </c>
      <c r="D17" s="489" t="s">
        <v>408</v>
      </c>
      <c r="E17" s="489" t="s">
        <v>409</v>
      </c>
      <c r="F17" s="470"/>
      <c r="G17" s="470"/>
      <c r="H17" s="470"/>
      <c r="I17" s="470"/>
      <c r="J17" s="470">
        <v>12</v>
      </c>
      <c r="K17" s="470">
        <v>3864</v>
      </c>
      <c r="L17" s="470"/>
      <c r="M17" s="470">
        <v>322</v>
      </c>
      <c r="N17" s="470"/>
      <c r="O17" s="470"/>
      <c r="P17" s="490"/>
      <c r="Q17" s="491"/>
    </row>
    <row r="18" spans="1:17" ht="14.4" customHeight="1" x14ac:dyDescent="0.3">
      <c r="A18" s="469" t="s">
        <v>464</v>
      </c>
      <c r="B18" s="489" t="s">
        <v>402</v>
      </c>
      <c r="C18" s="489" t="s">
        <v>403</v>
      </c>
      <c r="D18" s="489" t="s">
        <v>420</v>
      </c>
      <c r="E18" s="489" t="s">
        <v>421</v>
      </c>
      <c r="F18" s="470"/>
      <c r="G18" s="470"/>
      <c r="H18" s="470"/>
      <c r="I18" s="470"/>
      <c r="J18" s="470">
        <v>8</v>
      </c>
      <c r="K18" s="470">
        <v>4352</v>
      </c>
      <c r="L18" s="470"/>
      <c r="M18" s="470">
        <v>544</v>
      </c>
      <c r="N18" s="470"/>
      <c r="O18" s="470"/>
      <c r="P18" s="490"/>
      <c r="Q18" s="491"/>
    </row>
    <row r="19" spans="1:17" ht="14.4" customHeight="1" x14ac:dyDescent="0.3">
      <c r="A19" s="469" t="s">
        <v>465</v>
      </c>
      <c r="B19" s="489" t="s">
        <v>402</v>
      </c>
      <c r="C19" s="489" t="s">
        <v>403</v>
      </c>
      <c r="D19" s="489" t="s">
        <v>408</v>
      </c>
      <c r="E19" s="489" t="s">
        <v>409</v>
      </c>
      <c r="F19" s="470">
        <v>4</v>
      </c>
      <c r="G19" s="470">
        <v>1276</v>
      </c>
      <c r="H19" s="470">
        <v>1</v>
      </c>
      <c r="I19" s="470">
        <v>319</v>
      </c>
      <c r="J19" s="470">
        <v>4</v>
      </c>
      <c r="K19" s="470">
        <v>1288</v>
      </c>
      <c r="L19" s="470">
        <v>1.0094043887147335</v>
      </c>
      <c r="M19" s="470">
        <v>322</v>
      </c>
      <c r="N19" s="470">
        <v>4</v>
      </c>
      <c r="O19" s="470">
        <v>1292</v>
      </c>
      <c r="P19" s="490">
        <v>1.0125391849529781</v>
      </c>
      <c r="Q19" s="491">
        <v>323</v>
      </c>
    </row>
    <row r="20" spans="1:17" ht="14.4" customHeight="1" x14ac:dyDescent="0.3">
      <c r="A20" s="469" t="s">
        <v>465</v>
      </c>
      <c r="B20" s="489" t="s">
        <v>402</v>
      </c>
      <c r="C20" s="489" t="s">
        <v>403</v>
      </c>
      <c r="D20" s="489" t="s">
        <v>414</v>
      </c>
      <c r="E20" s="489" t="s">
        <v>415</v>
      </c>
      <c r="F20" s="470"/>
      <c r="G20" s="470"/>
      <c r="H20" s="470"/>
      <c r="I20" s="470"/>
      <c r="J20" s="470"/>
      <c r="K20" s="470"/>
      <c r="L20" s="470"/>
      <c r="M20" s="470"/>
      <c r="N20" s="470">
        <v>4</v>
      </c>
      <c r="O20" s="470">
        <v>1292</v>
      </c>
      <c r="P20" s="490"/>
      <c r="Q20" s="491">
        <v>323</v>
      </c>
    </row>
    <row r="21" spans="1:17" ht="14.4" customHeight="1" x14ac:dyDescent="0.3">
      <c r="A21" s="469" t="s">
        <v>466</v>
      </c>
      <c r="B21" s="489" t="s">
        <v>402</v>
      </c>
      <c r="C21" s="489" t="s">
        <v>403</v>
      </c>
      <c r="D21" s="489" t="s">
        <v>406</v>
      </c>
      <c r="E21" s="489" t="s">
        <v>407</v>
      </c>
      <c r="F21" s="470">
        <v>4</v>
      </c>
      <c r="G21" s="470">
        <v>276</v>
      </c>
      <c r="H21" s="470">
        <v>1</v>
      </c>
      <c r="I21" s="470">
        <v>69</v>
      </c>
      <c r="J21" s="470"/>
      <c r="K21" s="470"/>
      <c r="L21" s="470"/>
      <c r="M21" s="470"/>
      <c r="N21" s="470"/>
      <c r="O21" s="470"/>
      <c r="P21" s="490"/>
      <c r="Q21" s="491"/>
    </row>
    <row r="22" spans="1:17" ht="14.4" customHeight="1" x14ac:dyDescent="0.3">
      <c r="A22" s="469" t="s">
        <v>466</v>
      </c>
      <c r="B22" s="489" t="s">
        <v>402</v>
      </c>
      <c r="C22" s="489" t="s">
        <v>403</v>
      </c>
      <c r="D22" s="489" t="s">
        <v>408</v>
      </c>
      <c r="E22" s="489" t="s">
        <v>409</v>
      </c>
      <c r="F22" s="470">
        <v>476</v>
      </c>
      <c r="G22" s="470">
        <v>151844</v>
      </c>
      <c r="H22" s="470">
        <v>1</v>
      </c>
      <c r="I22" s="470">
        <v>319</v>
      </c>
      <c r="J22" s="470">
        <v>442</v>
      </c>
      <c r="K22" s="470">
        <v>141898</v>
      </c>
      <c r="L22" s="470">
        <v>0.93449856431600853</v>
      </c>
      <c r="M22" s="470">
        <v>321.03619909502265</v>
      </c>
      <c r="N22" s="470">
        <v>526</v>
      </c>
      <c r="O22" s="470">
        <v>169898</v>
      </c>
      <c r="P22" s="490">
        <v>1.118898343036274</v>
      </c>
      <c r="Q22" s="491">
        <v>323</v>
      </c>
    </row>
    <row r="23" spans="1:17" ht="14.4" customHeight="1" x14ac:dyDescent="0.3">
      <c r="A23" s="469" t="s">
        <v>466</v>
      </c>
      <c r="B23" s="489" t="s">
        <v>402</v>
      </c>
      <c r="C23" s="489" t="s">
        <v>403</v>
      </c>
      <c r="D23" s="489" t="s">
        <v>414</v>
      </c>
      <c r="E23" s="489" t="s">
        <v>415</v>
      </c>
      <c r="F23" s="470">
        <v>594</v>
      </c>
      <c r="G23" s="470">
        <v>189486</v>
      </c>
      <c r="H23" s="470">
        <v>1</v>
      </c>
      <c r="I23" s="470">
        <v>319</v>
      </c>
      <c r="J23" s="470">
        <v>573</v>
      </c>
      <c r="K23" s="470">
        <v>183615</v>
      </c>
      <c r="L23" s="470">
        <v>0.96901618061492667</v>
      </c>
      <c r="M23" s="470">
        <v>320.44502617801049</v>
      </c>
      <c r="N23" s="470">
        <v>544</v>
      </c>
      <c r="O23" s="470">
        <v>175712</v>
      </c>
      <c r="P23" s="490">
        <v>0.92730861382898999</v>
      </c>
      <c r="Q23" s="491">
        <v>323</v>
      </c>
    </row>
    <row r="24" spans="1:17" ht="14.4" customHeight="1" x14ac:dyDescent="0.3">
      <c r="A24" s="469" t="s">
        <v>467</v>
      </c>
      <c r="B24" s="489" t="s">
        <v>402</v>
      </c>
      <c r="C24" s="489" t="s">
        <v>403</v>
      </c>
      <c r="D24" s="489" t="s">
        <v>408</v>
      </c>
      <c r="E24" s="489" t="s">
        <v>409</v>
      </c>
      <c r="F24" s="470">
        <v>8</v>
      </c>
      <c r="G24" s="470">
        <v>2552</v>
      </c>
      <c r="H24" s="470">
        <v>1</v>
      </c>
      <c r="I24" s="470">
        <v>319</v>
      </c>
      <c r="J24" s="470">
        <v>4</v>
      </c>
      <c r="K24" s="470">
        <v>1288</v>
      </c>
      <c r="L24" s="470">
        <v>0.50470219435736674</v>
      </c>
      <c r="M24" s="470">
        <v>322</v>
      </c>
      <c r="N24" s="470"/>
      <c r="O24" s="470"/>
      <c r="P24" s="490"/>
      <c r="Q24" s="491"/>
    </row>
    <row r="25" spans="1:17" ht="14.4" customHeight="1" x14ac:dyDescent="0.3">
      <c r="A25" s="469" t="s">
        <v>467</v>
      </c>
      <c r="B25" s="489" t="s">
        <v>402</v>
      </c>
      <c r="C25" s="489" t="s">
        <v>403</v>
      </c>
      <c r="D25" s="489" t="s">
        <v>414</v>
      </c>
      <c r="E25" s="489" t="s">
        <v>415</v>
      </c>
      <c r="F25" s="470"/>
      <c r="G25" s="470"/>
      <c r="H25" s="470"/>
      <c r="I25" s="470"/>
      <c r="J25" s="470">
        <v>8</v>
      </c>
      <c r="K25" s="470">
        <v>2552</v>
      </c>
      <c r="L25" s="470"/>
      <c r="M25" s="470">
        <v>319</v>
      </c>
      <c r="N25" s="470"/>
      <c r="O25" s="470"/>
      <c r="P25" s="490"/>
      <c r="Q25" s="491"/>
    </row>
    <row r="26" spans="1:17" ht="14.4" customHeight="1" x14ac:dyDescent="0.3">
      <c r="A26" s="469" t="s">
        <v>468</v>
      </c>
      <c r="B26" s="489" t="s">
        <v>402</v>
      </c>
      <c r="C26" s="489" t="s">
        <v>403</v>
      </c>
      <c r="D26" s="489" t="s">
        <v>406</v>
      </c>
      <c r="E26" s="489" t="s">
        <v>407</v>
      </c>
      <c r="F26" s="470">
        <v>2</v>
      </c>
      <c r="G26" s="470">
        <v>138</v>
      </c>
      <c r="H26" s="470">
        <v>1</v>
      </c>
      <c r="I26" s="470">
        <v>69</v>
      </c>
      <c r="J26" s="470">
        <v>2</v>
      </c>
      <c r="K26" s="470">
        <v>140</v>
      </c>
      <c r="L26" s="470">
        <v>1.0144927536231885</v>
      </c>
      <c r="M26" s="470">
        <v>70</v>
      </c>
      <c r="N26" s="470">
        <v>2</v>
      </c>
      <c r="O26" s="470">
        <v>140</v>
      </c>
      <c r="P26" s="490">
        <v>1.0144927536231885</v>
      </c>
      <c r="Q26" s="491">
        <v>70</v>
      </c>
    </row>
    <row r="27" spans="1:17" ht="14.4" customHeight="1" x14ac:dyDescent="0.3">
      <c r="A27" s="469" t="s">
        <v>468</v>
      </c>
      <c r="B27" s="489" t="s">
        <v>402</v>
      </c>
      <c r="C27" s="489" t="s">
        <v>403</v>
      </c>
      <c r="D27" s="489" t="s">
        <v>408</v>
      </c>
      <c r="E27" s="489" t="s">
        <v>409</v>
      </c>
      <c r="F27" s="470">
        <v>657</v>
      </c>
      <c r="G27" s="470">
        <v>209583</v>
      </c>
      <c r="H27" s="470">
        <v>1</v>
      </c>
      <c r="I27" s="470">
        <v>319</v>
      </c>
      <c r="J27" s="470">
        <v>534</v>
      </c>
      <c r="K27" s="470">
        <v>171150</v>
      </c>
      <c r="L27" s="470">
        <v>0.816621577131733</v>
      </c>
      <c r="M27" s="470">
        <v>320.50561797752812</v>
      </c>
      <c r="N27" s="470">
        <v>427</v>
      </c>
      <c r="O27" s="470">
        <v>137921</v>
      </c>
      <c r="P27" s="490">
        <v>0.65807341244280304</v>
      </c>
      <c r="Q27" s="491">
        <v>323</v>
      </c>
    </row>
    <row r="28" spans="1:17" ht="14.4" customHeight="1" x14ac:dyDescent="0.3">
      <c r="A28" s="469" t="s">
        <v>468</v>
      </c>
      <c r="B28" s="489" t="s">
        <v>402</v>
      </c>
      <c r="C28" s="489" t="s">
        <v>403</v>
      </c>
      <c r="D28" s="489" t="s">
        <v>412</v>
      </c>
      <c r="E28" s="489" t="s">
        <v>413</v>
      </c>
      <c r="F28" s="470">
        <v>122</v>
      </c>
      <c r="G28" s="470">
        <v>38918</v>
      </c>
      <c r="H28" s="470">
        <v>1</v>
      </c>
      <c r="I28" s="470">
        <v>319</v>
      </c>
      <c r="J28" s="470">
        <v>203</v>
      </c>
      <c r="K28" s="470">
        <v>65162</v>
      </c>
      <c r="L28" s="470">
        <v>1.6743409219384346</v>
      </c>
      <c r="M28" s="470">
        <v>320.99507389162562</v>
      </c>
      <c r="N28" s="470">
        <v>230</v>
      </c>
      <c r="O28" s="470">
        <v>74290</v>
      </c>
      <c r="P28" s="490">
        <v>1.9088853486818438</v>
      </c>
      <c r="Q28" s="491">
        <v>323</v>
      </c>
    </row>
    <row r="29" spans="1:17" ht="14.4" customHeight="1" x14ac:dyDescent="0.3">
      <c r="A29" s="469" t="s">
        <v>468</v>
      </c>
      <c r="B29" s="489" t="s">
        <v>402</v>
      </c>
      <c r="C29" s="489" t="s">
        <v>403</v>
      </c>
      <c r="D29" s="489" t="s">
        <v>414</v>
      </c>
      <c r="E29" s="489" t="s">
        <v>415</v>
      </c>
      <c r="F29" s="470">
        <v>207</v>
      </c>
      <c r="G29" s="470">
        <v>66033</v>
      </c>
      <c r="H29" s="470">
        <v>1</v>
      </c>
      <c r="I29" s="470">
        <v>319</v>
      </c>
      <c r="J29" s="470">
        <v>173</v>
      </c>
      <c r="K29" s="470">
        <v>55472</v>
      </c>
      <c r="L29" s="470">
        <v>0.84006481607681005</v>
      </c>
      <c r="M29" s="470">
        <v>320.64739884393066</v>
      </c>
      <c r="N29" s="470">
        <v>215</v>
      </c>
      <c r="O29" s="470">
        <v>69445</v>
      </c>
      <c r="P29" s="490">
        <v>1.0516711341299048</v>
      </c>
      <c r="Q29" s="491">
        <v>323</v>
      </c>
    </row>
    <row r="30" spans="1:17" ht="14.4" customHeight="1" x14ac:dyDescent="0.3">
      <c r="A30" s="469" t="s">
        <v>468</v>
      </c>
      <c r="B30" s="489" t="s">
        <v>402</v>
      </c>
      <c r="C30" s="489" t="s">
        <v>403</v>
      </c>
      <c r="D30" s="489" t="s">
        <v>418</v>
      </c>
      <c r="E30" s="489" t="s">
        <v>419</v>
      </c>
      <c r="F30" s="470">
        <v>2</v>
      </c>
      <c r="G30" s="470">
        <v>0</v>
      </c>
      <c r="H30" s="470"/>
      <c r="I30" s="470">
        <v>0</v>
      </c>
      <c r="J30" s="470"/>
      <c r="K30" s="470"/>
      <c r="L30" s="470"/>
      <c r="M30" s="470"/>
      <c r="N30" s="470"/>
      <c r="O30" s="470"/>
      <c r="P30" s="490"/>
      <c r="Q30" s="491"/>
    </row>
    <row r="31" spans="1:17" ht="14.4" customHeight="1" x14ac:dyDescent="0.3">
      <c r="A31" s="469" t="s">
        <v>468</v>
      </c>
      <c r="B31" s="489" t="s">
        <v>402</v>
      </c>
      <c r="C31" s="489" t="s">
        <v>403</v>
      </c>
      <c r="D31" s="489" t="s">
        <v>422</v>
      </c>
      <c r="E31" s="489" t="s">
        <v>423</v>
      </c>
      <c r="F31" s="470">
        <v>117</v>
      </c>
      <c r="G31" s="470">
        <v>63063</v>
      </c>
      <c r="H31" s="470">
        <v>1</v>
      </c>
      <c r="I31" s="470">
        <v>539</v>
      </c>
      <c r="J31" s="470">
        <v>79</v>
      </c>
      <c r="K31" s="470">
        <v>42881</v>
      </c>
      <c r="L31" s="470">
        <v>0.67997082282796573</v>
      </c>
      <c r="M31" s="470">
        <v>542.79746835443041</v>
      </c>
      <c r="N31" s="470">
        <v>117</v>
      </c>
      <c r="O31" s="470">
        <v>63999</v>
      </c>
      <c r="P31" s="490">
        <v>1.0148423005565863</v>
      </c>
      <c r="Q31" s="491">
        <v>547</v>
      </c>
    </row>
    <row r="32" spans="1:17" ht="14.4" customHeight="1" x14ac:dyDescent="0.3">
      <c r="A32" s="469" t="s">
        <v>468</v>
      </c>
      <c r="B32" s="489" t="s">
        <v>402</v>
      </c>
      <c r="C32" s="489" t="s">
        <v>403</v>
      </c>
      <c r="D32" s="489" t="s">
        <v>424</v>
      </c>
      <c r="E32" s="489" t="s">
        <v>425</v>
      </c>
      <c r="F32" s="470"/>
      <c r="G32" s="470"/>
      <c r="H32" s="470"/>
      <c r="I32" s="470"/>
      <c r="J32" s="470">
        <v>4</v>
      </c>
      <c r="K32" s="470">
        <v>1088</v>
      </c>
      <c r="L32" s="470"/>
      <c r="M32" s="470">
        <v>272</v>
      </c>
      <c r="N32" s="470"/>
      <c r="O32" s="470"/>
      <c r="P32" s="490"/>
      <c r="Q32" s="491"/>
    </row>
    <row r="33" spans="1:17" ht="14.4" customHeight="1" x14ac:dyDescent="0.3">
      <c r="A33" s="469" t="s">
        <v>468</v>
      </c>
      <c r="B33" s="489" t="s">
        <v>402</v>
      </c>
      <c r="C33" s="489" t="s">
        <v>403</v>
      </c>
      <c r="D33" s="489" t="s">
        <v>426</v>
      </c>
      <c r="E33" s="489" t="s">
        <v>427</v>
      </c>
      <c r="F33" s="470">
        <v>27</v>
      </c>
      <c r="G33" s="470">
        <v>14553</v>
      </c>
      <c r="H33" s="470">
        <v>1</v>
      </c>
      <c r="I33" s="470">
        <v>539</v>
      </c>
      <c r="J33" s="470">
        <v>50</v>
      </c>
      <c r="K33" s="470">
        <v>27034</v>
      </c>
      <c r="L33" s="470">
        <v>1.8576238576238577</v>
      </c>
      <c r="M33" s="470">
        <v>540.67999999999995</v>
      </c>
      <c r="N33" s="470">
        <v>10</v>
      </c>
      <c r="O33" s="470">
        <v>5470</v>
      </c>
      <c r="P33" s="490">
        <v>0.37586751872466156</v>
      </c>
      <c r="Q33" s="491">
        <v>547</v>
      </c>
    </row>
    <row r="34" spans="1:17" ht="14.4" customHeight="1" x14ac:dyDescent="0.3">
      <c r="A34" s="469" t="s">
        <v>469</v>
      </c>
      <c r="B34" s="489" t="s">
        <v>402</v>
      </c>
      <c r="C34" s="489" t="s">
        <v>403</v>
      </c>
      <c r="D34" s="489" t="s">
        <v>408</v>
      </c>
      <c r="E34" s="489" t="s">
        <v>409</v>
      </c>
      <c r="F34" s="470">
        <v>4</v>
      </c>
      <c r="G34" s="470">
        <v>1276</v>
      </c>
      <c r="H34" s="470">
        <v>1</v>
      </c>
      <c r="I34" s="470">
        <v>319</v>
      </c>
      <c r="J34" s="470"/>
      <c r="K34" s="470"/>
      <c r="L34" s="470"/>
      <c r="M34" s="470"/>
      <c r="N34" s="470">
        <v>48</v>
      </c>
      <c r="O34" s="470">
        <v>15504</v>
      </c>
      <c r="P34" s="490">
        <v>12.150470219435737</v>
      </c>
      <c r="Q34" s="491">
        <v>323</v>
      </c>
    </row>
    <row r="35" spans="1:17" ht="14.4" customHeight="1" x14ac:dyDescent="0.3">
      <c r="A35" s="469" t="s">
        <v>470</v>
      </c>
      <c r="B35" s="489" t="s">
        <v>402</v>
      </c>
      <c r="C35" s="489" t="s">
        <v>403</v>
      </c>
      <c r="D35" s="489" t="s">
        <v>408</v>
      </c>
      <c r="E35" s="489" t="s">
        <v>409</v>
      </c>
      <c r="F35" s="470">
        <v>34</v>
      </c>
      <c r="G35" s="470">
        <v>10846</v>
      </c>
      <c r="H35" s="470">
        <v>1</v>
      </c>
      <c r="I35" s="470">
        <v>319</v>
      </c>
      <c r="J35" s="470"/>
      <c r="K35" s="470"/>
      <c r="L35" s="470"/>
      <c r="M35" s="470"/>
      <c r="N35" s="470">
        <v>88</v>
      </c>
      <c r="O35" s="470">
        <v>28424</v>
      </c>
      <c r="P35" s="490">
        <v>2.6206896551724137</v>
      </c>
      <c r="Q35" s="491">
        <v>323</v>
      </c>
    </row>
    <row r="36" spans="1:17" ht="14.4" customHeight="1" x14ac:dyDescent="0.3">
      <c r="A36" s="469" t="s">
        <v>470</v>
      </c>
      <c r="B36" s="489" t="s">
        <v>402</v>
      </c>
      <c r="C36" s="489" t="s">
        <v>403</v>
      </c>
      <c r="D36" s="489" t="s">
        <v>420</v>
      </c>
      <c r="E36" s="489" t="s">
        <v>421</v>
      </c>
      <c r="F36" s="470">
        <v>4</v>
      </c>
      <c r="G36" s="470">
        <v>2152</v>
      </c>
      <c r="H36" s="470">
        <v>1</v>
      </c>
      <c r="I36" s="470">
        <v>538</v>
      </c>
      <c r="J36" s="470"/>
      <c r="K36" s="470"/>
      <c r="L36" s="470"/>
      <c r="M36" s="470"/>
      <c r="N36" s="470"/>
      <c r="O36" s="470"/>
      <c r="P36" s="490"/>
      <c r="Q36" s="491"/>
    </row>
    <row r="37" spans="1:17" ht="14.4" customHeight="1" x14ac:dyDescent="0.3">
      <c r="A37" s="469" t="s">
        <v>471</v>
      </c>
      <c r="B37" s="489" t="s">
        <v>402</v>
      </c>
      <c r="C37" s="489" t="s">
        <v>403</v>
      </c>
      <c r="D37" s="489" t="s">
        <v>408</v>
      </c>
      <c r="E37" s="489" t="s">
        <v>409</v>
      </c>
      <c r="F37" s="470">
        <v>18</v>
      </c>
      <c r="G37" s="470">
        <v>5742</v>
      </c>
      <c r="H37" s="470">
        <v>1</v>
      </c>
      <c r="I37" s="470">
        <v>319</v>
      </c>
      <c r="J37" s="470">
        <v>24</v>
      </c>
      <c r="K37" s="470">
        <v>7728</v>
      </c>
      <c r="L37" s="470">
        <v>1.3458725182863114</v>
      </c>
      <c r="M37" s="470">
        <v>322</v>
      </c>
      <c r="N37" s="470">
        <v>132</v>
      </c>
      <c r="O37" s="470">
        <v>42636</v>
      </c>
      <c r="P37" s="490">
        <v>7.4252873563218387</v>
      </c>
      <c r="Q37" s="491">
        <v>323</v>
      </c>
    </row>
    <row r="38" spans="1:17" ht="14.4" customHeight="1" x14ac:dyDescent="0.3">
      <c r="A38" s="469" t="s">
        <v>471</v>
      </c>
      <c r="B38" s="489" t="s">
        <v>402</v>
      </c>
      <c r="C38" s="489" t="s">
        <v>403</v>
      </c>
      <c r="D38" s="489" t="s">
        <v>412</v>
      </c>
      <c r="E38" s="489" t="s">
        <v>413</v>
      </c>
      <c r="F38" s="470">
        <v>4</v>
      </c>
      <c r="G38" s="470">
        <v>1276</v>
      </c>
      <c r="H38" s="470">
        <v>1</v>
      </c>
      <c r="I38" s="470">
        <v>319</v>
      </c>
      <c r="J38" s="470"/>
      <c r="K38" s="470"/>
      <c r="L38" s="470"/>
      <c r="M38" s="470"/>
      <c r="N38" s="470"/>
      <c r="O38" s="470"/>
      <c r="P38" s="490"/>
      <c r="Q38" s="491"/>
    </row>
    <row r="39" spans="1:17" ht="14.4" customHeight="1" x14ac:dyDescent="0.3">
      <c r="A39" s="469" t="s">
        <v>472</v>
      </c>
      <c r="B39" s="489" t="s">
        <v>402</v>
      </c>
      <c r="C39" s="489" t="s">
        <v>403</v>
      </c>
      <c r="D39" s="489" t="s">
        <v>408</v>
      </c>
      <c r="E39" s="489" t="s">
        <v>409</v>
      </c>
      <c r="F39" s="470"/>
      <c r="G39" s="470"/>
      <c r="H39" s="470"/>
      <c r="I39" s="470"/>
      <c r="J39" s="470">
        <v>3</v>
      </c>
      <c r="K39" s="470">
        <v>966</v>
      </c>
      <c r="L39" s="470"/>
      <c r="M39" s="470">
        <v>322</v>
      </c>
      <c r="N39" s="470"/>
      <c r="O39" s="470"/>
      <c r="P39" s="490"/>
      <c r="Q39" s="491"/>
    </row>
    <row r="40" spans="1:17" ht="14.4" customHeight="1" x14ac:dyDescent="0.3">
      <c r="A40" s="469" t="s">
        <v>473</v>
      </c>
      <c r="B40" s="489" t="s">
        <v>402</v>
      </c>
      <c r="C40" s="489" t="s">
        <v>403</v>
      </c>
      <c r="D40" s="489" t="s">
        <v>408</v>
      </c>
      <c r="E40" s="489" t="s">
        <v>409</v>
      </c>
      <c r="F40" s="470">
        <v>2093</v>
      </c>
      <c r="G40" s="470">
        <v>667667</v>
      </c>
      <c r="H40" s="470">
        <v>1</v>
      </c>
      <c r="I40" s="470">
        <v>319</v>
      </c>
      <c r="J40" s="470">
        <v>1264</v>
      </c>
      <c r="K40" s="470">
        <v>405025</v>
      </c>
      <c r="L40" s="470">
        <v>0.60662725580266808</v>
      </c>
      <c r="M40" s="470">
        <v>320.43117088607596</v>
      </c>
      <c r="N40" s="470">
        <v>1083</v>
      </c>
      <c r="O40" s="470">
        <v>349809</v>
      </c>
      <c r="P40" s="490">
        <v>0.52392734701580279</v>
      </c>
      <c r="Q40" s="491">
        <v>323</v>
      </c>
    </row>
    <row r="41" spans="1:17" ht="14.4" customHeight="1" x14ac:dyDescent="0.3">
      <c r="A41" s="469" t="s">
        <v>473</v>
      </c>
      <c r="B41" s="489" t="s">
        <v>402</v>
      </c>
      <c r="C41" s="489" t="s">
        <v>403</v>
      </c>
      <c r="D41" s="489" t="s">
        <v>410</v>
      </c>
      <c r="E41" s="489" t="s">
        <v>411</v>
      </c>
      <c r="F41" s="470"/>
      <c r="G41" s="470"/>
      <c r="H41" s="470"/>
      <c r="I41" s="470"/>
      <c r="J41" s="470"/>
      <c r="K41" s="470"/>
      <c r="L41" s="470"/>
      <c r="M41" s="470"/>
      <c r="N41" s="470">
        <v>4</v>
      </c>
      <c r="O41" s="470">
        <v>860</v>
      </c>
      <c r="P41" s="490"/>
      <c r="Q41" s="491">
        <v>215</v>
      </c>
    </row>
    <row r="42" spans="1:17" ht="14.4" customHeight="1" x14ac:dyDescent="0.3">
      <c r="A42" s="469" t="s">
        <v>473</v>
      </c>
      <c r="B42" s="489" t="s">
        <v>402</v>
      </c>
      <c r="C42" s="489" t="s">
        <v>403</v>
      </c>
      <c r="D42" s="489" t="s">
        <v>412</v>
      </c>
      <c r="E42" s="489" t="s">
        <v>413</v>
      </c>
      <c r="F42" s="470">
        <v>4</v>
      </c>
      <c r="G42" s="470">
        <v>1276</v>
      </c>
      <c r="H42" s="470">
        <v>1</v>
      </c>
      <c r="I42" s="470">
        <v>319</v>
      </c>
      <c r="J42" s="470">
        <v>4</v>
      </c>
      <c r="K42" s="470">
        <v>1288</v>
      </c>
      <c r="L42" s="470">
        <v>1.0094043887147335</v>
      </c>
      <c r="M42" s="470">
        <v>322</v>
      </c>
      <c r="N42" s="470"/>
      <c r="O42" s="470"/>
      <c r="P42" s="490"/>
      <c r="Q42" s="491"/>
    </row>
    <row r="43" spans="1:17" ht="14.4" customHeight="1" x14ac:dyDescent="0.3">
      <c r="A43" s="469" t="s">
        <v>473</v>
      </c>
      <c r="B43" s="489" t="s">
        <v>402</v>
      </c>
      <c r="C43" s="489" t="s">
        <v>403</v>
      </c>
      <c r="D43" s="489" t="s">
        <v>414</v>
      </c>
      <c r="E43" s="489" t="s">
        <v>415</v>
      </c>
      <c r="F43" s="470"/>
      <c r="G43" s="470"/>
      <c r="H43" s="470"/>
      <c r="I43" s="470"/>
      <c r="J43" s="470">
        <v>3</v>
      </c>
      <c r="K43" s="470">
        <v>966</v>
      </c>
      <c r="L43" s="470"/>
      <c r="M43" s="470">
        <v>322</v>
      </c>
      <c r="N43" s="470">
        <v>4</v>
      </c>
      <c r="O43" s="470">
        <v>1292</v>
      </c>
      <c r="P43" s="490"/>
      <c r="Q43" s="491">
        <v>323</v>
      </c>
    </row>
    <row r="44" spans="1:17" ht="14.4" customHeight="1" x14ac:dyDescent="0.3">
      <c r="A44" s="469" t="s">
        <v>473</v>
      </c>
      <c r="B44" s="489" t="s">
        <v>402</v>
      </c>
      <c r="C44" s="489" t="s">
        <v>403</v>
      </c>
      <c r="D44" s="489" t="s">
        <v>420</v>
      </c>
      <c r="E44" s="489" t="s">
        <v>421</v>
      </c>
      <c r="F44" s="470">
        <v>65</v>
      </c>
      <c r="G44" s="470">
        <v>34970</v>
      </c>
      <c r="H44" s="470">
        <v>1</v>
      </c>
      <c r="I44" s="470">
        <v>538</v>
      </c>
      <c r="J44" s="470">
        <v>44</v>
      </c>
      <c r="K44" s="470">
        <v>23828</v>
      </c>
      <c r="L44" s="470">
        <v>0.68138404346582782</v>
      </c>
      <c r="M44" s="470">
        <v>541.5454545454545</v>
      </c>
      <c r="N44" s="470">
        <v>23</v>
      </c>
      <c r="O44" s="470">
        <v>12558</v>
      </c>
      <c r="P44" s="490">
        <v>0.35910780669144982</v>
      </c>
      <c r="Q44" s="491">
        <v>546</v>
      </c>
    </row>
    <row r="45" spans="1:17" ht="14.4" customHeight="1" x14ac:dyDescent="0.3">
      <c r="A45" s="469" t="s">
        <v>474</v>
      </c>
      <c r="B45" s="489" t="s">
        <v>402</v>
      </c>
      <c r="C45" s="489" t="s">
        <v>403</v>
      </c>
      <c r="D45" s="489" t="s">
        <v>406</v>
      </c>
      <c r="E45" s="489" t="s">
        <v>407</v>
      </c>
      <c r="F45" s="470"/>
      <c r="G45" s="470"/>
      <c r="H45" s="470"/>
      <c r="I45" s="470"/>
      <c r="J45" s="470">
        <v>1</v>
      </c>
      <c r="K45" s="470">
        <v>70</v>
      </c>
      <c r="L45" s="470"/>
      <c r="M45" s="470">
        <v>70</v>
      </c>
      <c r="N45" s="470"/>
      <c r="O45" s="470"/>
      <c r="P45" s="490"/>
      <c r="Q45" s="491"/>
    </row>
    <row r="46" spans="1:17" ht="14.4" customHeight="1" x14ac:dyDescent="0.3">
      <c r="A46" s="469" t="s">
        <v>474</v>
      </c>
      <c r="B46" s="489" t="s">
        <v>402</v>
      </c>
      <c r="C46" s="489" t="s">
        <v>403</v>
      </c>
      <c r="D46" s="489" t="s">
        <v>408</v>
      </c>
      <c r="E46" s="489" t="s">
        <v>409</v>
      </c>
      <c r="F46" s="470">
        <v>53</v>
      </c>
      <c r="G46" s="470">
        <v>16907</v>
      </c>
      <c r="H46" s="470">
        <v>1</v>
      </c>
      <c r="I46" s="470">
        <v>319</v>
      </c>
      <c r="J46" s="470">
        <v>202</v>
      </c>
      <c r="K46" s="470">
        <v>57064</v>
      </c>
      <c r="L46" s="470">
        <v>3.3751700479091502</v>
      </c>
      <c r="M46" s="470">
        <v>282.49504950495049</v>
      </c>
      <c r="N46" s="470">
        <v>105</v>
      </c>
      <c r="O46" s="470">
        <v>33915</v>
      </c>
      <c r="P46" s="490">
        <v>2.0059738569823149</v>
      </c>
      <c r="Q46" s="491">
        <v>323</v>
      </c>
    </row>
    <row r="47" spans="1:17" ht="14.4" customHeight="1" x14ac:dyDescent="0.3">
      <c r="A47" s="469" t="s">
        <v>474</v>
      </c>
      <c r="B47" s="489" t="s">
        <v>402</v>
      </c>
      <c r="C47" s="489" t="s">
        <v>403</v>
      </c>
      <c r="D47" s="489" t="s">
        <v>414</v>
      </c>
      <c r="E47" s="489" t="s">
        <v>415</v>
      </c>
      <c r="F47" s="470">
        <v>12</v>
      </c>
      <c r="G47" s="470">
        <v>3828</v>
      </c>
      <c r="H47" s="470">
        <v>1</v>
      </c>
      <c r="I47" s="470">
        <v>319</v>
      </c>
      <c r="J47" s="470"/>
      <c r="K47" s="470"/>
      <c r="L47" s="470"/>
      <c r="M47" s="470"/>
      <c r="N47" s="470"/>
      <c r="O47" s="470"/>
      <c r="P47" s="490"/>
      <c r="Q47" s="491"/>
    </row>
    <row r="48" spans="1:17" ht="14.4" customHeight="1" x14ac:dyDescent="0.3">
      <c r="A48" s="469" t="s">
        <v>474</v>
      </c>
      <c r="B48" s="489" t="s">
        <v>402</v>
      </c>
      <c r="C48" s="489" t="s">
        <v>403</v>
      </c>
      <c r="D48" s="489" t="s">
        <v>420</v>
      </c>
      <c r="E48" s="489" t="s">
        <v>421</v>
      </c>
      <c r="F48" s="470">
        <v>544</v>
      </c>
      <c r="G48" s="470">
        <v>292672</v>
      </c>
      <c r="H48" s="470">
        <v>1</v>
      </c>
      <c r="I48" s="470">
        <v>538</v>
      </c>
      <c r="J48" s="470">
        <v>662</v>
      </c>
      <c r="K48" s="470">
        <v>354066</v>
      </c>
      <c r="L48" s="470">
        <v>1.2097706647714848</v>
      </c>
      <c r="M48" s="470">
        <v>534.8429003021148</v>
      </c>
      <c r="N48" s="470">
        <v>928</v>
      </c>
      <c r="O48" s="470">
        <v>506688</v>
      </c>
      <c r="P48" s="490">
        <v>1.7312486332823092</v>
      </c>
      <c r="Q48" s="491">
        <v>546</v>
      </c>
    </row>
    <row r="49" spans="1:17" ht="14.4" customHeight="1" x14ac:dyDescent="0.3">
      <c r="A49" s="469" t="s">
        <v>474</v>
      </c>
      <c r="B49" s="489" t="s">
        <v>402</v>
      </c>
      <c r="C49" s="489" t="s">
        <v>403</v>
      </c>
      <c r="D49" s="489" t="s">
        <v>428</v>
      </c>
      <c r="E49" s="489" t="s">
        <v>429</v>
      </c>
      <c r="F49" s="470">
        <v>48</v>
      </c>
      <c r="G49" s="470">
        <v>25824</v>
      </c>
      <c r="H49" s="470">
        <v>1</v>
      </c>
      <c r="I49" s="470">
        <v>538</v>
      </c>
      <c r="J49" s="470">
        <v>132</v>
      </c>
      <c r="K49" s="470">
        <v>71568</v>
      </c>
      <c r="L49" s="470">
        <v>2.7713754646840147</v>
      </c>
      <c r="M49" s="470">
        <v>542.18181818181813</v>
      </c>
      <c r="N49" s="470">
        <v>140</v>
      </c>
      <c r="O49" s="470">
        <v>76440</v>
      </c>
      <c r="P49" s="490">
        <v>2.9600371747211898</v>
      </c>
      <c r="Q49" s="491">
        <v>546</v>
      </c>
    </row>
    <row r="50" spans="1:17" ht="14.4" customHeight="1" x14ac:dyDescent="0.3">
      <c r="A50" s="469" t="s">
        <v>474</v>
      </c>
      <c r="B50" s="489" t="s">
        <v>402</v>
      </c>
      <c r="C50" s="489" t="s">
        <v>403</v>
      </c>
      <c r="D50" s="489" t="s">
        <v>430</v>
      </c>
      <c r="E50" s="489" t="s">
        <v>431</v>
      </c>
      <c r="F50" s="470"/>
      <c r="G50" s="470"/>
      <c r="H50" s="470"/>
      <c r="I50" s="470"/>
      <c r="J50" s="470">
        <v>12</v>
      </c>
      <c r="K50" s="470">
        <v>3264</v>
      </c>
      <c r="L50" s="470"/>
      <c r="M50" s="470">
        <v>272</v>
      </c>
      <c r="N50" s="470">
        <v>24</v>
      </c>
      <c r="O50" s="470">
        <v>6552</v>
      </c>
      <c r="P50" s="490"/>
      <c r="Q50" s="491">
        <v>273</v>
      </c>
    </row>
    <row r="51" spans="1:17" ht="14.4" customHeight="1" x14ac:dyDescent="0.3">
      <c r="A51" s="469" t="s">
        <v>475</v>
      </c>
      <c r="B51" s="489" t="s">
        <v>402</v>
      </c>
      <c r="C51" s="489" t="s">
        <v>403</v>
      </c>
      <c r="D51" s="489" t="s">
        <v>408</v>
      </c>
      <c r="E51" s="489" t="s">
        <v>409</v>
      </c>
      <c r="F51" s="470"/>
      <c r="G51" s="470"/>
      <c r="H51" s="470"/>
      <c r="I51" s="470"/>
      <c r="J51" s="470">
        <v>4</v>
      </c>
      <c r="K51" s="470">
        <v>1288</v>
      </c>
      <c r="L51" s="470"/>
      <c r="M51" s="470">
        <v>322</v>
      </c>
      <c r="N51" s="470">
        <v>5</v>
      </c>
      <c r="O51" s="470">
        <v>1615</v>
      </c>
      <c r="P51" s="490"/>
      <c r="Q51" s="491">
        <v>323</v>
      </c>
    </row>
    <row r="52" spans="1:17" ht="14.4" customHeight="1" x14ac:dyDescent="0.3">
      <c r="A52" s="469" t="s">
        <v>475</v>
      </c>
      <c r="B52" s="489" t="s">
        <v>402</v>
      </c>
      <c r="C52" s="489" t="s">
        <v>403</v>
      </c>
      <c r="D52" s="489" t="s">
        <v>414</v>
      </c>
      <c r="E52" s="489" t="s">
        <v>415</v>
      </c>
      <c r="F52" s="470"/>
      <c r="G52" s="470"/>
      <c r="H52" s="470"/>
      <c r="I52" s="470"/>
      <c r="J52" s="470"/>
      <c r="K52" s="470"/>
      <c r="L52" s="470"/>
      <c r="M52" s="470"/>
      <c r="N52" s="470">
        <v>3</v>
      </c>
      <c r="O52" s="470">
        <v>969</v>
      </c>
      <c r="P52" s="490"/>
      <c r="Q52" s="491">
        <v>323</v>
      </c>
    </row>
    <row r="53" spans="1:17" ht="14.4" customHeight="1" x14ac:dyDescent="0.3">
      <c r="A53" s="469" t="s">
        <v>475</v>
      </c>
      <c r="B53" s="489" t="s">
        <v>402</v>
      </c>
      <c r="C53" s="489" t="s">
        <v>403</v>
      </c>
      <c r="D53" s="489" t="s">
        <v>420</v>
      </c>
      <c r="E53" s="489" t="s">
        <v>421</v>
      </c>
      <c r="F53" s="470">
        <v>2</v>
      </c>
      <c r="G53" s="470">
        <v>1076</v>
      </c>
      <c r="H53" s="470">
        <v>1</v>
      </c>
      <c r="I53" s="470">
        <v>538</v>
      </c>
      <c r="J53" s="470"/>
      <c r="K53" s="470"/>
      <c r="L53" s="470"/>
      <c r="M53" s="470"/>
      <c r="N53" s="470"/>
      <c r="O53" s="470"/>
      <c r="P53" s="490"/>
      <c r="Q53" s="491"/>
    </row>
    <row r="54" spans="1:17" ht="14.4" customHeight="1" x14ac:dyDescent="0.3">
      <c r="A54" s="469" t="s">
        <v>475</v>
      </c>
      <c r="B54" s="489" t="s">
        <v>402</v>
      </c>
      <c r="C54" s="489" t="s">
        <v>403</v>
      </c>
      <c r="D54" s="489" t="s">
        <v>428</v>
      </c>
      <c r="E54" s="489" t="s">
        <v>429</v>
      </c>
      <c r="F54" s="470">
        <v>12</v>
      </c>
      <c r="G54" s="470">
        <v>6456</v>
      </c>
      <c r="H54" s="470">
        <v>1</v>
      </c>
      <c r="I54" s="470">
        <v>538</v>
      </c>
      <c r="J54" s="470">
        <v>12</v>
      </c>
      <c r="K54" s="470">
        <v>6528</v>
      </c>
      <c r="L54" s="470">
        <v>1.0111524163568772</v>
      </c>
      <c r="M54" s="470">
        <v>544</v>
      </c>
      <c r="N54" s="470">
        <v>32</v>
      </c>
      <c r="O54" s="470">
        <v>17472</v>
      </c>
      <c r="P54" s="490">
        <v>2.7063197026022303</v>
      </c>
      <c r="Q54" s="491">
        <v>546</v>
      </c>
    </row>
    <row r="55" spans="1:17" ht="14.4" customHeight="1" x14ac:dyDescent="0.3">
      <c r="A55" s="469" t="s">
        <v>476</v>
      </c>
      <c r="B55" s="489" t="s">
        <v>402</v>
      </c>
      <c r="C55" s="489" t="s">
        <v>403</v>
      </c>
      <c r="D55" s="489" t="s">
        <v>408</v>
      </c>
      <c r="E55" s="489" t="s">
        <v>409</v>
      </c>
      <c r="F55" s="470">
        <v>12</v>
      </c>
      <c r="G55" s="470">
        <v>3828</v>
      </c>
      <c r="H55" s="470">
        <v>1</v>
      </c>
      <c r="I55" s="470">
        <v>319</v>
      </c>
      <c r="J55" s="470">
        <v>20</v>
      </c>
      <c r="K55" s="470">
        <v>6428</v>
      </c>
      <c r="L55" s="470">
        <v>1.6792058516196446</v>
      </c>
      <c r="M55" s="470">
        <v>321.39999999999998</v>
      </c>
      <c r="N55" s="470">
        <v>48</v>
      </c>
      <c r="O55" s="470">
        <v>15504</v>
      </c>
      <c r="P55" s="490">
        <v>4.0501567398119125</v>
      </c>
      <c r="Q55" s="491">
        <v>323</v>
      </c>
    </row>
    <row r="56" spans="1:17" ht="14.4" customHeight="1" x14ac:dyDescent="0.3">
      <c r="A56" s="469" t="s">
        <v>476</v>
      </c>
      <c r="B56" s="489" t="s">
        <v>402</v>
      </c>
      <c r="C56" s="489" t="s">
        <v>403</v>
      </c>
      <c r="D56" s="489" t="s">
        <v>420</v>
      </c>
      <c r="E56" s="489" t="s">
        <v>421</v>
      </c>
      <c r="F56" s="470">
        <v>6</v>
      </c>
      <c r="G56" s="470">
        <v>3228</v>
      </c>
      <c r="H56" s="470">
        <v>1</v>
      </c>
      <c r="I56" s="470">
        <v>538</v>
      </c>
      <c r="J56" s="470">
        <v>4</v>
      </c>
      <c r="K56" s="470">
        <v>2152</v>
      </c>
      <c r="L56" s="470">
        <v>0.66666666666666663</v>
      </c>
      <c r="M56" s="470">
        <v>538</v>
      </c>
      <c r="N56" s="470"/>
      <c r="O56" s="470"/>
      <c r="P56" s="490"/>
      <c r="Q56" s="491"/>
    </row>
    <row r="57" spans="1:17" ht="14.4" customHeight="1" x14ac:dyDescent="0.3">
      <c r="A57" s="469" t="s">
        <v>477</v>
      </c>
      <c r="B57" s="489" t="s">
        <v>402</v>
      </c>
      <c r="C57" s="489" t="s">
        <v>403</v>
      </c>
      <c r="D57" s="489" t="s">
        <v>406</v>
      </c>
      <c r="E57" s="489" t="s">
        <v>407</v>
      </c>
      <c r="F57" s="470"/>
      <c r="G57" s="470"/>
      <c r="H57" s="470"/>
      <c r="I57" s="470"/>
      <c r="J57" s="470">
        <v>2</v>
      </c>
      <c r="K57" s="470">
        <v>138</v>
      </c>
      <c r="L57" s="470"/>
      <c r="M57" s="470">
        <v>69</v>
      </c>
      <c r="N57" s="470"/>
      <c r="O57" s="470"/>
      <c r="P57" s="490"/>
      <c r="Q57" s="491"/>
    </row>
    <row r="58" spans="1:17" ht="14.4" customHeight="1" x14ac:dyDescent="0.3">
      <c r="A58" s="469" t="s">
        <v>477</v>
      </c>
      <c r="B58" s="489" t="s">
        <v>402</v>
      </c>
      <c r="C58" s="489" t="s">
        <v>403</v>
      </c>
      <c r="D58" s="489" t="s">
        <v>408</v>
      </c>
      <c r="E58" s="489" t="s">
        <v>409</v>
      </c>
      <c r="F58" s="470">
        <v>393</v>
      </c>
      <c r="G58" s="470">
        <v>125367</v>
      </c>
      <c r="H58" s="470">
        <v>1</v>
      </c>
      <c r="I58" s="470">
        <v>319</v>
      </c>
      <c r="J58" s="470">
        <v>551</v>
      </c>
      <c r="K58" s="470">
        <v>176768</v>
      </c>
      <c r="L58" s="470">
        <v>1.4100042275878022</v>
      </c>
      <c r="M58" s="470">
        <v>320.81306715063522</v>
      </c>
      <c r="N58" s="470">
        <v>567</v>
      </c>
      <c r="O58" s="470">
        <v>183141</v>
      </c>
      <c r="P58" s="490">
        <v>1.4608389767642203</v>
      </c>
      <c r="Q58" s="491">
        <v>323</v>
      </c>
    </row>
    <row r="59" spans="1:17" ht="14.4" customHeight="1" x14ac:dyDescent="0.3">
      <c r="A59" s="469" t="s">
        <v>477</v>
      </c>
      <c r="B59" s="489" t="s">
        <v>402</v>
      </c>
      <c r="C59" s="489" t="s">
        <v>403</v>
      </c>
      <c r="D59" s="489" t="s">
        <v>412</v>
      </c>
      <c r="E59" s="489" t="s">
        <v>413</v>
      </c>
      <c r="F59" s="470">
        <v>20</v>
      </c>
      <c r="G59" s="470">
        <v>6380</v>
      </c>
      <c r="H59" s="470">
        <v>1</v>
      </c>
      <c r="I59" s="470">
        <v>319</v>
      </c>
      <c r="J59" s="470">
        <v>20</v>
      </c>
      <c r="K59" s="470">
        <v>6428</v>
      </c>
      <c r="L59" s="470">
        <v>1.0075235109717868</v>
      </c>
      <c r="M59" s="470">
        <v>321.39999999999998</v>
      </c>
      <c r="N59" s="470">
        <v>18</v>
      </c>
      <c r="O59" s="470">
        <v>5814</v>
      </c>
      <c r="P59" s="490">
        <v>0.91128526645768027</v>
      </c>
      <c r="Q59" s="491">
        <v>323</v>
      </c>
    </row>
    <row r="60" spans="1:17" ht="14.4" customHeight="1" x14ac:dyDescent="0.3">
      <c r="A60" s="469" t="s">
        <v>477</v>
      </c>
      <c r="B60" s="489" t="s">
        <v>402</v>
      </c>
      <c r="C60" s="489" t="s">
        <v>403</v>
      </c>
      <c r="D60" s="489" t="s">
        <v>414</v>
      </c>
      <c r="E60" s="489" t="s">
        <v>415</v>
      </c>
      <c r="F60" s="470">
        <v>18</v>
      </c>
      <c r="G60" s="470">
        <v>5742</v>
      </c>
      <c r="H60" s="470">
        <v>1</v>
      </c>
      <c r="I60" s="470">
        <v>319</v>
      </c>
      <c r="J60" s="470">
        <v>8</v>
      </c>
      <c r="K60" s="470">
        <v>2564</v>
      </c>
      <c r="L60" s="470">
        <v>0.44653430860327414</v>
      </c>
      <c r="M60" s="470">
        <v>320.5</v>
      </c>
      <c r="N60" s="470">
        <v>15</v>
      </c>
      <c r="O60" s="470">
        <v>4845</v>
      </c>
      <c r="P60" s="490">
        <v>0.84378265412748177</v>
      </c>
      <c r="Q60" s="491">
        <v>323</v>
      </c>
    </row>
    <row r="61" spans="1:17" ht="14.4" customHeight="1" x14ac:dyDescent="0.3">
      <c r="A61" s="469" t="s">
        <v>477</v>
      </c>
      <c r="B61" s="489" t="s">
        <v>402</v>
      </c>
      <c r="C61" s="489" t="s">
        <v>403</v>
      </c>
      <c r="D61" s="489" t="s">
        <v>420</v>
      </c>
      <c r="E61" s="489" t="s">
        <v>421</v>
      </c>
      <c r="F61" s="470">
        <v>4</v>
      </c>
      <c r="G61" s="470">
        <v>2152</v>
      </c>
      <c r="H61" s="470">
        <v>1</v>
      </c>
      <c r="I61" s="470">
        <v>538</v>
      </c>
      <c r="J61" s="470"/>
      <c r="K61" s="470"/>
      <c r="L61" s="470"/>
      <c r="M61" s="470"/>
      <c r="N61" s="470">
        <v>6</v>
      </c>
      <c r="O61" s="470">
        <v>3276</v>
      </c>
      <c r="P61" s="490">
        <v>1.5223048327137547</v>
      </c>
      <c r="Q61" s="491">
        <v>546</v>
      </c>
    </row>
    <row r="62" spans="1:17" ht="14.4" customHeight="1" x14ac:dyDescent="0.3">
      <c r="A62" s="469" t="s">
        <v>477</v>
      </c>
      <c r="B62" s="489" t="s">
        <v>402</v>
      </c>
      <c r="C62" s="489" t="s">
        <v>403</v>
      </c>
      <c r="D62" s="489" t="s">
        <v>478</v>
      </c>
      <c r="E62" s="489" t="s">
        <v>479</v>
      </c>
      <c r="F62" s="470"/>
      <c r="G62" s="470"/>
      <c r="H62" s="470"/>
      <c r="I62" s="470"/>
      <c r="J62" s="470"/>
      <c r="K62" s="470"/>
      <c r="L62" s="470"/>
      <c r="M62" s="470"/>
      <c r="N62" s="470">
        <v>2</v>
      </c>
      <c r="O62" s="470">
        <v>1290</v>
      </c>
      <c r="P62" s="490"/>
      <c r="Q62" s="491">
        <v>645</v>
      </c>
    </row>
    <row r="63" spans="1:17" ht="14.4" customHeight="1" x14ac:dyDescent="0.3">
      <c r="A63" s="469" t="s">
        <v>480</v>
      </c>
      <c r="B63" s="489" t="s">
        <v>402</v>
      </c>
      <c r="C63" s="489" t="s">
        <v>403</v>
      </c>
      <c r="D63" s="489" t="s">
        <v>408</v>
      </c>
      <c r="E63" s="489" t="s">
        <v>409</v>
      </c>
      <c r="F63" s="470">
        <v>4</v>
      </c>
      <c r="G63" s="470">
        <v>1276</v>
      </c>
      <c r="H63" s="470">
        <v>1</v>
      </c>
      <c r="I63" s="470">
        <v>319</v>
      </c>
      <c r="J63" s="470">
        <v>28</v>
      </c>
      <c r="K63" s="470">
        <v>8968</v>
      </c>
      <c r="L63" s="470">
        <v>7.0282131661442007</v>
      </c>
      <c r="M63" s="470">
        <v>320.28571428571428</v>
      </c>
      <c r="N63" s="470">
        <v>60</v>
      </c>
      <c r="O63" s="470">
        <v>19380</v>
      </c>
      <c r="P63" s="490">
        <v>15.18808777429467</v>
      </c>
      <c r="Q63" s="491">
        <v>323</v>
      </c>
    </row>
    <row r="64" spans="1:17" ht="14.4" customHeight="1" x14ac:dyDescent="0.3">
      <c r="A64" s="469" t="s">
        <v>481</v>
      </c>
      <c r="B64" s="489" t="s">
        <v>402</v>
      </c>
      <c r="C64" s="489" t="s">
        <v>403</v>
      </c>
      <c r="D64" s="489" t="s">
        <v>408</v>
      </c>
      <c r="E64" s="489" t="s">
        <v>409</v>
      </c>
      <c r="F64" s="470">
        <v>28</v>
      </c>
      <c r="G64" s="470">
        <v>8932</v>
      </c>
      <c r="H64" s="470">
        <v>1</v>
      </c>
      <c r="I64" s="470">
        <v>319</v>
      </c>
      <c r="J64" s="470">
        <v>84</v>
      </c>
      <c r="K64" s="470">
        <v>27024</v>
      </c>
      <c r="L64" s="470">
        <v>3.0255261979399912</v>
      </c>
      <c r="M64" s="470">
        <v>321.71428571428572</v>
      </c>
      <c r="N64" s="470">
        <v>305</v>
      </c>
      <c r="O64" s="470">
        <v>98515</v>
      </c>
      <c r="P64" s="490">
        <v>11.029444693237796</v>
      </c>
      <c r="Q64" s="491">
        <v>323</v>
      </c>
    </row>
    <row r="65" spans="1:17" ht="14.4" customHeight="1" x14ac:dyDescent="0.3">
      <c r="A65" s="469" t="s">
        <v>481</v>
      </c>
      <c r="B65" s="489" t="s">
        <v>402</v>
      </c>
      <c r="C65" s="489" t="s">
        <v>403</v>
      </c>
      <c r="D65" s="489" t="s">
        <v>420</v>
      </c>
      <c r="E65" s="489" t="s">
        <v>421</v>
      </c>
      <c r="F65" s="470">
        <v>4</v>
      </c>
      <c r="G65" s="470">
        <v>2152</v>
      </c>
      <c r="H65" s="470">
        <v>1</v>
      </c>
      <c r="I65" s="470">
        <v>538</v>
      </c>
      <c r="J65" s="470">
        <v>20</v>
      </c>
      <c r="K65" s="470">
        <v>10832</v>
      </c>
      <c r="L65" s="470">
        <v>5.033457249070632</v>
      </c>
      <c r="M65" s="470">
        <v>541.6</v>
      </c>
      <c r="N65" s="470">
        <v>30</v>
      </c>
      <c r="O65" s="470">
        <v>16380</v>
      </c>
      <c r="P65" s="490">
        <v>7.6115241635687729</v>
      </c>
      <c r="Q65" s="491">
        <v>546</v>
      </c>
    </row>
    <row r="66" spans="1:17" ht="14.4" customHeight="1" x14ac:dyDescent="0.3">
      <c r="A66" s="469" t="s">
        <v>482</v>
      </c>
      <c r="B66" s="489" t="s">
        <v>402</v>
      </c>
      <c r="C66" s="489" t="s">
        <v>403</v>
      </c>
      <c r="D66" s="489" t="s">
        <v>408</v>
      </c>
      <c r="E66" s="489" t="s">
        <v>409</v>
      </c>
      <c r="F66" s="470">
        <v>8</v>
      </c>
      <c r="G66" s="470">
        <v>2552</v>
      </c>
      <c r="H66" s="470">
        <v>1</v>
      </c>
      <c r="I66" s="470">
        <v>319</v>
      </c>
      <c r="J66" s="470">
        <v>32</v>
      </c>
      <c r="K66" s="470">
        <v>10280</v>
      </c>
      <c r="L66" s="470">
        <v>4.0282131661442007</v>
      </c>
      <c r="M66" s="470">
        <v>321.25</v>
      </c>
      <c r="N66" s="470">
        <v>144</v>
      </c>
      <c r="O66" s="470">
        <v>46512</v>
      </c>
      <c r="P66" s="490">
        <v>18.225705329153605</v>
      </c>
      <c r="Q66" s="491">
        <v>323</v>
      </c>
    </row>
    <row r="67" spans="1:17" ht="14.4" customHeight="1" x14ac:dyDescent="0.3">
      <c r="A67" s="469" t="s">
        <v>482</v>
      </c>
      <c r="B67" s="489" t="s">
        <v>402</v>
      </c>
      <c r="C67" s="489" t="s">
        <v>403</v>
      </c>
      <c r="D67" s="489" t="s">
        <v>412</v>
      </c>
      <c r="E67" s="489" t="s">
        <v>413</v>
      </c>
      <c r="F67" s="470">
        <v>2</v>
      </c>
      <c r="G67" s="470">
        <v>638</v>
      </c>
      <c r="H67" s="470">
        <v>1</v>
      </c>
      <c r="I67" s="470">
        <v>319</v>
      </c>
      <c r="J67" s="470"/>
      <c r="K67" s="470"/>
      <c r="L67" s="470"/>
      <c r="M67" s="470"/>
      <c r="N67" s="470"/>
      <c r="O67" s="470"/>
      <c r="P67" s="490"/>
      <c r="Q67" s="491"/>
    </row>
    <row r="68" spans="1:17" ht="14.4" customHeight="1" x14ac:dyDescent="0.3">
      <c r="A68" s="469" t="s">
        <v>482</v>
      </c>
      <c r="B68" s="489" t="s">
        <v>402</v>
      </c>
      <c r="C68" s="489" t="s">
        <v>403</v>
      </c>
      <c r="D68" s="489" t="s">
        <v>420</v>
      </c>
      <c r="E68" s="489" t="s">
        <v>421</v>
      </c>
      <c r="F68" s="470">
        <v>11</v>
      </c>
      <c r="G68" s="470">
        <v>5918</v>
      </c>
      <c r="H68" s="470">
        <v>1</v>
      </c>
      <c r="I68" s="470">
        <v>538</v>
      </c>
      <c r="J68" s="470">
        <v>23</v>
      </c>
      <c r="K68" s="470">
        <v>12506</v>
      </c>
      <c r="L68" s="470">
        <v>2.1132139236228458</v>
      </c>
      <c r="M68" s="470">
        <v>543.73913043478262</v>
      </c>
      <c r="N68" s="470">
        <v>74</v>
      </c>
      <c r="O68" s="470">
        <v>40404</v>
      </c>
      <c r="P68" s="490">
        <v>6.8273065224738083</v>
      </c>
      <c r="Q68" s="491">
        <v>546</v>
      </c>
    </row>
    <row r="69" spans="1:17" ht="14.4" customHeight="1" x14ac:dyDescent="0.3">
      <c r="A69" s="469" t="s">
        <v>483</v>
      </c>
      <c r="B69" s="489" t="s">
        <v>402</v>
      </c>
      <c r="C69" s="489" t="s">
        <v>403</v>
      </c>
      <c r="D69" s="489" t="s">
        <v>406</v>
      </c>
      <c r="E69" s="489" t="s">
        <v>407</v>
      </c>
      <c r="F69" s="470"/>
      <c r="G69" s="470"/>
      <c r="H69" s="470"/>
      <c r="I69" s="470"/>
      <c r="J69" s="470"/>
      <c r="K69" s="470"/>
      <c r="L69" s="470"/>
      <c r="M69" s="470"/>
      <c r="N69" s="470">
        <v>4</v>
      </c>
      <c r="O69" s="470">
        <v>280</v>
      </c>
      <c r="P69" s="490"/>
      <c r="Q69" s="491">
        <v>70</v>
      </c>
    </row>
    <row r="70" spans="1:17" ht="14.4" customHeight="1" x14ac:dyDescent="0.3">
      <c r="A70" s="469" t="s">
        <v>483</v>
      </c>
      <c r="B70" s="489" t="s">
        <v>402</v>
      </c>
      <c r="C70" s="489" t="s">
        <v>403</v>
      </c>
      <c r="D70" s="489" t="s">
        <v>408</v>
      </c>
      <c r="E70" s="489" t="s">
        <v>409</v>
      </c>
      <c r="F70" s="470">
        <v>128</v>
      </c>
      <c r="G70" s="470">
        <v>40832</v>
      </c>
      <c r="H70" s="470">
        <v>1</v>
      </c>
      <c r="I70" s="470">
        <v>319</v>
      </c>
      <c r="J70" s="470">
        <v>210</v>
      </c>
      <c r="K70" s="470">
        <v>67440</v>
      </c>
      <c r="L70" s="470">
        <v>1.6516457680250785</v>
      </c>
      <c r="M70" s="470">
        <v>321.14285714285717</v>
      </c>
      <c r="N70" s="470">
        <v>284</v>
      </c>
      <c r="O70" s="470">
        <v>91732</v>
      </c>
      <c r="P70" s="490">
        <v>2.2465713166144199</v>
      </c>
      <c r="Q70" s="491">
        <v>323</v>
      </c>
    </row>
    <row r="71" spans="1:17" ht="14.4" customHeight="1" x14ac:dyDescent="0.3">
      <c r="A71" s="469" t="s">
        <v>483</v>
      </c>
      <c r="B71" s="489" t="s">
        <v>402</v>
      </c>
      <c r="C71" s="489" t="s">
        <v>403</v>
      </c>
      <c r="D71" s="489" t="s">
        <v>412</v>
      </c>
      <c r="E71" s="489" t="s">
        <v>413</v>
      </c>
      <c r="F71" s="470"/>
      <c r="G71" s="470"/>
      <c r="H71" s="470"/>
      <c r="I71" s="470"/>
      <c r="J71" s="470"/>
      <c r="K71" s="470"/>
      <c r="L71" s="470"/>
      <c r="M71" s="470"/>
      <c r="N71" s="470">
        <v>8</v>
      </c>
      <c r="O71" s="470">
        <v>2584</v>
      </c>
      <c r="P71" s="490"/>
      <c r="Q71" s="491">
        <v>323</v>
      </c>
    </row>
    <row r="72" spans="1:17" ht="14.4" customHeight="1" x14ac:dyDescent="0.3">
      <c r="A72" s="469" t="s">
        <v>483</v>
      </c>
      <c r="B72" s="489" t="s">
        <v>402</v>
      </c>
      <c r="C72" s="489" t="s">
        <v>403</v>
      </c>
      <c r="D72" s="489" t="s">
        <v>420</v>
      </c>
      <c r="E72" s="489" t="s">
        <v>421</v>
      </c>
      <c r="F72" s="470">
        <v>3</v>
      </c>
      <c r="G72" s="470">
        <v>1614</v>
      </c>
      <c r="H72" s="470">
        <v>1</v>
      </c>
      <c r="I72" s="470">
        <v>538</v>
      </c>
      <c r="J72" s="470"/>
      <c r="K72" s="470"/>
      <c r="L72" s="470"/>
      <c r="M72" s="470"/>
      <c r="N72" s="470">
        <v>6</v>
      </c>
      <c r="O72" s="470">
        <v>3276</v>
      </c>
      <c r="P72" s="490">
        <v>2.029739776951673</v>
      </c>
      <c r="Q72" s="491">
        <v>546</v>
      </c>
    </row>
    <row r="73" spans="1:17" ht="14.4" customHeight="1" x14ac:dyDescent="0.3">
      <c r="A73" s="469" t="s">
        <v>484</v>
      </c>
      <c r="B73" s="489" t="s">
        <v>402</v>
      </c>
      <c r="C73" s="489" t="s">
        <v>403</v>
      </c>
      <c r="D73" s="489" t="s">
        <v>408</v>
      </c>
      <c r="E73" s="489" t="s">
        <v>409</v>
      </c>
      <c r="F73" s="470">
        <v>1009</v>
      </c>
      <c r="G73" s="470">
        <v>321871</v>
      </c>
      <c r="H73" s="470">
        <v>1</v>
      </c>
      <c r="I73" s="470">
        <v>319</v>
      </c>
      <c r="J73" s="470">
        <v>915</v>
      </c>
      <c r="K73" s="470">
        <v>290941</v>
      </c>
      <c r="L73" s="470">
        <v>0.90390560193369396</v>
      </c>
      <c r="M73" s="470">
        <v>317.96830601092898</v>
      </c>
      <c r="N73" s="470">
        <v>1098</v>
      </c>
      <c r="O73" s="470">
        <v>354654</v>
      </c>
      <c r="P73" s="490">
        <v>1.1018513628130524</v>
      </c>
      <c r="Q73" s="491">
        <v>323</v>
      </c>
    </row>
    <row r="74" spans="1:17" ht="14.4" customHeight="1" x14ac:dyDescent="0.3">
      <c r="A74" s="469" t="s">
        <v>484</v>
      </c>
      <c r="B74" s="489" t="s">
        <v>402</v>
      </c>
      <c r="C74" s="489" t="s">
        <v>403</v>
      </c>
      <c r="D74" s="489" t="s">
        <v>414</v>
      </c>
      <c r="E74" s="489" t="s">
        <v>415</v>
      </c>
      <c r="F74" s="470"/>
      <c r="G74" s="470"/>
      <c r="H74" s="470"/>
      <c r="I74" s="470"/>
      <c r="J74" s="470">
        <v>1</v>
      </c>
      <c r="K74" s="470">
        <v>319</v>
      </c>
      <c r="L74" s="470"/>
      <c r="M74" s="470">
        <v>319</v>
      </c>
      <c r="N74" s="470"/>
      <c r="O74" s="470"/>
      <c r="P74" s="490"/>
      <c r="Q74" s="491"/>
    </row>
    <row r="75" spans="1:17" ht="14.4" customHeight="1" x14ac:dyDescent="0.3">
      <c r="A75" s="469" t="s">
        <v>485</v>
      </c>
      <c r="B75" s="489" t="s">
        <v>402</v>
      </c>
      <c r="C75" s="489" t="s">
        <v>403</v>
      </c>
      <c r="D75" s="489" t="s">
        <v>408</v>
      </c>
      <c r="E75" s="489" t="s">
        <v>409</v>
      </c>
      <c r="F75" s="470">
        <v>24</v>
      </c>
      <c r="G75" s="470">
        <v>7656</v>
      </c>
      <c r="H75" s="470">
        <v>1</v>
      </c>
      <c r="I75" s="470">
        <v>319</v>
      </c>
      <c r="J75" s="470">
        <v>36</v>
      </c>
      <c r="K75" s="470">
        <v>11550</v>
      </c>
      <c r="L75" s="470">
        <v>1.5086206896551724</v>
      </c>
      <c r="M75" s="470">
        <v>320.83333333333331</v>
      </c>
      <c r="N75" s="470"/>
      <c r="O75" s="470"/>
      <c r="P75" s="490"/>
      <c r="Q75" s="491"/>
    </row>
    <row r="76" spans="1:17" ht="14.4" customHeight="1" x14ac:dyDescent="0.3">
      <c r="A76" s="469" t="s">
        <v>485</v>
      </c>
      <c r="B76" s="489" t="s">
        <v>402</v>
      </c>
      <c r="C76" s="489" t="s">
        <v>403</v>
      </c>
      <c r="D76" s="489" t="s">
        <v>420</v>
      </c>
      <c r="E76" s="489" t="s">
        <v>421</v>
      </c>
      <c r="F76" s="470"/>
      <c r="G76" s="470"/>
      <c r="H76" s="470"/>
      <c r="I76" s="470"/>
      <c r="J76" s="470">
        <v>4</v>
      </c>
      <c r="K76" s="470">
        <v>2176</v>
      </c>
      <c r="L76" s="470"/>
      <c r="M76" s="470">
        <v>544</v>
      </c>
      <c r="N76" s="470"/>
      <c r="O76" s="470"/>
      <c r="P76" s="490"/>
      <c r="Q76" s="491"/>
    </row>
    <row r="77" spans="1:17" ht="14.4" customHeight="1" x14ac:dyDescent="0.3">
      <c r="A77" s="469" t="s">
        <v>486</v>
      </c>
      <c r="B77" s="489" t="s">
        <v>402</v>
      </c>
      <c r="C77" s="489" t="s">
        <v>403</v>
      </c>
      <c r="D77" s="489" t="s">
        <v>408</v>
      </c>
      <c r="E77" s="489" t="s">
        <v>409</v>
      </c>
      <c r="F77" s="470">
        <v>22</v>
      </c>
      <c r="G77" s="470">
        <v>7018</v>
      </c>
      <c r="H77" s="470">
        <v>1</v>
      </c>
      <c r="I77" s="470">
        <v>319</v>
      </c>
      <c r="J77" s="470">
        <v>59</v>
      </c>
      <c r="K77" s="470">
        <v>18998</v>
      </c>
      <c r="L77" s="470">
        <v>2.7070390424622399</v>
      </c>
      <c r="M77" s="470">
        <v>322</v>
      </c>
      <c r="N77" s="470">
        <v>64</v>
      </c>
      <c r="O77" s="470">
        <v>20672</v>
      </c>
      <c r="P77" s="490">
        <v>2.9455685380450269</v>
      </c>
      <c r="Q77" s="491">
        <v>323</v>
      </c>
    </row>
    <row r="78" spans="1:17" ht="14.4" customHeight="1" thickBot="1" x14ac:dyDescent="0.35">
      <c r="A78" s="473" t="s">
        <v>486</v>
      </c>
      <c r="B78" s="492" t="s">
        <v>402</v>
      </c>
      <c r="C78" s="492" t="s">
        <v>403</v>
      </c>
      <c r="D78" s="492" t="s">
        <v>414</v>
      </c>
      <c r="E78" s="492" t="s">
        <v>415</v>
      </c>
      <c r="F78" s="414">
        <v>24</v>
      </c>
      <c r="G78" s="414">
        <v>7656</v>
      </c>
      <c r="H78" s="414">
        <v>1</v>
      </c>
      <c r="I78" s="414">
        <v>319</v>
      </c>
      <c r="J78" s="414">
        <v>26</v>
      </c>
      <c r="K78" s="414">
        <v>8306</v>
      </c>
      <c r="L78" s="414">
        <v>1.0849007314524557</v>
      </c>
      <c r="M78" s="414">
        <v>319.46153846153845</v>
      </c>
      <c r="N78" s="414">
        <v>16</v>
      </c>
      <c r="O78" s="414">
        <v>5168</v>
      </c>
      <c r="P78" s="415">
        <v>0.67502612330198541</v>
      </c>
      <c r="Q78" s="424">
        <v>323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2" t="s">
        <v>104</v>
      </c>
      <c r="B1" s="292"/>
      <c r="C1" s="293"/>
      <c r="D1" s="293"/>
      <c r="E1" s="293"/>
    </row>
    <row r="2" spans="1:5" ht="14.4" customHeight="1" thickBot="1" x14ac:dyDescent="0.35">
      <c r="A2" s="201" t="s">
        <v>246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4940.378506758927</v>
      </c>
      <c r="D4" s="133">
        <f ca="1">IF(ISERROR(VLOOKUP("Náklady celkem",INDIRECT("HI!$A:$G"),5,0)),0,VLOOKUP("Náklady celkem",INDIRECT("HI!$A:$G"),5,0))</f>
        <v>4820.7913900000021</v>
      </c>
      <c r="E4" s="134">
        <f ca="1">IF(C4=0,0,D4/C4)</f>
        <v>0.97579393631574629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0.66666666666666663</v>
      </c>
      <c r="D7" s="141">
        <f>IF(ISERROR(HI!E5),"",HI!E5)</f>
        <v>0.75165000000000004</v>
      </c>
      <c r="E7" s="138">
        <f t="shared" ref="E7:E12" si="0">IF(C7=0,0,D7/C7)</f>
        <v>1.1274750000000002</v>
      </c>
    </row>
    <row r="8" spans="1:5" ht="14.4" customHeight="1" x14ac:dyDescent="0.3">
      <c r="A8" s="278" t="str">
        <f>HYPERLINK("#'LŽ Statim'!A1","Podíl statimových žádanek (max. 30%)")</f>
        <v>Podíl statimových žádanek (max. 30%)</v>
      </c>
      <c r="B8" s="276" t="s">
        <v>219</v>
      </c>
      <c r="C8" s="277">
        <v>0.3</v>
      </c>
      <c r="D8" s="277">
        <f>IF('LŽ Statim'!G3="",0,'LŽ Statim'!G3)</f>
        <v>0</v>
      </c>
      <c r="E8" s="138">
        <f>IF(C8=0,0,D8/C8)</f>
        <v>0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97</v>
      </c>
      <c r="C12" s="141">
        <f>IF(ISERROR(HI!F6),"",HI!F6)</f>
        <v>0</v>
      </c>
      <c r="D12" s="141">
        <f>IF(ISERROR(HI!E6),"",HI!E6)</f>
        <v>0</v>
      </c>
      <c r="E12" s="138">
        <f t="shared" si="0"/>
        <v>0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4690.6665189220339</v>
      </c>
      <c r="D13" s="137">
        <f ca="1">IF(ISERROR(VLOOKUP("Osobní náklady (Kč) *",INDIRECT("HI!$A:$G"),5,0)),0,VLOOKUP("Osobní náklady (Kč) *",INDIRECT("HI!$A:$G"),5,0))</f>
        <v>4641.4877500000002</v>
      </c>
      <c r="E13" s="138">
        <f ca="1">IF(C13=0,0,D13/C13)</f>
        <v>0.98951561175290381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2376.7510000000002</v>
      </c>
      <c r="D15" s="156">
        <f ca="1">IF(ISERROR(VLOOKUP("Výnosy celkem",INDIRECT("HI!$A:$G"),5,0)),0,VLOOKUP("Výnosy celkem",INDIRECT("HI!$A:$G"),5,0))</f>
        <v>2653.4720000000002</v>
      </c>
      <c r="E15" s="157">
        <f t="shared" ref="E15:E18" ca="1" si="1">IF(C15=0,0,D15/C15)</f>
        <v>1.1164282669913677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2376.7510000000002</v>
      </c>
      <c r="D16" s="137">
        <f ca="1">IF(ISERROR(VLOOKUP("Ambulance *",INDIRECT("HI!$A:$G"),5,0)),0,VLOOKUP("Ambulance *",INDIRECT("HI!$A:$G"),5,0))</f>
        <v>2653.4720000000002</v>
      </c>
      <c r="E16" s="138">
        <f t="shared" ca="1" si="1"/>
        <v>1.1164282669913677</v>
      </c>
    </row>
    <row r="17" spans="1:5" ht="14.4" customHeight="1" x14ac:dyDescent="0.3">
      <c r="A17" s="159" t="str">
        <f>HYPERLINK("#'ZV Vykáz.-A'!A1","Zdravotní výkony vykázané u ambulantních pacientů (min. 100 %)")</f>
        <v>Zdravotní výkony vykázané u ambulantních pacientů (min. 100 %)</v>
      </c>
      <c r="B17" s="123" t="s">
        <v>106</v>
      </c>
      <c r="C17" s="142">
        <v>1</v>
      </c>
      <c r="D17" s="142">
        <f>IF(ISERROR(VLOOKUP("Celkem:",'ZV Vykáz.-A'!$A:$S,7,0)),"",VLOOKUP("Celkem:",'ZV Vykáz.-A'!$A:$S,7,0))</f>
        <v>1.1164282669913677</v>
      </c>
      <c r="E17" s="138">
        <f t="shared" si="1"/>
        <v>1.1164282669913677</v>
      </c>
    </row>
    <row r="18" spans="1:5" ht="14.4" customHeight="1" x14ac:dyDescent="0.3">
      <c r="A18" s="159" t="str">
        <f>HYPERLINK("#'ZV Vykáz.-H'!A1","Zdravotní výkony vykázané u hospitalizovaných pacientů (max. 85 %)")</f>
        <v>Zdravotní výkony vykázané u hospitalizovaných pacientů (max. 85 %)</v>
      </c>
      <c r="B18" s="123" t="s">
        <v>108</v>
      </c>
      <c r="C18" s="142">
        <v>0.85</v>
      </c>
      <c r="D18" s="142">
        <f>IF(ISERROR(VLOOKUP("Celkem:",'ZV Vykáz.-H'!$A:$S,7,0)),"",VLOOKUP("Celkem:",'ZV Vykáz.-H'!$A:$S,7,0))</f>
        <v>1.1681452304020212</v>
      </c>
      <c r="E18" s="138">
        <f t="shared" si="1"/>
        <v>1.3742885063553192</v>
      </c>
    </row>
    <row r="19" spans="1:5" ht="14.4" customHeight="1" x14ac:dyDescent="0.3">
      <c r="A19" s="160" t="str">
        <f>HYPERLINK("#HI!A1","Hospitalizace (casemix * 30000)")</f>
        <v>Hospitalizace (casemix * 30000)</v>
      </c>
      <c r="B19" s="140"/>
      <c r="C19" s="137">
        <f ca="1">IF(ISERROR(VLOOKUP("Hospitalizace *",INDIRECT("HI!$A:$G"),6,0)),0,VLOOKUP("Hospitalizace *",INDIRECT("HI!$A:$G"),6,0))</f>
        <v>0</v>
      </c>
      <c r="D19" s="137">
        <f ca="1">IF(ISERROR(VLOOKUP("Hospitalizace *",INDIRECT("HI!$A:$G"),5,0)),0,VLOOKUP("Hospitalizace *",INDIRECT("HI!$A:$G"),5,0))</f>
        <v>0</v>
      </c>
      <c r="E19" s="138">
        <f ca="1">IF(C19=0,0,D19/C19)</f>
        <v>0</v>
      </c>
    </row>
    <row r="20" spans="1:5" ht="14.4" customHeight="1" thickBot="1" x14ac:dyDescent="0.35">
      <c r="A20" s="161" t="s">
        <v>122</v>
      </c>
      <c r="B20" s="147"/>
      <c r="C20" s="148"/>
      <c r="D20" s="148"/>
      <c r="E20" s="149"/>
    </row>
    <row r="21" spans="1:5" ht="14.4" customHeight="1" thickBot="1" x14ac:dyDescent="0.35">
      <c r="A21" s="162"/>
      <c r="B21" s="163"/>
      <c r="C21" s="164"/>
      <c r="D21" s="164"/>
      <c r="E21" s="165"/>
    </row>
    <row r="22" spans="1:5" ht="14.4" customHeight="1" thickBot="1" x14ac:dyDescent="0.35">
      <c r="A22" s="166" t="s">
        <v>123</v>
      </c>
      <c r="B22" s="167"/>
      <c r="C22" s="168"/>
      <c r="D22" s="168"/>
      <c r="E22" s="169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2" t="s">
        <v>113</v>
      </c>
      <c r="B1" s="292"/>
      <c r="C1" s="292"/>
      <c r="D1" s="292"/>
      <c r="E1" s="292"/>
      <c r="F1" s="292"/>
      <c r="G1" s="293"/>
      <c r="H1" s="293"/>
    </row>
    <row r="2" spans="1:8" ht="14.4" customHeight="1" thickBot="1" x14ac:dyDescent="0.35">
      <c r="A2" s="201" t="s">
        <v>246</v>
      </c>
      <c r="B2" s="86"/>
      <c r="C2" s="86"/>
      <c r="D2" s="86"/>
      <c r="E2" s="86"/>
      <c r="F2" s="86"/>
    </row>
    <row r="3" spans="1:8" ht="14.4" customHeight="1" x14ac:dyDescent="0.3">
      <c r="A3" s="294"/>
      <c r="B3" s="82">
        <v>2013</v>
      </c>
      <c r="C3" s="40">
        <v>2014</v>
      </c>
      <c r="D3" s="7"/>
      <c r="E3" s="298">
        <v>2015</v>
      </c>
      <c r="F3" s="299"/>
      <c r="G3" s="299"/>
      <c r="H3" s="300"/>
    </row>
    <row r="4" spans="1:8" ht="14.4" customHeight="1" thickBot="1" x14ac:dyDescent="0.35">
      <c r="A4" s="295"/>
      <c r="B4" s="296" t="s">
        <v>59</v>
      </c>
      <c r="C4" s="297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0.56330000000000002</v>
      </c>
      <c r="C5" s="29">
        <v>0</v>
      </c>
      <c r="D5" s="8"/>
      <c r="E5" s="92">
        <v>0.75165000000000004</v>
      </c>
      <c r="F5" s="28">
        <v>0.66666666666666663</v>
      </c>
      <c r="G5" s="91">
        <f>E5-F5</f>
        <v>8.4983333333333411E-2</v>
      </c>
      <c r="H5" s="97">
        <f>IF(F5&lt;0.00000001,"",E5/F5)</f>
        <v>1.1274750000000002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0.23154</v>
      </c>
      <c r="C6" s="31">
        <v>0</v>
      </c>
      <c r="D6" s="8"/>
      <c r="E6" s="93">
        <v>0</v>
      </c>
      <c r="F6" s="30">
        <v>0</v>
      </c>
      <c r="G6" s="94">
        <f>E6-F6</f>
        <v>0</v>
      </c>
      <c r="H6" s="98" t="str">
        <f>IF(F6&lt;0.00000001,"",E6/F6)</f>
        <v/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4339.2485099999985</v>
      </c>
      <c r="C7" s="31">
        <v>4453.3887700000032</v>
      </c>
      <c r="D7" s="8"/>
      <c r="E7" s="93">
        <v>4641.4877500000002</v>
      </c>
      <c r="F7" s="30">
        <v>4690.6665189220339</v>
      </c>
      <c r="G7" s="94">
        <f>E7-F7</f>
        <v>-49.178768922033669</v>
      </c>
      <c r="H7" s="98">
        <f>IF(F7&lt;0.00000001,"",E7/F7)</f>
        <v>0.98951561175290381</v>
      </c>
    </row>
    <row r="8" spans="1:8" ht="14.4" customHeight="1" thickBot="1" x14ac:dyDescent="0.35">
      <c r="A8" s="1" t="s">
        <v>62</v>
      </c>
      <c r="B8" s="11">
        <v>146.03456000000054</v>
      </c>
      <c r="C8" s="33">
        <v>164.61140999999952</v>
      </c>
      <c r="D8" s="8"/>
      <c r="E8" s="95">
        <v>178.55199000000189</v>
      </c>
      <c r="F8" s="32">
        <v>249.0453211702264</v>
      </c>
      <c r="G8" s="96">
        <f>E8-F8</f>
        <v>-70.493331170224508</v>
      </c>
      <c r="H8" s="99">
        <f>IF(F8&lt;0.00000001,"",E8/F8)</f>
        <v>0.7169457718017469</v>
      </c>
    </row>
    <row r="9" spans="1:8" ht="14.4" customHeight="1" thickBot="1" x14ac:dyDescent="0.35">
      <c r="A9" s="2" t="s">
        <v>63</v>
      </c>
      <c r="B9" s="3">
        <v>4486.0779099999991</v>
      </c>
      <c r="C9" s="35">
        <v>4618.0001800000027</v>
      </c>
      <c r="D9" s="8"/>
      <c r="E9" s="3">
        <v>4820.7913900000021</v>
      </c>
      <c r="F9" s="34">
        <v>4940.378506758927</v>
      </c>
      <c r="G9" s="34">
        <f>E9-F9</f>
        <v>-119.58711675892482</v>
      </c>
      <c r="H9" s="100">
        <f>IF(F9&lt;0.00000001,"",E9/F9)</f>
        <v>0.97579393631574629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2376.7510000000002</v>
      </c>
      <c r="C11" s="29">
        <f>IF(ISERROR(VLOOKUP("Celkem:",'ZV Vykáz.-A'!A:F,4,0)),0,VLOOKUP("Celkem:",'ZV Vykáz.-A'!A:F,4,0)/1000)</f>
        <v>2867.7249999999999</v>
      </c>
      <c r="D11" s="8"/>
      <c r="E11" s="92">
        <f>IF(ISERROR(VLOOKUP("Celkem:",'ZV Vykáz.-A'!A:F,6,0)),0,VLOOKUP("Celkem:",'ZV Vykáz.-A'!A:F,6,0)/1000)</f>
        <v>2653.4720000000002</v>
      </c>
      <c r="F11" s="28">
        <f>B11</f>
        <v>2376.7510000000002</v>
      </c>
      <c r="G11" s="91">
        <f>E11-F11</f>
        <v>276.721</v>
      </c>
      <c r="H11" s="97">
        <f>IF(F11&lt;0.00000001,"",E11/F11)</f>
        <v>1.1164282669913677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2376.7510000000002</v>
      </c>
      <c r="C13" s="37">
        <f>SUM(C11:C12)</f>
        <v>2867.7249999999999</v>
      </c>
      <c r="D13" s="8"/>
      <c r="E13" s="5">
        <f>SUM(E11:E12)</f>
        <v>2653.4720000000002</v>
      </c>
      <c r="F13" s="36">
        <f>SUM(F11:F12)</f>
        <v>2376.7510000000002</v>
      </c>
      <c r="G13" s="36">
        <f>E13-F13</f>
        <v>276.721</v>
      </c>
      <c r="H13" s="101">
        <f>IF(F13&lt;0.00000001,"",E13/F13)</f>
        <v>1.1164282669913677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0.529806001519042</v>
      </c>
      <c r="C15" s="39">
        <f>IF(C9=0,"",C13/C9)</f>
        <v>0.62098849896536779</v>
      </c>
      <c r="D15" s="8"/>
      <c r="E15" s="6">
        <f>IF(E9=0,"",E13/E9)</f>
        <v>0.55042248986426257</v>
      </c>
      <c r="F15" s="38">
        <f>IF(F9=0,"",F13/F9)</f>
        <v>0.48108682295260768</v>
      </c>
      <c r="G15" s="38">
        <f>IF(ISERROR(F15-E15),"",E15-F15)</f>
        <v>6.9335666911654881E-2</v>
      </c>
      <c r="H15" s="102">
        <f>IF(ISERROR(F15-E15),"",IF(F15&lt;0.00000001,"",E15/F15))</f>
        <v>1.1441229807254256</v>
      </c>
    </row>
    <row r="17" spans="1:8" ht="14.4" customHeight="1" x14ac:dyDescent="0.3">
      <c r="A17" s="88" t="s">
        <v>127</v>
      </c>
    </row>
    <row r="18" spans="1:8" ht="14.4" customHeight="1" x14ac:dyDescent="0.3">
      <c r="A18" s="254" t="s">
        <v>166</v>
      </c>
      <c r="B18" s="255"/>
      <c r="C18" s="255"/>
      <c r="D18" s="255"/>
      <c r="E18" s="255"/>
      <c r="F18" s="255"/>
      <c r="G18" s="255"/>
      <c r="H18" s="255"/>
    </row>
    <row r="19" spans="1:8" x14ac:dyDescent="0.3">
      <c r="A19" s="253" t="s">
        <v>165</v>
      </c>
      <c r="B19" s="255"/>
      <c r="C19" s="255"/>
      <c r="D19" s="255"/>
      <c r="E19" s="255"/>
      <c r="F19" s="255"/>
      <c r="G19" s="255"/>
      <c r="H19" s="255"/>
    </row>
    <row r="20" spans="1:8" ht="14.4" customHeight="1" x14ac:dyDescent="0.3">
      <c r="A20" s="89" t="s">
        <v>220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129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2" t="s">
        <v>90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3" ht="14.4" customHeight="1" x14ac:dyDescent="0.3">
      <c r="A2" s="201" t="s">
        <v>246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0"/>
      <c r="B3" s="171" t="s">
        <v>68</v>
      </c>
      <c r="C3" s="172" t="s">
        <v>69</v>
      </c>
      <c r="D3" s="172" t="s">
        <v>70</v>
      </c>
      <c r="E3" s="171" t="s">
        <v>71</v>
      </c>
      <c r="F3" s="172" t="s">
        <v>72</v>
      </c>
      <c r="G3" s="172" t="s">
        <v>73</v>
      </c>
      <c r="H3" s="172" t="s">
        <v>74</v>
      </c>
      <c r="I3" s="172" t="s">
        <v>75</v>
      </c>
      <c r="J3" s="172" t="s">
        <v>76</v>
      </c>
      <c r="K3" s="172" t="s">
        <v>77</v>
      </c>
      <c r="L3" s="172" t="s">
        <v>78</v>
      </c>
      <c r="M3" s="172" t="s">
        <v>79</v>
      </c>
    </row>
    <row r="4" spans="1:13" ht="14.4" customHeight="1" x14ac:dyDescent="0.3">
      <c r="A4" s="170" t="s">
        <v>67</v>
      </c>
      <c r="B4" s="173">
        <f>(B10+B8)/B6</f>
        <v>0.5841930611945183</v>
      </c>
      <c r="C4" s="173">
        <f t="shared" ref="C4:M4" si="0">(C10+C8)/C6</f>
        <v>0.57434410612415743</v>
      </c>
      <c r="D4" s="173">
        <f t="shared" si="0"/>
        <v>0.5957562760714985</v>
      </c>
      <c r="E4" s="173">
        <f t="shared" si="0"/>
        <v>0.61898206044477888</v>
      </c>
      <c r="F4" s="173">
        <f t="shared" si="0"/>
        <v>0.62377542527794128</v>
      </c>
      <c r="G4" s="173">
        <f t="shared" si="0"/>
        <v>0.63218261497127703</v>
      </c>
      <c r="H4" s="173">
        <f t="shared" si="0"/>
        <v>0.57847359412007515</v>
      </c>
      <c r="I4" s="173">
        <f t="shared" si="0"/>
        <v>0.55042248986426245</v>
      </c>
      <c r="J4" s="173">
        <f t="shared" si="0"/>
        <v>0.55042248986426245</v>
      </c>
      <c r="K4" s="173">
        <f t="shared" si="0"/>
        <v>0.55042248986426245</v>
      </c>
      <c r="L4" s="173">
        <f t="shared" si="0"/>
        <v>0.55042248986426245</v>
      </c>
      <c r="M4" s="173">
        <f t="shared" si="0"/>
        <v>0.55042248986426245</v>
      </c>
    </row>
    <row r="5" spans="1:13" ht="14.4" customHeight="1" x14ac:dyDescent="0.3">
      <c r="A5" s="174" t="s">
        <v>39</v>
      </c>
      <c r="B5" s="173">
        <f>IF(ISERROR(VLOOKUP($A5,'Man Tab'!$A:$Q,COLUMN()+2,0)),0,VLOOKUP($A5,'Man Tab'!$A:$Q,COLUMN()+2,0))</f>
        <v>596.21385999999995</v>
      </c>
      <c r="C5" s="173">
        <f>IF(ISERROR(VLOOKUP($A5,'Man Tab'!$A:$Q,COLUMN()+2,0)),0,VLOOKUP($A5,'Man Tab'!$A:$Q,COLUMN()+2,0))</f>
        <v>581.22662000000196</v>
      </c>
      <c r="D5" s="173">
        <f>IF(ISERROR(VLOOKUP($A5,'Man Tab'!$A:$Q,COLUMN()+2,0)),0,VLOOKUP($A5,'Man Tab'!$A:$Q,COLUMN()+2,0))</f>
        <v>580.07016999999996</v>
      </c>
      <c r="E5" s="173">
        <f>IF(ISERROR(VLOOKUP($A5,'Man Tab'!$A:$Q,COLUMN()+2,0)),0,VLOOKUP($A5,'Man Tab'!$A:$Q,COLUMN()+2,0))</f>
        <v>596.45740999999998</v>
      </c>
      <c r="F5" s="173">
        <f>IF(ISERROR(VLOOKUP($A5,'Man Tab'!$A:$Q,COLUMN()+2,0)),0,VLOOKUP($A5,'Man Tab'!$A:$Q,COLUMN()+2,0))</f>
        <v>541.53715999999997</v>
      </c>
      <c r="G5" s="173">
        <f>IF(ISERROR(VLOOKUP($A5,'Man Tab'!$A:$Q,COLUMN()+2,0)),0,VLOOKUP($A5,'Man Tab'!$A:$Q,COLUMN()+2,0))</f>
        <v>554.79371000000003</v>
      </c>
      <c r="H5" s="173">
        <f>IF(ISERROR(VLOOKUP($A5,'Man Tab'!$A:$Q,COLUMN()+2,0)),0,VLOOKUP($A5,'Man Tab'!$A:$Q,COLUMN()+2,0))</f>
        <v>800.56925999999999</v>
      </c>
      <c r="I5" s="173">
        <f>IF(ISERROR(VLOOKUP($A5,'Man Tab'!$A:$Q,COLUMN()+2,0)),0,VLOOKUP($A5,'Man Tab'!$A:$Q,COLUMN()+2,0))</f>
        <v>569.92319999999995</v>
      </c>
      <c r="J5" s="173">
        <f>IF(ISERROR(VLOOKUP($A5,'Man Tab'!$A:$Q,COLUMN()+2,0)),0,VLOOKUP($A5,'Man Tab'!$A:$Q,COLUMN()+2,0))</f>
        <v>0</v>
      </c>
      <c r="K5" s="173">
        <f>IF(ISERROR(VLOOKUP($A5,'Man Tab'!$A:$Q,COLUMN()+2,0)),0,VLOOKUP($A5,'Man Tab'!$A:$Q,COLUMN()+2,0))</f>
        <v>0</v>
      </c>
      <c r="L5" s="173">
        <f>IF(ISERROR(VLOOKUP($A5,'Man Tab'!$A:$Q,COLUMN()+2,0)),0,VLOOKUP($A5,'Man Tab'!$A:$Q,COLUMN()+2,0))</f>
        <v>0</v>
      </c>
      <c r="M5" s="173">
        <f>IF(ISERROR(VLOOKUP($A5,'Man Tab'!$A:$Q,COLUMN()+2,0)),0,VLOOKUP($A5,'Man Tab'!$A:$Q,COLUMN()+2,0))</f>
        <v>0</v>
      </c>
    </row>
    <row r="6" spans="1:13" ht="14.4" customHeight="1" x14ac:dyDescent="0.3">
      <c r="A6" s="174" t="s">
        <v>63</v>
      </c>
      <c r="B6" s="175">
        <f>B5</f>
        <v>596.21385999999995</v>
      </c>
      <c r="C6" s="175">
        <f t="shared" ref="C6:M6" si="1">C5+B6</f>
        <v>1177.440480000002</v>
      </c>
      <c r="D6" s="175">
        <f t="shared" si="1"/>
        <v>1757.510650000002</v>
      </c>
      <c r="E6" s="175">
        <f t="shared" si="1"/>
        <v>2353.968060000002</v>
      </c>
      <c r="F6" s="175">
        <f t="shared" si="1"/>
        <v>2895.5052200000018</v>
      </c>
      <c r="G6" s="175">
        <f t="shared" si="1"/>
        <v>3450.2989300000017</v>
      </c>
      <c r="H6" s="175">
        <f t="shared" si="1"/>
        <v>4250.868190000002</v>
      </c>
      <c r="I6" s="175">
        <f t="shared" si="1"/>
        <v>4820.7913900000021</v>
      </c>
      <c r="J6" s="175">
        <f t="shared" si="1"/>
        <v>4820.7913900000021</v>
      </c>
      <c r="K6" s="175">
        <f t="shared" si="1"/>
        <v>4820.7913900000021</v>
      </c>
      <c r="L6" s="175">
        <f t="shared" si="1"/>
        <v>4820.7913900000021</v>
      </c>
      <c r="M6" s="175">
        <f t="shared" si="1"/>
        <v>4820.7913900000021</v>
      </c>
    </row>
    <row r="7" spans="1:13" ht="14.4" customHeight="1" x14ac:dyDescent="0.3">
      <c r="A7" s="174" t="s">
        <v>88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</row>
    <row r="8" spans="1:13" ht="14.4" customHeight="1" x14ac:dyDescent="0.3">
      <c r="A8" s="174" t="s">
        <v>64</v>
      </c>
      <c r="B8" s="175">
        <f>B7*30</f>
        <v>0</v>
      </c>
      <c r="C8" s="175">
        <f t="shared" ref="C8:M8" si="2">C7*30</f>
        <v>0</v>
      </c>
      <c r="D8" s="175">
        <f t="shared" si="2"/>
        <v>0</v>
      </c>
      <c r="E8" s="175">
        <f t="shared" si="2"/>
        <v>0</v>
      </c>
      <c r="F8" s="175">
        <f t="shared" si="2"/>
        <v>0</v>
      </c>
      <c r="G8" s="175">
        <f t="shared" si="2"/>
        <v>0</v>
      </c>
      <c r="H8" s="175">
        <f t="shared" si="2"/>
        <v>0</v>
      </c>
      <c r="I8" s="175">
        <f t="shared" si="2"/>
        <v>0</v>
      </c>
      <c r="J8" s="175">
        <f t="shared" si="2"/>
        <v>0</v>
      </c>
      <c r="K8" s="175">
        <f t="shared" si="2"/>
        <v>0</v>
      </c>
      <c r="L8" s="175">
        <f t="shared" si="2"/>
        <v>0</v>
      </c>
      <c r="M8" s="175">
        <f t="shared" si="2"/>
        <v>0</v>
      </c>
    </row>
    <row r="9" spans="1:13" ht="14.4" customHeight="1" x14ac:dyDescent="0.3">
      <c r="A9" s="174" t="s">
        <v>89</v>
      </c>
      <c r="B9" s="174">
        <v>348304</v>
      </c>
      <c r="C9" s="174">
        <v>327952</v>
      </c>
      <c r="D9" s="174">
        <v>370792</v>
      </c>
      <c r="E9" s="174">
        <v>410016</v>
      </c>
      <c r="F9" s="174">
        <v>349081</v>
      </c>
      <c r="G9" s="174">
        <v>375074</v>
      </c>
      <c r="H9" s="174">
        <v>277796</v>
      </c>
      <c r="I9" s="174">
        <v>194457</v>
      </c>
      <c r="J9" s="174">
        <v>0</v>
      </c>
      <c r="K9" s="174">
        <v>0</v>
      </c>
      <c r="L9" s="174">
        <v>0</v>
      </c>
      <c r="M9" s="174">
        <v>0</v>
      </c>
    </row>
    <row r="10" spans="1:13" ht="14.4" customHeight="1" x14ac:dyDescent="0.3">
      <c r="A10" s="174" t="s">
        <v>65</v>
      </c>
      <c r="B10" s="175">
        <f>B9/1000</f>
        <v>348.30399999999997</v>
      </c>
      <c r="C10" s="175">
        <f t="shared" ref="C10:M10" si="3">C9/1000+B10</f>
        <v>676.25599999999997</v>
      </c>
      <c r="D10" s="175">
        <f t="shared" si="3"/>
        <v>1047.048</v>
      </c>
      <c r="E10" s="175">
        <f t="shared" si="3"/>
        <v>1457.0640000000001</v>
      </c>
      <c r="F10" s="175">
        <f t="shared" si="3"/>
        <v>1806.145</v>
      </c>
      <c r="G10" s="175">
        <f t="shared" si="3"/>
        <v>2181.2190000000001</v>
      </c>
      <c r="H10" s="175">
        <f t="shared" si="3"/>
        <v>2459.0149999999999</v>
      </c>
      <c r="I10" s="175">
        <f t="shared" si="3"/>
        <v>2653.4719999999998</v>
      </c>
      <c r="J10" s="175">
        <f t="shared" si="3"/>
        <v>2653.4719999999998</v>
      </c>
      <c r="K10" s="175">
        <f t="shared" si="3"/>
        <v>2653.4719999999998</v>
      </c>
      <c r="L10" s="175">
        <f t="shared" si="3"/>
        <v>2653.4719999999998</v>
      </c>
      <c r="M10" s="175">
        <f t="shared" si="3"/>
        <v>2653.4719999999998</v>
      </c>
    </row>
    <row r="11" spans="1:13" ht="14.4" customHeight="1" x14ac:dyDescent="0.3">
      <c r="A11" s="170"/>
      <c r="B11" s="170" t="s">
        <v>80</v>
      </c>
      <c r="C11" s="170">
        <f ca="1">IF(MONTH(TODAY())=1,12,MONTH(TODAY())-1)</f>
        <v>8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ht="14.4" customHeight="1" x14ac:dyDescent="0.3">
      <c r="A12" s="170">
        <v>0</v>
      </c>
      <c r="B12" s="173">
        <f>IF(ISERROR(HI!F15),#REF!,HI!F15)</f>
        <v>0.48108682295260768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 ht="14.4" customHeight="1" x14ac:dyDescent="0.3">
      <c r="A13" s="170">
        <v>1</v>
      </c>
      <c r="B13" s="173">
        <f>IF(ISERROR(HI!F15),#REF!,HI!F15)</f>
        <v>0.48108682295260768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6" customFormat="1" ht="18.600000000000001" customHeight="1" thickBot="1" x14ac:dyDescent="0.4">
      <c r="A1" s="301" t="s">
        <v>248</v>
      </c>
      <c r="B1" s="301"/>
      <c r="C1" s="301"/>
      <c r="D1" s="301"/>
      <c r="E1" s="301"/>
      <c r="F1" s="301"/>
      <c r="G1" s="301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17" s="176" customFormat="1" ht="14.4" customHeight="1" thickBot="1" x14ac:dyDescent="0.3">
      <c r="A2" s="201" t="s">
        <v>246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4.4" customHeight="1" x14ac:dyDescent="0.3">
      <c r="A3" s="60"/>
      <c r="B3" s="302" t="s">
        <v>15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223</v>
      </c>
      <c r="E4" s="104" t="s">
        <v>224</v>
      </c>
      <c r="F4" s="104" t="s">
        <v>225</v>
      </c>
      <c r="G4" s="104" t="s">
        <v>226</v>
      </c>
      <c r="H4" s="104" t="s">
        <v>227</v>
      </c>
      <c r="I4" s="104" t="s">
        <v>228</v>
      </c>
      <c r="J4" s="104" t="s">
        <v>229</v>
      </c>
      <c r="K4" s="104" t="s">
        <v>230</v>
      </c>
      <c r="L4" s="104" t="s">
        <v>231</v>
      </c>
      <c r="M4" s="104" t="s">
        <v>232</v>
      </c>
      <c r="N4" s="104" t="s">
        <v>233</v>
      </c>
      <c r="O4" s="104" t="s">
        <v>234</v>
      </c>
      <c r="P4" s="304" t="s">
        <v>3</v>
      </c>
      <c r="Q4" s="305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247</v>
      </c>
    </row>
    <row r="7" spans="1:17" ht="14.4" customHeight="1" x14ac:dyDescent="0.3">
      <c r="A7" s="15" t="s">
        <v>21</v>
      </c>
      <c r="B7" s="46">
        <v>1</v>
      </c>
      <c r="C7" s="47">
        <v>8.3333333332999998E-2</v>
      </c>
      <c r="D7" s="47">
        <v>0</v>
      </c>
      <c r="E7" s="47">
        <v>0</v>
      </c>
      <c r="F7" s="47">
        <v>0</v>
      </c>
      <c r="G7" s="47">
        <v>0</v>
      </c>
      <c r="H7" s="47">
        <v>0.75165000000000004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0.75165000000000004</v>
      </c>
      <c r="Q7" s="71">
        <v>1.127475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247</v>
      </c>
    </row>
    <row r="9" spans="1:17" ht="14.4" customHeight="1" x14ac:dyDescent="0.3">
      <c r="A9" s="15" t="s">
        <v>23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1" t="s">
        <v>247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247</v>
      </c>
    </row>
    <row r="11" spans="1:17" ht="14.4" customHeight="1" x14ac:dyDescent="0.3">
      <c r="A11" s="15" t="s">
        <v>25</v>
      </c>
      <c r="B11" s="46">
        <v>131.72653222641901</v>
      </c>
      <c r="C11" s="47">
        <v>10.977211018867999</v>
      </c>
      <c r="D11" s="47">
        <v>0.48709999999999998</v>
      </c>
      <c r="E11" s="47">
        <v>1.06237</v>
      </c>
      <c r="F11" s="47">
        <v>0.55659999999999998</v>
      </c>
      <c r="G11" s="47">
        <v>3.6682999999999999</v>
      </c>
      <c r="H11" s="47">
        <v>5.58073</v>
      </c>
      <c r="I11" s="47">
        <v>0.88114000000000003</v>
      </c>
      <c r="J11" s="47">
        <v>0.59760000000000002</v>
      </c>
      <c r="K11" s="47">
        <v>5.2141599999999997</v>
      </c>
      <c r="L11" s="47">
        <v>0</v>
      </c>
      <c r="M11" s="47">
        <v>0</v>
      </c>
      <c r="N11" s="47">
        <v>0</v>
      </c>
      <c r="O11" s="47">
        <v>0</v>
      </c>
      <c r="P11" s="48">
        <v>18.047999999999998</v>
      </c>
      <c r="Q11" s="71">
        <v>0.205516683256</v>
      </c>
    </row>
    <row r="12" spans="1:17" ht="14.4" customHeight="1" x14ac:dyDescent="0.3">
      <c r="A12" s="15" t="s">
        <v>26</v>
      </c>
      <c r="B12" s="46">
        <v>0.99999996850200001</v>
      </c>
      <c r="C12" s="47">
        <v>8.3333330708000003E-2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>
        <v>0</v>
      </c>
    </row>
    <row r="13" spans="1:17" ht="14.4" customHeight="1" x14ac:dyDescent="0.3">
      <c r="A13" s="15" t="s">
        <v>27</v>
      </c>
      <c r="B13" s="46">
        <v>2.9999999055069999</v>
      </c>
      <c r="C13" s="47">
        <v>0.24999999212499999</v>
      </c>
      <c r="D13" s="47">
        <v>0</v>
      </c>
      <c r="E13" s="47">
        <v>0</v>
      </c>
      <c r="F13" s="47">
        <v>0.93654000000000004</v>
      </c>
      <c r="G13" s="47">
        <v>0.46342</v>
      </c>
      <c r="H13" s="47">
        <v>0</v>
      </c>
      <c r="I13" s="47">
        <v>0</v>
      </c>
      <c r="J13" s="47">
        <v>1.6734599999999999</v>
      </c>
      <c r="K13" s="47">
        <v>1.5826800000000001</v>
      </c>
      <c r="L13" s="47">
        <v>0</v>
      </c>
      <c r="M13" s="47">
        <v>0</v>
      </c>
      <c r="N13" s="47">
        <v>0</v>
      </c>
      <c r="O13" s="47">
        <v>0</v>
      </c>
      <c r="P13" s="48">
        <v>4.6561000000000003</v>
      </c>
      <c r="Q13" s="71">
        <v>2.3280500733270002</v>
      </c>
    </row>
    <row r="14" spans="1:17" ht="14.4" customHeight="1" x14ac:dyDescent="0.3">
      <c r="A14" s="15" t="s">
        <v>28</v>
      </c>
      <c r="B14" s="46">
        <v>85.694050698287995</v>
      </c>
      <c r="C14" s="47">
        <v>7.1411708915240002</v>
      </c>
      <c r="D14" s="47">
        <v>11.471</v>
      </c>
      <c r="E14" s="47">
        <v>9.6959999999999997</v>
      </c>
      <c r="F14" s="47">
        <v>9.1129999999999995</v>
      </c>
      <c r="G14" s="47">
        <v>7.3570000000000002</v>
      </c>
      <c r="H14" s="47">
        <v>5.4950000000000001</v>
      </c>
      <c r="I14" s="47">
        <v>4.3170000000000002</v>
      </c>
      <c r="J14" s="47">
        <v>4.1689999999999996</v>
      </c>
      <c r="K14" s="47">
        <v>4.0990000000000002</v>
      </c>
      <c r="L14" s="47">
        <v>0</v>
      </c>
      <c r="M14" s="47">
        <v>0</v>
      </c>
      <c r="N14" s="47">
        <v>0</v>
      </c>
      <c r="O14" s="47">
        <v>0</v>
      </c>
      <c r="P14" s="48">
        <v>55.716999999999999</v>
      </c>
      <c r="Q14" s="71">
        <v>0.97527773887400004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247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247</v>
      </c>
    </row>
    <row r="17" spans="1:17" ht="14.4" customHeight="1" x14ac:dyDescent="0.3">
      <c r="A17" s="15" t="s">
        <v>31</v>
      </c>
      <c r="B17" s="46">
        <v>24.539564812719998</v>
      </c>
      <c r="C17" s="47">
        <v>2.0449637343929998</v>
      </c>
      <c r="D17" s="47">
        <v>1.8754999999999999</v>
      </c>
      <c r="E17" s="47">
        <v>0</v>
      </c>
      <c r="F17" s="47">
        <v>0.68244000000000005</v>
      </c>
      <c r="G17" s="47">
        <v>0</v>
      </c>
      <c r="H17" s="47">
        <v>0</v>
      </c>
      <c r="I17" s="47">
        <v>1.05633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3.6142699999999999</v>
      </c>
      <c r="Q17" s="71">
        <v>0.22092506698299999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1.03</v>
      </c>
      <c r="H18" s="47">
        <v>1.528</v>
      </c>
      <c r="I18" s="47">
        <v>3.6640000000000001</v>
      </c>
      <c r="J18" s="47">
        <v>0.69399999999999995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6.9160000000000004</v>
      </c>
      <c r="Q18" s="71" t="s">
        <v>247</v>
      </c>
    </row>
    <row r="19" spans="1:17" ht="14.4" customHeight="1" x14ac:dyDescent="0.3">
      <c r="A19" s="15" t="s">
        <v>33</v>
      </c>
      <c r="B19" s="46">
        <v>84.607850376524993</v>
      </c>
      <c r="C19" s="47">
        <v>7.0506541980430004</v>
      </c>
      <c r="D19" s="47">
        <v>4.5395599999999998</v>
      </c>
      <c r="E19" s="47">
        <v>3.8446400000000001</v>
      </c>
      <c r="F19" s="47">
        <v>4.3200500000000002</v>
      </c>
      <c r="G19" s="47">
        <v>5.3760199999999996</v>
      </c>
      <c r="H19" s="47">
        <v>4.0161300000000004</v>
      </c>
      <c r="I19" s="47">
        <v>4.1488199999999997</v>
      </c>
      <c r="J19" s="47">
        <v>5.36104</v>
      </c>
      <c r="K19" s="47">
        <v>2.9203600000000001</v>
      </c>
      <c r="L19" s="47">
        <v>0</v>
      </c>
      <c r="M19" s="47">
        <v>0</v>
      </c>
      <c r="N19" s="47">
        <v>0</v>
      </c>
      <c r="O19" s="47">
        <v>0</v>
      </c>
      <c r="P19" s="48">
        <v>34.526620000000001</v>
      </c>
      <c r="Q19" s="71">
        <v>0.612117312631</v>
      </c>
    </row>
    <row r="20" spans="1:17" ht="14.4" customHeight="1" x14ac:dyDescent="0.3">
      <c r="A20" s="15" t="s">
        <v>34</v>
      </c>
      <c r="B20" s="46">
        <v>7035.9997783830504</v>
      </c>
      <c r="C20" s="47">
        <v>586.33331486525401</v>
      </c>
      <c r="D20" s="47">
        <v>574.30070000000001</v>
      </c>
      <c r="E20" s="47">
        <v>563.08361000000104</v>
      </c>
      <c r="F20" s="47">
        <v>560.92154000000005</v>
      </c>
      <c r="G20" s="47">
        <v>563.02266999999995</v>
      </c>
      <c r="H20" s="47">
        <v>518.32565</v>
      </c>
      <c r="I20" s="47">
        <v>528.38642000000004</v>
      </c>
      <c r="J20" s="47">
        <v>781.02516000000003</v>
      </c>
      <c r="K20" s="47">
        <v>552.42200000000003</v>
      </c>
      <c r="L20" s="47">
        <v>0</v>
      </c>
      <c r="M20" s="47">
        <v>0</v>
      </c>
      <c r="N20" s="47">
        <v>0</v>
      </c>
      <c r="O20" s="47">
        <v>0</v>
      </c>
      <c r="P20" s="48">
        <v>4641.4877500000002</v>
      </c>
      <c r="Q20" s="71">
        <v>0.98951561175199998</v>
      </c>
    </row>
    <row r="21" spans="1:17" ht="14.4" customHeight="1" x14ac:dyDescent="0.3">
      <c r="A21" s="16" t="s">
        <v>35</v>
      </c>
      <c r="B21" s="46">
        <v>42.999983767379</v>
      </c>
      <c r="C21" s="47">
        <v>3.583331980614</v>
      </c>
      <c r="D21" s="47">
        <v>3.54</v>
      </c>
      <c r="E21" s="47">
        <v>3.54</v>
      </c>
      <c r="F21" s="47">
        <v>3.54</v>
      </c>
      <c r="G21" s="47">
        <v>3.54</v>
      </c>
      <c r="H21" s="47">
        <v>3.54</v>
      </c>
      <c r="I21" s="47">
        <v>3.54</v>
      </c>
      <c r="J21" s="47">
        <v>3.54</v>
      </c>
      <c r="K21" s="47">
        <v>3.54</v>
      </c>
      <c r="L21" s="47">
        <v>0</v>
      </c>
      <c r="M21" s="47">
        <v>0</v>
      </c>
      <c r="N21" s="47">
        <v>0</v>
      </c>
      <c r="O21" s="47">
        <v>0</v>
      </c>
      <c r="P21" s="48">
        <v>28.32</v>
      </c>
      <c r="Q21" s="71">
        <v>0.98790734968100002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3.5089999999999999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3.5089999999999999</v>
      </c>
      <c r="Q22" s="71" t="s">
        <v>247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247</v>
      </c>
    </row>
    <row r="24" spans="1:17" ht="14.4" customHeight="1" x14ac:dyDescent="0.3">
      <c r="A24" s="16" t="s">
        <v>38</v>
      </c>
      <c r="B24" s="46">
        <v>9.0949470177292804E-13</v>
      </c>
      <c r="C24" s="47">
        <v>1.13686837721616E-13</v>
      </c>
      <c r="D24" s="47">
        <v>1.13686837721616E-13</v>
      </c>
      <c r="E24" s="47">
        <v>1.13686837721616E-13</v>
      </c>
      <c r="F24" s="47">
        <v>2.2737367544323201E-13</v>
      </c>
      <c r="G24" s="47">
        <v>12</v>
      </c>
      <c r="H24" s="47">
        <v>2.2999999999999998</v>
      </c>
      <c r="I24" s="47">
        <v>8.8000000000000007</v>
      </c>
      <c r="J24" s="47">
        <v>1.13686837721616E-13</v>
      </c>
      <c r="K24" s="47">
        <v>0.14499999999999999</v>
      </c>
      <c r="L24" s="47">
        <v>0</v>
      </c>
      <c r="M24" s="47">
        <v>0</v>
      </c>
      <c r="N24" s="47">
        <v>0</v>
      </c>
      <c r="O24" s="47">
        <v>0</v>
      </c>
      <c r="P24" s="48">
        <v>23.245000000000999</v>
      </c>
      <c r="Q24" s="71"/>
    </row>
    <row r="25" spans="1:17" ht="14.4" customHeight="1" x14ac:dyDescent="0.3">
      <c r="A25" s="17" t="s">
        <v>39</v>
      </c>
      <c r="B25" s="49">
        <v>7410.5677601384004</v>
      </c>
      <c r="C25" s="50">
        <v>617.54731334486598</v>
      </c>
      <c r="D25" s="50">
        <v>596.21385999999995</v>
      </c>
      <c r="E25" s="50">
        <v>581.22662000000196</v>
      </c>
      <c r="F25" s="50">
        <v>580.07016999999996</v>
      </c>
      <c r="G25" s="50">
        <v>596.45740999999998</v>
      </c>
      <c r="H25" s="50">
        <v>541.53715999999997</v>
      </c>
      <c r="I25" s="50">
        <v>554.79371000000003</v>
      </c>
      <c r="J25" s="50">
        <v>800.56925999999999</v>
      </c>
      <c r="K25" s="50">
        <v>569.92319999999995</v>
      </c>
      <c r="L25" s="50">
        <v>0</v>
      </c>
      <c r="M25" s="50">
        <v>0</v>
      </c>
      <c r="N25" s="50">
        <v>0</v>
      </c>
      <c r="O25" s="50">
        <v>0</v>
      </c>
      <c r="P25" s="51">
        <v>4820.7913900000003</v>
      </c>
      <c r="Q25" s="72">
        <v>0.975793936315</v>
      </c>
    </row>
    <row r="26" spans="1:17" ht="14.4" customHeight="1" x14ac:dyDescent="0.3">
      <c r="A26" s="15" t="s">
        <v>40</v>
      </c>
      <c r="B26" s="46">
        <v>1007.7928227074</v>
      </c>
      <c r="C26" s="47">
        <v>83.982735225615997</v>
      </c>
      <c r="D26" s="47">
        <v>73.693659999999994</v>
      </c>
      <c r="E26" s="47">
        <v>78.450239999999994</v>
      </c>
      <c r="F26" s="47">
        <v>84.450609999999998</v>
      </c>
      <c r="G26" s="47">
        <v>76.334199999999996</v>
      </c>
      <c r="H26" s="47">
        <v>64.129159999999999</v>
      </c>
      <c r="I26" s="47">
        <v>88.237989999999996</v>
      </c>
      <c r="J26" s="47">
        <v>98.983029999999999</v>
      </c>
      <c r="K26" s="47">
        <v>64.786259999999999</v>
      </c>
      <c r="L26" s="47">
        <v>0</v>
      </c>
      <c r="M26" s="47">
        <v>0</v>
      </c>
      <c r="N26" s="47">
        <v>0</v>
      </c>
      <c r="O26" s="47">
        <v>0</v>
      </c>
      <c r="P26" s="48">
        <v>629.06515000000104</v>
      </c>
      <c r="Q26" s="71">
        <v>0.93630129500699999</v>
      </c>
    </row>
    <row r="27" spans="1:17" ht="14.4" customHeight="1" x14ac:dyDescent="0.3">
      <c r="A27" s="18" t="s">
        <v>41</v>
      </c>
      <c r="B27" s="49">
        <v>8418.3605828457894</v>
      </c>
      <c r="C27" s="50">
        <v>701.53004857048302</v>
      </c>
      <c r="D27" s="50">
        <v>669.90751999999998</v>
      </c>
      <c r="E27" s="50">
        <v>659.67686000000197</v>
      </c>
      <c r="F27" s="50">
        <v>664.52077999999995</v>
      </c>
      <c r="G27" s="50">
        <v>672.79160999999999</v>
      </c>
      <c r="H27" s="50">
        <v>605.66632000000004</v>
      </c>
      <c r="I27" s="50">
        <v>643.0317</v>
      </c>
      <c r="J27" s="50">
        <v>899.55228999999997</v>
      </c>
      <c r="K27" s="50">
        <v>634.70946000000004</v>
      </c>
      <c r="L27" s="50">
        <v>0</v>
      </c>
      <c r="M27" s="50">
        <v>0</v>
      </c>
      <c r="N27" s="50">
        <v>0</v>
      </c>
      <c r="O27" s="50">
        <v>0</v>
      </c>
      <c r="P27" s="51">
        <v>5449.8565399999998</v>
      </c>
      <c r="Q27" s="72">
        <v>0.97106612737099995</v>
      </c>
    </row>
    <row r="28" spans="1:17" ht="14.4" customHeight="1" x14ac:dyDescent="0.3">
      <c r="A28" s="16" t="s">
        <v>42</v>
      </c>
      <c r="B28" s="46">
        <v>21.588098358027001</v>
      </c>
      <c r="C28" s="47">
        <v>1.7990081965019999</v>
      </c>
      <c r="D28" s="47">
        <v>2.2051099999999999</v>
      </c>
      <c r="E28" s="47">
        <v>9.5720100000000006</v>
      </c>
      <c r="F28" s="47">
        <v>3.1906699999999999</v>
      </c>
      <c r="G28" s="47">
        <v>0</v>
      </c>
      <c r="H28" s="47">
        <v>9.5720100000000006</v>
      </c>
      <c r="I28" s="47">
        <v>0</v>
      </c>
      <c r="J28" s="47">
        <v>2.4020000000000001</v>
      </c>
      <c r="K28" s="47">
        <v>3.1906699999999999</v>
      </c>
      <c r="L28" s="47">
        <v>0</v>
      </c>
      <c r="M28" s="47">
        <v>0</v>
      </c>
      <c r="N28" s="47">
        <v>0</v>
      </c>
      <c r="O28" s="47">
        <v>0</v>
      </c>
      <c r="P28" s="48">
        <v>30.132470000000001</v>
      </c>
      <c r="Q28" s="71">
        <v>2.0936862640879998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247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247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127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1" t="s">
        <v>47</v>
      </c>
      <c r="B1" s="301"/>
      <c r="C1" s="301"/>
      <c r="D1" s="301"/>
      <c r="E1" s="301"/>
      <c r="F1" s="301"/>
      <c r="G1" s="301"/>
      <c r="H1" s="306"/>
      <c r="I1" s="306"/>
      <c r="J1" s="306"/>
      <c r="K1" s="306"/>
    </row>
    <row r="2" spans="1:11" s="55" customFormat="1" ht="14.4" customHeight="1" thickBot="1" x14ac:dyDescent="0.35">
      <c r="A2" s="201" t="s">
        <v>246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2" t="s">
        <v>48</v>
      </c>
      <c r="C3" s="303"/>
      <c r="D3" s="303"/>
      <c r="E3" s="303"/>
      <c r="F3" s="309" t="s">
        <v>49</v>
      </c>
      <c r="G3" s="303"/>
      <c r="H3" s="303"/>
      <c r="I3" s="303"/>
      <c r="J3" s="303"/>
      <c r="K3" s="310"/>
    </row>
    <row r="4" spans="1:11" ht="14.4" customHeight="1" x14ac:dyDescent="0.3">
      <c r="A4" s="61"/>
      <c r="B4" s="307"/>
      <c r="C4" s="308"/>
      <c r="D4" s="308"/>
      <c r="E4" s="308"/>
      <c r="F4" s="311" t="s">
        <v>239</v>
      </c>
      <c r="G4" s="313" t="s">
        <v>50</v>
      </c>
      <c r="H4" s="116" t="s">
        <v>117</v>
      </c>
      <c r="I4" s="311" t="s">
        <v>51</v>
      </c>
      <c r="J4" s="313" t="s">
        <v>241</v>
      </c>
      <c r="K4" s="314" t="s">
        <v>242</v>
      </c>
    </row>
    <row r="5" spans="1:11" ht="42" thickBot="1" x14ac:dyDescent="0.35">
      <c r="A5" s="62"/>
      <c r="B5" s="24" t="s">
        <v>235</v>
      </c>
      <c r="C5" s="25" t="s">
        <v>236</v>
      </c>
      <c r="D5" s="26" t="s">
        <v>237</v>
      </c>
      <c r="E5" s="26" t="s">
        <v>238</v>
      </c>
      <c r="F5" s="312"/>
      <c r="G5" s="312"/>
      <c r="H5" s="25" t="s">
        <v>240</v>
      </c>
      <c r="I5" s="312"/>
      <c r="J5" s="312"/>
      <c r="K5" s="315"/>
    </row>
    <row r="6" spans="1:11" ht="14.4" customHeight="1" thickBot="1" x14ac:dyDescent="0.35">
      <c r="A6" s="378" t="s">
        <v>249</v>
      </c>
      <c r="B6" s="360">
        <v>7223.1358573261996</v>
      </c>
      <c r="C6" s="360">
        <v>7190.9583300000004</v>
      </c>
      <c r="D6" s="361">
        <v>-32.177527326198003</v>
      </c>
      <c r="E6" s="362">
        <v>0.99554521360699999</v>
      </c>
      <c r="F6" s="360">
        <v>7410.5677601384004</v>
      </c>
      <c r="G6" s="361">
        <v>4940.3785067589297</v>
      </c>
      <c r="H6" s="363">
        <v>569.92319999999995</v>
      </c>
      <c r="I6" s="360">
        <v>4820.7913900000003</v>
      </c>
      <c r="J6" s="361">
        <v>-119.58711675892999</v>
      </c>
      <c r="K6" s="364">
        <v>0.65052929087699995</v>
      </c>
    </row>
    <row r="7" spans="1:11" ht="14.4" customHeight="1" thickBot="1" x14ac:dyDescent="0.35">
      <c r="A7" s="379" t="s">
        <v>250</v>
      </c>
      <c r="B7" s="360">
        <v>148.68150012419201</v>
      </c>
      <c r="C7" s="360">
        <v>124.78225</v>
      </c>
      <c r="D7" s="361">
        <v>-23.899250124192001</v>
      </c>
      <c r="E7" s="362">
        <v>0.83925875038700004</v>
      </c>
      <c r="F7" s="360">
        <v>222.420582798716</v>
      </c>
      <c r="G7" s="361">
        <v>148.28038853247801</v>
      </c>
      <c r="H7" s="363">
        <v>10.89584</v>
      </c>
      <c r="I7" s="360">
        <v>79.172749999999994</v>
      </c>
      <c r="J7" s="361">
        <v>-69.107638532476997</v>
      </c>
      <c r="K7" s="364">
        <v>0.35595963738500003</v>
      </c>
    </row>
    <row r="8" spans="1:11" ht="14.4" customHeight="1" thickBot="1" x14ac:dyDescent="0.35">
      <c r="A8" s="380" t="s">
        <v>251</v>
      </c>
      <c r="B8" s="360">
        <v>58.586599890715</v>
      </c>
      <c r="C8" s="360">
        <v>42.981250000000003</v>
      </c>
      <c r="D8" s="361">
        <v>-15.605349890715001</v>
      </c>
      <c r="E8" s="362">
        <v>0.73363619121300006</v>
      </c>
      <c r="F8" s="360">
        <v>136.72653210042799</v>
      </c>
      <c r="G8" s="361">
        <v>91.151021400285003</v>
      </c>
      <c r="H8" s="363">
        <v>6.7968400000000004</v>
      </c>
      <c r="I8" s="360">
        <v>23.455749999999998</v>
      </c>
      <c r="J8" s="361">
        <v>-67.695271400284994</v>
      </c>
      <c r="K8" s="364">
        <v>0.17155229229899999</v>
      </c>
    </row>
    <row r="9" spans="1:11" ht="14.4" customHeight="1" thickBot="1" x14ac:dyDescent="0.35">
      <c r="A9" s="381" t="s">
        <v>252</v>
      </c>
      <c r="B9" s="365">
        <v>0.56372669448699997</v>
      </c>
      <c r="C9" s="365">
        <v>0</v>
      </c>
      <c r="D9" s="366">
        <v>-0.56372669448699997</v>
      </c>
      <c r="E9" s="367">
        <v>0</v>
      </c>
      <c r="F9" s="365">
        <v>1</v>
      </c>
      <c r="G9" s="366">
        <v>0.66666666666600005</v>
      </c>
      <c r="H9" s="368">
        <v>0</v>
      </c>
      <c r="I9" s="365">
        <v>0.75165000000000004</v>
      </c>
      <c r="J9" s="366">
        <v>8.4983333332999997E-2</v>
      </c>
      <c r="K9" s="369">
        <v>0.75165000000000004</v>
      </c>
    </row>
    <row r="10" spans="1:11" ht="14.4" customHeight="1" thickBot="1" x14ac:dyDescent="0.35">
      <c r="A10" s="382" t="s">
        <v>253</v>
      </c>
      <c r="B10" s="360">
        <v>0.56372669448699997</v>
      </c>
      <c r="C10" s="360">
        <v>0</v>
      </c>
      <c r="D10" s="361">
        <v>-0.56372669448699997</v>
      </c>
      <c r="E10" s="362">
        <v>0</v>
      </c>
      <c r="F10" s="360">
        <v>1</v>
      </c>
      <c r="G10" s="361">
        <v>0.66666666666600005</v>
      </c>
      <c r="H10" s="363">
        <v>0</v>
      </c>
      <c r="I10" s="360">
        <v>0.75165000000000004</v>
      </c>
      <c r="J10" s="361">
        <v>8.4983333332999997E-2</v>
      </c>
      <c r="K10" s="364">
        <v>0.75165000000000004</v>
      </c>
    </row>
    <row r="11" spans="1:11" ht="14.4" customHeight="1" thickBot="1" x14ac:dyDescent="0.35">
      <c r="A11" s="381" t="s">
        <v>254</v>
      </c>
      <c r="B11" s="365">
        <v>0.23196071397199999</v>
      </c>
      <c r="C11" s="365">
        <v>0</v>
      </c>
      <c r="D11" s="366">
        <v>-0.23196071397199999</v>
      </c>
      <c r="E11" s="367">
        <v>0</v>
      </c>
      <c r="F11" s="365">
        <v>0</v>
      </c>
      <c r="G11" s="366">
        <v>0</v>
      </c>
      <c r="H11" s="368">
        <v>0</v>
      </c>
      <c r="I11" s="365">
        <v>0</v>
      </c>
      <c r="J11" s="366">
        <v>0</v>
      </c>
      <c r="K11" s="369">
        <v>0</v>
      </c>
    </row>
    <row r="12" spans="1:11" ht="14.4" customHeight="1" thickBot="1" x14ac:dyDescent="0.35">
      <c r="A12" s="382" t="s">
        <v>255</v>
      </c>
      <c r="B12" s="360">
        <v>0.18558106336800001</v>
      </c>
      <c r="C12" s="360">
        <v>0</v>
      </c>
      <c r="D12" s="361">
        <v>-0.18558106336800001</v>
      </c>
      <c r="E12" s="362">
        <v>0</v>
      </c>
      <c r="F12" s="360">
        <v>0</v>
      </c>
      <c r="G12" s="361">
        <v>0</v>
      </c>
      <c r="H12" s="363">
        <v>0</v>
      </c>
      <c r="I12" s="360">
        <v>0</v>
      </c>
      <c r="J12" s="361">
        <v>0</v>
      </c>
      <c r="K12" s="364">
        <v>0</v>
      </c>
    </row>
    <row r="13" spans="1:11" ht="14.4" customHeight="1" thickBot="1" x14ac:dyDescent="0.35">
      <c r="A13" s="382" t="s">
        <v>256</v>
      </c>
      <c r="B13" s="360">
        <v>4.6379650602999999E-2</v>
      </c>
      <c r="C13" s="360">
        <v>0</v>
      </c>
      <c r="D13" s="361">
        <v>-4.6379650602999999E-2</v>
      </c>
      <c r="E13" s="362">
        <v>0</v>
      </c>
      <c r="F13" s="360">
        <v>0</v>
      </c>
      <c r="G13" s="361">
        <v>0</v>
      </c>
      <c r="H13" s="363">
        <v>0</v>
      </c>
      <c r="I13" s="360">
        <v>0</v>
      </c>
      <c r="J13" s="361">
        <v>0</v>
      </c>
      <c r="K13" s="364">
        <v>0</v>
      </c>
    </row>
    <row r="14" spans="1:11" ht="14.4" customHeight="1" thickBot="1" x14ac:dyDescent="0.35">
      <c r="A14" s="381" t="s">
        <v>257</v>
      </c>
      <c r="B14" s="365">
        <v>55.702476088228998</v>
      </c>
      <c r="C14" s="365">
        <v>39.097790000000003</v>
      </c>
      <c r="D14" s="366">
        <v>-16.604686088228998</v>
      </c>
      <c r="E14" s="367">
        <v>0.70190398606399995</v>
      </c>
      <c r="F14" s="365">
        <v>131.72653222641901</v>
      </c>
      <c r="G14" s="366">
        <v>87.817688150945003</v>
      </c>
      <c r="H14" s="368">
        <v>5.2141599999999997</v>
      </c>
      <c r="I14" s="365">
        <v>18.047999999999998</v>
      </c>
      <c r="J14" s="366">
        <v>-69.769688150945001</v>
      </c>
      <c r="K14" s="369">
        <v>0.13701112217</v>
      </c>
    </row>
    <row r="15" spans="1:11" ht="14.4" customHeight="1" thickBot="1" x14ac:dyDescent="0.35">
      <c r="A15" s="382" t="s">
        <v>258</v>
      </c>
      <c r="B15" s="360">
        <v>1.4830251625590001</v>
      </c>
      <c r="C15" s="360">
        <v>0.17999999999899999</v>
      </c>
      <c r="D15" s="361">
        <v>-1.3030251625589999</v>
      </c>
      <c r="E15" s="362">
        <v>0.121373530634</v>
      </c>
      <c r="F15" s="360">
        <v>0.95715506856300003</v>
      </c>
      <c r="G15" s="361">
        <v>0.63810337904199999</v>
      </c>
      <c r="H15" s="363">
        <v>0</v>
      </c>
      <c r="I15" s="360">
        <v>0.72599999999999998</v>
      </c>
      <c r="J15" s="361">
        <v>8.7896620957000002E-2</v>
      </c>
      <c r="K15" s="364">
        <v>0.75849778561900005</v>
      </c>
    </row>
    <row r="16" spans="1:11" ht="14.4" customHeight="1" thickBot="1" x14ac:dyDescent="0.35">
      <c r="A16" s="382" t="s">
        <v>259</v>
      </c>
      <c r="B16" s="360">
        <v>0.24399972333299999</v>
      </c>
      <c r="C16" s="360">
        <v>0.51312000000000002</v>
      </c>
      <c r="D16" s="361">
        <v>0.26912027666600002</v>
      </c>
      <c r="E16" s="362">
        <v>2.1029532041680001</v>
      </c>
      <c r="F16" s="360">
        <v>0.99999996850200001</v>
      </c>
      <c r="G16" s="361">
        <v>0.66666664566800005</v>
      </c>
      <c r="H16" s="363">
        <v>7.4060000000000001E-2</v>
      </c>
      <c r="I16" s="360">
        <v>7.4060000000000001E-2</v>
      </c>
      <c r="J16" s="361">
        <v>-0.59260664566800003</v>
      </c>
      <c r="K16" s="364">
        <v>7.4060002331999997E-2</v>
      </c>
    </row>
    <row r="17" spans="1:11" ht="14.4" customHeight="1" thickBot="1" x14ac:dyDescent="0.35">
      <c r="A17" s="382" t="s">
        <v>260</v>
      </c>
      <c r="B17" s="360">
        <v>0</v>
      </c>
      <c r="C17" s="360">
        <v>0</v>
      </c>
      <c r="D17" s="361">
        <v>0</v>
      </c>
      <c r="E17" s="362">
        <v>1</v>
      </c>
      <c r="F17" s="360">
        <v>5.0999999999999996</v>
      </c>
      <c r="G17" s="361">
        <v>3.4</v>
      </c>
      <c r="H17" s="363">
        <v>0</v>
      </c>
      <c r="I17" s="360">
        <v>4.2980799999999997</v>
      </c>
      <c r="J17" s="361">
        <v>0.89807999999999999</v>
      </c>
      <c r="K17" s="364">
        <v>0.84276078431300006</v>
      </c>
    </row>
    <row r="18" spans="1:11" ht="14.4" customHeight="1" thickBot="1" x14ac:dyDescent="0.35">
      <c r="A18" s="382" t="s">
        <v>261</v>
      </c>
      <c r="B18" s="360">
        <v>46.69464316482</v>
      </c>
      <c r="C18" s="360">
        <v>33.333410000000001</v>
      </c>
      <c r="D18" s="361">
        <v>-13.36123316482</v>
      </c>
      <c r="E18" s="362">
        <v>0.71385940100900003</v>
      </c>
      <c r="F18" s="360">
        <v>116.866666225701</v>
      </c>
      <c r="G18" s="361">
        <v>77.911110817132993</v>
      </c>
      <c r="H18" s="363">
        <v>3.6805699999999999</v>
      </c>
      <c r="I18" s="360">
        <v>6.4851200000000002</v>
      </c>
      <c r="J18" s="361">
        <v>-71.425990817132998</v>
      </c>
      <c r="K18" s="364">
        <v>5.5491614584000003E-2</v>
      </c>
    </row>
    <row r="19" spans="1:11" ht="14.4" customHeight="1" thickBot="1" x14ac:dyDescent="0.35">
      <c r="A19" s="382" t="s">
        <v>262</v>
      </c>
      <c r="B19" s="360">
        <v>0.99991897388999995</v>
      </c>
      <c r="C19" s="360">
        <v>0.25402999999999998</v>
      </c>
      <c r="D19" s="361">
        <v>-0.74588897388999997</v>
      </c>
      <c r="E19" s="362">
        <v>0.25405058472999997</v>
      </c>
      <c r="F19" s="360">
        <v>1.999999937004</v>
      </c>
      <c r="G19" s="361">
        <v>1.3333332913360001</v>
      </c>
      <c r="H19" s="363">
        <v>0</v>
      </c>
      <c r="I19" s="360">
        <v>0.28139999999999998</v>
      </c>
      <c r="J19" s="361">
        <v>-1.051933291336</v>
      </c>
      <c r="K19" s="364">
        <v>0.140700004431</v>
      </c>
    </row>
    <row r="20" spans="1:11" ht="14.4" customHeight="1" thickBot="1" x14ac:dyDescent="0.35">
      <c r="A20" s="382" t="s">
        <v>263</v>
      </c>
      <c r="B20" s="360">
        <v>3.9017569780520001</v>
      </c>
      <c r="C20" s="360">
        <v>2.7436500000000001</v>
      </c>
      <c r="D20" s="361">
        <v>-1.1581069780519999</v>
      </c>
      <c r="E20" s="362">
        <v>0.70318321090500002</v>
      </c>
      <c r="F20" s="360">
        <v>2.8027110581439998</v>
      </c>
      <c r="G20" s="361">
        <v>1.868474038762</v>
      </c>
      <c r="H20" s="363">
        <v>0.76229999999999998</v>
      </c>
      <c r="I20" s="360">
        <v>5.11592</v>
      </c>
      <c r="J20" s="361">
        <v>3.2474459612370001</v>
      </c>
      <c r="K20" s="364">
        <v>1.8253469208440001</v>
      </c>
    </row>
    <row r="21" spans="1:11" ht="14.4" customHeight="1" thickBot="1" x14ac:dyDescent="0.35">
      <c r="A21" s="382" t="s">
        <v>264</v>
      </c>
      <c r="B21" s="360">
        <v>2.379132085573</v>
      </c>
      <c r="C21" s="360">
        <v>2.0735800000000002</v>
      </c>
      <c r="D21" s="361">
        <v>-0.30555208557300001</v>
      </c>
      <c r="E21" s="362">
        <v>0.871569936185</v>
      </c>
      <c r="F21" s="360">
        <v>2.9999999685019998</v>
      </c>
      <c r="G21" s="361">
        <v>1.9999999790009999</v>
      </c>
      <c r="H21" s="363">
        <v>0.69723000000000002</v>
      </c>
      <c r="I21" s="360">
        <v>1.06742</v>
      </c>
      <c r="J21" s="361">
        <v>-0.93257997900099998</v>
      </c>
      <c r="K21" s="364">
        <v>0.35580667040199998</v>
      </c>
    </row>
    <row r="22" spans="1:11" ht="14.4" customHeight="1" thickBot="1" x14ac:dyDescent="0.35">
      <c r="A22" s="381" t="s">
        <v>265</v>
      </c>
      <c r="B22" s="365">
        <v>1.0001864980149999</v>
      </c>
      <c r="C22" s="365">
        <v>0</v>
      </c>
      <c r="D22" s="366">
        <v>-1.0001864980149999</v>
      </c>
      <c r="E22" s="367">
        <v>0</v>
      </c>
      <c r="F22" s="365">
        <v>0.99999996850200001</v>
      </c>
      <c r="G22" s="366">
        <v>0.66666664566800005</v>
      </c>
      <c r="H22" s="368">
        <v>0</v>
      </c>
      <c r="I22" s="365">
        <v>0</v>
      </c>
      <c r="J22" s="366">
        <v>-0.66666664566800005</v>
      </c>
      <c r="K22" s="369">
        <v>0</v>
      </c>
    </row>
    <row r="23" spans="1:11" ht="14.4" customHeight="1" thickBot="1" x14ac:dyDescent="0.35">
      <c r="A23" s="382" t="s">
        <v>266</v>
      </c>
      <c r="B23" s="360">
        <v>1.0001864980149999</v>
      </c>
      <c r="C23" s="360">
        <v>0</v>
      </c>
      <c r="D23" s="361">
        <v>-1.0001864980149999</v>
      </c>
      <c r="E23" s="362">
        <v>0</v>
      </c>
      <c r="F23" s="360">
        <v>0.99999996850200001</v>
      </c>
      <c r="G23" s="361">
        <v>0.66666664566800005</v>
      </c>
      <c r="H23" s="363">
        <v>0</v>
      </c>
      <c r="I23" s="360">
        <v>0</v>
      </c>
      <c r="J23" s="361">
        <v>-0.66666664566800005</v>
      </c>
      <c r="K23" s="364">
        <v>0</v>
      </c>
    </row>
    <row r="24" spans="1:11" ht="14.4" customHeight="1" thickBot="1" x14ac:dyDescent="0.35">
      <c r="A24" s="381" t="s">
        <v>267</v>
      </c>
      <c r="B24" s="365">
        <v>1.08824989601</v>
      </c>
      <c r="C24" s="365">
        <v>3.8834599999999999</v>
      </c>
      <c r="D24" s="366">
        <v>2.7952101039890001</v>
      </c>
      <c r="E24" s="367">
        <v>3.5685369823930002</v>
      </c>
      <c r="F24" s="365">
        <v>2.9999999055069999</v>
      </c>
      <c r="G24" s="366">
        <v>1.999999937004</v>
      </c>
      <c r="H24" s="368">
        <v>1.5826800000000001</v>
      </c>
      <c r="I24" s="365">
        <v>4.6561000000000003</v>
      </c>
      <c r="J24" s="366">
        <v>2.6561000629949998</v>
      </c>
      <c r="K24" s="369">
        <v>1.5520333822179999</v>
      </c>
    </row>
    <row r="25" spans="1:11" ht="14.4" customHeight="1" thickBot="1" x14ac:dyDescent="0.35">
      <c r="A25" s="382" t="s">
        <v>268</v>
      </c>
      <c r="B25" s="360">
        <v>1.08824989601</v>
      </c>
      <c r="C25" s="360">
        <v>3.8834599999999999</v>
      </c>
      <c r="D25" s="361">
        <v>2.7952101039890001</v>
      </c>
      <c r="E25" s="362">
        <v>3.5685369823930002</v>
      </c>
      <c r="F25" s="360">
        <v>2.9999999055069999</v>
      </c>
      <c r="G25" s="361">
        <v>1.999999937004</v>
      </c>
      <c r="H25" s="363">
        <v>1.5826800000000001</v>
      </c>
      <c r="I25" s="360">
        <v>4.6561000000000003</v>
      </c>
      <c r="J25" s="361">
        <v>2.6561000629949998</v>
      </c>
      <c r="K25" s="364">
        <v>1.5520333822179999</v>
      </c>
    </row>
    <row r="26" spans="1:11" ht="14.4" customHeight="1" thickBot="1" x14ac:dyDescent="0.35">
      <c r="A26" s="380" t="s">
        <v>28</v>
      </c>
      <c r="B26" s="360">
        <v>90.094900233475997</v>
      </c>
      <c r="C26" s="360">
        <v>81.801000000000002</v>
      </c>
      <c r="D26" s="361">
        <v>-8.2939002334760001</v>
      </c>
      <c r="E26" s="362">
        <v>0.90794262259000003</v>
      </c>
      <c r="F26" s="360">
        <v>85.694050698287995</v>
      </c>
      <c r="G26" s="361">
        <v>57.129367132192002</v>
      </c>
      <c r="H26" s="363">
        <v>4.0990000000000002</v>
      </c>
      <c r="I26" s="360">
        <v>55.716999999999999</v>
      </c>
      <c r="J26" s="361">
        <v>-1.4123671321919999</v>
      </c>
      <c r="K26" s="364">
        <v>0.650185159249</v>
      </c>
    </row>
    <row r="27" spans="1:11" ht="14.4" customHeight="1" thickBot="1" x14ac:dyDescent="0.35">
      <c r="A27" s="381" t="s">
        <v>269</v>
      </c>
      <c r="B27" s="365">
        <v>90.094900233475997</v>
      </c>
      <c r="C27" s="365">
        <v>81.801000000000002</v>
      </c>
      <c r="D27" s="366">
        <v>-8.2939002334760001</v>
      </c>
      <c r="E27" s="367">
        <v>0.90794262259000003</v>
      </c>
      <c r="F27" s="365">
        <v>85.694050698287995</v>
      </c>
      <c r="G27" s="366">
        <v>57.129367132192002</v>
      </c>
      <c r="H27" s="368">
        <v>4.0990000000000002</v>
      </c>
      <c r="I27" s="365">
        <v>55.716999999999999</v>
      </c>
      <c r="J27" s="366">
        <v>-1.4123671321919999</v>
      </c>
      <c r="K27" s="369">
        <v>0.650185159249</v>
      </c>
    </row>
    <row r="28" spans="1:11" ht="14.4" customHeight="1" thickBot="1" x14ac:dyDescent="0.35">
      <c r="A28" s="382" t="s">
        <v>270</v>
      </c>
      <c r="B28" s="360">
        <v>18.184072720145</v>
      </c>
      <c r="C28" s="360">
        <v>15.28</v>
      </c>
      <c r="D28" s="361">
        <v>-2.9040727201449998</v>
      </c>
      <c r="E28" s="362">
        <v>0.84029580364900003</v>
      </c>
      <c r="F28" s="360">
        <v>15.694052903117999</v>
      </c>
      <c r="G28" s="361">
        <v>10.462701935411999</v>
      </c>
      <c r="H28" s="363">
        <v>1.5129999999999999</v>
      </c>
      <c r="I28" s="360">
        <v>10.427</v>
      </c>
      <c r="J28" s="361">
        <v>-3.5701935412000001E-2</v>
      </c>
      <c r="K28" s="364">
        <v>0.66439179632900003</v>
      </c>
    </row>
    <row r="29" spans="1:11" ht="14.4" customHeight="1" thickBot="1" x14ac:dyDescent="0.35">
      <c r="A29" s="382" t="s">
        <v>271</v>
      </c>
      <c r="B29" s="360">
        <v>15.000101608584</v>
      </c>
      <c r="C29" s="360">
        <v>13.727</v>
      </c>
      <c r="D29" s="361">
        <v>-1.2731016085839999</v>
      </c>
      <c r="E29" s="362">
        <v>0.91512713434799997</v>
      </c>
      <c r="F29" s="360">
        <v>14.999999527536</v>
      </c>
      <c r="G29" s="361">
        <v>9.9999996850239992</v>
      </c>
      <c r="H29" s="363">
        <v>0.88400000000000001</v>
      </c>
      <c r="I29" s="360">
        <v>9.0739999999999998</v>
      </c>
      <c r="J29" s="361">
        <v>-0.92599968502399999</v>
      </c>
      <c r="K29" s="364">
        <v>0.60493335238699997</v>
      </c>
    </row>
    <row r="30" spans="1:11" ht="14.4" customHeight="1" thickBot="1" x14ac:dyDescent="0.35">
      <c r="A30" s="382" t="s">
        <v>272</v>
      </c>
      <c r="B30" s="360">
        <v>56.910725904746002</v>
      </c>
      <c r="C30" s="360">
        <v>52.793999999999997</v>
      </c>
      <c r="D30" s="361">
        <v>-4.1167259047459996</v>
      </c>
      <c r="E30" s="362">
        <v>0.92766344411699997</v>
      </c>
      <c r="F30" s="360">
        <v>54.999998267633003</v>
      </c>
      <c r="G30" s="361">
        <v>36.666665511754999</v>
      </c>
      <c r="H30" s="363">
        <v>1.702</v>
      </c>
      <c r="I30" s="360">
        <v>36.216000000000001</v>
      </c>
      <c r="J30" s="361">
        <v>-0.45066551175500003</v>
      </c>
      <c r="K30" s="364">
        <v>0.65847274801300004</v>
      </c>
    </row>
    <row r="31" spans="1:11" ht="14.4" customHeight="1" thickBot="1" x14ac:dyDescent="0.35">
      <c r="A31" s="383" t="s">
        <v>273</v>
      </c>
      <c r="B31" s="365">
        <v>62.420735164866002</v>
      </c>
      <c r="C31" s="365">
        <v>155.34888000000001</v>
      </c>
      <c r="D31" s="366">
        <v>92.928144835132997</v>
      </c>
      <c r="E31" s="367">
        <v>2.4887383910119998</v>
      </c>
      <c r="F31" s="365">
        <v>109.147415189246</v>
      </c>
      <c r="G31" s="366">
        <v>72.764943459497005</v>
      </c>
      <c r="H31" s="368">
        <v>2.9203600000000001</v>
      </c>
      <c r="I31" s="365">
        <v>45.056890000000003</v>
      </c>
      <c r="J31" s="366">
        <v>-27.708053459496998</v>
      </c>
      <c r="K31" s="369">
        <v>0.412807668618</v>
      </c>
    </row>
    <row r="32" spans="1:11" ht="14.4" customHeight="1" thickBot="1" x14ac:dyDescent="0.35">
      <c r="A32" s="380" t="s">
        <v>31</v>
      </c>
      <c r="B32" s="360">
        <v>5.4329011407929997</v>
      </c>
      <c r="C32" s="360">
        <v>66.10915</v>
      </c>
      <c r="D32" s="361">
        <v>60.676248859205998</v>
      </c>
      <c r="E32" s="362">
        <v>12.168296143586</v>
      </c>
      <c r="F32" s="360">
        <v>24.539564812719998</v>
      </c>
      <c r="G32" s="361">
        <v>16.359709875147001</v>
      </c>
      <c r="H32" s="363">
        <v>0</v>
      </c>
      <c r="I32" s="360">
        <v>3.6142699999999999</v>
      </c>
      <c r="J32" s="361">
        <v>-12.745439875146999</v>
      </c>
      <c r="K32" s="364">
        <v>0.14728337798899999</v>
      </c>
    </row>
    <row r="33" spans="1:11" ht="14.4" customHeight="1" thickBot="1" x14ac:dyDescent="0.35">
      <c r="A33" s="384" t="s">
        <v>274</v>
      </c>
      <c r="B33" s="360">
        <v>5.4329011407929997</v>
      </c>
      <c r="C33" s="360">
        <v>66.10915</v>
      </c>
      <c r="D33" s="361">
        <v>60.676248859205998</v>
      </c>
      <c r="E33" s="362">
        <v>12.168296143586</v>
      </c>
      <c r="F33" s="360">
        <v>24.539564812719998</v>
      </c>
      <c r="G33" s="361">
        <v>16.359709875147001</v>
      </c>
      <c r="H33" s="363">
        <v>0</v>
      </c>
      <c r="I33" s="360">
        <v>3.6142699999999999</v>
      </c>
      <c r="J33" s="361">
        <v>-12.745439875146999</v>
      </c>
      <c r="K33" s="364">
        <v>0.14728337798899999</v>
      </c>
    </row>
    <row r="34" spans="1:11" ht="14.4" customHeight="1" thickBot="1" x14ac:dyDescent="0.35">
      <c r="A34" s="382" t="s">
        <v>275</v>
      </c>
      <c r="B34" s="360">
        <v>0</v>
      </c>
      <c r="C34" s="360">
        <v>0</v>
      </c>
      <c r="D34" s="361">
        <v>0</v>
      </c>
      <c r="E34" s="362">
        <v>1</v>
      </c>
      <c r="F34" s="360">
        <v>0</v>
      </c>
      <c r="G34" s="361">
        <v>0</v>
      </c>
      <c r="H34" s="363">
        <v>0</v>
      </c>
      <c r="I34" s="360">
        <v>1.8754999999999999</v>
      </c>
      <c r="J34" s="361">
        <v>1.8754999999999999</v>
      </c>
      <c r="K34" s="370" t="s">
        <v>276</v>
      </c>
    </row>
    <row r="35" spans="1:11" ht="14.4" customHeight="1" thickBot="1" x14ac:dyDescent="0.35">
      <c r="A35" s="382" t="s">
        <v>277</v>
      </c>
      <c r="B35" s="360">
        <v>4.9999915584819998</v>
      </c>
      <c r="C35" s="360">
        <v>64.257279999999994</v>
      </c>
      <c r="D35" s="361">
        <v>59.257288441516998</v>
      </c>
      <c r="E35" s="362">
        <v>12.851477697192999</v>
      </c>
      <c r="F35" s="360">
        <v>23.999999244057999</v>
      </c>
      <c r="G35" s="361">
        <v>15.999999496038001</v>
      </c>
      <c r="H35" s="363">
        <v>0</v>
      </c>
      <c r="I35" s="360">
        <v>1.05633</v>
      </c>
      <c r="J35" s="361">
        <v>-14.943669496038</v>
      </c>
      <c r="K35" s="364">
        <v>4.4013751386E-2</v>
      </c>
    </row>
    <row r="36" spans="1:11" ht="14.4" customHeight="1" thickBot="1" x14ac:dyDescent="0.35">
      <c r="A36" s="382" t="s">
        <v>278</v>
      </c>
      <c r="B36" s="360">
        <v>0.43290958230999999</v>
      </c>
      <c r="C36" s="360">
        <v>1.8518699999999999</v>
      </c>
      <c r="D36" s="361">
        <v>1.4189604176890001</v>
      </c>
      <c r="E36" s="362">
        <v>4.2777292896060004</v>
      </c>
      <c r="F36" s="360">
        <v>0.53956556866200001</v>
      </c>
      <c r="G36" s="361">
        <v>0.35971037910800002</v>
      </c>
      <c r="H36" s="363">
        <v>0</v>
      </c>
      <c r="I36" s="360">
        <v>0.68244000000000005</v>
      </c>
      <c r="J36" s="361">
        <v>0.32272962089099999</v>
      </c>
      <c r="K36" s="364">
        <v>1.264795308736</v>
      </c>
    </row>
    <row r="37" spans="1:11" ht="14.4" customHeight="1" thickBot="1" x14ac:dyDescent="0.35">
      <c r="A37" s="385" t="s">
        <v>32</v>
      </c>
      <c r="B37" s="365">
        <v>0</v>
      </c>
      <c r="C37" s="365">
        <v>8.7690000000000001</v>
      </c>
      <c r="D37" s="366">
        <v>8.7690000000000001</v>
      </c>
      <c r="E37" s="371" t="s">
        <v>247</v>
      </c>
      <c r="F37" s="365">
        <v>0</v>
      </c>
      <c r="G37" s="366">
        <v>0</v>
      </c>
      <c r="H37" s="368">
        <v>0</v>
      </c>
      <c r="I37" s="365">
        <v>6.9160000000000004</v>
      </c>
      <c r="J37" s="366">
        <v>6.9160000000000004</v>
      </c>
      <c r="K37" s="372" t="s">
        <v>247</v>
      </c>
    </row>
    <row r="38" spans="1:11" ht="14.4" customHeight="1" thickBot="1" x14ac:dyDescent="0.35">
      <c r="A38" s="381" t="s">
        <v>279</v>
      </c>
      <c r="B38" s="365">
        <v>0</v>
      </c>
      <c r="C38" s="365">
        <v>8.7690000000000001</v>
      </c>
      <c r="D38" s="366">
        <v>8.7690000000000001</v>
      </c>
      <c r="E38" s="371" t="s">
        <v>247</v>
      </c>
      <c r="F38" s="365">
        <v>0</v>
      </c>
      <c r="G38" s="366">
        <v>0</v>
      </c>
      <c r="H38" s="368">
        <v>0</v>
      </c>
      <c r="I38" s="365">
        <v>6.9160000000000004</v>
      </c>
      <c r="J38" s="366">
        <v>6.9160000000000004</v>
      </c>
      <c r="K38" s="372" t="s">
        <v>247</v>
      </c>
    </row>
    <row r="39" spans="1:11" ht="14.4" customHeight="1" thickBot="1" x14ac:dyDescent="0.35">
      <c r="A39" s="382" t="s">
        <v>280</v>
      </c>
      <c r="B39" s="360">
        <v>0</v>
      </c>
      <c r="C39" s="360">
        <v>8.7690000000000001</v>
      </c>
      <c r="D39" s="361">
        <v>8.7690000000000001</v>
      </c>
      <c r="E39" s="373" t="s">
        <v>247</v>
      </c>
      <c r="F39" s="360">
        <v>0</v>
      </c>
      <c r="G39" s="361">
        <v>0</v>
      </c>
      <c r="H39" s="363">
        <v>0</v>
      </c>
      <c r="I39" s="360">
        <v>6.9160000000000004</v>
      </c>
      <c r="J39" s="361">
        <v>6.9160000000000004</v>
      </c>
      <c r="K39" s="370" t="s">
        <v>247</v>
      </c>
    </row>
    <row r="40" spans="1:11" ht="14.4" customHeight="1" thickBot="1" x14ac:dyDescent="0.35">
      <c r="A40" s="380" t="s">
        <v>33</v>
      </c>
      <c r="B40" s="360">
        <v>56.987834024073003</v>
      </c>
      <c r="C40" s="360">
        <v>80.470730000000003</v>
      </c>
      <c r="D40" s="361">
        <v>23.482895975925999</v>
      </c>
      <c r="E40" s="362">
        <v>1.4120685823220001</v>
      </c>
      <c r="F40" s="360">
        <v>84.607850376524993</v>
      </c>
      <c r="G40" s="361">
        <v>56.40523358435</v>
      </c>
      <c r="H40" s="363">
        <v>2.9203600000000001</v>
      </c>
      <c r="I40" s="360">
        <v>34.526620000000001</v>
      </c>
      <c r="J40" s="361">
        <v>-21.878613584349999</v>
      </c>
      <c r="K40" s="364">
        <v>0.40807820841999998</v>
      </c>
    </row>
    <row r="41" spans="1:11" ht="14.4" customHeight="1" thickBot="1" x14ac:dyDescent="0.35">
      <c r="A41" s="381" t="s">
        <v>281</v>
      </c>
      <c r="B41" s="365">
        <v>7.4225831352579998</v>
      </c>
      <c r="C41" s="365">
        <v>8.4442500000000003</v>
      </c>
      <c r="D41" s="366">
        <v>1.0216668647410001</v>
      </c>
      <c r="E41" s="367">
        <v>1.137643034254</v>
      </c>
      <c r="F41" s="365">
        <v>8.8563115784110007</v>
      </c>
      <c r="G41" s="366">
        <v>5.9042077189409996</v>
      </c>
      <c r="H41" s="368">
        <v>0.43430000000000002</v>
      </c>
      <c r="I41" s="365">
        <v>5.4248099999999999</v>
      </c>
      <c r="J41" s="366">
        <v>-0.47939771894099997</v>
      </c>
      <c r="K41" s="369">
        <v>0.61253603737499995</v>
      </c>
    </row>
    <row r="42" spans="1:11" ht="14.4" customHeight="1" thickBot="1" x14ac:dyDescent="0.35">
      <c r="A42" s="382" t="s">
        <v>282</v>
      </c>
      <c r="B42" s="360">
        <v>4.7902353100199999</v>
      </c>
      <c r="C42" s="360">
        <v>6.0629999999999997</v>
      </c>
      <c r="D42" s="361">
        <v>1.2727646899789999</v>
      </c>
      <c r="E42" s="362">
        <v>1.2656998263350001</v>
      </c>
      <c r="F42" s="360">
        <v>6.2557766761220002</v>
      </c>
      <c r="G42" s="361">
        <v>4.1705177840810004</v>
      </c>
      <c r="H42" s="363">
        <v>0.23180000000000001</v>
      </c>
      <c r="I42" s="360">
        <v>4.2512999999999996</v>
      </c>
      <c r="J42" s="361">
        <v>8.0782215918E-2</v>
      </c>
      <c r="K42" s="364">
        <v>0.67957988593499996</v>
      </c>
    </row>
    <row r="43" spans="1:11" ht="14.4" customHeight="1" thickBot="1" x14ac:dyDescent="0.35">
      <c r="A43" s="382" t="s">
        <v>283</v>
      </c>
      <c r="B43" s="360">
        <v>2.6323478252379999</v>
      </c>
      <c r="C43" s="360">
        <v>2.3812500000000001</v>
      </c>
      <c r="D43" s="361">
        <v>-0.25109782523800001</v>
      </c>
      <c r="E43" s="362">
        <v>0.90461069664399996</v>
      </c>
      <c r="F43" s="360">
        <v>2.600534902288</v>
      </c>
      <c r="G43" s="361">
        <v>1.733689934859</v>
      </c>
      <c r="H43" s="363">
        <v>0.20250000000000001</v>
      </c>
      <c r="I43" s="360">
        <v>1.1735100000000001</v>
      </c>
      <c r="J43" s="361">
        <v>-0.56017993485899997</v>
      </c>
      <c r="K43" s="364">
        <v>0.45125716211900002</v>
      </c>
    </row>
    <row r="44" spans="1:11" ht="14.4" customHeight="1" thickBot="1" x14ac:dyDescent="0.35">
      <c r="A44" s="381" t="s">
        <v>284</v>
      </c>
      <c r="B44" s="365">
        <v>3.915363845471</v>
      </c>
      <c r="C44" s="365">
        <v>4.05</v>
      </c>
      <c r="D44" s="366">
        <v>0.13463615452800001</v>
      </c>
      <c r="E44" s="367">
        <v>1.0343866265920001</v>
      </c>
      <c r="F44" s="365">
        <v>4.9999998425119996</v>
      </c>
      <c r="G44" s="366">
        <v>3.333333228341</v>
      </c>
      <c r="H44" s="368">
        <v>0</v>
      </c>
      <c r="I44" s="365">
        <v>3.375</v>
      </c>
      <c r="J44" s="366">
        <v>4.1666771658E-2</v>
      </c>
      <c r="K44" s="369">
        <v>0.67500002126000003</v>
      </c>
    </row>
    <row r="45" spans="1:11" ht="14.4" customHeight="1" thickBot="1" x14ac:dyDescent="0.35">
      <c r="A45" s="382" t="s">
        <v>285</v>
      </c>
      <c r="B45" s="360">
        <v>3.915363845471</v>
      </c>
      <c r="C45" s="360">
        <v>4.05</v>
      </c>
      <c r="D45" s="361">
        <v>0.13463615452800001</v>
      </c>
      <c r="E45" s="362">
        <v>1.0343866265920001</v>
      </c>
      <c r="F45" s="360">
        <v>4.9999998425119996</v>
      </c>
      <c r="G45" s="361">
        <v>3.333333228341</v>
      </c>
      <c r="H45" s="363">
        <v>0</v>
      </c>
      <c r="I45" s="360">
        <v>3.375</v>
      </c>
      <c r="J45" s="361">
        <v>4.1666771658E-2</v>
      </c>
      <c r="K45" s="364">
        <v>0.67500002126000003</v>
      </c>
    </row>
    <row r="46" spans="1:11" ht="14.4" customHeight="1" thickBot="1" x14ac:dyDescent="0.35">
      <c r="A46" s="381" t="s">
        <v>286</v>
      </c>
      <c r="B46" s="365">
        <v>45.649887043343</v>
      </c>
      <c r="C46" s="365">
        <v>64.668480000000002</v>
      </c>
      <c r="D46" s="366">
        <v>19.018592956656001</v>
      </c>
      <c r="E46" s="367">
        <v>1.416618620295</v>
      </c>
      <c r="F46" s="365">
        <v>70.751538955602001</v>
      </c>
      <c r="G46" s="366">
        <v>47.167692637068001</v>
      </c>
      <c r="H46" s="368">
        <v>2.4860600000000002</v>
      </c>
      <c r="I46" s="365">
        <v>25.72681</v>
      </c>
      <c r="J46" s="366">
        <v>-21.440882637068</v>
      </c>
      <c r="K46" s="369">
        <v>0.363621913809</v>
      </c>
    </row>
    <row r="47" spans="1:11" ht="14.4" customHeight="1" thickBot="1" x14ac:dyDescent="0.35">
      <c r="A47" s="382" t="s">
        <v>287</v>
      </c>
      <c r="B47" s="360">
        <v>45.649887043343</v>
      </c>
      <c r="C47" s="360">
        <v>61.535789999999999</v>
      </c>
      <c r="D47" s="361">
        <v>15.885902956656</v>
      </c>
      <c r="E47" s="362">
        <v>1.3479943541049999</v>
      </c>
      <c r="F47" s="360">
        <v>67.518812293758998</v>
      </c>
      <c r="G47" s="361">
        <v>45.012541529171997</v>
      </c>
      <c r="H47" s="363">
        <v>2.4860600000000002</v>
      </c>
      <c r="I47" s="360">
        <v>25.72681</v>
      </c>
      <c r="J47" s="361">
        <v>-19.285731529172001</v>
      </c>
      <c r="K47" s="364">
        <v>0.38103173213500002</v>
      </c>
    </row>
    <row r="48" spans="1:11" ht="14.4" customHeight="1" thickBot="1" x14ac:dyDescent="0.35">
      <c r="A48" s="382" t="s">
        <v>288</v>
      </c>
      <c r="B48" s="360">
        <v>0</v>
      </c>
      <c r="C48" s="360">
        <v>3.1326900000000002</v>
      </c>
      <c r="D48" s="361">
        <v>3.1326900000000002</v>
      </c>
      <c r="E48" s="373" t="s">
        <v>276</v>
      </c>
      <c r="F48" s="360">
        <v>3.2327266618419999</v>
      </c>
      <c r="G48" s="361">
        <v>2.1551511078950001</v>
      </c>
      <c r="H48" s="363">
        <v>0</v>
      </c>
      <c r="I48" s="360">
        <v>0</v>
      </c>
      <c r="J48" s="361">
        <v>-2.1551511078950001</v>
      </c>
      <c r="K48" s="364">
        <v>0</v>
      </c>
    </row>
    <row r="49" spans="1:11" ht="14.4" customHeight="1" thickBot="1" x14ac:dyDescent="0.35">
      <c r="A49" s="381" t="s">
        <v>289</v>
      </c>
      <c r="B49" s="365">
        <v>0</v>
      </c>
      <c r="C49" s="365">
        <v>3.3079999999999998</v>
      </c>
      <c r="D49" s="366">
        <v>3.3079999999999998</v>
      </c>
      <c r="E49" s="371" t="s">
        <v>276</v>
      </c>
      <c r="F49" s="365">
        <v>0</v>
      </c>
      <c r="G49" s="366">
        <v>0</v>
      </c>
      <c r="H49" s="368">
        <v>0</v>
      </c>
      <c r="I49" s="365">
        <v>0</v>
      </c>
      <c r="J49" s="366">
        <v>0</v>
      </c>
      <c r="K49" s="372" t="s">
        <v>247</v>
      </c>
    </row>
    <row r="50" spans="1:11" ht="14.4" customHeight="1" thickBot="1" x14ac:dyDescent="0.35">
      <c r="A50" s="382" t="s">
        <v>290</v>
      </c>
      <c r="B50" s="360">
        <v>0</v>
      </c>
      <c r="C50" s="360">
        <v>3.3079999999999998</v>
      </c>
      <c r="D50" s="361">
        <v>3.3079999999999998</v>
      </c>
      <c r="E50" s="373" t="s">
        <v>276</v>
      </c>
      <c r="F50" s="360">
        <v>0</v>
      </c>
      <c r="G50" s="361">
        <v>0</v>
      </c>
      <c r="H50" s="363">
        <v>0</v>
      </c>
      <c r="I50" s="360">
        <v>0</v>
      </c>
      <c r="J50" s="361">
        <v>0</v>
      </c>
      <c r="K50" s="370" t="s">
        <v>247</v>
      </c>
    </row>
    <row r="51" spans="1:11" ht="14.4" customHeight="1" thickBot="1" x14ac:dyDescent="0.35">
      <c r="A51" s="379" t="s">
        <v>34</v>
      </c>
      <c r="B51" s="360">
        <v>6972.0345109704904</v>
      </c>
      <c r="C51" s="360">
        <v>6813.0447800000002</v>
      </c>
      <c r="D51" s="361">
        <v>-158.98973097049</v>
      </c>
      <c r="E51" s="362">
        <v>0.97719607802800001</v>
      </c>
      <c r="F51" s="360">
        <v>7035.9997783830504</v>
      </c>
      <c r="G51" s="361">
        <v>4690.6665189220403</v>
      </c>
      <c r="H51" s="363">
        <v>552.42200000000003</v>
      </c>
      <c r="I51" s="360">
        <v>4641.4877500000002</v>
      </c>
      <c r="J51" s="361">
        <v>-49.178768922034998</v>
      </c>
      <c r="K51" s="364">
        <v>0.65967707450099999</v>
      </c>
    </row>
    <row r="52" spans="1:11" ht="14.4" customHeight="1" thickBot="1" x14ac:dyDescent="0.35">
      <c r="A52" s="385" t="s">
        <v>291</v>
      </c>
      <c r="B52" s="365">
        <v>5167.99999999991</v>
      </c>
      <c r="C52" s="365">
        <v>5050.0600000000004</v>
      </c>
      <c r="D52" s="366">
        <v>-117.939999999904</v>
      </c>
      <c r="E52" s="367">
        <v>0.97717879256899998</v>
      </c>
      <c r="F52" s="365">
        <v>5215.9998357086397</v>
      </c>
      <c r="G52" s="366">
        <v>3477.3332238057601</v>
      </c>
      <c r="H52" s="368">
        <v>409.19799999999998</v>
      </c>
      <c r="I52" s="365">
        <v>3438.134</v>
      </c>
      <c r="J52" s="366">
        <v>-39.199223805759999</v>
      </c>
      <c r="K52" s="369">
        <v>0.65915147781600003</v>
      </c>
    </row>
    <row r="53" spans="1:11" ht="14.4" customHeight="1" thickBot="1" x14ac:dyDescent="0.35">
      <c r="A53" s="381" t="s">
        <v>292</v>
      </c>
      <c r="B53" s="365">
        <v>5149.99999999991</v>
      </c>
      <c r="C53" s="365">
        <v>5036.2550000000001</v>
      </c>
      <c r="D53" s="366">
        <v>-113.744999999904</v>
      </c>
      <c r="E53" s="367">
        <v>0.97791359223300001</v>
      </c>
      <c r="F53" s="365">
        <v>5199.9998362125998</v>
      </c>
      <c r="G53" s="366">
        <v>3466.66655747507</v>
      </c>
      <c r="H53" s="368">
        <v>409.19799999999998</v>
      </c>
      <c r="I53" s="365">
        <v>3438.134</v>
      </c>
      <c r="J53" s="366">
        <v>-28.532557475068</v>
      </c>
      <c r="K53" s="369">
        <v>0.66117963620999998</v>
      </c>
    </row>
    <row r="54" spans="1:11" ht="14.4" customHeight="1" thickBot="1" x14ac:dyDescent="0.35">
      <c r="A54" s="382" t="s">
        <v>293</v>
      </c>
      <c r="B54" s="360">
        <v>5149.99999999991</v>
      </c>
      <c r="C54" s="360">
        <v>5036.2550000000001</v>
      </c>
      <c r="D54" s="361">
        <v>-113.744999999904</v>
      </c>
      <c r="E54" s="362">
        <v>0.97791359223300001</v>
      </c>
      <c r="F54" s="360">
        <v>5199.9998362125998</v>
      </c>
      <c r="G54" s="361">
        <v>3466.66655747507</v>
      </c>
      <c r="H54" s="363">
        <v>409.19799999999998</v>
      </c>
      <c r="I54" s="360">
        <v>3438.134</v>
      </c>
      <c r="J54" s="361">
        <v>-28.532557475068</v>
      </c>
      <c r="K54" s="364">
        <v>0.66117963620999998</v>
      </c>
    </row>
    <row r="55" spans="1:11" ht="14.4" customHeight="1" thickBot="1" x14ac:dyDescent="0.35">
      <c r="A55" s="381" t="s">
        <v>294</v>
      </c>
      <c r="B55" s="365">
        <v>17.999999999999002</v>
      </c>
      <c r="C55" s="365">
        <v>13.805</v>
      </c>
      <c r="D55" s="366">
        <v>-4.1949999999990002</v>
      </c>
      <c r="E55" s="367">
        <v>0.76694444444400001</v>
      </c>
      <c r="F55" s="365">
        <v>15.999999496038001</v>
      </c>
      <c r="G55" s="366">
        <v>10.666666330691999</v>
      </c>
      <c r="H55" s="368">
        <v>0</v>
      </c>
      <c r="I55" s="365">
        <v>0</v>
      </c>
      <c r="J55" s="366">
        <v>-10.666666330691999</v>
      </c>
      <c r="K55" s="369">
        <v>0</v>
      </c>
    </row>
    <row r="56" spans="1:11" ht="14.4" customHeight="1" thickBot="1" x14ac:dyDescent="0.35">
      <c r="A56" s="382" t="s">
        <v>295</v>
      </c>
      <c r="B56" s="360">
        <v>17.999999999999002</v>
      </c>
      <c r="C56" s="360">
        <v>13.805</v>
      </c>
      <c r="D56" s="361">
        <v>-4.1949999999990002</v>
      </c>
      <c r="E56" s="362">
        <v>0.76694444444400001</v>
      </c>
      <c r="F56" s="360">
        <v>15.999999496038001</v>
      </c>
      <c r="G56" s="361">
        <v>10.666666330691999</v>
      </c>
      <c r="H56" s="363">
        <v>0</v>
      </c>
      <c r="I56" s="360">
        <v>0</v>
      </c>
      <c r="J56" s="361">
        <v>-10.666666330691999</v>
      </c>
      <c r="K56" s="364">
        <v>0</v>
      </c>
    </row>
    <row r="57" spans="1:11" ht="14.4" customHeight="1" thickBot="1" x14ac:dyDescent="0.35">
      <c r="A57" s="380" t="s">
        <v>296</v>
      </c>
      <c r="B57" s="360">
        <v>1752.03451097059</v>
      </c>
      <c r="C57" s="360">
        <v>1712.4623200000001</v>
      </c>
      <c r="D57" s="361">
        <v>-39.572190970587002</v>
      </c>
      <c r="E57" s="362">
        <v>0.97741357791500005</v>
      </c>
      <c r="F57" s="360">
        <v>1767.9999443122799</v>
      </c>
      <c r="G57" s="361">
        <v>1178.66662954152</v>
      </c>
      <c r="H57" s="363">
        <v>139.13249999999999</v>
      </c>
      <c r="I57" s="360">
        <v>1168.97236</v>
      </c>
      <c r="J57" s="361">
        <v>-9.6942695415229991</v>
      </c>
      <c r="K57" s="364">
        <v>0.66118348236400004</v>
      </c>
    </row>
    <row r="58" spans="1:11" ht="14.4" customHeight="1" thickBot="1" x14ac:dyDescent="0.35">
      <c r="A58" s="381" t="s">
        <v>297</v>
      </c>
      <c r="B58" s="365">
        <v>464.03451097061401</v>
      </c>
      <c r="C58" s="365">
        <v>453.39857000000001</v>
      </c>
      <c r="D58" s="366">
        <v>-10.635940970612999</v>
      </c>
      <c r="E58" s="367">
        <v>0.97707941819099997</v>
      </c>
      <c r="F58" s="365">
        <v>467.99998525913401</v>
      </c>
      <c r="G58" s="366">
        <v>311.99999017275599</v>
      </c>
      <c r="H58" s="368">
        <v>36.832999999999998</v>
      </c>
      <c r="I58" s="365">
        <v>309.43885</v>
      </c>
      <c r="J58" s="366">
        <v>-2.5611401727560001</v>
      </c>
      <c r="K58" s="369">
        <v>0.661194144757</v>
      </c>
    </row>
    <row r="59" spans="1:11" ht="14.4" customHeight="1" thickBot="1" x14ac:dyDescent="0.35">
      <c r="A59" s="382" t="s">
        <v>298</v>
      </c>
      <c r="B59" s="360">
        <v>464.03451097061401</v>
      </c>
      <c r="C59" s="360">
        <v>453.39857000000001</v>
      </c>
      <c r="D59" s="361">
        <v>-10.635940970612999</v>
      </c>
      <c r="E59" s="362">
        <v>0.97707941819099997</v>
      </c>
      <c r="F59" s="360">
        <v>467.99998525913401</v>
      </c>
      <c r="G59" s="361">
        <v>311.99999017275599</v>
      </c>
      <c r="H59" s="363">
        <v>36.832999999999998</v>
      </c>
      <c r="I59" s="360">
        <v>309.43885</v>
      </c>
      <c r="J59" s="361">
        <v>-2.5611401727560001</v>
      </c>
      <c r="K59" s="364">
        <v>0.661194144757</v>
      </c>
    </row>
    <row r="60" spans="1:11" ht="14.4" customHeight="1" thickBot="1" x14ac:dyDescent="0.35">
      <c r="A60" s="381" t="s">
        <v>299</v>
      </c>
      <c r="B60" s="365">
        <v>1287.99999999997</v>
      </c>
      <c r="C60" s="365">
        <v>1259.06375</v>
      </c>
      <c r="D60" s="366">
        <v>-28.936249999973001</v>
      </c>
      <c r="E60" s="367">
        <v>0.97753396739099996</v>
      </c>
      <c r="F60" s="365">
        <v>1299.99995905315</v>
      </c>
      <c r="G60" s="366">
        <v>866.66663936876705</v>
      </c>
      <c r="H60" s="368">
        <v>102.29949999999999</v>
      </c>
      <c r="I60" s="365">
        <v>859.53350999999998</v>
      </c>
      <c r="J60" s="366">
        <v>-7.1331293687660002</v>
      </c>
      <c r="K60" s="369">
        <v>0.66117964390200001</v>
      </c>
    </row>
    <row r="61" spans="1:11" ht="14.4" customHeight="1" thickBot="1" x14ac:dyDescent="0.35">
      <c r="A61" s="382" t="s">
        <v>300</v>
      </c>
      <c r="B61" s="360">
        <v>1287.99999999997</v>
      </c>
      <c r="C61" s="360">
        <v>1259.06375</v>
      </c>
      <c r="D61" s="361">
        <v>-28.936249999973001</v>
      </c>
      <c r="E61" s="362">
        <v>0.97753396739099996</v>
      </c>
      <c r="F61" s="360">
        <v>1299.99995905315</v>
      </c>
      <c r="G61" s="361">
        <v>866.66663936876705</v>
      </c>
      <c r="H61" s="363">
        <v>102.29949999999999</v>
      </c>
      <c r="I61" s="360">
        <v>859.53350999999998</v>
      </c>
      <c r="J61" s="361">
        <v>-7.1331293687660002</v>
      </c>
      <c r="K61" s="364">
        <v>0.66117964390200001</v>
      </c>
    </row>
    <row r="62" spans="1:11" ht="14.4" customHeight="1" thickBot="1" x14ac:dyDescent="0.35">
      <c r="A62" s="380" t="s">
        <v>301</v>
      </c>
      <c r="B62" s="360">
        <v>51.999999999998998</v>
      </c>
      <c r="C62" s="360">
        <v>50.522460000000002</v>
      </c>
      <c r="D62" s="361">
        <v>-1.4775399999979999</v>
      </c>
      <c r="E62" s="362">
        <v>0.97158576922999995</v>
      </c>
      <c r="F62" s="360">
        <v>51.999998362126</v>
      </c>
      <c r="G62" s="361">
        <v>34.666665574749999</v>
      </c>
      <c r="H62" s="363">
        <v>4.0914999999999999</v>
      </c>
      <c r="I62" s="360">
        <v>34.381390000000003</v>
      </c>
      <c r="J62" s="361">
        <v>-0.28527557474999998</v>
      </c>
      <c r="K62" s="364">
        <v>0.66118059774799998</v>
      </c>
    </row>
    <row r="63" spans="1:11" ht="14.4" customHeight="1" thickBot="1" x14ac:dyDescent="0.35">
      <c r="A63" s="381" t="s">
        <v>302</v>
      </c>
      <c r="B63" s="365">
        <v>51.999999999998998</v>
      </c>
      <c r="C63" s="365">
        <v>50.522460000000002</v>
      </c>
      <c r="D63" s="366">
        <v>-1.4775399999979999</v>
      </c>
      <c r="E63" s="367">
        <v>0.97158576922999995</v>
      </c>
      <c r="F63" s="365">
        <v>51.999998362126</v>
      </c>
      <c r="G63" s="366">
        <v>34.666665574749999</v>
      </c>
      <c r="H63" s="368">
        <v>4.0914999999999999</v>
      </c>
      <c r="I63" s="365">
        <v>34.381390000000003</v>
      </c>
      <c r="J63" s="366">
        <v>-0.28527557474999998</v>
      </c>
      <c r="K63" s="369">
        <v>0.66118059774799998</v>
      </c>
    </row>
    <row r="64" spans="1:11" ht="14.4" customHeight="1" thickBot="1" x14ac:dyDescent="0.35">
      <c r="A64" s="382" t="s">
        <v>303</v>
      </c>
      <c r="B64" s="360">
        <v>51.999999999998998</v>
      </c>
      <c r="C64" s="360">
        <v>50.522460000000002</v>
      </c>
      <c r="D64" s="361">
        <v>-1.4775399999979999</v>
      </c>
      <c r="E64" s="362">
        <v>0.97158576922999995</v>
      </c>
      <c r="F64" s="360">
        <v>51.999998362126</v>
      </c>
      <c r="G64" s="361">
        <v>34.666665574749999</v>
      </c>
      <c r="H64" s="363">
        <v>4.0914999999999999</v>
      </c>
      <c r="I64" s="360">
        <v>34.381390000000003</v>
      </c>
      <c r="J64" s="361">
        <v>-0.28527557474999998</v>
      </c>
      <c r="K64" s="364">
        <v>0.66118059774799998</v>
      </c>
    </row>
    <row r="65" spans="1:11" ht="14.4" customHeight="1" thickBot="1" x14ac:dyDescent="0.35">
      <c r="A65" s="379" t="s">
        <v>304</v>
      </c>
      <c r="B65" s="360">
        <v>0</v>
      </c>
      <c r="C65" s="360">
        <v>19.889119999999998</v>
      </c>
      <c r="D65" s="361">
        <v>19.889119999999998</v>
      </c>
      <c r="E65" s="373" t="s">
        <v>247</v>
      </c>
      <c r="F65" s="360">
        <v>0</v>
      </c>
      <c r="G65" s="361">
        <v>0</v>
      </c>
      <c r="H65" s="363">
        <v>0.14499999999999999</v>
      </c>
      <c r="I65" s="360">
        <v>23.245000000000001</v>
      </c>
      <c r="J65" s="361">
        <v>23.245000000000001</v>
      </c>
      <c r="K65" s="370" t="s">
        <v>247</v>
      </c>
    </row>
    <row r="66" spans="1:11" ht="14.4" customHeight="1" thickBot="1" x14ac:dyDescent="0.35">
      <c r="A66" s="380" t="s">
        <v>305</v>
      </c>
      <c r="B66" s="360">
        <v>0</v>
      </c>
      <c r="C66" s="360">
        <v>19.889119999999998</v>
      </c>
      <c r="D66" s="361">
        <v>19.889119999999998</v>
      </c>
      <c r="E66" s="373" t="s">
        <v>247</v>
      </c>
      <c r="F66" s="360">
        <v>0</v>
      </c>
      <c r="G66" s="361">
        <v>0</v>
      </c>
      <c r="H66" s="363">
        <v>0.14499999999999999</v>
      </c>
      <c r="I66" s="360">
        <v>23.245000000000001</v>
      </c>
      <c r="J66" s="361">
        <v>23.245000000000001</v>
      </c>
      <c r="K66" s="370" t="s">
        <v>247</v>
      </c>
    </row>
    <row r="67" spans="1:11" ht="14.4" customHeight="1" thickBot="1" x14ac:dyDescent="0.35">
      <c r="A67" s="381" t="s">
        <v>306</v>
      </c>
      <c r="B67" s="365">
        <v>0</v>
      </c>
      <c r="C67" s="365">
        <v>6.0819999999999999</v>
      </c>
      <c r="D67" s="366">
        <v>6.0819999999999999</v>
      </c>
      <c r="E67" s="371" t="s">
        <v>276</v>
      </c>
      <c r="F67" s="365">
        <v>0</v>
      </c>
      <c r="G67" s="366">
        <v>0</v>
      </c>
      <c r="H67" s="368">
        <v>0.14499999999999999</v>
      </c>
      <c r="I67" s="365">
        <v>0.14499999999999999</v>
      </c>
      <c r="J67" s="366">
        <v>0.14499999999999999</v>
      </c>
      <c r="K67" s="372" t="s">
        <v>247</v>
      </c>
    </row>
    <row r="68" spans="1:11" ht="14.4" customHeight="1" thickBot="1" x14ac:dyDescent="0.35">
      <c r="A68" s="382" t="s">
        <v>307</v>
      </c>
      <c r="B68" s="360">
        <v>0</v>
      </c>
      <c r="C68" s="360">
        <v>0.182</v>
      </c>
      <c r="D68" s="361">
        <v>0.182</v>
      </c>
      <c r="E68" s="373" t="s">
        <v>276</v>
      </c>
      <c r="F68" s="360">
        <v>0</v>
      </c>
      <c r="G68" s="361">
        <v>0</v>
      </c>
      <c r="H68" s="363">
        <v>0.14499999999999999</v>
      </c>
      <c r="I68" s="360">
        <v>0.14499999999999999</v>
      </c>
      <c r="J68" s="361">
        <v>0.14499999999999999</v>
      </c>
      <c r="K68" s="370" t="s">
        <v>247</v>
      </c>
    </row>
    <row r="69" spans="1:11" ht="14.4" customHeight="1" thickBot="1" x14ac:dyDescent="0.35">
      <c r="A69" s="382" t="s">
        <v>308</v>
      </c>
      <c r="B69" s="360">
        <v>0</v>
      </c>
      <c r="C69" s="360">
        <v>5</v>
      </c>
      <c r="D69" s="361">
        <v>5</v>
      </c>
      <c r="E69" s="373" t="s">
        <v>276</v>
      </c>
      <c r="F69" s="360">
        <v>0</v>
      </c>
      <c r="G69" s="361">
        <v>0</v>
      </c>
      <c r="H69" s="363">
        <v>0</v>
      </c>
      <c r="I69" s="360">
        <v>0</v>
      </c>
      <c r="J69" s="361">
        <v>0</v>
      </c>
      <c r="K69" s="364">
        <v>0</v>
      </c>
    </row>
    <row r="70" spans="1:11" ht="14.4" customHeight="1" thickBot="1" x14ac:dyDescent="0.35">
      <c r="A70" s="382" t="s">
        <v>309</v>
      </c>
      <c r="B70" s="360">
        <v>0</v>
      </c>
      <c r="C70" s="360">
        <v>0.9</v>
      </c>
      <c r="D70" s="361">
        <v>0.9</v>
      </c>
      <c r="E70" s="373" t="s">
        <v>276</v>
      </c>
      <c r="F70" s="360">
        <v>0</v>
      </c>
      <c r="G70" s="361">
        <v>0</v>
      </c>
      <c r="H70" s="363">
        <v>0</v>
      </c>
      <c r="I70" s="360">
        <v>0</v>
      </c>
      <c r="J70" s="361">
        <v>0</v>
      </c>
      <c r="K70" s="370" t="s">
        <v>247</v>
      </c>
    </row>
    <row r="71" spans="1:11" ht="14.4" customHeight="1" thickBot="1" x14ac:dyDescent="0.35">
      <c r="A71" s="381" t="s">
        <v>310</v>
      </c>
      <c r="B71" s="365">
        <v>0</v>
      </c>
      <c r="C71" s="365">
        <v>-0.49287999999999998</v>
      </c>
      <c r="D71" s="366">
        <v>-0.49287999999999998</v>
      </c>
      <c r="E71" s="371" t="s">
        <v>276</v>
      </c>
      <c r="F71" s="365">
        <v>0</v>
      </c>
      <c r="G71" s="366">
        <v>0</v>
      </c>
      <c r="H71" s="368">
        <v>0</v>
      </c>
      <c r="I71" s="365">
        <v>0</v>
      </c>
      <c r="J71" s="366">
        <v>0</v>
      </c>
      <c r="K71" s="372" t="s">
        <v>247</v>
      </c>
    </row>
    <row r="72" spans="1:11" ht="14.4" customHeight="1" thickBot="1" x14ac:dyDescent="0.35">
      <c r="A72" s="382" t="s">
        <v>311</v>
      </c>
      <c r="B72" s="360">
        <v>0</v>
      </c>
      <c r="C72" s="360">
        <v>-0.49287999999999998</v>
      </c>
      <c r="D72" s="361">
        <v>-0.49287999999999998</v>
      </c>
      <c r="E72" s="373" t="s">
        <v>276</v>
      </c>
      <c r="F72" s="360">
        <v>0</v>
      </c>
      <c r="G72" s="361">
        <v>0</v>
      </c>
      <c r="H72" s="363">
        <v>0</v>
      </c>
      <c r="I72" s="360">
        <v>0</v>
      </c>
      <c r="J72" s="361">
        <v>0</v>
      </c>
      <c r="K72" s="370" t="s">
        <v>247</v>
      </c>
    </row>
    <row r="73" spans="1:11" ht="14.4" customHeight="1" thickBot="1" x14ac:dyDescent="0.35">
      <c r="A73" s="384" t="s">
        <v>312</v>
      </c>
      <c r="B73" s="360">
        <v>0</v>
      </c>
      <c r="C73" s="360">
        <v>14.3</v>
      </c>
      <c r="D73" s="361">
        <v>14.3</v>
      </c>
      <c r="E73" s="373" t="s">
        <v>247</v>
      </c>
      <c r="F73" s="360">
        <v>0</v>
      </c>
      <c r="G73" s="361">
        <v>0</v>
      </c>
      <c r="H73" s="363">
        <v>0</v>
      </c>
      <c r="I73" s="360">
        <v>23.1</v>
      </c>
      <c r="J73" s="361">
        <v>23.1</v>
      </c>
      <c r="K73" s="370" t="s">
        <v>247</v>
      </c>
    </row>
    <row r="74" spans="1:11" ht="14.4" customHeight="1" thickBot="1" x14ac:dyDescent="0.35">
      <c r="A74" s="382" t="s">
        <v>313</v>
      </c>
      <c r="B74" s="360">
        <v>0</v>
      </c>
      <c r="C74" s="360">
        <v>14.3</v>
      </c>
      <c r="D74" s="361">
        <v>14.3</v>
      </c>
      <c r="E74" s="373" t="s">
        <v>247</v>
      </c>
      <c r="F74" s="360">
        <v>0</v>
      </c>
      <c r="G74" s="361">
        <v>0</v>
      </c>
      <c r="H74" s="363">
        <v>0</v>
      </c>
      <c r="I74" s="360">
        <v>23.1</v>
      </c>
      <c r="J74" s="361">
        <v>23.1</v>
      </c>
      <c r="K74" s="370" t="s">
        <v>247</v>
      </c>
    </row>
    <row r="75" spans="1:11" ht="14.4" customHeight="1" thickBot="1" x14ac:dyDescent="0.35">
      <c r="A75" s="379" t="s">
        <v>314</v>
      </c>
      <c r="B75" s="360">
        <v>39.999111066650002</v>
      </c>
      <c r="C75" s="360">
        <v>77.893299999999996</v>
      </c>
      <c r="D75" s="361">
        <v>37.894188933349</v>
      </c>
      <c r="E75" s="362">
        <v>1.9473757771810001</v>
      </c>
      <c r="F75" s="360">
        <v>42.999983767379</v>
      </c>
      <c r="G75" s="361">
        <v>28.666655844918999</v>
      </c>
      <c r="H75" s="363">
        <v>3.54</v>
      </c>
      <c r="I75" s="360">
        <v>31.829000000000001</v>
      </c>
      <c r="J75" s="361">
        <v>3.16234415508</v>
      </c>
      <c r="K75" s="364">
        <v>0.74020958175600005</v>
      </c>
    </row>
    <row r="76" spans="1:11" ht="14.4" customHeight="1" thickBot="1" x14ac:dyDescent="0.35">
      <c r="A76" s="380" t="s">
        <v>315</v>
      </c>
      <c r="B76" s="360">
        <v>39.999111066650002</v>
      </c>
      <c r="C76" s="360">
        <v>40.856000000000002</v>
      </c>
      <c r="D76" s="361">
        <v>0.85688893334899996</v>
      </c>
      <c r="E76" s="362">
        <v>1.0214226994169999</v>
      </c>
      <c r="F76" s="360">
        <v>42.999983767379</v>
      </c>
      <c r="G76" s="361">
        <v>28.666655844918999</v>
      </c>
      <c r="H76" s="363">
        <v>3.54</v>
      </c>
      <c r="I76" s="360">
        <v>28.32</v>
      </c>
      <c r="J76" s="361">
        <v>-0.34665584491899998</v>
      </c>
      <c r="K76" s="364">
        <v>0.65860489978699999</v>
      </c>
    </row>
    <row r="77" spans="1:11" ht="14.4" customHeight="1" thickBot="1" x14ac:dyDescent="0.35">
      <c r="A77" s="381" t="s">
        <v>316</v>
      </c>
      <c r="B77" s="365">
        <v>39.999111066650002</v>
      </c>
      <c r="C77" s="365">
        <v>40.856000000000002</v>
      </c>
      <c r="D77" s="366">
        <v>0.85688893334899996</v>
      </c>
      <c r="E77" s="367">
        <v>1.0214226994169999</v>
      </c>
      <c r="F77" s="365">
        <v>42.999983767379</v>
      </c>
      <c r="G77" s="366">
        <v>28.666655844918999</v>
      </c>
      <c r="H77" s="368">
        <v>3.54</v>
      </c>
      <c r="I77" s="365">
        <v>28.32</v>
      </c>
      <c r="J77" s="366">
        <v>-0.34665584491899998</v>
      </c>
      <c r="K77" s="369">
        <v>0.65860489978699999</v>
      </c>
    </row>
    <row r="78" spans="1:11" ht="14.4" customHeight="1" thickBot="1" x14ac:dyDescent="0.35">
      <c r="A78" s="382" t="s">
        <v>317</v>
      </c>
      <c r="B78" s="360">
        <v>21.999125944873999</v>
      </c>
      <c r="C78" s="360">
        <v>23.324000000000002</v>
      </c>
      <c r="D78" s="361">
        <v>1.324874055125</v>
      </c>
      <c r="E78" s="362">
        <v>1.0602239406439999</v>
      </c>
      <c r="F78" s="360">
        <v>24.999999212559999</v>
      </c>
      <c r="G78" s="361">
        <v>16.666666141705999</v>
      </c>
      <c r="H78" s="363">
        <v>2.0670000000000002</v>
      </c>
      <c r="I78" s="360">
        <v>16.536000000000001</v>
      </c>
      <c r="J78" s="361">
        <v>-0.13066614170599999</v>
      </c>
      <c r="K78" s="364">
        <v>0.66144002083300002</v>
      </c>
    </row>
    <row r="79" spans="1:11" ht="14.4" customHeight="1" thickBot="1" x14ac:dyDescent="0.35">
      <c r="A79" s="382" t="s">
        <v>318</v>
      </c>
      <c r="B79" s="360">
        <v>10.000083664575</v>
      </c>
      <c r="C79" s="360">
        <v>9.9120000000000008</v>
      </c>
      <c r="D79" s="361">
        <v>-8.8083664574999998E-2</v>
      </c>
      <c r="E79" s="362">
        <v>0.99119170723600003</v>
      </c>
      <c r="F79" s="360">
        <v>10.000083349596</v>
      </c>
      <c r="G79" s="361">
        <v>6.6667222330640001</v>
      </c>
      <c r="H79" s="363">
        <v>0.82599999999999996</v>
      </c>
      <c r="I79" s="360">
        <v>6.6079999999999997</v>
      </c>
      <c r="J79" s="361">
        <v>-5.8722233063999998E-2</v>
      </c>
      <c r="K79" s="364">
        <v>0.660794492304</v>
      </c>
    </row>
    <row r="80" spans="1:11" ht="14.4" customHeight="1" thickBot="1" x14ac:dyDescent="0.35">
      <c r="A80" s="382" t="s">
        <v>319</v>
      </c>
      <c r="B80" s="360">
        <v>7.9999014572</v>
      </c>
      <c r="C80" s="360">
        <v>7.62</v>
      </c>
      <c r="D80" s="361">
        <v>-0.37990145720000001</v>
      </c>
      <c r="E80" s="362">
        <v>0.952511732896</v>
      </c>
      <c r="F80" s="360">
        <v>7.9999012052219998</v>
      </c>
      <c r="G80" s="361">
        <v>5.3332674701479998</v>
      </c>
      <c r="H80" s="363">
        <v>0.64700000000000002</v>
      </c>
      <c r="I80" s="360">
        <v>5.1760000000000002</v>
      </c>
      <c r="J80" s="361">
        <v>-0.15726747014799999</v>
      </c>
      <c r="K80" s="364">
        <v>0.64700799012599997</v>
      </c>
    </row>
    <row r="81" spans="1:11" ht="14.4" customHeight="1" thickBot="1" x14ac:dyDescent="0.35">
      <c r="A81" s="380" t="s">
        <v>320</v>
      </c>
      <c r="B81" s="360">
        <v>0</v>
      </c>
      <c r="C81" s="360">
        <v>37.037300000000002</v>
      </c>
      <c r="D81" s="361">
        <v>37.037300000000002</v>
      </c>
      <c r="E81" s="373" t="s">
        <v>247</v>
      </c>
      <c r="F81" s="360">
        <v>0</v>
      </c>
      <c r="G81" s="361">
        <v>0</v>
      </c>
      <c r="H81" s="363">
        <v>0</v>
      </c>
      <c r="I81" s="360">
        <v>3.5089999999999999</v>
      </c>
      <c r="J81" s="361">
        <v>3.5089999999999999</v>
      </c>
      <c r="K81" s="370" t="s">
        <v>247</v>
      </c>
    </row>
    <row r="82" spans="1:11" ht="14.4" customHeight="1" thickBot="1" x14ac:dyDescent="0.35">
      <c r="A82" s="381" t="s">
        <v>321</v>
      </c>
      <c r="B82" s="365">
        <v>0</v>
      </c>
      <c r="C82" s="365">
        <v>37.037300000000002</v>
      </c>
      <c r="D82" s="366">
        <v>37.037300000000002</v>
      </c>
      <c r="E82" s="371" t="s">
        <v>247</v>
      </c>
      <c r="F82" s="365">
        <v>0</v>
      </c>
      <c r="G82" s="366">
        <v>0</v>
      </c>
      <c r="H82" s="368">
        <v>0</v>
      </c>
      <c r="I82" s="365">
        <v>3.5089999999999999</v>
      </c>
      <c r="J82" s="366">
        <v>3.5089999999999999</v>
      </c>
      <c r="K82" s="372" t="s">
        <v>247</v>
      </c>
    </row>
    <row r="83" spans="1:11" ht="14.4" customHeight="1" thickBot="1" x14ac:dyDescent="0.35">
      <c r="A83" s="382" t="s">
        <v>322</v>
      </c>
      <c r="B83" s="360">
        <v>0</v>
      </c>
      <c r="C83" s="360">
        <v>37.037300000000002</v>
      </c>
      <c r="D83" s="361">
        <v>37.037300000000002</v>
      </c>
      <c r="E83" s="373" t="s">
        <v>247</v>
      </c>
      <c r="F83" s="360">
        <v>0</v>
      </c>
      <c r="G83" s="361">
        <v>0</v>
      </c>
      <c r="H83" s="363">
        <v>0</v>
      </c>
      <c r="I83" s="360">
        <v>3.5089999999999999</v>
      </c>
      <c r="J83" s="361">
        <v>3.5089999999999999</v>
      </c>
      <c r="K83" s="370" t="s">
        <v>247</v>
      </c>
    </row>
    <row r="84" spans="1:11" ht="14.4" customHeight="1" thickBot="1" x14ac:dyDescent="0.35">
      <c r="A84" s="378" t="s">
        <v>323</v>
      </c>
      <c r="B84" s="360">
        <v>7065.5011840815296</v>
      </c>
      <c r="C84" s="360">
        <v>7769.9671099999996</v>
      </c>
      <c r="D84" s="361">
        <v>704.465925918469</v>
      </c>
      <c r="E84" s="362">
        <v>1.0997050184499999</v>
      </c>
      <c r="F84" s="360">
        <v>7662.58809836001</v>
      </c>
      <c r="G84" s="361">
        <v>5108.39206557334</v>
      </c>
      <c r="H84" s="363">
        <v>562.31632999999999</v>
      </c>
      <c r="I84" s="360">
        <v>5774.7838199999997</v>
      </c>
      <c r="J84" s="361">
        <v>666.39175442665805</v>
      </c>
      <c r="K84" s="364">
        <v>0.75363359557700005</v>
      </c>
    </row>
    <row r="85" spans="1:11" ht="14.4" customHeight="1" thickBot="1" x14ac:dyDescent="0.35">
      <c r="A85" s="379" t="s">
        <v>324</v>
      </c>
      <c r="B85" s="360">
        <v>7019.6462461520096</v>
      </c>
      <c r="C85" s="360">
        <v>7721.4060900000004</v>
      </c>
      <c r="D85" s="361">
        <v>701.75984384798505</v>
      </c>
      <c r="E85" s="362">
        <v>1.09997082748</v>
      </c>
      <c r="F85" s="360">
        <v>7619.58809836001</v>
      </c>
      <c r="G85" s="361">
        <v>5079.7253989066703</v>
      </c>
      <c r="H85" s="363">
        <v>560.87004999999999</v>
      </c>
      <c r="I85" s="360">
        <v>5747.3007399999997</v>
      </c>
      <c r="J85" s="361">
        <v>667.57534109332505</v>
      </c>
      <c r="K85" s="364">
        <v>0.75427971509799996</v>
      </c>
    </row>
    <row r="86" spans="1:11" ht="14.4" customHeight="1" thickBot="1" x14ac:dyDescent="0.35">
      <c r="A86" s="380" t="s">
        <v>325</v>
      </c>
      <c r="B86" s="360">
        <v>7019.6462461520096</v>
      </c>
      <c r="C86" s="360">
        <v>7721.4060900000004</v>
      </c>
      <c r="D86" s="361">
        <v>701.75984384798505</v>
      </c>
      <c r="E86" s="362">
        <v>1.09997082748</v>
      </c>
      <c r="F86" s="360">
        <v>7619.58809836001</v>
      </c>
      <c r="G86" s="361">
        <v>5079.7253989066703</v>
      </c>
      <c r="H86" s="363">
        <v>560.87004999999999</v>
      </c>
      <c r="I86" s="360">
        <v>5747.3007399999997</v>
      </c>
      <c r="J86" s="361">
        <v>667.57534109332505</v>
      </c>
      <c r="K86" s="364">
        <v>0.75427971509799996</v>
      </c>
    </row>
    <row r="87" spans="1:11" ht="14.4" customHeight="1" thickBot="1" x14ac:dyDescent="0.35">
      <c r="A87" s="381" t="s">
        <v>326</v>
      </c>
      <c r="B87" s="365">
        <v>16.646246152012001</v>
      </c>
      <c r="C87" s="365">
        <v>28.110289999999999</v>
      </c>
      <c r="D87" s="366">
        <v>11.464043847988</v>
      </c>
      <c r="E87" s="367">
        <v>1.68868643076</v>
      </c>
      <c r="F87" s="365">
        <v>21.588098358027001</v>
      </c>
      <c r="G87" s="366">
        <v>14.392065572018</v>
      </c>
      <c r="H87" s="368">
        <v>3.1906699999999999</v>
      </c>
      <c r="I87" s="365">
        <v>30.132470000000001</v>
      </c>
      <c r="J87" s="366">
        <v>15.740404427981</v>
      </c>
      <c r="K87" s="369">
        <v>1.3957908427250001</v>
      </c>
    </row>
    <row r="88" spans="1:11" ht="14.4" customHeight="1" thickBot="1" x14ac:dyDescent="0.35">
      <c r="A88" s="382" t="s">
        <v>327</v>
      </c>
      <c r="B88" s="360">
        <v>0</v>
      </c>
      <c r="C88" s="360">
        <v>0</v>
      </c>
      <c r="D88" s="361">
        <v>0</v>
      </c>
      <c r="E88" s="362">
        <v>1</v>
      </c>
      <c r="F88" s="360">
        <v>0</v>
      </c>
      <c r="G88" s="361">
        <v>0</v>
      </c>
      <c r="H88" s="363">
        <v>0</v>
      </c>
      <c r="I88" s="360">
        <v>2.3239999999999998</v>
      </c>
      <c r="J88" s="361">
        <v>2.3239999999999998</v>
      </c>
      <c r="K88" s="370" t="s">
        <v>276</v>
      </c>
    </row>
    <row r="89" spans="1:11" ht="14.4" customHeight="1" thickBot="1" x14ac:dyDescent="0.35">
      <c r="A89" s="382" t="s">
        <v>328</v>
      </c>
      <c r="B89" s="360">
        <v>16.646246152012001</v>
      </c>
      <c r="C89" s="360">
        <v>28.04748</v>
      </c>
      <c r="D89" s="361">
        <v>11.401233847987999</v>
      </c>
      <c r="E89" s="362">
        <v>1.68491320769</v>
      </c>
      <c r="F89" s="360">
        <v>21.41005050927</v>
      </c>
      <c r="G89" s="361">
        <v>14.273367006180001</v>
      </c>
      <c r="H89" s="363">
        <v>3.1906699999999999</v>
      </c>
      <c r="I89" s="360">
        <v>27.80847</v>
      </c>
      <c r="J89" s="361">
        <v>13.535102993819001</v>
      </c>
      <c r="K89" s="364">
        <v>1.298851209527</v>
      </c>
    </row>
    <row r="90" spans="1:11" ht="14.4" customHeight="1" thickBot="1" x14ac:dyDescent="0.35">
      <c r="A90" s="382" t="s">
        <v>329</v>
      </c>
      <c r="B90" s="360">
        <v>0</v>
      </c>
      <c r="C90" s="360">
        <v>6.2810000000000005E-2</v>
      </c>
      <c r="D90" s="361">
        <v>6.2810000000000005E-2</v>
      </c>
      <c r="E90" s="373" t="s">
        <v>276</v>
      </c>
      <c r="F90" s="360">
        <v>0.178047848757</v>
      </c>
      <c r="G90" s="361">
        <v>0.11869856583799999</v>
      </c>
      <c r="H90" s="363">
        <v>0</v>
      </c>
      <c r="I90" s="360">
        <v>0</v>
      </c>
      <c r="J90" s="361">
        <v>-0.11869856583799999</v>
      </c>
      <c r="K90" s="364">
        <v>0</v>
      </c>
    </row>
    <row r="91" spans="1:11" ht="14.4" customHeight="1" thickBot="1" x14ac:dyDescent="0.35">
      <c r="A91" s="381" t="s">
        <v>330</v>
      </c>
      <c r="B91" s="365">
        <v>0</v>
      </c>
      <c r="C91" s="365">
        <v>11.79332</v>
      </c>
      <c r="D91" s="366">
        <v>11.79332</v>
      </c>
      <c r="E91" s="371" t="s">
        <v>247</v>
      </c>
      <c r="F91" s="365">
        <v>10.000000000002</v>
      </c>
      <c r="G91" s="366">
        <v>6.6666666666680001</v>
      </c>
      <c r="H91" s="368">
        <v>2.5840000000000001</v>
      </c>
      <c r="I91" s="365">
        <v>15.08714</v>
      </c>
      <c r="J91" s="366">
        <v>8.4204733333309996</v>
      </c>
      <c r="K91" s="369">
        <v>1.508713999999</v>
      </c>
    </row>
    <row r="92" spans="1:11" ht="14.4" customHeight="1" thickBot="1" x14ac:dyDescent="0.35">
      <c r="A92" s="382" t="s">
        <v>331</v>
      </c>
      <c r="B92" s="360">
        <v>0</v>
      </c>
      <c r="C92" s="360">
        <v>11.79332</v>
      </c>
      <c r="D92" s="361">
        <v>11.79332</v>
      </c>
      <c r="E92" s="373" t="s">
        <v>247</v>
      </c>
      <c r="F92" s="360">
        <v>10.000000000002</v>
      </c>
      <c r="G92" s="361">
        <v>6.6666666666680001</v>
      </c>
      <c r="H92" s="363">
        <v>2.5840000000000001</v>
      </c>
      <c r="I92" s="360">
        <v>15.08714</v>
      </c>
      <c r="J92" s="361">
        <v>8.4204733333309996</v>
      </c>
      <c r="K92" s="364">
        <v>1.508713999999</v>
      </c>
    </row>
    <row r="93" spans="1:11" ht="14.4" customHeight="1" thickBot="1" x14ac:dyDescent="0.35">
      <c r="A93" s="381" t="s">
        <v>332</v>
      </c>
      <c r="B93" s="365">
        <v>0</v>
      </c>
      <c r="C93" s="365">
        <v>1.1484000000000001</v>
      </c>
      <c r="D93" s="366">
        <v>1.1484000000000001</v>
      </c>
      <c r="E93" s="371" t="s">
        <v>247</v>
      </c>
      <c r="F93" s="365">
        <v>4.0000000000010001</v>
      </c>
      <c r="G93" s="366">
        <v>2.666666666667</v>
      </c>
      <c r="H93" s="368">
        <v>0</v>
      </c>
      <c r="I93" s="365">
        <v>0</v>
      </c>
      <c r="J93" s="366">
        <v>-2.666666666667</v>
      </c>
      <c r="K93" s="369">
        <v>0</v>
      </c>
    </row>
    <row r="94" spans="1:11" ht="14.4" customHeight="1" thickBot="1" x14ac:dyDescent="0.35">
      <c r="A94" s="382" t="s">
        <v>333</v>
      </c>
      <c r="B94" s="360">
        <v>0</v>
      </c>
      <c r="C94" s="360">
        <v>1.1484000000000001</v>
      </c>
      <c r="D94" s="361">
        <v>1.1484000000000001</v>
      </c>
      <c r="E94" s="373" t="s">
        <v>276</v>
      </c>
      <c r="F94" s="360">
        <v>4.0000000000010001</v>
      </c>
      <c r="G94" s="361">
        <v>2.666666666667</v>
      </c>
      <c r="H94" s="363">
        <v>0</v>
      </c>
      <c r="I94" s="360">
        <v>0</v>
      </c>
      <c r="J94" s="361">
        <v>-2.666666666667</v>
      </c>
      <c r="K94" s="364">
        <v>0</v>
      </c>
    </row>
    <row r="95" spans="1:11" ht="14.4" customHeight="1" thickBot="1" x14ac:dyDescent="0.35">
      <c r="A95" s="381" t="s">
        <v>334</v>
      </c>
      <c r="B95" s="365">
        <v>7003</v>
      </c>
      <c r="C95" s="365">
        <v>7188.0248499999998</v>
      </c>
      <c r="D95" s="366">
        <v>185.024849999998</v>
      </c>
      <c r="E95" s="367">
        <v>1.0264207982289999</v>
      </c>
      <c r="F95" s="365">
        <v>7584.00000000198</v>
      </c>
      <c r="G95" s="366">
        <v>5056.0000000013197</v>
      </c>
      <c r="H95" s="368">
        <v>555.09537999999998</v>
      </c>
      <c r="I95" s="365">
        <v>5341.8236699999998</v>
      </c>
      <c r="J95" s="366">
        <v>285.82366999867901</v>
      </c>
      <c r="K95" s="369">
        <v>0.70435438686600005</v>
      </c>
    </row>
    <row r="96" spans="1:11" ht="14.4" customHeight="1" thickBot="1" x14ac:dyDescent="0.35">
      <c r="A96" s="382" t="s">
        <v>335</v>
      </c>
      <c r="B96" s="360">
        <v>2495</v>
      </c>
      <c r="C96" s="360">
        <v>2371.9464600000001</v>
      </c>
      <c r="D96" s="361">
        <v>-123.053540000002</v>
      </c>
      <c r="E96" s="362">
        <v>0.95067994388699995</v>
      </c>
      <c r="F96" s="360">
        <v>2646.0000000006899</v>
      </c>
      <c r="G96" s="361">
        <v>1764.00000000046</v>
      </c>
      <c r="H96" s="363">
        <v>196.18969000000001</v>
      </c>
      <c r="I96" s="360">
        <v>1838.2413899999999</v>
      </c>
      <c r="J96" s="361">
        <v>74.241389999538995</v>
      </c>
      <c r="K96" s="364">
        <v>0.69472463718800004</v>
      </c>
    </row>
    <row r="97" spans="1:11" ht="14.4" customHeight="1" thickBot="1" x14ac:dyDescent="0.35">
      <c r="A97" s="382" t="s">
        <v>336</v>
      </c>
      <c r="B97" s="360">
        <v>4508</v>
      </c>
      <c r="C97" s="360">
        <v>4816.0783899999997</v>
      </c>
      <c r="D97" s="361">
        <v>308.07839000000001</v>
      </c>
      <c r="E97" s="362">
        <v>1.068340370452</v>
      </c>
      <c r="F97" s="360">
        <v>4938.0000000012897</v>
      </c>
      <c r="G97" s="361">
        <v>3292.0000000008599</v>
      </c>
      <c r="H97" s="363">
        <v>358.90568999999999</v>
      </c>
      <c r="I97" s="360">
        <v>3503.5822800000001</v>
      </c>
      <c r="J97" s="361">
        <v>211.58227999914101</v>
      </c>
      <c r="K97" s="364">
        <v>0.70951443499300004</v>
      </c>
    </row>
    <row r="98" spans="1:11" ht="14.4" customHeight="1" thickBot="1" x14ac:dyDescent="0.35">
      <c r="A98" s="381" t="s">
        <v>337</v>
      </c>
      <c r="B98" s="365">
        <v>0</v>
      </c>
      <c r="C98" s="365">
        <v>492.32923</v>
      </c>
      <c r="D98" s="366">
        <v>492.32923</v>
      </c>
      <c r="E98" s="371" t="s">
        <v>247</v>
      </c>
      <c r="F98" s="365">
        <v>0</v>
      </c>
      <c r="G98" s="366">
        <v>0</v>
      </c>
      <c r="H98" s="368">
        <v>0</v>
      </c>
      <c r="I98" s="365">
        <v>360.25745999999998</v>
      </c>
      <c r="J98" s="366">
        <v>360.25745999999998</v>
      </c>
      <c r="K98" s="372" t="s">
        <v>247</v>
      </c>
    </row>
    <row r="99" spans="1:11" ht="14.4" customHeight="1" thickBot="1" x14ac:dyDescent="0.35">
      <c r="A99" s="382" t="s">
        <v>338</v>
      </c>
      <c r="B99" s="360">
        <v>0</v>
      </c>
      <c r="C99" s="360">
        <v>17.632930000000002</v>
      </c>
      <c r="D99" s="361">
        <v>17.632930000000002</v>
      </c>
      <c r="E99" s="373" t="s">
        <v>247</v>
      </c>
      <c r="F99" s="360">
        <v>0</v>
      </c>
      <c r="G99" s="361">
        <v>0</v>
      </c>
      <c r="H99" s="363">
        <v>0</v>
      </c>
      <c r="I99" s="360">
        <v>59.563490000000002</v>
      </c>
      <c r="J99" s="361">
        <v>59.563490000000002</v>
      </c>
      <c r="K99" s="370" t="s">
        <v>247</v>
      </c>
    </row>
    <row r="100" spans="1:11" ht="14.4" customHeight="1" thickBot="1" x14ac:dyDescent="0.35">
      <c r="A100" s="382" t="s">
        <v>339</v>
      </c>
      <c r="B100" s="360">
        <v>0</v>
      </c>
      <c r="C100" s="360">
        <v>474.69630000000001</v>
      </c>
      <c r="D100" s="361">
        <v>474.69630000000001</v>
      </c>
      <c r="E100" s="373" t="s">
        <v>247</v>
      </c>
      <c r="F100" s="360">
        <v>0</v>
      </c>
      <c r="G100" s="361">
        <v>0</v>
      </c>
      <c r="H100" s="363">
        <v>0</v>
      </c>
      <c r="I100" s="360">
        <v>300.69396999999998</v>
      </c>
      <c r="J100" s="361">
        <v>300.69396999999998</v>
      </c>
      <c r="K100" s="370" t="s">
        <v>247</v>
      </c>
    </row>
    <row r="101" spans="1:11" ht="14.4" customHeight="1" thickBot="1" x14ac:dyDescent="0.35">
      <c r="A101" s="379" t="s">
        <v>340</v>
      </c>
      <c r="B101" s="360">
        <v>45.854937929517</v>
      </c>
      <c r="C101" s="360">
        <v>48.561019999999999</v>
      </c>
      <c r="D101" s="361">
        <v>2.7060820704820001</v>
      </c>
      <c r="E101" s="362">
        <v>1.059013973034</v>
      </c>
      <c r="F101" s="360">
        <v>43</v>
      </c>
      <c r="G101" s="361">
        <v>28.666666666666</v>
      </c>
      <c r="H101" s="363">
        <v>1.44628</v>
      </c>
      <c r="I101" s="360">
        <v>27.483080000000001</v>
      </c>
      <c r="J101" s="361">
        <v>-1.183586666666</v>
      </c>
      <c r="K101" s="364">
        <v>0.63914139534799996</v>
      </c>
    </row>
    <row r="102" spans="1:11" ht="14.4" customHeight="1" thickBot="1" x14ac:dyDescent="0.35">
      <c r="A102" s="385" t="s">
        <v>341</v>
      </c>
      <c r="B102" s="365">
        <v>45.854937929517</v>
      </c>
      <c r="C102" s="365">
        <v>48.561019999999999</v>
      </c>
      <c r="D102" s="366">
        <v>2.7060820704820001</v>
      </c>
      <c r="E102" s="367">
        <v>1.059013973034</v>
      </c>
      <c r="F102" s="365">
        <v>43</v>
      </c>
      <c r="G102" s="366">
        <v>28.666666666666</v>
      </c>
      <c r="H102" s="368">
        <v>1.44628</v>
      </c>
      <c r="I102" s="365">
        <v>27.483080000000001</v>
      </c>
      <c r="J102" s="366">
        <v>-1.183586666666</v>
      </c>
      <c r="K102" s="369">
        <v>0.63914139534799996</v>
      </c>
    </row>
    <row r="103" spans="1:11" ht="14.4" customHeight="1" thickBot="1" x14ac:dyDescent="0.35">
      <c r="A103" s="381" t="s">
        <v>342</v>
      </c>
      <c r="B103" s="365">
        <v>0</v>
      </c>
      <c r="C103" s="365">
        <v>-1.9000000000000001E-4</v>
      </c>
      <c r="D103" s="366">
        <v>-1.9000000000000001E-4</v>
      </c>
      <c r="E103" s="371" t="s">
        <v>247</v>
      </c>
      <c r="F103" s="365">
        <v>0</v>
      </c>
      <c r="G103" s="366">
        <v>0</v>
      </c>
      <c r="H103" s="368">
        <v>-2.0000000000000002E-5</v>
      </c>
      <c r="I103" s="365">
        <v>-2.0000000000000002E-5</v>
      </c>
      <c r="J103" s="366">
        <v>-2.0000000000000002E-5</v>
      </c>
      <c r="K103" s="372" t="s">
        <v>247</v>
      </c>
    </row>
    <row r="104" spans="1:11" ht="14.4" customHeight="1" thickBot="1" x14ac:dyDescent="0.35">
      <c r="A104" s="382" t="s">
        <v>343</v>
      </c>
      <c r="B104" s="360">
        <v>0</v>
      </c>
      <c r="C104" s="360">
        <v>-1.9000000000000001E-4</v>
      </c>
      <c r="D104" s="361">
        <v>-1.9000000000000001E-4</v>
      </c>
      <c r="E104" s="373" t="s">
        <v>247</v>
      </c>
      <c r="F104" s="360">
        <v>0</v>
      </c>
      <c r="G104" s="361">
        <v>0</v>
      </c>
      <c r="H104" s="363">
        <v>-2.0000000000000002E-5</v>
      </c>
      <c r="I104" s="360">
        <v>-2.0000000000000002E-5</v>
      </c>
      <c r="J104" s="361">
        <v>-2.0000000000000002E-5</v>
      </c>
      <c r="K104" s="370" t="s">
        <v>247</v>
      </c>
    </row>
    <row r="105" spans="1:11" ht="14.4" customHeight="1" thickBot="1" x14ac:dyDescent="0.35">
      <c r="A105" s="381" t="s">
        <v>344</v>
      </c>
      <c r="B105" s="365">
        <v>45.854937929517</v>
      </c>
      <c r="C105" s="365">
        <v>48.561210000000003</v>
      </c>
      <c r="D105" s="366">
        <v>2.706272070482</v>
      </c>
      <c r="E105" s="367">
        <v>1.059018116536</v>
      </c>
      <c r="F105" s="365">
        <v>43</v>
      </c>
      <c r="G105" s="366">
        <v>28.666666666666</v>
      </c>
      <c r="H105" s="368">
        <v>1.4462999999999999</v>
      </c>
      <c r="I105" s="365">
        <v>27.4831</v>
      </c>
      <c r="J105" s="366">
        <v>-1.1835666666660001</v>
      </c>
      <c r="K105" s="369">
        <v>0.63914186046499999</v>
      </c>
    </row>
    <row r="106" spans="1:11" ht="14.4" customHeight="1" thickBot="1" x14ac:dyDescent="0.35">
      <c r="A106" s="382" t="s">
        <v>345</v>
      </c>
      <c r="B106" s="360">
        <v>0</v>
      </c>
      <c r="C106" s="360">
        <v>-1.48752</v>
      </c>
      <c r="D106" s="361">
        <v>-1.48752</v>
      </c>
      <c r="E106" s="373" t="s">
        <v>276</v>
      </c>
      <c r="F106" s="360">
        <v>0</v>
      </c>
      <c r="G106" s="361">
        <v>0</v>
      </c>
      <c r="H106" s="363">
        <v>0</v>
      </c>
      <c r="I106" s="360">
        <v>0</v>
      </c>
      <c r="J106" s="361">
        <v>0</v>
      </c>
      <c r="K106" s="370" t="s">
        <v>247</v>
      </c>
    </row>
    <row r="107" spans="1:11" ht="14.4" customHeight="1" thickBot="1" x14ac:dyDescent="0.35">
      <c r="A107" s="382" t="s">
        <v>346</v>
      </c>
      <c r="B107" s="360">
        <v>0</v>
      </c>
      <c r="C107" s="360">
        <v>0</v>
      </c>
      <c r="D107" s="361">
        <v>0</v>
      </c>
      <c r="E107" s="362">
        <v>1</v>
      </c>
      <c r="F107" s="360">
        <v>0</v>
      </c>
      <c r="G107" s="361">
        <v>0</v>
      </c>
      <c r="H107" s="363">
        <v>0</v>
      </c>
      <c r="I107" s="360">
        <v>2.9090000000000001E-2</v>
      </c>
      <c r="J107" s="361">
        <v>2.9090000000000001E-2</v>
      </c>
      <c r="K107" s="370" t="s">
        <v>276</v>
      </c>
    </row>
    <row r="108" spans="1:11" ht="14.4" customHeight="1" thickBot="1" x14ac:dyDescent="0.35">
      <c r="A108" s="382" t="s">
        <v>347</v>
      </c>
      <c r="B108" s="360">
        <v>45.854937929517</v>
      </c>
      <c r="C108" s="360">
        <v>50.048729999999999</v>
      </c>
      <c r="D108" s="361">
        <v>4.193792070482</v>
      </c>
      <c r="E108" s="362">
        <v>1.091457807159</v>
      </c>
      <c r="F108" s="360">
        <v>43</v>
      </c>
      <c r="G108" s="361">
        <v>28.666666666666</v>
      </c>
      <c r="H108" s="363">
        <v>1.4462999999999999</v>
      </c>
      <c r="I108" s="360">
        <v>27.45401</v>
      </c>
      <c r="J108" s="361">
        <v>-1.2126566666659999</v>
      </c>
      <c r="K108" s="364">
        <v>0.63846534883700001</v>
      </c>
    </row>
    <row r="109" spans="1:11" ht="14.4" customHeight="1" thickBot="1" x14ac:dyDescent="0.35">
      <c r="A109" s="378" t="s">
        <v>348</v>
      </c>
      <c r="B109" s="360">
        <v>1142.00028352708</v>
      </c>
      <c r="C109" s="360">
        <v>1086.4533200000001</v>
      </c>
      <c r="D109" s="361">
        <v>-55.546963527076002</v>
      </c>
      <c r="E109" s="362">
        <v>0.95135993893399995</v>
      </c>
      <c r="F109" s="360">
        <v>1007.7928227074</v>
      </c>
      <c r="G109" s="361">
        <v>671.86188180493195</v>
      </c>
      <c r="H109" s="363">
        <v>64.786259999999999</v>
      </c>
      <c r="I109" s="360">
        <v>629.06515000000104</v>
      </c>
      <c r="J109" s="361">
        <v>-42.796731804930999</v>
      </c>
      <c r="K109" s="364">
        <v>0.62420086333799996</v>
      </c>
    </row>
    <row r="110" spans="1:11" ht="14.4" customHeight="1" thickBot="1" x14ac:dyDescent="0.35">
      <c r="A110" s="383" t="s">
        <v>349</v>
      </c>
      <c r="B110" s="365">
        <v>1142.00028352708</v>
      </c>
      <c r="C110" s="365">
        <v>1086.4533200000001</v>
      </c>
      <c r="D110" s="366">
        <v>-55.546963527076002</v>
      </c>
      <c r="E110" s="367">
        <v>0.95135993893399995</v>
      </c>
      <c r="F110" s="365">
        <v>1007.7928227074</v>
      </c>
      <c r="G110" s="366">
        <v>671.86188180493195</v>
      </c>
      <c r="H110" s="368">
        <v>64.786259999999999</v>
      </c>
      <c r="I110" s="365">
        <v>629.06515000000104</v>
      </c>
      <c r="J110" s="366">
        <v>-42.796731804930999</v>
      </c>
      <c r="K110" s="369">
        <v>0.62420086333799996</v>
      </c>
    </row>
    <row r="111" spans="1:11" ht="14.4" customHeight="1" thickBot="1" x14ac:dyDescent="0.35">
      <c r="A111" s="385" t="s">
        <v>40</v>
      </c>
      <c r="B111" s="365">
        <v>1142.00028352708</v>
      </c>
      <c r="C111" s="365">
        <v>1086.4533200000001</v>
      </c>
      <c r="D111" s="366">
        <v>-55.546963527076002</v>
      </c>
      <c r="E111" s="367">
        <v>0.95135993893399995</v>
      </c>
      <c r="F111" s="365">
        <v>1007.7928227074</v>
      </c>
      <c r="G111" s="366">
        <v>671.86188180493195</v>
      </c>
      <c r="H111" s="368">
        <v>64.786259999999999</v>
      </c>
      <c r="I111" s="365">
        <v>629.06515000000104</v>
      </c>
      <c r="J111" s="366">
        <v>-42.796731804930999</v>
      </c>
      <c r="K111" s="369">
        <v>0.62420086333799996</v>
      </c>
    </row>
    <row r="112" spans="1:11" ht="14.4" customHeight="1" thickBot="1" x14ac:dyDescent="0.35">
      <c r="A112" s="381" t="s">
        <v>350</v>
      </c>
      <c r="B112" s="365">
        <v>3</v>
      </c>
      <c r="C112" s="365">
        <v>5.1791999999999998</v>
      </c>
      <c r="D112" s="366">
        <v>2.1791999999999998</v>
      </c>
      <c r="E112" s="367">
        <v>1.7263999999999999</v>
      </c>
      <c r="F112" s="365">
        <v>5.6063242827430004</v>
      </c>
      <c r="G112" s="366">
        <v>3.7375495218279999</v>
      </c>
      <c r="H112" s="368">
        <v>0.495</v>
      </c>
      <c r="I112" s="365">
        <v>4.8150000000000004</v>
      </c>
      <c r="J112" s="366">
        <v>1.0774504781709999</v>
      </c>
      <c r="K112" s="369">
        <v>0.85885149648199999</v>
      </c>
    </row>
    <row r="113" spans="1:11" ht="14.4" customHeight="1" thickBot="1" x14ac:dyDescent="0.35">
      <c r="A113" s="382" t="s">
        <v>351</v>
      </c>
      <c r="B113" s="360">
        <v>3</v>
      </c>
      <c r="C113" s="360">
        <v>5.1791999999999998</v>
      </c>
      <c r="D113" s="361">
        <v>2.1791999999999998</v>
      </c>
      <c r="E113" s="362">
        <v>1.7263999999999999</v>
      </c>
      <c r="F113" s="360">
        <v>5.6063242827430004</v>
      </c>
      <c r="G113" s="361">
        <v>3.7375495218279999</v>
      </c>
      <c r="H113" s="363">
        <v>0.495</v>
      </c>
      <c r="I113" s="360">
        <v>4.8150000000000004</v>
      </c>
      <c r="J113" s="361">
        <v>1.0774504781709999</v>
      </c>
      <c r="K113" s="364">
        <v>0.85885149648199999</v>
      </c>
    </row>
    <row r="114" spans="1:11" ht="14.4" customHeight="1" thickBot="1" x14ac:dyDescent="0.35">
      <c r="A114" s="381" t="s">
        <v>352</v>
      </c>
      <c r="B114" s="365">
        <v>2.0002835270760002</v>
      </c>
      <c r="C114" s="365">
        <v>1.7350000000000001</v>
      </c>
      <c r="D114" s="366">
        <v>-0.265283527076</v>
      </c>
      <c r="E114" s="367">
        <v>0.86737703756200002</v>
      </c>
      <c r="F114" s="365">
        <v>2.6522028483960001</v>
      </c>
      <c r="G114" s="366">
        <v>1.768135232264</v>
      </c>
      <c r="H114" s="368">
        <v>0</v>
      </c>
      <c r="I114" s="365">
        <v>1.1025</v>
      </c>
      <c r="J114" s="366">
        <v>-0.66563523226400001</v>
      </c>
      <c r="K114" s="369">
        <v>0.41569218608800002</v>
      </c>
    </row>
    <row r="115" spans="1:11" ht="14.4" customHeight="1" thickBot="1" x14ac:dyDescent="0.35">
      <c r="A115" s="382" t="s">
        <v>353</v>
      </c>
      <c r="B115" s="360">
        <v>2.0002835270760002</v>
      </c>
      <c r="C115" s="360">
        <v>1.7350000000000001</v>
      </c>
      <c r="D115" s="361">
        <v>-0.265283527076</v>
      </c>
      <c r="E115" s="362">
        <v>0.86737703756200002</v>
      </c>
      <c r="F115" s="360">
        <v>0</v>
      </c>
      <c r="G115" s="361">
        <v>0</v>
      </c>
      <c r="H115" s="363">
        <v>0</v>
      </c>
      <c r="I115" s="360">
        <v>3.5527136788005001E-15</v>
      </c>
      <c r="J115" s="361">
        <v>3.5527136788005001E-15</v>
      </c>
      <c r="K115" s="370" t="s">
        <v>247</v>
      </c>
    </row>
    <row r="116" spans="1:11" ht="14.4" customHeight="1" thickBot="1" x14ac:dyDescent="0.35">
      <c r="A116" s="382" t="s">
        <v>354</v>
      </c>
      <c r="B116" s="360">
        <v>0</v>
      </c>
      <c r="C116" s="360">
        <v>0</v>
      </c>
      <c r="D116" s="361">
        <v>0</v>
      </c>
      <c r="E116" s="362">
        <v>1</v>
      </c>
      <c r="F116" s="360">
        <v>2.6522028483960001</v>
      </c>
      <c r="G116" s="361">
        <v>1.768135232264</v>
      </c>
      <c r="H116" s="363">
        <v>0</v>
      </c>
      <c r="I116" s="360">
        <v>1.1025</v>
      </c>
      <c r="J116" s="361">
        <v>-0.66563523226400001</v>
      </c>
      <c r="K116" s="364">
        <v>0.41569218608800002</v>
      </c>
    </row>
    <row r="117" spans="1:11" ht="14.4" customHeight="1" thickBot="1" x14ac:dyDescent="0.35">
      <c r="A117" s="381" t="s">
        <v>355</v>
      </c>
      <c r="B117" s="365">
        <v>0</v>
      </c>
      <c r="C117" s="365">
        <v>0.36399999999999999</v>
      </c>
      <c r="D117" s="366">
        <v>0.36399999999999999</v>
      </c>
      <c r="E117" s="371" t="s">
        <v>276</v>
      </c>
      <c r="F117" s="365">
        <v>0</v>
      </c>
      <c r="G117" s="366">
        <v>0</v>
      </c>
      <c r="H117" s="368">
        <v>0</v>
      </c>
      <c r="I117" s="365">
        <v>0.33600000000000002</v>
      </c>
      <c r="J117" s="366">
        <v>0.33600000000000002</v>
      </c>
      <c r="K117" s="372" t="s">
        <v>247</v>
      </c>
    </row>
    <row r="118" spans="1:11" ht="14.4" customHeight="1" thickBot="1" x14ac:dyDescent="0.35">
      <c r="A118" s="382" t="s">
        <v>356</v>
      </c>
      <c r="B118" s="360">
        <v>0</v>
      </c>
      <c r="C118" s="360">
        <v>0.36399999999999999</v>
      </c>
      <c r="D118" s="361">
        <v>0.36399999999999999</v>
      </c>
      <c r="E118" s="373" t="s">
        <v>276</v>
      </c>
      <c r="F118" s="360">
        <v>0</v>
      </c>
      <c r="G118" s="361">
        <v>0</v>
      </c>
      <c r="H118" s="363">
        <v>0</v>
      </c>
      <c r="I118" s="360">
        <v>0.33600000000000002</v>
      </c>
      <c r="J118" s="361">
        <v>0.33600000000000002</v>
      </c>
      <c r="K118" s="370" t="s">
        <v>247</v>
      </c>
    </row>
    <row r="119" spans="1:11" ht="14.4" customHeight="1" thickBot="1" x14ac:dyDescent="0.35">
      <c r="A119" s="381" t="s">
        <v>357</v>
      </c>
      <c r="B119" s="365">
        <v>349</v>
      </c>
      <c r="C119" s="365">
        <v>306.04710999999998</v>
      </c>
      <c r="D119" s="366">
        <v>-42.952889999999996</v>
      </c>
      <c r="E119" s="367">
        <v>0.87692581661799995</v>
      </c>
      <c r="F119" s="365">
        <v>250</v>
      </c>
      <c r="G119" s="366">
        <v>166.666666666667</v>
      </c>
      <c r="H119" s="368">
        <v>13.990819999999999</v>
      </c>
      <c r="I119" s="365">
        <v>140.47644</v>
      </c>
      <c r="J119" s="366">
        <v>-26.190226666666</v>
      </c>
      <c r="K119" s="369">
        <v>0.56190576000000003</v>
      </c>
    </row>
    <row r="120" spans="1:11" ht="14.4" customHeight="1" thickBot="1" x14ac:dyDescent="0.35">
      <c r="A120" s="382" t="s">
        <v>358</v>
      </c>
      <c r="B120" s="360">
        <v>349</v>
      </c>
      <c r="C120" s="360">
        <v>306.04710999999998</v>
      </c>
      <c r="D120" s="361">
        <v>-42.952889999999996</v>
      </c>
      <c r="E120" s="362">
        <v>0.87692581661799995</v>
      </c>
      <c r="F120" s="360">
        <v>250</v>
      </c>
      <c r="G120" s="361">
        <v>166.666666666667</v>
      </c>
      <c r="H120" s="363">
        <v>13.990819999999999</v>
      </c>
      <c r="I120" s="360">
        <v>140.47644</v>
      </c>
      <c r="J120" s="361">
        <v>-26.190226666666</v>
      </c>
      <c r="K120" s="364">
        <v>0.56190576000000003</v>
      </c>
    </row>
    <row r="121" spans="1:11" ht="14.4" customHeight="1" thickBot="1" x14ac:dyDescent="0.35">
      <c r="A121" s="381" t="s">
        <v>359</v>
      </c>
      <c r="B121" s="365">
        <v>788</v>
      </c>
      <c r="C121" s="365">
        <v>773.12801000000002</v>
      </c>
      <c r="D121" s="366">
        <v>-14.871989999999</v>
      </c>
      <c r="E121" s="367">
        <v>0.98112691624299997</v>
      </c>
      <c r="F121" s="365">
        <v>749.53429557625896</v>
      </c>
      <c r="G121" s="366">
        <v>499.68953038417197</v>
      </c>
      <c r="H121" s="368">
        <v>50.300440000000002</v>
      </c>
      <c r="I121" s="365">
        <v>482.33521000000098</v>
      </c>
      <c r="J121" s="366">
        <v>-17.354320384171</v>
      </c>
      <c r="K121" s="369">
        <v>0.64351319592199996</v>
      </c>
    </row>
    <row r="122" spans="1:11" ht="14.4" customHeight="1" thickBot="1" x14ac:dyDescent="0.35">
      <c r="A122" s="382" t="s">
        <v>360</v>
      </c>
      <c r="B122" s="360">
        <v>788</v>
      </c>
      <c r="C122" s="360">
        <v>773.12801000000002</v>
      </c>
      <c r="D122" s="361">
        <v>-14.871989999999</v>
      </c>
      <c r="E122" s="362">
        <v>0.98112691624299997</v>
      </c>
      <c r="F122" s="360">
        <v>749.53429557625896</v>
      </c>
      <c r="G122" s="361">
        <v>499.68953038417197</v>
      </c>
      <c r="H122" s="363">
        <v>50.300440000000002</v>
      </c>
      <c r="I122" s="360">
        <v>482.33521000000098</v>
      </c>
      <c r="J122" s="361">
        <v>-17.354320384171</v>
      </c>
      <c r="K122" s="364">
        <v>0.64351319592199996</v>
      </c>
    </row>
    <row r="123" spans="1:11" ht="14.4" customHeight="1" thickBot="1" x14ac:dyDescent="0.35">
      <c r="A123" s="386"/>
      <c r="B123" s="360">
        <v>-1299.63495677175</v>
      </c>
      <c r="C123" s="360">
        <v>-507.44454000000098</v>
      </c>
      <c r="D123" s="361">
        <v>792.19041677174505</v>
      </c>
      <c r="E123" s="362">
        <v>0.39045159362300003</v>
      </c>
      <c r="F123" s="360">
        <v>-755.77248448578405</v>
      </c>
      <c r="G123" s="361">
        <v>-503.848322990523</v>
      </c>
      <c r="H123" s="363">
        <v>-72.393129999999005</v>
      </c>
      <c r="I123" s="360">
        <v>324.92727999999698</v>
      </c>
      <c r="J123" s="361">
        <v>828.77560299052004</v>
      </c>
      <c r="K123" s="364">
        <v>-0.42992737453300001</v>
      </c>
    </row>
    <row r="124" spans="1:11" ht="14.4" customHeight="1" thickBot="1" x14ac:dyDescent="0.35">
      <c r="A124" s="387" t="s">
        <v>52</v>
      </c>
      <c r="B124" s="374">
        <v>-1299.63495677175</v>
      </c>
      <c r="C124" s="374">
        <v>-507.44454000000098</v>
      </c>
      <c r="D124" s="375">
        <v>792.19041677174403</v>
      </c>
      <c r="E124" s="376">
        <v>-0.84720013409200001</v>
      </c>
      <c r="F124" s="374">
        <v>-755.77248448578405</v>
      </c>
      <c r="G124" s="375">
        <v>-503.84832299052198</v>
      </c>
      <c r="H124" s="374">
        <v>-72.393129999999005</v>
      </c>
      <c r="I124" s="374">
        <v>324.92727999999602</v>
      </c>
      <c r="J124" s="375">
        <v>828.77560299051902</v>
      </c>
      <c r="K124" s="377">
        <v>-0.42992737453300001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0" customWidth="1"/>
    <col min="2" max="2" width="61.109375" style="180" customWidth="1"/>
    <col min="3" max="3" width="9.5546875" style="105" customWidth="1"/>
    <col min="4" max="4" width="9.5546875" style="181" customWidth="1"/>
    <col min="5" max="5" width="2.21875" style="181" customWidth="1"/>
    <col min="6" max="6" width="9.5546875" style="182" customWidth="1"/>
    <col min="7" max="7" width="9.5546875" style="179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1" t="s">
        <v>114</v>
      </c>
      <c r="B1" s="322"/>
      <c r="C1" s="322"/>
      <c r="D1" s="322"/>
      <c r="E1" s="322"/>
      <c r="F1" s="322"/>
      <c r="G1" s="293"/>
      <c r="H1" s="323"/>
      <c r="I1" s="323"/>
    </row>
    <row r="2" spans="1:10" ht="14.4" customHeight="1" thickBot="1" x14ac:dyDescent="0.35">
      <c r="A2" s="201" t="s">
        <v>246</v>
      </c>
      <c r="B2" s="178"/>
      <c r="C2" s="178"/>
      <c r="D2" s="178"/>
      <c r="E2" s="178"/>
      <c r="F2" s="178"/>
    </row>
    <row r="3" spans="1:10" ht="14.4" customHeight="1" thickBot="1" x14ac:dyDescent="0.35">
      <c r="A3" s="201"/>
      <c r="B3" s="178"/>
      <c r="C3" s="259">
        <v>2013</v>
      </c>
      <c r="D3" s="260">
        <v>2014</v>
      </c>
      <c r="E3" s="7"/>
      <c r="F3" s="316">
        <v>2015</v>
      </c>
      <c r="G3" s="317"/>
      <c r="H3" s="317"/>
      <c r="I3" s="318"/>
    </row>
    <row r="4" spans="1:10" ht="14.4" customHeight="1" thickBot="1" x14ac:dyDescent="0.35">
      <c r="A4" s="264" t="s">
        <v>0</v>
      </c>
      <c r="B4" s="265" t="s">
        <v>208</v>
      </c>
      <c r="C4" s="319" t="s">
        <v>59</v>
      </c>
      <c r="D4" s="320"/>
      <c r="E4" s="266"/>
      <c r="F4" s="261" t="s">
        <v>59</v>
      </c>
      <c r="G4" s="262" t="s">
        <v>60</v>
      </c>
      <c r="H4" s="262" t="s">
        <v>54</v>
      </c>
      <c r="I4" s="263" t="s">
        <v>61</v>
      </c>
    </row>
    <row r="5" spans="1:10" ht="14.4" customHeight="1" x14ac:dyDescent="0.3">
      <c r="A5" s="388" t="s">
        <v>361</v>
      </c>
      <c r="B5" s="389" t="s">
        <v>362</v>
      </c>
      <c r="C5" s="390" t="s">
        <v>363</v>
      </c>
      <c r="D5" s="390" t="s">
        <v>363</v>
      </c>
      <c r="E5" s="390"/>
      <c r="F5" s="390" t="s">
        <v>363</v>
      </c>
      <c r="G5" s="390" t="s">
        <v>363</v>
      </c>
      <c r="H5" s="390" t="s">
        <v>363</v>
      </c>
      <c r="I5" s="391" t="s">
        <v>363</v>
      </c>
      <c r="J5" s="392" t="s">
        <v>55</v>
      </c>
    </row>
    <row r="6" spans="1:10" ht="14.4" customHeight="1" x14ac:dyDescent="0.3">
      <c r="A6" s="388" t="s">
        <v>361</v>
      </c>
      <c r="B6" s="389" t="s">
        <v>253</v>
      </c>
      <c r="C6" s="390">
        <v>0.56330000000000002</v>
      </c>
      <c r="D6" s="390">
        <v>0</v>
      </c>
      <c r="E6" s="390"/>
      <c r="F6" s="390">
        <v>0.75165000000000004</v>
      </c>
      <c r="G6" s="390">
        <v>0.66666666666666663</v>
      </c>
      <c r="H6" s="390">
        <v>8.4983333333333411E-2</v>
      </c>
      <c r="I6" s="391">
        <v>1.1274750000000002</v>
      </c>
      <c r="J6" s="392" t="s">
        <v>1</v>
      </c>
    </row>
    <row r="7" spans="1:10" ht="14.4" customHeight="1" x14ac:dyDescent="0.3">
      <c r="A7" s="388" t="s">
        <v>361</v>
      </c>
      <c r="B7" s="389" t="s">
        <v>364</v>
      </c>
      <c r="C7" s="390">
        <v>0.56330000000000002</v>
      </c>
      <c r="D7" s="390">
        <v>0</v>
      </c>
      <c r="E7" s="390"/>
      <c r="F7" s="390">
        <v>0.75165000000000004</v>
      </c>
      <c r="G7" s="390">
        <v>0.66666666666666663</v>
      </c>
      <c r="H7" s="390">
        <v>8.4983333333333411E-2</v>
      </c>
      <c r="I7" s="391">
        <v>1.1274750000000002</v>
      </c>
      <c r="J7" s="392" t="s">
        <v>365</v>
      </c>
    </row>
    <row r="9" spans="1:10" ht="14.4" customHeight="1" x14ac:dyDescent="0.3">
      <c r="A9" s="388" t="s">
        <v>361</v>
      </c>
      <c r="B9" s="389" t="s">
        <v>362</v>
      </c>
      <c r="C9" s="390" t="s">
        <v>363</v>
      </c>
      <c r="D9" s="390" t="s">
        <v>363</v>
      </c>
      <c r="E9" s="390"/>
      <c r="F9" s="390" t="s">
        <v>363</v>
      </c>
      <c r="G9" s="390" t="s">
        <v>363</v>
      </c>
      <c r="H9" s="390" t="s">
        <v>363</v>
      </c>
      <c r="I9" s="391" t="s">
        <v>363</v>
      </c>
      <c r="J9" s="392" t="s">
        <v>55</v>
      </c>
    </row>
    <row r="10" spans="1:10" ht="14.4" customHeight="1" x14ac:dyDescent="0.3">
      <c r="A10" s="388" t="s">
        <v>366</v>
      </c>
      <c r="B10" s="389" t="s">
        <v>367</v>
      </c>
      <c r="C10" s="390" t="s">
        <v>363</v>
      </c>
      <c r="D10" s="390" t="s">
        <v>363</v>
      </c>
      <c r="E10" s="390"/>
      <c r="F10" s="390" t="s">
        <v>363</v>
      </c>
      <c r="G10" s="390" t="s">
        <v>363</v>
      </c>
      <c r="H10" s="390" t="s">
        <v>363</v>
      </c>
      <c r="I10" s="391" t="s">
        <v>363</v>
      </c>
      <c r="J10" s="392" t="s">
        <v>0</v>
      </c>
    </row>
    <row r="11" spans="1:10" ht="14.4" customHeight="1" x14ac:dyDescent="0.3">
      <c r="A11" s="388" t="s">
        <v>366</v>
      </c>
      <c r="B11" s="389" t="s">
        <v>253</v>
      </c>
      <c r="C11" s="390">
        <v>0.56330000000000002</v>
      </c>
      <c r="D11" s="390">
        <v>0</v>
      </c>
      <c r="E11" s="390"/>
      <c r="F11" s="390">
        <v>0.75165000000000004</v>
      </c>
      <c r="G11" s="390">
        <v>0.66666666666666663</v>
      </c>
      <c r="H11" s="390">
        <v>8.4983333333333411E-2</v>
      </c>
      <c r="I11" s="391">
        <v>1.1274750000000002</v>
      </c>
      <c r="J11" s="392" t="s">
        <v>1</v>
      </c>
    </row>
    <row r="12" spans="1:10" ht="14.4" customHeight="1" x14ac:dyDescent="0.3">
      <c r="A12" s="388" t="s">
        <v>366</v>
      </c>
      <c r="B12" s="389" t="s">
        <v>368</v>
      </c>
      <c r="C12" s="390">
        <v>0.56330000000000002</v>
      </c>
      <c r="D12" s="390">
        <v>0</v>
      </c>
      <c r="E12" s="390"/>
      <c r="F12" s="390">
        <v>0.75165000000000004</v>
      </c>
      <c r="G12" s="390">
        <v>0.66666666666666663</v>
      </c>
      <c r="H12" s="390">
        <v>8.4983333333333411E-2</v>
      </c>
      <c r="I12" s="391">
        <v>1.1274750000000002</v>
      </c>
      <c r="J12" s="392" t="s">
        <v>369</v>
      </c>
    </row>
    <row r="13" spans="1:10" ht="14.4" customHeight="1" x14ac:dyDescent="0.3">
      <c r="A13" s="388" t="s">
        <v>363</v>
      </c>
      <c r="B13" s="389" t="s">
        <v>363</v>
      </c>
      <c r="C13" s="390" t="s">
        <v>363</v>
      </c>
      <c r="D13" s="390" t="s">
        <v>363</v>
      </c>
      <c r="E13" s="390"/>
      <c r="F13" s="390" t="s">
        <v>363</v>
      </c>
      <c r="G13" s="390" t="s">
        <v>363</v>
      </c>
      <c r="H13" s="390" t="s">
        <v>363</v>
      </c>
      <c r="I13" s="391" t="s">
        <v>363</v>
      </c>
      <c r="J13" s="392" t="s">
        <v>370</v>
      </c>
    </row>
    <row r="14" spans="1:10" ht="14.4" customHeight="1" x14ac:dyDescent="0.3">
      <c r="A14" s="388" t="s">
        <v>361</v>
      </c>
      <c r="B14" s="389" t="s">
        <v>364</v>
      </c>
      <c r="C14" s="390">
        <v>0.56330000000000002</v>
      </c>
      <c r="D14" s="390">
        <v>0</v>
      </c>
      <c r="E14" s="390"/>
      <c r="F14" s="390">
        <v>0.75165000000000004</v>
      </c>
      <c r="G14" s="390">
        <v>0.66666666666666663</v>
      </c>
      <c r="H14" s="390">
        <v>8.4983333333333411E-2</v>
      </c>
      <c r="I14" s="391">
        <v>1.1274750000000002</v>
      </c>
      <c r="J14" s="392" t="s">
        <v>365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1" bestFit="1" customWidth="1" collapsed="1"/>
    <col min="4" max="4" width="18.77734375" style="185" customWidth="1"/>
    <col min="5" max="5" width="9" style="181" bestFit="1" customWidth="1"/>
    <col min="6" max="6" width="18.77734375" style="185" customWidth="1"/>
    <col min="7" max="7" width="5" style="181" customWidth="1"/>
    <col min="8" max="8" width="12.44140625" style="181" hidden="1" customWidth="1" outlineLevel="1"/>
    <col min="9" max="9" width="8.5546875" style="181" hidden="1" customWidth="1" outlineLevel="1"/>
    <col min="10" max="10" width="25.77734375" style="181" customWidth="1" collapsed="1"/>
    <col min="11" max="11" width="8.77734375" style="181" customWidth="1"/>
    <col min="12" max="13" width="7.77734375" style="179" customWidth="1"/>
    <col min="14" max="14" width="11.109375" style="179" customWidth="1"/>
    <col min="15" max="16384" width="8.88671875" style="105"/>
  </cols>
  <sheetData>
    <row r="1" spans="1:14" ht="18.600000000000001" customHeight="1" thickBot="1" x14ac:dyDescent="0.4">
      <c r="A1" s="328" t="s">
        <v>131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4" ht="14.4" customHeight="1" thickBot="1" x14ac:dyDescent="0.35">
      <c r="A2" s="201" t="s">
        <v>246</v>
      </c>
      <c r="B2" s="57"/>
      <c r="C2" s="183"/>
      <c r="D2" s="183"/>
      <c r="E2" s="183"/>
      <c r="F2" s="183"/>
      <c r="G2" s="183"/>
      <c r="H2" s="183"/>
      <c r="I2" s="183"/>
      <c r="J2" s="183"/>
      <c r="K2" s="183"/>
      <c r="L2" s="184"/>
      <c r="M2" s="184"/>
      <c r="N2" s="184"/>
    </row>
    <row r="3" spans="1:14" ht="14.4" customHeight="1" thickBot="1" x14ac:dyDescent="0.35">
      <c r="A3" s="57"/>
      <c r="B3" s="57"/>
      <c r="C3" s="324"/>
      <c r="D3" s="325"/>
      <c r="E3" s="325"/>
      <c r="F3" s="325"/>
      <c r="G3" s="325"/>
      <c r="H3" s="325"/>
      <c r="I3" s="325"/>
      <c r="J3" s="326" t="s">
        <v>111</v>
      </c>
      <c r="K3" s="327"/>
      <c r="L3" s="74">
        <f>IF(M3&lt;&gt;0,N3/M3,0)</f>
        <v>75.165224622965908</v>
      </c>
      <c r="M3" s="74">
        <f>SUBTOTAL(9,M5:M1048576)</f>
        <v>10</v>
      </c>
      <c r="N3" s="75">
        <f>SUBTOTAL(9,N5:N1048576)</f>
        <v>751.65224622965911</v>
      </c>
    </row>
    <row r="4" spans="1:14" s="180" customFormat="1" ht="14.4" customHeight="1" thickBot="1" x14ac:dyDescent="0.35">
      <c r="A4" s="393" t="s">
        <v>4</v>
      </c>
      <c r="B4" s="394" t="s">
        <v>5</v>
      </c>
      <c r="C4" s="394" t="s">
        <v>0</v>
      </c>
      <c r="D4" s="394" t="s">
        <v>6</v>
      </c>
      <c r="E4" s="394" t="s">
        <v>7</v>
      </c>
      <c r="F4" s="394" t="s">
        <v>1</v>
      </c>
      <c r="G4" s="394" t="s">
        <v>8</v>
      </c>
      <c r="H4" s="394" t="s">
        <v>9</v>
      </c>
      <c r="I4" s="394" t="s">
        <v>10</v>
      </c>
      <c r="J4" s="395" t="s">
        <v>11</v>
      </c>
      <c r="K4" s="395" t="s">
        <v>12</v>
      </c>
      <c r="L4" s="396" t="s">
        <v>118</v>
      </c>
      <c r="M4" s="396" t="s">
        <v>13</v>
      </c>
      <c r="N4" s="397" t="s">
        <v>126</v>
      </c>
    </row>
    <row r="5" spans="1:14" ht="14.4" customHeight="1" thickBot="1" x14ac:dyDescent="0.35">
      <c r="A5" s="398" t="s">
        <v>361</v>
      </c>
      <c r="B5" s="399" t="s">
        <v>362</v>
      </c>
      <c r="C5" s="400" t="s">
        <v>366</v>
      </c>
      <c r="D5" s="401" t="s">
        <v>375</v>
      </c>
      <c r="E5" s="400" t="s">
        <v>371</v>
      </c>
      <c r="F5" s="401" t="s">
        <v>376</v>
      </c>
      <c r="G5" s="400" t="s">
        <v>372</v>
      </c>
      <c r="H5" s="400" t="s">
        <v>373</v>
      </c>
      <c r="I5" s="400" t="s">
        <v>133</v>
      </c>
      <c r="J5" s="400" t="s">
        <v>374</v>
      </c>
      <c r="K5" s="400"/>
      <c r="L5" s="402">
        <v>75.165224622965908</v>
      </c>
      <c r="M5" s="402">
        <v>10</v>
      </c>
      <c r="N5" s="403">
        <v>751.65224622965911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79" customWidth="1"/>
    <col min="2" max="2" width="5.44140625" style="179" bestFit="1" customWidth="1"/>
    <col min="3" max="3" width="6.109375" style="179" bestFit="1" customWidth="1"/>
    <col min="4" max="4" width="7.44140625" style="179" bestFit="1" customWidth="1"/>
    <col min="5" max="5" width="6.21875" style="179" bestFit="1" customWidth="1"/>
    <col min="6" max="6" width="6.33203125" style="182" bestFit="1" customWidth="1"/>
    <col min="7" max="7" width="6.109375" style="182" bestFit="1" customWidth="1"/>
    <col min="8" max="8" width="7.44140625" style="182" bestFit="1" customWidth="1"/>
    <col min="9" max="9" width="6.21875" style="182" bestFit="1" customWidth="1"/>
    <col min="10" max="10" width="5.44140625" style="179" bestFit="1" customWidth="1"/>
    <col min="11" max="11" width="6.109375" style="179" bestFit="1" customWidth="1"/>
    <col min="12" max="12" width="7.44140625" style="179" bestFit="1" customWidth="1"/>
    <col min="13" max="13" width="6.21875" style="179" bestFit="1" customWidth="1"/>
    <col min="14" max="14" width="5.33203125" style="182" bestFit="1" customWidth="1"/>
    <col min="15" max="15" width="6.109375" style="182" bestFit="1" customWidth="1"/>
    <col min="16" max="16" width="7.44140625" style="182" bestFit="1" customWidth="1"/>
    <col min="17" max="17" width="6.21875" style="182" bestFit="1" customWidth="1"/>
    <col min="18" max="16384" width="8.88671875" style="105"/>
  </cols>
  <sheetData>
    <row r="1" spans="1:17" ht="18.600000000000001" customHeight="1" thickBot="1" x14ac:dyDescent="0.4">
      <c r="A1" s="329" t="s">
        <v>209</v>
      </c>
      <c r="B1" s="329"/>
      <c r="C1" s="329"/>
      <c r="D1" s="329"/>
      <c r="E1" s="329"/>
      <c r="F1" s="293"/>
      <c r="G1" s="293"/>
      <c r="H1" s="293"/>
      <c r="I1" s="293"/>
      <c r="J1" s="323"/>
      <c r="K1" s="323"/>
      <c r="L1" s="323"/>
      <c r="M1" s="323"/>
      <c r="N1" s="323"/>
      <c r="O1" s="323"/>
      <c r="P1" s="323"/>
      <c r="Q1" s="323"/>
    </row>
    <row r="2" spans="1:17" ht="14.4" customHeight="1" thickBot="1" x14ac:dyDescent="0.35">
      <c r="A2" s="201" t="s">
        <v>246</v>
      </c>
      <c r="B2" s="186"/>
      <c r="C2" s="186"/>
      <c r="D2" s="186"/>
      <c r="E2" s="186"/>
    </row>
    <row r="3" spans="1:17" ht="14.4" customHeight="1" thickBot="1" x14ac:dyDescent="0.35">
      <c r="A3" s="268" t="s">
        <v>3</v>
      </c>
      <c r="B3" s="272">
        <f>SUM(B6:B1048576)</f>
        <v>6</v>
      </c>
      <c r="C3" s="273">
        <f>SUM(C6:C1048576)</f>
        <v>0</v>
      </c>
      <c r="D3" s="273">
        <f>SUM(D6:D1048576)</f>
        <v>0</v>
      </c>
      <c r="E3" s="274">
        <f>SUM(E6:E1048576)</f>
        <v>0</v>
      </c>
      <c r="F3" s="271">
        <f>IF(SUM($B3:$E3)=0,"",B3/SUM($B3:$E3))</f>
        <v>1</v>
      </c>
      <c r="G3" s="269">
        <f t="shared" ref="G3:I3" si="0">IF(SUM($B3:$E3)=0,"",C3/SUM($B3:$E3))</f>
        <v>0</v>
      </c>
      <c r="H3" s="269">
        <f t="shared" si="0"/>
        <v>0</v>
      </c>
      <c r="I3" s="270">
        <f t="shared" si="0"/>
        <v>0</v>
      </c>
      <c r="J3" s="273">
        <f>SUM(J6:J1048576)</f>
        <v>1</v>
      </c>
      <c r="K3" s="273">
        <f>SUM(K6:K1048576)</f>
        <v>0</v>
      </c>
      <c r="L3" s="273">
        <f>SUM(L6:L1048576)</f>
        <v>0</v>
      </c>
      <c r="M3" s="274">
        <f>SUM(M6:M1048576)</f>
        <v>0</v>
      </c>
      <c r="N3" s="271">
        <f>IF(SUM($J3:$M3)=0,"",J3/SUM($J3:$M3))</f>
        <v>1</v>
      </c>
      <c r="O3" s="269">
        <f t="shared" ref="O3:Q3" si="1">IF(SUM($J3:$M3)=0,"",K3/SUM($J3:$M3))</f>
        <v>0</v>
      </c>
      <c r="P3" s="269">
        <f t="shared" si="1"/>
        <v>0</v>
      </c>
      <c r="Q3" s="270">
        <f t="shared" si="1"/>
        <v>0</v>
      </c>
    </row>
    <row r="4" spans="1:17" ht="14.4" customHeight="1" thickBot="1" x14ac:dyDescent="0.35">
      <c r="A4" s="267"/>
      <c r="B4" s="333" t="s">
        <v>211</v>
      </c>
      <c r="C4" s="334"/>
      <c r="D4" s="334"/>
      <c r="E4" s="335"/>
      <c r="F4" s="330" t="s">
        <v>216</v>
      </c>
      <c r="G4" s="331"/>
      <c r="H4" s="331"/>
      <c r="I4" s="332"/>
      <c r="J4" s="333" t="s">
        <v>217</v>
      </c>
      <c r="K4" s="334"/>
      <c r="L4" s="334"/>
      <c r="M4" s="335"/>
      <c r="N4" s="330" t="s">
        <v>218</v>
      </c>
      <c r="O4" s="331"/>
      <c r="P4" s="331"/>
      <c r="Q4" s="332"/>
    </row>
    <row r="5" spans="1:17" ht="14.4" customHeight="1" thickBot="1" x14ac:dyDescent="0.35">
      <c r="A5" s="404" t="s">
        <v>210</v>
      </c>
      <c r="B5" s="405" t="s">
        <v>212</v>
      </c>
      <c r="C5" s="405" t="s">
        <v>213</v>
      </c>
      <c r="D5" s="405" t="s">
        <v>214</v>
      </c>
      <c r="E5" s="406" t="s">
        <v>215</v>
      </c>
      <c r="F5" s="407" t="s">
        <v>212</v>
      </c>
      <c r="G5" s="408" t="s">
        <v>213</v>
      </c>
      <c r="H5" s="408" t="s">
        <v>214</v>
      </c>
      <c r="I5" s="409" t="s">
        <v>215</v>
      </c>
      <c r="J5" s="405" t="s">
        <v>212</v>
      </c>
      <c r="K5" s="405" t="s">
        <v>213</v>
      </c>
      <c r="L5" s="405" t="s">
        <v>214</v>
      </c>
      <c r="M5" s="406" t="s">
        <v>215</v>
      </c>
      <c r="N5" s="407" t="s">
        <v>212</v>
      </c>
      <c r="O5" s="408" t="s">
        <v>213</v>
      </c>
      <c r="P5" s="408" t="s">
        <v>214</v>
      </c>
      <c r="Q5" s="409" t="s">
        <v>215</v>
      </c>
    </row>
    <row r="6" spans="1:17" ht="14.4" customHeight="1" x14ac:dyDescent="0.3">
      <c r="A6" s="417" t="s">
        <v>377</v>
      </c>
      <c r="B6" s="421"/>
      <c r="C6" s="411"/>
      <c r="D6" s="411"/>
      <c r="E6" s="423"/>
      <c r="F6" s="419"/>
      <c r="G6" s="412"/>
      <c r="H6" s="412"/>
      <c r="I6" s="425"/>
      <c r="J6" s="421"/>
      <c r="K6" s="411"/>
      <c r="L6" s="411"/>
      <c r="M6" s="423"/>
      <c r="N6" s="419"/>
      <c r="O6" s="412"/>
      <c r="P6" s="412"/>
      <c r="Q6" s="413"/>
    </row>
    <row r="7" spans="1:17" ht="14.4" customHeight="1" thickBot="1" x14ac:dyDescent="0.35">
      <c r="A7" s="418" t="s">
        <v>378</v>
      </c>
      <c r="B7" s="422">
        <v>6</v>
      </c>
      <c r="C7" s="414"/>
      <c r="D7" s="414"/>
      <c r="E7" s="424"/>
      <c r="F7" s="420">
        <v>1</v>
      </c>
      <c r="G7" s="415">
        <v>0</v>
      </c>
      <c r="H7" s="415">
        <v>0</v>
      </c>
      <c r="I7" s="426">
        <v>0</v>
      </c>
      <c r="J7" s="422">
        <v>1</v>
      </c>
      <c r="K7" s="414"/>
      <c r="L7" s="414"/>
      <c r="M7" s="424"/>
      <c r="N7" s="420">
        <v>1</v>
      </c>
      <c r="O7" s="415">
        <v>0</v>
      </c>
      <c r="P7" s="415">
        <v>0</v>
      </c>
      <c r="Q7" s="4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2015-09-24T15:31:13Z</dcterms:modified>
</cp:coreProperties>
</file>